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worksheets/sheet4.xml" ContentType="application/vnd.openxmlformats-officedocument.spreadsheetml.workshee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worksheets/sheet1.xml" ContentType="application/vnd.openxmlformats-officedocument.spreadsheetml.worksheet+xml"/>
  <Override PartName="/xl/charts/colors3.xml" ContentType="application/vnd.ms-office.chartcolorstyle+xml"/>
  <Override PartName="/xl/charts/chart3.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worksheets/sheet5.xml" ContentType="application/vnd.openxmlformats-officedocument.spreadsheetml.worksheet+xml"/>
  <Override PartName="/xl/charts/colors2.xml" ContentType="application/vnd.ms-office.chartcolorstyle+xml"/>
  <Override PartName="/xl/drawings/drawing3.xml" ContentType="application/vnd.openxmlformats-officedocument.drawing+xml"/>
  <Override PartName="/xl/charts/colors1.xml" ContentType="application/vnd.ms-office.chartcolorstyl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4\Para_colgar_en_la_Web_del_Ministerio\Resumen_de_resultados_14\"/>
    </mc:Choice>
  </mc:AlternateContent>
  <bookViews>
    <workbookView xWindow="45" yWindow="0" windowWidth="10890" windowHeight="10050"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Informe Corto" sheetId="17" r:id="rId9"/>
    <sheet name="Nota de prensa" sheetId="15" r:id="rId10"/>
  </sheets>
  <definedNames>
    <definedName name="_xlnm._FilterDatabase" localSheetId="2" hidden="1">Gasto_o_ing_total!$B$7:$AB$550</definedName>
    <definedName name="_xlnm._FilterDatabase" localSheetId="0" hidden="1">Tot_res!$B$8:$W$475</definedName>
    <definedName name="_Toc409002302" localSheetId="2">Gasto_o_ing_total!$C$97</definedName>
    <definedName name="_Toc409683604" localSheetId="2">Gasto_o_ing_total!$C$440</definedName>
    <definedName name="_Toc409700208" localSheetId="2">Gasto_o_ing_total!$C$361</definedName>
    <definedName name="_Toc410736660" localSheetId="2">Gasto_o_ing_total!$C$453</definedName>
    <definedName name="_xlnm.Print_Area" localSheetId="7">'Cuadros Informe Corto'!$B$1:$S$519</definedName>
    <definedName name="_xlnm.Print_Area" localSheetId="1">Resumen!$B$1:$AF$184</definedName>
  </definedNames>
  <calcPr calcId="152511"/>
</workbook>
</file>

<file path=xl/calcChain.xml><?xml version="1.0" encoding="utf-8"?>
<calcChain xmlns="http://schemas.openxmlformats.org/spreadsheetml/2006/main">
  <c r="J25" i="17" l="1"/>
  <c r="B5" i="17" l="1"/>
  <c r="D69" i="17"/>
  <c r="C69" i="17"/>
  <c r="B69" i="17"/>
  <c r="D68" i="17"/>
  <c r="F67" i="17" s="1"/>
  <c r="C68" i="17"/>
  <c r="B68" i="17"/>
  <c r="H67" i="17"/>
  <c r="G67"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B45" i="17"/>
  <c r="B28" i="17"/>
  <c r="B27" i="17"/>
  <c r="F26" i="17"/>
  <c r="E26" i="17"/>
  <c r="D26" i="17"/>
  <c r="F25" i="17"/>
  <c r="E25" i="17"/>
  <c r="D25" i="17"/>
  <c r="K23" i="17" s="1"/>
  <c r="F24" i="17"/>
  <c r="C24" i="17" s="1"/>
  <c r="E24" i="17"/>
  <c r="D24" i="17"/>
  <c r="F23" i="17"/>
  <c r="E23" i="17"/>
  <c r="D23" i="17"/>
  <c r="I22" i="17"/>
  <c r="F22" i="17"/>
  <c r="E22" i="17"/>
  <c r="D22" i="17"/>
  <c r="K22" i="17" s="1"/>
  <c r="I21" i="17"/>
  <c r="F21" i="17"/>
  <c r="E21" i="17"/>
  <c r="D21" i="17"/>
  <c r="K21" i="17" s="1"/>
  <c r="I20" i="17"/>
  <c r="F20" i="17"/>
  <c r="E20" i="17"/>
  <c r="D20" i="17"/>
  <c r="K20" i="17" s="1"/>
  <c r="I19" i="17"/>
  <c r="F19" i="17"/>
  <c r="E19" i="17"/>
  <c r="D19" i="17"/>
  <c r="K19" i="17" s="1"/>
  <c r="I18" i="17"/>
  <c r="F18" i="17"/>
  <c r="E18" i="17"/>
  <c r="D18" i="17"/>
  <c r="K18" i="17" s="1"/>
  <c r="I17" i="17"/>
  <c r="F17" i="17"/>
  <c r="E17" i="17"/>
  <c r="D17" i="17"/>
  <c r="K17" i="17" s="1"/>
  <c r="I16" i="17"/>
  <c r="F16" i="17"/>
  <c r="E16" i="17"/>
  <c r="D16" i="17"/>
  <c r="K16" i="17" s="1"/>
  <c r="I15" i="17"/>
  <c r="F15" i="17"/>
  <c r="E15" i="17"/>
  <c r="D15" i="17"/>
  <c r="K15" i="17" s="1"/>
  <c r="I14" i="17"/>
  <c r="F14" i="17"/>
  <c r="E14" i="17"/>
  <c r="D14" i="17"/>
  <c r="K14" i="17" s="1"/>
  <c r="I13" i="17"/>
  <c r="F13" i="17"/>
  <c r="E13" i="17"/>
  <c r="D13" i="17"/>
  <c r="K13" i="17" s="1"/>
  <c r="I12" i="17"/>
  <c r="F12" i="17"/>
  <c r="E12" i="17"/>
  <c r="D12" i="17"/>
  <c r="K12" i="17" s="1"/>
  <c r="I11" i="17"/>
  <c r="F11" i="17"/>
  <c r="E11" i="17"/>
  <c r="D11" i="17"/>
  <c r="K11" i="17" s="1"/>
  <c r="I10" i="17"/>
  <c r="F10" i="17"/>
  <c r="E10" i="17"/>
  <c r="D10" i="17"/>
  <c r="K10" i="17" s="1"/>
  <c r="I9" i="17"/>
  <c r="F9" i="17"/>
  <c r="E9" i="17"/>
  <c r="D9" i="17"/>
  <c r="K9" i="17" s="1"/>
  <c r="D113" i="15"/>
  <c r="C113" i="15"/>
  <c r="D112" i="15"/>
  <c r="C112" i="15"/>
  <c r="D111" i="15"/>
  <c r="C111" i="15"/>
  <c r="D110" i="15"/>
  <c r="C110" i="15"/>
  <c r="D109" i="15"/>
  <c r="C109" i="15"/>
  <c r="D108" i="15"/>
  <c r="C108" i="15"/>
  <c r="D107" i="15"/>
  <c r="C107" i="15"/>
  <c r="D106" i="15"/>
  <c r="C106" i="15"/>
  <c r="D105" i="15"/>
  <c r="C105" i="15"/>
  <c r="B100" i="15"/>
  <c r="F95" i="15"/>
  <c r="E95" i="15"/>
  <c r="I94" i="15"/>
  <c r="H94" i="15"/>
  <c r="G94" i="15"/>
  <c r="E94" i="15"/>
  <c r="D94" i="15"/>
  <c r="C94" i="15"/>
  <c r="I93" i="15"/>
  <c r="H93" i="15"/>
  <c r="G93" i="15"/>
  <c r="F93" i="15"/>
  <c r="E93" i="15"/>
  <c r="D93" i="15"/>
  <c r="C93" i="15"/>
  <c r="I92" i="15"/>
  <c r="H92" i="15"/>
  <c r="G92" i="15"/>
  <c r="F92" i="15"/>
  <c r="E92" i="15"/>
  <c r="D92" i="15"/>
  <c r="C92" i="15"/>
  <c r="I91" i="15"/>
  <c r="H91" i="15"/>
  <c r="G91" i="15"/>
  <c r="F91" i="15"/>
  <c r="E91" i="15"/>
  <c r="D91" i="15"/>
  <c r="C91" i="15"/>
  <c r="I90" i="15"/>
  <c r="H90" i="15"/>
  <c r="G90" i="15"/>
  <c r="F90" i="15"/>
  <c r="E90" i="15"/>
  <c r="D90" i="15"/>
  <c r="C90" i="15"/>
  <c r="I89" i="15"/>
  <c r="H89" i="15"/>
  <c r="G89" i="15"/>
  <c r="F89" i="15"/>
  <c r="E89" i="15"/>
  <c r="D89" i="15"/>
  <c r="C89" i="15"/>
  <c r="I88" i="15"/>
  <c r="H88" i="15"/>
  <c r="G88" i="15"/>
  <c r="F88" i="15"/>
  <c r="E88" i="15"/>
  <c r="D88" i="15"/>
  <c r="C88" i="15"/>
  <c r="I87" i="15"/>
  <c r="H87" i="15"/>
  <c r="G87" i="15"/>
  <c r="F87" i="15"/>
  <c r="E87" i="15"/>
  <c r="D87" i="15"/>
  <c r="C87" i="15"/>
  <c r="I86" i="15"/>
  <c r="H86" i="15"/>
  <c r="G86" i="15"/>
  <c r="F86" i="15"/>
  <c r="E86" i="15"/>
  <c r="D86" i="15"/>
  <c r="C86" i="15"/>
  <c r="I85" i="15"/>
  <c r="H85" i="15"/>
  <c r="G85" i="15"/>
  <c r="F85" i="15"/>
  <c r="E85" i="15"/>
  <c r="D85" i="15"/>
  <c r="C85" i="15"/>
  <c r="I84" i="15"/>
  <c r="H84" i="15"/>
  <c r="G84" i="15"/>
  <c r="F84" i="15"/>
  <c r="E84" i="15"/>
  <c r="D84" i="15"/>
  <c r="C84" i="15"/>
  <c r="I83" i="15"/>
  <c r="H83" i="15"/>
  <c r="G83" i="15"/>
  <c r="F83" i="15"/>
  <c r="E83" i="15"/>
  <c r="D83" i="15"/>
  <c r="C83" i="15"/>
  <c r="I82" i="15"/>
  <c r="H82" i="15"/>
  <c r="G82" i="15"/>
  <c r="F82" i="15"/>
  <c r="E82" i="15"/>
  <c r="D82" i="15"/>
  <c r="C82" i="15"/>
  <c r="I81" i="15"/>
  <c r="H81" i="15"/>
  <c r="G81" i="15"/>
  <c r="F81" i="15"/>
  <c r="E81" i="15"/>
  <c r="D81" i="15"/>
  <c r="C81" i="15"/>
  <c r="I80" i="15"/>
  <c r="H80" i="15"/>
  <c r="G80" i="15"/>
  <c r="F80" i="15"/>
  <c r="E80" i="15"/>
  <c r="D80" i="15"/>
  <c r="C80" i="15"/>
  <c r="I79" i="15"/>
  <c r="H79" i="15"/>
  <c r="G79" i="15"/>
  <c r="F79" i="15"/>
  <c r="E79" i="15"/>
  <c r="D79" i="15"/>
  <c r="C79" i="15"/>
  <c r="I78" i="15"/>
  <c r="H78" i="15"/>
  <c r="G78" i="15"/>
  <c r="F78" i="15"/>
  <c r="E78" i="15"/>
  <c r="D78" i="15"/>
  <c r="C78" i="15"/>
  <c r="I77" i="15"/>
  <c r="H77" i="15"/>
  <c r="G77" i="15"/>
  <c r="F77" i="15"/>
  <c r="E77" i="15"/>
  <c r="D77" i="15"/>
  <c r="C77" i="15"/>
  <c r="I76" i="15"/>
  <c r="H76" i="15"/>
  <c r="G76" i="15"/>
  <c r="F76" i="15"/>
  <c r="E76" i="15"/>
  <c r="D76" i="15"/>
  <c r="C76" i="15"/>
  <c r="B72" i="15"/>
  <c r="B58" i="15"/>
  <c r="B57" i="15"/>
  <c r="F56" i="15"/>
  <c r="E56" i="15"/>
  <c r="D56" i="15"/>
  <c r="F55" i="15"/>
  <c r="C55" i="15" s="1"/>
  <c r="E55" i="15"/>
  <c r="D55" i="15"/>
  <c r="K53" i="15" s="1"/>
  <c r="F54" i="15"/>
  <c r="E54" i="15"/>
  <c r="D54" i="15"/>
  <c r="F53" i="15"/>
  <c r="C53" i="15" s="1"/>
  <c r="E53" i="15"/>
  <c r="D53" i="15"/>
  <c r="I52" i="15"/>
  <c r="F52" i="15"/>
  <c r="E52" i="15"/>
  <c r="D52" i="15"/>
  <c r="K52" i="15" s="1"/>
  <c r="C52" i="15"/>
  <c r="I51" i="15"/>
  <c r="F51" i="15"/>
  <c r="C51" i="15" s="1"/>
  <c r="J51" i="15" s="1"/>
  <c r="E51" i="15"/>
  <c r="D51" i="15"/>
  <c r="K51" i="15" s="1"/>
  <c r="I50" i="15"/>
  <c r="F50" i="15"/>
  <c r="E50" i="15"/>
  <c r="D50" i="15"/>
  <c r="K50" i="15" s="1"/>
  <c r="C50" i="15"/>
  <c r="J50" i="15" s="1"/>
  <c r="I49" i="15"/>
  <c r="F49" i="15"/>
  <c r="C49" i="15" s="1"/>
  <c r="J49" i="15" s="1"/>
  <c r="E49" i="15"/>
  <c r="D49" i="15"/>
  <c r="K49" i="15" s="1"/>
  <c r="I48" i="15"/>
  <c r="F48" i="15"/>
  <c r="E48" i="15"/>
  <c r="D48" i="15"/>
  <c r="K48" i="15" s="1"/>
  <c r="C48" i="15"/>
  <c r="J48" i="15" s="1"/>
  <c r="I47" i="15"/>
  <c r="F47" i="15"/>
  <c r="E47" i="15"/>
  <c r="D47" i="15"/>
  <c r="K47" i="15" s="1"/>
  <c r="C47" i="15"/>
  <c r="J47" i="15" s="1"/>
  <c r="I46" i="15"/>
  <c r="F46" i="15"/>
  <c r="E46" i="15"/>
  <c r="D46" i="15"/>
  <c r="K46" i="15" s="1"/>
  <c r="C46" i="15"/>
  <c r="J46" i="15" s="1"/>
  <c r="I45" i="15"/>
  <c r="F45" i="15"/>
  <c r="C45" i="15" s="1"/>
  <c r="J45" i="15" s="1"/>
  <c r="E45" i="15"/>
  <c r="D45" i="15"/>
  <c r="K45" i="15" s="1"/>
  <c r="I44" i="15"/>
  <c r="F44" i="15"/>
  <c r="C44" i="15" s="1"/>
  <c r="J44" i="15" s="1"/>
  <c r="E44" i="15"/>
  <c r="D44" i="15"/>
  <c r="K44" i="15" s="1"/>
  <c r="I43" i="15"/>
  <c r="F43" i="15"/>
  <c r="C43" i="15" s="1"/>
  <c r="J43" i="15" s="1"/>
  <c r="E43" i="15"/>
  <c r="D43" i="15"/>
  <c r="K43" i="15" s="1"/>
  <c r="I42" i="15"/>
  <c r="F42" i="15"/>
  <c r="E42" i="15"/>
  <c r="C42" i="15" s="1"/>
  <c r="D42" i="15"/>
  <c r="K42" i="15" s="1"/>
  <c r="I41" i="15"/>
  <c r="F41" i="15"/>
  <c r="C41" i="15" s="1"/>
  <c r="J41" i="15" s="1"/>
  <c r="E41" i="15"/>
  <c r="D41" i="15"/>
  <c r="K41" i="15" s="1"/>
  <c r="I40" i="15"/>
  <c r="F40" i="15"/>
  <c r="C40" i="15" s="1"/>
  <c r="J40" i="15" s="1"/>
  <c r="E40" i="15"/>
  <c r="D40" i="15"/>
  <c r="K40" i="15" s="1"/>
  <c r="I39" i="15"/>
  <c r="F39" i="15"/>
  <c r="C39" i="15" s="1"/>
  <c r="J39" i="15" s="1"/>
  <c r="E39" i="15"/>
  <c r="D39" i="15"/>
  <c r="K39" i="15" s="1"/>
  <c r="B35" i="15"/>
  <c r="E24" i="15"/>
  <c r="E23" i="15"/>
  <c r="E22" i="15"/>
  <c r="E21" i="15"/>
  <c r="E20" i="15"/>
  <c r="E19" i="15"/>
  <c r="E18" i="15"/>
  <c r="E17" i="15"/>
  <c r="E16" i="15"/>
  <c r="E15" i="15"/>
  <c r="E14" i="15"/>
  <c r="E13" i="15"/>
  <c r="E12" i="15"/>
  <c r="E11" i="15"/>
  <c r="E10" i="15"/>
  <c r="E9" i="15"/>
  <c r="E8" i="15"/>
  <c r="E7" i="15"/>
  <c r="D7" i="15" a="1"/>
  <c r="D23" i="15" s="1"/>
  <c r="C23" i="15"/>
  <c r="C19" i="15"/>
  <c r="C15" i="15"/>
  <c r="C11" i="15"/>
  <c r="C7" i="15"/>
  <c r="C7" i="15" a="1"/>
  <c r="C24" i="15" s="1"/>
  <c r="B3" i="15"/>
  <c r="C26" i="17" l="1"/>
  <c r="C9" i="17"/>
  <c r="J9" i="17" s="1"/>
  <c r="C10" i="17"/>
  <c r="J10" i="17" s="1"/>
  <c r="C11" i="17"/>
  <c r="J11" i="17" s="1"/>
  <c r="C12" i="17"/>
  <c r="J12" i="17" s="1"/>
  <c r="C16" i="17"/>
  <c r="J16" i="17" s="1"/>
  <c r="C17" i="17"/>
  <c r="J17" i="17" s="1"/>
  <c r="C18" i="17"/>
  <c r="J18" i="17" s="1"/>
  <c r="C20" i="17"/>
  <c r="J20" i="17" s="1"/>
  <c r="C22" i="17"/>
  <c r="G65" i="17"/>
  <c r="H65" i="17" s="1"/>
  <c r="C13" i="17"/>
  <c r="J13" i="17" s="1"/>
  <c r="C14" i="17"/>
  <c r="J14" i="17" s="1"/>
  <c r="C15" i="17"/>
  <c r="J15" i="17" s="1"/>
  <c r="C19" i="17"/>
  <c r="J19" i="17" s="1"/>
  <c r="C21" i="17"/>
  <c r="J21" i="17" s="1"/>
  <c r="C23" i="17"/>
  <c r="C25" i="17"/>
  <c r="F65" i="17"/>
  <c r="J23" i="17"/>
  <c r="D31" i="17"/>
  <c r="J22" i="17"/>
  <c r="G49" i="17"/>
  <c r="G50" i="17"/>
  <c r="G51" i="17"/>
  <c r="G52" i="17"/>
  <c r="G53" i="17"/>
  <c r="G54" i="17"/>
  <c r="G55" i="17"/>
  <c r="G56" i="17"/>
  <c r="G57" i="17"/>
  <c r="G58" i="17"/>
  <c r="G59" i="17"/>
  <c r="G60" i="17"/>
  <c r="G61" i="17"/>
  <c r="G62" i="17"/>
  <c r="G63" i="17"/>
  <c r="G64" i="17"/>
  <c r="C9" i="15"/>
  <c r="C13" i="15"/>
  <c r="C17" i="15"/>
  <c r="C21" i="15"/>
  <c r="C54" i="15"/>
  <c r="C56" i="15"/>
  <c r="B24" i="15" s="1"/>
  <c r="J42" i="15"/>
  <c r="D10" i="15"/>
  <c r="D14" i="15"/>
  <c r="D18" i="15"/>
  <c r="D22" i="15"/>
  <c r="D8" i="15"/>
  <c r="D12" i="15"/>
  <c r="D16" i="15"/>
  <c r="D20" i="15"/>
  <c r="D24" i="15"/>
  <c r="J53" i="15"/>
  <c r="C8" i="15"/>
  <c r="C10" i="15"/>
  <c r="C12" i="15"/>
  <c r="C14" i="15"/>
  <c r="C16" i="15"/>
  <c r="C18" i="15"/>
  <c r="C20" i="15"/>
  <c r="C22" i="15"/>
  <c r="D7" i="15"/>
  <c r="D9" i="15"/>
  <c r="D11" i="15"/>
  <c r="D13" i="15"/>
  <c r="D15" i="15"/>
  <c r="D17" i="15"/>
  <c r="D19" i="15"/>
  <c r="D21" i="15"/>
  <c r="J56" i="15"/>
  <c r="D61" i="15"/>
  <c r="B22" i="15" s="1"/>
  <c r="J52" i="15"/>
  <c r="P41" i="15" s="1"/>
  <c r="B20" i="15"/>
  <c r="J26" i="17" l="1"/>
  <c r="J32" i="17"/>
  <c r="P11" i="17"/>
  <c r="H63" i="17"/>
  <c r="F63" i="17"/>
  <c r="H61" i="17"/>
  <c r="F61" i="17"/>
  <c r="H59" i="17"/>
  <c r="F59" i="17"/>
  <c r="H57" i="17"/>
  <c r="F57" i="17"/>
  <c r="H55" i="17"/>
  <c r="F55" i="17"/>
  <c r="H53" i="17"/>
  <c r="F53" i="17"/>
  <c r="H51" i="17"/>
  <c r="F51" i="17"/>
  <c r="H49" i="17"/>
  <c r="F49" i="17"/>
  <c r="C28" i="17"/>
  <c r="F64" i="17"/>
  <c r="H64" i="17"/>
  <c r="F62" i="17"/>
  <c r="H62" i="17"/>
  <c r="F60" i="17"/>
  <c r="H60" i="17"/>
  <c r="F58" i="17"/>
  <c r="H58" i="17"/>
  <c r="F56" i="17"/>
  <c r="H56" i="17"/>
  <c r="F54" i="17"/>
  <c r="H54" i="17"/>
  <c r="F52" i="17"/>
  <c r="H52" i="17"/>
  <c r="F50" i="17"/>
  <c r="H50" i="17"/>
  <c r="P10" i="17"/>
  <c r="J34" i="17"/>
  <c r="J33" i="17"/>
  <c r="L26" i="17" s="1"/>
  <c r="D28" i="17" s="1"/>
  <c r="B10" i="15"/>
  <c r="C58" i="15"/>
  <c r="J62" i="15"/>
  <c r="B19" i="15"/>
  <c r="B16" i="15"/>
  <c r="B14" i="15"/>
  <c r="B13" i="15"/>
  <c r="B11" i="15"/>
  <c r="B9" i="15"/>
  <c r="B8" i="15"/>
  <c r="B7" i="15"/>
  <c r="B18" i="15"/>
  <c r="B17" i="15"/>
  <c r="B15" i="15"/>
  <c r="B12" i="15"/>
  <c r="P40" i="15"/>
  <c r="J55" i="15"/>
  <c r="J64" i="15"/>
  <c r="B23" i="15"/>
  <c r="B21" i="15"/>
  <c r="J63" i="15"/>
  <c r="E346" i="7"/>
  <c r="F346" i="7"/>
  <c r="E342" i="7"/>
  <c r="E345" i="7"/>
  <c r="L23" i="17" l="1"/>
  <c r="M23" i="17" s="1"/>
  <c r="L22" i="17"/>
  <c r="M22" i="17" s="1"/>
  <c r="L14" i="17"/>
  <c r="M14" i="17" s="1"/>
  <c r="L19" i="17"/>
  <c r="M19" i="17" s="1"/>
  <c r="L12" i="17"/>
  <c r="M12" i="17" s="1"/>
  <c r="L17" i="17"/>
  <c r="M17" i="17" s="1"/>
  <c r="L20" i="17"/>
  <c r="M20" i="17" s="1"/>
  <c r="L11" i="17"/>
  <c r="M11" i="17" s="1"/>
  <c r="L18" i="17"/>
  <c r="M18" i="17" s="1"/>
  <c r="L13" i="17"/>
  <c r="M13" i="17" s="1"/>
  <c r="L15" i="17"/>
  <c r="M15" i="17" s="1"/>
  <c r="L21" i="17"/>
  <c r="M21" i="17" s="1"/>
  <c r="L10" i="17"/>
  <c r="M10" i="17" s="1"/>
  <c r="L9" i="17"/>
  <c r="M9" i="17" s="1"/>
  <c r="L16" i="17"/>
  <c r="M16" i="17" s="1"/>
  <c r="C27" i="17"/>
  <c r="L25" i="17"/>
  <c r="D27" i="17" s="1"/>
  <c r="L43" i="15"/>
  <c r="M43" i="15" s="1"/>
  <c r="L45" i="15"/>
  <c r="M45" i="15" s="1"/>
  <c r="L51" i="15"/>
  <c r="M51" i="15" s="1"/>
  <c r="L41" i="15"/>
  <c r="M41" i="15" s="1"/>
  <c r="L48" i="15"/>
  <c r="M48" i="15" s="1"/>
  <c r="L44" i="15"/>
  <c r="M44" i="15" s="1"/>
  <c r="L49" i="15"/>
  <c r="M49" i="15" s="1"/>
  <c r="L47" i="15"/>
  <c r="M47" i="15" s="1"/>
  <c r="L40" i="15"/>
  <c r="M40" i="15" s="1"/>
  <c r="L50" i="15"/>
  <c r="M50" i="15" s="1"/>
  <c r="L39" i="15"/>
  <c r="M39" i="15" s="1"/>
  <c r="L46" i="15"/>
  <c r="M46" i="15" s="1"/>
  <c r="L56" i="15"/>
  <c r="D58" i="15" s="1"/>
  <c r="L42" i="15"/>
  <c r="M42" i="15" s="1"/>
  <c r="C57" i="15"/>
  <c r="L55" i="15"/>
  <c r="D57" i="15" s="1"/>
  <c r="J24" i="15"/>
  <c r="J22" i="15"/>
  <c r="J20" i="15"/>
  <c r="J18" i="15"/>
  <c r="J17" i="15"/>
  <c r="J16" i="15"/>
  <c r="J15" i="15"/>
  <c r="J14" i="15"/>
  <c r="J13" i="15"/>
  <c r="J12" i="15"/>
  <c r="J11" i="15"/>
  <c r="J10" i="15"/>
  <c r="J9" i="15"/>
  <c r="J8" i="15"/>
  <c r="J7" i="15"/>
  <c r="J23" i="15"/>
  <c r="J21" i="15"/>
  <c r="J19" i="15"/>
  <c r="L52" i="15"/>
  <c r="M52" i="15" s="1"/>
  <c r="L53" i="15"/>
  <c r="M53" i="15" s="1"/>
  <c r="G397" i="7"/>
  <c r="I391" i="7"/>
  <c r="I392" i="7"/>
  <c r="F405" i="7"/>
  <c r="H397" i="7"/>
  <c r="I397" i="7" s="1"/>
  <c r="P9" i="17" l="1"/>
  <c r="P13" i="17" s="1"/>
  <c r="I19" i="15"/>
  <c r="H19" i="15"/>
  <c r="G19" i="15"/>
  <c r="I23" i="15"/>
  <c r="G23" i="15"/>
  <c r="H23" i="15"/>
  <c r="H8" i="15"/>
  <c r="G8" i="15"/>
  <c r="I8" i="15"/>
  <c r="H10" i="15"/>
  <c r="G10" i="15"/>
  <c r="I10" i="15"/>
  <c r="H12" i="15"/>
  <c r="G12" i="15"/>
  <c r="I12" i="15"/>
  <c r="H14" i="15"/>
  <c r="I14" i="15"/>
  <c r="G14" i="15"/>
  <c r="H16" i="15"/>
  <c r="I16" i="15"/>
  <c r="G16" i="15"/>
  <c r="H18" i="15"/>
  <c r="G18" i="15"/>
  <c r="I18" i="15"/>
  <c r="I22" i="15"/>
  <c r="G22" i="15"/>
  <c r="H22" i="15"/>
  <c r="P39" i="15"/>
  <c r="P43" i="15" s="1"/>
  <c r="I21" i="15"/>
  <c r="G21" i="15"/>
  <c r="H21" i="15"/>
  <c r="H7" i="15"/>
  <c r="I7" i="15"/>
  <c r="G7" i="15"/>
  <c r="H9" i="15"/>
  <c r="I9" i="15"/>
  <c r="G9" i="15"/>
  <c r="H11" i="15"/>
  <c r="I11" i="15"/>
  <c r="G11" i="15"/>
  <c r="H13" i="15"/>
  <c r="G13" i="15"/>
  <c r="I13" i="15"/>
  <c r="H15" i="15"/>
  <c r="G15" i="15"/>
  <c r="I15" i="15"/>
  <c r="H17" i="15"/>
  <c r="I17" i="15"/>
  <c r="G17" i="15"/>
  <c r="I20" i="15"/>
  <c r="G20" i="15"/>
  <c r="H20" i="15"/>
  <c r="I24" i="15"/>
  <c r="G24" i="15"/>
  <c r="H24" i="15"/>
  <c r="E359" i="7"/>
  <c r="G308" i="7"/>
  <c r="O94" i="2"/>
  <c r="O62" i="2"/>
  <c r="O86" i="2"/>
  <c r="E46" i="7"/>
  <c r="P16" i="17" l="1"/>
  <c r="P17" i="17" s="1"/>
  <c r="K32" i="17" s="1"/>
  <c r="P14" i="17"/>
  <c r="K33" i="17" s="1"/>
  <c r="P46" i="15"/>
  <c r="P47" i="15" s="1"/>
  <c r="K62" i="15" s="1"/>
  <c r="P44" i="15"/>
  <c r="K63" i="15" s="1"/>
  <c r="W111" i="2"/>
  <c r="E121" i="7"/>
  <c r="AH112" i="2" l="1"/>
  <c r="AH113" i="2"/>
  <c r="AH114" i="2"/>
  <c r="AH115" i="2"/>
  <c r="AH116" i="2"/>
  <c r="AH117" i="2"/>
  <c r="AH118" i="2"/>
  <c r="AH119" i="2"/>
  <c r="AH120" i="2"/>
  <c r="AH121" i="2"/>
  <c r="AH122" i="2"/>
  <c r="AH123" i="2"/>
  <c r="AH124" i="2"/>
  <c r="AH125" i="2"/>
  <c r="AH126" i="2"/>
  <c r="AH127" i="2"/>
  <c r="AH128" i="2"/>
  <c r="AH129" i="2"/>
  <c r="AH111" i="2"/>
  <c r="C543" i="3" l="1"/>
  <c r="C543" i="6"/>
  <c r="C543" i="4"/>
  <c r="C543" i="5"/>
  <c r="U543" i="1"/>
  <c r="T543" i="1"/>
  <c r="S543" i="1"/>
  <c r="R543" i="1"/>
  <c r="Q543" i="1"/>
  <c r="P543" i="1"/>
  <c r="O543" i="1"/>
  <c r="N543" i="1"/>
  <c r="M543" i="1"/>
  <c r="L543" i="1"/>
  <c r="K543" i="1"/>
  <c r="J543" i="1"/>
  <c r="I543" i="1"/>
  <c r="H543" i="1"/>
  <c r="G543" i="1"/>
  <c r="F543" i="1"/>
  <c r="E543" i="1"/>
  <c r="D543" i="1"/>
  <c r="C543" i="1"/>
  <c r="A543" i="3"/>
  <c r="A543" i="6"/>
  <c r="A543" i="4"/>
  <c r="A543" i="5"/>
  <c r="A543" i="1"/>
  <c r="C515" i="3"/>
  <c r="C514" i="3"/>
  <c r="C515" i="6"/>
  <c r="C514" i="6"/>
  <c r="C515" i="4"/>
  <c r="C514" i="4"/>
  <c r="C515" i="5"/>
  <c r="C514" i="5"/>
  <c r="U515" i="1"/>
  <c r="T515" i="1"/>
  <c r="S515" i="1"/>
  <c r="R515" i="1"/>
  <c r="Q515" i="1"/>
  <c r="P515" i="1"/>
  <c r="O515" i="1"/>
  <c r="N515" i="1"/>
  <c r="M515" i="1"/>
  <c r="L515" i="1"/>
  <c r="K515" i="1"/>
  <c r="J515" i="1"/>
  <c r="I515" i="1"/>
  <c r="H515" i="1"/>
  <c r="G515" i="1"/>
  <c r="F515" i="1"/>
  <c r="E515" i="1"/>
  <c r="D515" i="1"/>
  <c r="C515" i="1"/>
  <c r="U514" i="1"/>
  <c r="T514" i="1"/>
  <c r="S514" i="1"/>
  <c r="R514" i="1"/>
  <c r="Q514" i="1"/>
  <c r="P514" i="1"/>
  <c r="O514" i="1"/>
  <c r="N514" i="1"/>
  <c r="M514" i="1"/>
  <c r="L514" i="1"/>
  <c r="K514" i="1"/>
  <c r="J514" i="1"/>
  <c r="I514" i="1"/>
  <c r="H514" i="1"/>
  <c r="G514" i="1"/>
  <c r="F514" i="1"/>
  <c r="E514" i="1"/>
  <c r="D514" i="1"/>
  <c r="C514" i="1"/>
  <c r="A515" i="3"/>
  <c r="A514" i="3"/>
  <c r="A515" i="6"/>
  <c r="A514" i="6"/>
  <c r="A515" i="4"/>
  <c r="A514" i="4"/>
  <c r="A515" i="5"/>
  <c r="A514" i="5"/>
  <c r="A515" i="1"/>
  <c r="A514" i="1"/>
  <c r="C500" i="3"/>
  <c r="C499" i="3"/>
  <c r="C500" i="6"/>
  <c r="C499" i="6"/>
  <c r="C500" i="4"/>
  <c r="C499" i="4"/>
  <c r="C500" i="5"/>
  <c r="C499" i="5"/>
  <c r="U500" i="1"/>
  <c r="T500" i="1"/>
  <c r="S500" i="1"/>
  <c r="R500" i="1"/>
  <c r="Q500" i="1"/>
  <c r="P500" i="1"/>
  <c r="O500" i="1"/>
  <c r="N500" i="1"/>
  <c r="M500" i="1"/>
  <c r="L500" i="1"/>
  <c r="K500" i="1"/>
  <c r="J500" i="1"/>
  <c r="I500" i="1"/>
  <c r="H500" i="1"/>
  <c r="G500" i="1"/>
  <c r="F500" i="1"/>
  <c r="E500" i="1"/>
  <c r="D500" i="1"/>
  <c r="C500" i="1"/>
  <c r="U499" i="1"/>
  <c r="T499" i="1"/>
  <c r="S499" i="1"/>
  <c r="R499" i="1"/>
  <c r="Q499" i="1"/>
  <c r="P499" i="1"/>
  <c r="O499" i="1"/>
  <c r="N499" i="1"/>
  <c r="M499" i="1"/>
  <c r="L499" i="1"/>
  <c r="K499" i="1"/>
  <c r="J499" i="1"/>
  <c r="I499" i="1"/>
  <c r="H499" i="1"/>
  <c r="G499" i="1"/>
  <c r="F499" i="1"/>
  <c r="E499" i="1"/>
  <c r="D499" i="1"/>
  <c r="C499" i="1"/>
  <c r="A500" i="3"/>
  <c r="A499" i="3"/>
  <c r="A500" i="6"/>
  <c r="A499" i="6"/>
  <c r="A500" i="4"/>
  <c r="A499" i="4"/>
  <c r="A500" i="5"/>
  <c r="A499" i="5"/>
  <c r="A500" i="1"/>
  <c r="A499" i="1"/>
  <c r="C471" i="3"/>
  <c r="C471" i="6"/>
  <c r="C471" i="4"/>
  <c r="C471" i="5"/>
  <c r="U471" i="1"/>
  <c r="T471" i="1"/>
  <c r="S471" i="1"/>
  <c r="R471" i="1"/>
  <c r="Q471" i="1"/>
  <c r="P471" i="1"/>
  <c r="O471" i="1"/>
  <c r="N471" i="1"/>
  <c r="M471" i="1"/>
  <c r="L471" i="1"/>
  <c r="K471" i="1"/>
  <c r="J471" i="1"/>
  <c r="I471" i="1"/>
  <c r="H471" i="1"/>
  <c r="G471" i="1"/>
  <c r="F471" i="1"/>
  <c r="E471" i="1"/>
  <c r="D471" i="1"/>
  <c r="C471" i="1"/>
  <c r="A471" i="3"/>
  <c r="A471" i="6"/>
  <c r="A471" i="4"/>
  <c r="A471" i="5"/>
  <c r="A471" i="1"/>
  <c r="C352" i="3"/>
  <c r="C352" i="6"/>
  <c r="C352" i="4"/>
  <c r="C352" i="5"/>
  <c r="U352" i="1"/>
  <c r="T352" i="1"/>
  <c r="S352" i="1"/>
  <c r="R352" i="1"/>
  <c r="Q352" i="1"/>
  <c r="P352" i="1"/>
  <c r="O352" i="1"/>
  <c r="N352" i="1"/>
  <c r="M352" i="1"/>
  <c r="L352" i="1"/>
  <c r="K352" i="1"/>
  <c r="J352" i="1"/>
  <c r="I352" i="1"/>
  <c r="H352" i="1"/>
  <c r="G352" i="1"/>
  <c r="F352" i="1"/>
  <c r="E352" i="1"/>
  <c r="D352" i="1"/>
  <c r="C352" i="1"/>
  <c r="A352" i="3"/>
  <c r="A352" i="6"/>
  <c r="A352" i="4"/>
  <c r="A352" i="5"/>
  <c r="A352" i="1"/>
  <c r="C317" i="3"/>
  <c r="C316" i="3"/>
  <c r="C317" i="6"/>
  <c r="C316" i="6"/>
  <c r="C317" i="4"/>
  <c r="C316" i="4"/>
  <c r="C317" i="5"/>
  <c r="C316" i="5"/>
  <c r="U317" i="1"/>
  <c r="T317" i="1"/>
  <c r="S317" i="1"/>
  <c r="R317" i="1"/>
  <c r="Q317" i="1"/>
  <c r="P317" i="1"/>
  <c r="O317" i="1"/>
  <c r="N317" i="1"/>
  <c r="M317" i="1"/>
  <c r="L317" i="1"/>
  <c r="K317" i="1"/>
  <c r="J317" i="1"/>
  <c r="I317" i="1"/>
  <c r="H317" i="1"/>
  <c r="G317" i="1"/>
  <c r="F317" i="1"/>
  <c r="E317" i="1"/>
  <c r="D317" i="1"/>
  <c r="C317" i="1"/>
  <c r="U316" i="1"/>
  <c r="T316" i="1"/>
  <c r="S316" i="1"/>
  <c r="R316" i="1"/>
  <c r="Q316" i="1"/>
  <c r="P316" i="1"/>
  <c r="O316" i="1"/>
  <c r="N316" i="1"/>
  <c r="M316" i="1"/>
  <c r="L316" i="1"/>
  <c r="K316" i="1"/>
  <c r="J316" i="1"/>
  <c r="I316" i="1"/>
  <c r="H316" i="1"/>
  <c r="G316" i="1"/>
  <c r="F316" i="1"/>
  <c r="E316" i="1"/>
  <c r="D316" i="1"/>
  <c r="C316" i="1"/>
  <c r="A317" i="3"/>
  <c r="A316" i="3"/>
  <c r="A317" i="6"/>
  <c r="A316" i="6"/>
  <c r="A317" i="4"/>
  <c r="A316" i="4"/>
  <c r="A317" i="5"/>
  <c r="A316" i="5"/>
  <c r="A317" i="1"/>
  <c r="A316" i="1"/>
  <c r="C282" i="3"/>
  <c r="C282" i="6"/>
  <c r="C282" i="4"/>
  <c r="C282" i="5"/>
  <c r="U282" i="1"/>
  <c r="T282" i="1"/>
  <c r="S282" i="1"/>
  <c r="R282" i="1"/>
  <c r="Q282" i="1"/>
  <c r="P282" i="1"/>
  <c r="O282" i="1"/>
  <c r="N282" i="1"/>
  <c r="M282" i="1"/>
  <c r="L282" i="1"/>
  <c r="K282" i="1"/>
  <c r="J282" i="1"/>
  <c r="I282" i="1"/>
  <c r="H282" i="1"/>
  <c r="G282" i="1"/>
  <c r="F282" i="1"/>
  <c r="E282" i="1"/>
  <c r="D282" i="1"/>
  <c r="C282" i="1"/>
  <c r="A282" i="3"/>
  <c r="A282" i="6"/>
  <c r="A282" i="4"/>
  <c r="A282" i="5"/>
  <c r="A282" i="1"/>
  <c r="C274" i="3"/>
  <c r="C274" i="6"/>
  <c r="C274" i="4"/>
  <c r="C274" i="5"/>
  <c r="U274" i="1"/>
  <c r="T274" i="1"/>
  <c r="S274" i="1"/>
  <c r="R274" i="1"/>
  <c r="Q274" i="1"/>
  <c r="P274" i="1"/>
  <c r="O274" i="1"/>
  <c r="N274" i="1"/>
  <c r="M274" i="1"/>
  <c r="L274" i="1"/>
  <c r="K274" i="1"/>
  <c r="J274" i="1"/>
  <c r="I274" i="1"/>
  <c r="H274" i="1"/>
  <c r="G274" i="1"/>
  <c r="F274" i="1"/>
  <c r="E274" i="1"/>
  <c r="D274" i="1"/>
  <c r="C274" i="1"/>
  <c r="A274" i="3"/>
  <c r="A274" i="6"/>
  <c r="A274" i="4"/>
  <c r="A274" i="5"/>
  <c r="A274" i="1"/>
  <c r="C161" i="3"/>
  <c r="C160" i="3"/>
  <c r="C159" i="3"/>
  <c r="C158" i="3"/>
  <c r="C161" i="6"/>
  <c r="C160" i="6"/>
  <c r="C159" i="6"/>
  <c r="C158" i="6"/>
  <c r="C161" i="4"/>
  <c r="C160" i="4"/>
  <c r="C159" i="4"/>
  <c r="C158" i="4"/>
  <c r="C161" i="5"/>
  <c r="C160" i="5"/>
  <c r="C159" i="5"/>
  <c r="C158" i="5"/>
  <c r="U161" i="1"/>
  <c r="T161" i="1"/>
  <c r="S161" i="1"/>
  <c r="R161" i="1"/>
  <c r="Q161" i="1"/>
  <c r="P161" i="1"/>
  <c r="O161" i="1"/>
  <c r="N161" i="1"/>
  <c r="M161" i="1"/>
  <c r="L161" i="1"/>
  <c r="K161" i="1"/>
  <c r="J161" i="1"/>
  <c r="I161" i="1"/>
  <c r="H161" i="1"/>
  <c r="G161" i="1"/>
  <c r="F161" i="1"/>
  <c r="E161" i="1"/>
  <c r="D161" i="1"/>
  <c r="C161" i="1"/>
  <c r="U160" i="1"/>
  <c r="T160" i="1"/>
  <c r="S160" i="1"/>
  <c r="R160" i="1"/>
  <c r="Q160" i="1"/>
  <c r="P160" i="1"/>
  <c r="O160" i="1"/>
  <c r="N160" i="1"/>
  <c r="M160" i="1"/>
  <c r="L160" i="1"/>
  <c r="K160" i="1"/>
  <c r="J160" i="1"/>
  <c r="I160" i="1"/>
  <c r="H160" i="1"/>
  <c r="G160" i="1"/>
  <c r="F160" i="1"/>
  <c r="E160" i="1"/>
  <c r="D160" i="1"/>
  <c r="C160" i="1"/>
  <c r="U159" i="1"/>
  <c r="T159" i="1"/>
  <c r="S159" i="1"/>
  <c r="R159" i="1"/>
  <c r="Q159" i="1"/>
  <c r="P159" i="1"/>
  <c r="O159" i="1"/>
  <c r="N159" i="1"/>
  <c r="M159" i="1"/>
  <c r="L159" i="1"/>
  <c r="K159" i="1"/>
  <c r="J159" i="1"/>
  <c r="I159" i="1"/>
  <c r="H159" i="1"/>
  <c r="G159" i="1"/>
  <c r="F159" i="1"/>
  <c r="E159" i="1"/>
  <c r="D159" i="1"/>
  <c r="C159" i="1"/>
  <c r="U158" i="1"/>
  <c r="T158" i="1"/>
  <c r="S158" i="1"/>
  <c r="R158" i="1"/>
  <c r="Q158" i="1"/>
  <c r="P158" i="1"/>
  <c r="O158" i="1"/>
  <c r="N158" i="1"/>
  <c r="M158" i="1"/>
  <c r="L158" i="1"/>
  <c r="K158" i="1"/>
  <c r="J158" i="1"/>
  <c r="I158" i="1"/>
  <c r="H158" i="1"/>
  <c r="G158" i="1"/>
  <c r="F158" i="1"/>
  <c r="E158" i="1"/>
  <c r="D158" i="1"/>
  <c r="C158" i="1"/>
  <c r="A161" i="3"/>
  <c r="A160" i="3"/>
  <c r="A159" i="3"/>
  <c r="A158" i="3"/>
  <c r="A161" i="6"/>
  <c r="A160" i="6"/>
  <c r="A159" i="6"/>
  <c r="A158" i="6"/>
  <c r="A161" i="4"/>
  <c r="A160" i="4"/>
  <c r="A159" i="4"/>
  <c r="A158" i="4"/>
  <c r="A161" i="5"/>
  <c r="A160" i="5"/>
  <c r="A159" i="5"/>
  <c r="A158" i="5"/>
  <c r="A161" i="1"/>
  <c r="A160" i="1"/>
  <c r="A159" i="1"/>
  <c r="A158" i="1"/>
  <c r="C123" i="3"/>
  <c r="C123" i="6"/>
  <c r="C123" i="4"/>
  <c r="C123" i="5"/>
  <c r="U123" i="1"/>
  <c r="T123" i="1"/>
  <c r="S123" i="1"/>
  <c r="R123" i="1"/>
  <c r="Q123" i="1"/>
  <c r="P123" i="1"/>
  <c r="O123" i="1"/>
  <c r="N123" i="1"/>
  <c r="M123" i="1"/>
  <c r="L123" i="1"/>
  <c r="K123" i="1"/>
  <c r="J123" i="1"/>
  <c r="I123" i="1"/>
  <c r="H123" i="1"/>
  <c r="G123" i="1"/>
  <c r="F123" i="1"/>
  <c r="E123" i="1"/>
  <c r="D123" i="1"/>
  <c r="C123" i="1"/>
  <c r="A123" i="3"/>
  <c r="A123" i="6"/>
  <c r="A123" i="4"/>
  <c r="A123" i="5"/>
  <c r="A123" i="1"/>
  <c r="C122" i="3"/>
  <c r="C122" i="6"/>
  <c r="C122" i="4"/>
  <c r="C122" i="5"/>
  <c r="U122" i="1"/>
  <c r="T122" i="1"/>
  <c r="S122" i="1"/>
  <c r="R122" i="1"/>
  <c r="Q122" i="1"/>
  <c r="P122" i="1"/>
  <c r="O122" i="1"/>
  <c r="N122" i="1"/>
  <c r="M122" i="1"/>
  <c r="L122" i="1"/>
  <c r="K122" i="1"/>
  <c r="J122" i="1"/>
  <c r="I122" i="1"/>
  <c r="H122" i="1"/>
  <c r="G122" i="1"/>
  <c r="F122" i="1"/>
  <c r="E122" i="1"/>
  <c r="D122" i="1"/>
  <c r="C122" i="1"/>
  <c r="A122" i="3"/>
  <c r="A122" i="6"/>
  <c r="A122" i="4"/>
  <c r="A122" i="5"/>
  <c r="A122" i="1"/>
  <c r="C112" i="3"/>
  <c r="C112" i="6"/>
  <c r="C112" i="4"/>
  <c r="C112" i="5"/>
  <c r="U112" i="1"/>
  <c r="T112" i="1"/>
  <c r="S112" i="1"/>
  <c r="R112" i="1"/>
  <c r="Q112" i="1"/>
  <c r="P112" i="1"/>
  <c r="O112" i="1"/>
  <c r="N112" i="1"/>
  <c r="M112" i="1"/>
  <c r="L112" i="1"/>
  <c r="K112" i="1"/>
  <c r="J112" i="1"/>
  <c r="I112" i="1"/>
  <c r="H112" i="1"/>
  <c r="G112" i="1"/>
  <c r="F112" i="1"/>
  <c r="E112" i="1"/>
  <c r="D112" i="1"/>
  <c r="C112" i="1"/>
  <c r="A112" i="3"/>
  <c r="A112" i="6"/>
  <c r="A112" i="4"/>
  <c r="A112" i="5"/>
  <c r="A112" i="1"/>
  <c r="C99" i="3"/>
  <c r="C99" i="6"/>
  <c r="C99" i="4"/>
  <c r="C99" i="5"/>
  <c r="U99" i="1"/>
  <c r="T99" i="1"/>
  <c r="S99" i="1"/>
  <c r="R99" i="1"/>
  <c r="Q99" i="1"/>
  <c r="P99" i="1"/>
  <c r="O99" i="1"/>
  <c r="N99" i="1"/>
  <c r="M99" i="1"/>
  <c r="L99" i="1"/>
  <c r="K99" i="1"/>
  <c r="J99" i="1"/>
  <c r="I99" i="1"/>
  <c r="H99" i="1"/>
  <c r="G99" i="1"/>
  <c r="F99" i="1"/>
  <c r="E99" i="1"/>
  <c r="D99" i="1"/>
  <c r="C99" i="1"/>
  <c r="A99" i="3"/>
  <c r="A98" i="3"/>
  <c r="A99" i="6"/>
  <c r="A98" i="6"/>
  <c r="A99" i="4"/>
  <c r="A98" i="4"/>
  <c r="A99" i="5"/>
  <c r="A98" i="5"/>
  <c r="A99" i="1"/>
  <c r="A98" i="1"/>
  <c r="C95" i="3"/>
  <c r="C95" i="6"/>
  <c r="C95" i="4"/>
  <c r="C95" i="5"/>
  <c r="U95" i="1"/>
  <c r="T95" i="1"/>
  <c r="S95" i="1"/>
  <c r="R95" i="1"/>
  <c r="Q95" i="1"/>
  <c r="P95" i="1"/>
  <c r="O95" i="1"/>
  <c r="N95" i="1"/>
  <c r="M95" i="1"/>
  <c r="L95" i="1"/>
  <c r="K95" i="1"/>
  <c r="J95" i="1"/>
  <c r="I95" i="1"/>
  <c r="H95" i="1"/>
  <c r="G95" i="1"/>
  <c r="F95" i="1"/>
  <c r="E95" i="1"/>
  <c r="D95" i="1"/>
  <c r="C95" i="1"/>
  <c r="A95" i="3"/>
  <c r="A95" i="6"/>
  <c r="A95" i="4"/>
  <c r="A95" i="5"/>
  <c r="A95" i="1"/>
  <c r="C54" i="3"/>
  <c r="C54" i="6"/>
  <c r="C54" i="4"/>
  <c r="C54" i="5"/>
  <c r="U54" i="1"/>
  <c r="T54" i="1"/>
  <c r="S54" i="1"/>
  <c r="R54" i="1"/>
  <c r="Q54" i="1"/>
  <c r="P54" i="1"/>
  <c r="O54" i="1"/>
  <c r="N54" i="1"/>
  <c r="M54" i="1"/>
  <c r="L54" i="1"/>
  <c r="K54" i="1"/>
  <c r="J54" i="1"/>
  <c r="I54" i="1"/>
  <c r="H54" i="1"/>
  <c r="G54" i="1"/>
  <c r="F54" i="1"/>
  <c r="E54" i="1"/>
  <c r="D54" i="1"/>
  <c r="C54" i="1"/>
  <c r="A54" i="3"/>
  <c r="A54" i="6"/>
  <c r="A54" i="4"/>
  <c r="A54" i="5"/>
  <c r="A54" i="1"/>
  <c r="C53" i="3"/>
  <c r="C53" i="6"/>
  <c r="C53" i="4"/>
  <c r="C53" i="5"/>
  <c r="C53" i="1"/>
  <c r="D53" i="1"/>
  <c r="E53" i="1"/>
  <c r="F53" i="1"/>
  <c r="G53" i="1"/>
  <c r="H53" i="1"/>
  <c r="I53" i="1"/>
  <c r="J53" i="1"/>
  <c r="K53" i="1"/>
  <c r="L53" i="1"/>
  <c r="M53" i="1"/>
  <c r="N53" i="1"/>
  <c r="O53" i="1"/>
  <c r="P53" i="1"/>
  <c r="Q53" i="1"/>
  <c r="R53" i="1"/>
  <c r="S53" i="1"/>
  <c r="T53" i="1"/>
  <c r="U53" i="1"/>
  <c r="A53" i="3"/>
  <c r="A53" i="6"/>
  <c r="A53" i="4"/>
  <c r="A53" i="5"/>
  <c r="A53" i="1"/>
  <c r="C98" i="1"/>
  <c r="V543" i="1" l="1"/>
  <c r="V514" i="1"/>
  <c r="V515" i="1"/>
  <c r="V499" i="1"/>
  <c r="V500" i="1"/>
  <c r="V471" i="1"/>
  <c r="V352" i="1"/>
  <c r="V316" i="1"/>
  <c r="V317" i="1"/>
  <c r="V282" i="1"/>
  <c r="V274" i="1"/>
  <c r="V158" i="1"/>
  <c r="V159" i="1"/>
  <c r="V160" i="1"/>
  <c r="V161" i="1"/>
  <c r="V123" i="1"/>
  <c r="V99" i="1"/>
  <c r="V112" i="1"/>
  <c r="V122" i="1"/>
  <c r="V95" i="1"/>
  <c r="V53" i="1"/>
  <c r="V54" i="1"/>
  <c r="K16" i="7" l="1"/>
  <c r="P18" i="7"/>
  <c r="B16" i="7"/>
  <c r="G19" i="7"/>
  <c r="G20" i="7"/>
  <c r="G21" i="7"/>
  <c r="G22" i="7"/>
  <c r="G23" i="7"/>
  <c r="G24" i="7"/>
  <c r="G25" i="7"/>
  <c r="G26" i="7"/>
  <c r="G27" i="7"/>
  <c r="G28" i="7"/>
  <c r="G29" i="7"/>
  <c r="G30" i="7"/>
  <c r="G31" i="7"/>
  <c r="G32" i="7"/>
  <c r="G33" i="7"/>
  <c r="G34" i="7"/>
  <c r="G35" i="7"/>
  <c r="G18" i="7"/>
  <c r="P19" i="7"/>
  <c r="P20" i="7"/>
  <c r="P36" i="7" s="1"/>
  <c r="P21" i="7"/>
  <c r="P22" i="7"/>
  <c r="P23" i="7"/>
  <c r="P24" i="7"/>
  <c r="P25" i="7"/>
  <c r="P26" i="7"/>
  <c r="P27" i="7"/>
  <c r="P28" i="7"/>
  <c r="P29" i="7"/>
  <c r="P30" i="7"/>
  <c r="P31" i="7"/>
  <c r="P32" i="7"/>
  <c r="P33" i="7"/>
  <c r="P34" i="7"/>
  <c r="P35" i="7"/>
  <c r="M46" i="7"/>
  <c r="M47" i="7"/>
  <c r="M48" i="7"/>
  <c r="M49" i="7"/>
  <c r="M50" i="7"/>
  <c r="M51" i="7"/>
  <c r="M52" i="7"/>
  <c r="M53" i="7"/>
  <c r="M54" i="7"/>
  <c r="M55" i="7"/>
  <c r="M56" i="7"/>
  <c r="M57" i="7"/>
  <c r="M58" i="7"/>
  <c r="M59" i="7"/>
  <c r="M60" i="7"/>
  <c r="M61" i="7"/>
  <c r="M62" i="7"/>
  <c r="M63" i="7"/>
  <c r="M45" i="7"/>
  <c r="D495" i="1"/>
  <c r="D496" i="1"/>
  <c r="D497" i="1"/>
  <c r="D498" i="1"/>
  <c r="D501" i="1"/>
  <c r="D504" i="1"/>
  <c r="D505" i="1"/>
  <c r="D506" i="1"/>
  <c r="D507" i="1"/>
  <c r="D508" i="1"/>
  <c r="D509" i="1"/>
  <c r="D510" i="1"/>
  <c r="D511" i="1"/>
  <c r="D512" i="1"/>
  <c r="D513" i="1"/>
  <c r="D516" i="1"/>
  <c r="D538" i="1"/>
  <c r="U34" i="2" s="1"/>
  <c r="U61" i="2" s="1"/>
  <c r="D533" i="1"/>
  <c r="V34" i="2" s="1"/>
  <c r="V61" i="2" s="1"/>
  <c r="D541" i="1"/>
  <c r="D542" i="1"/>
  <c r="D544" i="1"/>
  <c r="D545" i="1"/>
  <c r="D519" i="1"/>
  <c r="D520" i="1"/>
  <c r="D521" i="1"/>
  <c r="D522" i="1"/>
  <c r="D523" i="1"/>
  <c r="D524" i="1"/>
  <c r="D525" i="1"/>
  <c r="D526" i="1"/>
  <c r="D527" i="1"/>
  <c r="D528" i="1"/>
  <c r="D529" i="1"/>
  <c r="D530" i="1"/>
  <c r="E495" i="1"/>
  <c r="E496" i="1"/>
  <c r="E497" i="1"/>
  <c r="E498" i="1"/>
  <c r="E501" i="1"/>
  <c r="E504" i="1"/>
  <c r="E505" i="1"/>
  <c r="E506" i="1"/>
  <c r="E507" i="1"/>
  <c r="E508" i="1"/>
  <c r="E509" i="1"/>
  <c r="E510" i="1"/>
  <c r="E511" i="1"/>
  <c r="E512" i="1"/>
  <c r="E513" i="1"/>
  <c r="E516" i="1"/>
  <c r="E538" i="1"/>
  <c r="U35" i="2" s="1"/>
  <c r="E533" i="1"/>
  <c r="V35" i="2" s="1"/>
  <c r="E541" i="1"/>
  <c r="E542" i="1"/>
  <c r="E544" i="1"/>
  <c r="E545" i="1"/>
  <c r="E519" i="1"/>
  <c r="E520" i="1"/>
  <c r="E521" i="1"/>
  <c r="E522" i="1"/>
  <c r="E523" i="1"/>
  <c r="E524" i="1"/>
  <c r="E525" i="1"/>
  <c r="E526" i="1"/>
  <c r="E527" i="1"/>
  <c r="E528" i="1"/>
  <c r="E529" i="1"/>
  <c r="E530" i="1"/>
  <c r="F495" i="1"/>
  <c r="F496" i="1"/>
  <c r="F497" i="1"/>
  <c r="F498" i="1"/>
  <c r="F501" i="1"/>
  <c r="F504" i="1"/>
  <c r="F505" i="1"/>
  <c r="F506" i="1"/>
  <c r="F507" i="1"/>
  <c r="F508" i="1"/>
  <c r="F509" i="1"/>
  <c r="F510" i="1"/>
  <c r="F511" i="1"/>
  <c r="F512" i="1"/>
  <c r="F513" i="1"/>
  <c r="F516" i="1"/>
  <c r="F538" i="1"/>
  <c r="U36" i="2" s="1"/>
  <c r="U63" i="2" s="1"/>
  <c r="F533" i="1"/>
  <c r="V36" i="2" s="1"/>
  <c r="V63" i="2" s="1"/>
  <c r="F541" i="1"/>
  <c r="F542" i="1"/>
  <c r="F544" i="1"/>
  <c r="F545" i="1"/>
  <c r="F519" i="1"/>
  <c r="F520" i="1"/>
  <c r="F521" i="1"/>
  <c r="F522" i="1"/>
  <c r="F523" i="1"/>
  <c r="F524" i="1"/>
  <c r="F525" i="1"/>
  <c r="F526" i="1"/>
  <c r="F527" i="1"/>
  <c r="F528" i="1"/>
  <c r="F529" i="1"/>
  <c r="F530" i="1"/>
  <c r="G495" i="1"/>
  <c r="G496" i="1"/>
  <c r="G497" i="1"/>
  <c r="G498" i="1"/>
  <c r="G501" i="1"/>
  <c r="G504" i="1"/>
  <c r="G505" i="1"/>
  <c r="G506" i="1"/>
  <c r="G507" i="1"/>
  <c r="G508" i="1"/>
  <c r="G509" i="1"/>
  <c r="G510" i="1"/>
  <c r="G511" i="1"/>
  <c r="G512" i="1"/>
  <c r="G513" i="1"/>
  <c r="G516" i="1"/>
  <c r="G538" i="1"/>
  <c r="U37" i="2" s="1"/>
  <c r="G533" i="1"/>
  <c r="V37" i="2" s="1"/>
  <c r="V64" i="2" s="1"/>
  <c r="G541" i="1"/>
  <c r="G542" i="1"/>
  <c r="G544" i="1"/>
  <c r="G545" i="1"/>
  <c r="G519" i="1"/>
  <c r="G520" i="1"/>
  <c r="G521" i="1"/>
  <c r="G522" i="1"/>
  <c r="G523" i="1"/>
  <c r="G524" i="1"/>
  <c r="G525" i="1"/>
  <c r="G526" i="1"/>
  <c r="G527" i="1"/>
  <c r="G528" i="1"/>
  <c r="G529" i="1"/>
  <c r="G530" i="1"/>
  <c r="H495" i="1"/>
  <c r="H496" i="1"/>
  <c r="H497" i="1"/>
  <c r="H498" i="1"/>
  <c r="H501" i="1"/>
  <c r="H504" i="1"/>
  <c r="H505" i="1"/>
  <c r="H506" i="1"/>
  <c r="H507" i="1"/>
  <c r="H508" i="1"/>
  <c r="H509" i="1"/>
  <c r="H510" i="1"/>
  <c r="H511" i="1"/>
  <c r="H512" i="1"/>
  <c r="H513" i="1"/>
  <c r="H516" i="1"/>
  <c r="H538" i="1"/>
  <c r="U38" i="2" s="1"/>
  <c r="H533" i="1"/>
  <c r="V38" i="2" s="1"/>
  <c r="V65" i="2" s="1"/>
  <c r="H541" i="1"/>
  <c r="H542" i="1"/>
  <c r="H544" i="1"/>
  <c r="H545" i="1"/>
  <c r="H519" i="1"/>
  <c r="H520" i="1"/>
  <c r="H521" i="1"/>
  <c r="H522" i="1"/>
  <c r="H523" i="1"/>
  <c r="H524" i="1"/>
  <c r="H525" i="1"/>
  <c r="H526" i="1"/>
  <c r="H527" i="1"/>
  <c r="H528" i="1"/>
  <c r="H529" i="1"/>
  <c r="H530" i="1"/>
  <c r="I495" i="1"/>
  <c r="I496" i="1"/>
  <c r="I497" i="1"/>
  <c r="I498" i="1"/>
  <c r="I501" i="1"/>
  <c r="I504" i="1"/>
  <c r="I505" i="1"/>
  <c r="I506" i="1"/>
  <c r="I507" i="1"/>
  <c r="I508" i="1"/>
  <c r="I509" i="1"/>
  <c r="I510" i="1"/>
  <c r="I511" i="1"/>
  <c r="I512" i="1"/>
  <c r="I513" i="1"/>
  <c r="I516" i="1"/>
  <c r="I538" i="1"/>
  <c r="U39" i="2" s="1"/>
  <c r="I533" i="1"/>
  <c r="V39" i="2" s="1"/>
  <c r="V66" i="2" s="1"/>
  <c r="I541" i="1"/>
  <c r="I542" i="1"/>
  <c r="I544" i="1"/>
  <c r="I545" i="1"/>
  <c r="I519" i="1"/>
  <c r="I520" i="1"/>
  <c r="I521" i="1"/>
  <c r="I522" i="1"/>
  <c r="I523" i="1"/>
  <c r="I524" i="1"/>
  <c r="I525" i="1"/>
  <c r="I526" i="1"/>
  <c r="I527" i="1"/>
  <c r="I528" i="1"/>
  <c r="I529" i="1"/>
  <c r="I530" i="1"/>
  <c r="J495" i="1"/>
  <c r="J496" i="1"/>
  <c r="J497" i="1"/>
  <c r="J498" i="1"/>
  <c r="J501" i="1"/>
  <c r="J504" i="1"/>
  <c r="J505" i="1"/>
  <c r="J506" i="1"/>
  <c r="J507" i="1"/>
  <c r="J508" i="1"/>
  <c r="J509" i="1"/>
  <c r="J510" i="1"/>
  <c r="J511" i="1"/>
  <c r="J512" i="1"/>
  <c r="J513" i="1"/>
  <c r="J516" i="1"/>
  <c r="J538" i="1"/>
  <c r="U40" i="2" s="1"/>
  <c r="J533" i="1"/>
  <c r="V40" i="2" s="1"/>
  <c r="V67" i="2" s="1"/>
  <c r="J541" i="1"/>
  <c r="J542" i="1"/>
  <c r="J544" i="1"/>
  <c r="J545" i="1"/>
  <c r="J519" i="1"/>
  <c r="J520" i="1"/>
  <c r="J521" i="1"/>
  <c r="J522" i="1"/>
  <c r="J523" i="1"/>
  <c r="J524" i="1"/>
  <c r="J525" i="1"/>
  <c r="J526" i="1"/>
  <c r="J527" i="1"/>
  <c r="J528" i="1"/>
  <c r="J529" i="1"/>
  <c r="J530" i="1"/>
  <c r="K495" i="1"/>
  <c r="K496" i="1"/>
  <c r="K497" i="1"/>
  <c r="K498" i="1"/>
  <c r="K501" i="1"/>
  <c r="K504" i="1"/>
  <c r="K505" i="1"/>
  <c r="K506" i="1"/>
  <c r="K507" i="1"/>
  <c r="K508" i="1"/>
  <c r="K509" i="1"/>
  <c r="K510" i="1"/>
  <c r="K511" i="1"/>
  <c r="K512" i="1"/>
  <c r="K513" i="1"/>
  <c r="K516" i="1"/>
  <c r="K538" i="1"/>
  <c r="U41" i="2" s="1"/>
  <c r="K533" i="1"/>
  <c r="V41" i="2" s="1"/>
  <c r="V68" i="2" s="1"/>
  <c r="K541" i="1"/>
  <c r="K542" i="1"/>
  <c r="K544" i="1"/>
  <c r="K545" i="1"/>
  <c r="K519" i="1"/>
  <c r="K520" i="1"/>
  <c r="K521" i="1"/>
  <c r="K522" i="1"/>
  <c r="K523" i="1"/>
  <c r="K524" i="1"/>
  <c r="K525" i="1"/>
  <c r="K526" i="1"/>
  <c r="K527" i="1"/>
  <c r="K528" i="1"/>
  <c r="K529" i="1"/>
  <c r="K530" i="1"/>
  <c r="L495" i="1"/>
  <c r="L496" i="1"/>
  <c r="L497" i="1"/>
  <c r="L498" i="1"/>
  <c r="L501" i="1"/>
  <c r="L504" i="1"/>
  <c r="L505" i="1"/>
  <c r="L506" i="1"/>
  <c r="L507" i="1"/>
  <c r="L508" i="1"/>
  <c r="L509" i="1"/>
  <c r="L510" i="1"/>
  <c r="L511" i="1"/>
  <c r="L512" i="1"/>
  <c r="L513" i="1"/>
  <c r="L516" i="1"/>
  <c r="L538" i="1"/>
  <c r="U42" i="2" s="1"/>
  <c r="L533" i="1"/>
  <c r="V42" i="2" s="1"/>
  <c r="V69" i="2" s="1"/>
  <c r="L541" i="1"/>
  <c r="L542" i="1"/>
  <c r="L544" i="1"/>
  <c r="L545" i="1"/>
  <c r="L519" i="1"/>
  <c r="L520" i="1"/>
  <c r="L521" i="1"/>
  <c r="L522" i="1"/>
  <c r="L523" i="1"/>
  <c r="L524" i="1"/>
  <c r="L525" i="1"/>
  <c r="L526" i="1"/>
  <c r="L527" i="1"/>
  <c r="L528" i="1"/>
  <c r="L529" i="1"/>
  <c r="L530" i="1"/>
  <c r="M495" i="1"/>
  <c r="M496" i="1"/>
  <c r="M497" i="1"/>
  <c r="M498" i="1"/>
  <c r="M501" i="1"/>
  <c r="M504" i="1"/>
  <c r="M505" i="1"/>
  <c r="M506" i="1"/>
  <c r="M507" i="1"/>
  <c r="M508" i="1"/>
  <c r="M509" i="1"/>
  <c r="M510" i="1"/>
  <c r="M511" i="1"/>
  <c r="M512" i="1"/>
  <c r="M513" i="1"/>
  <c r="M516" i="1"/>
  <c r="M538" i="1"/>
  <c r="U43" i="2" s="1"/>
  <c r="M533" i="1"/>
  <c r="V43" i="2" s="1"/>
  <c r="V70" i="2" s="1"/>
  <c r="M541" i="1"/>
  <c r="M542" i="1"/>
  <c r="M544" i="1"/>
  <c r="M545" i="1"/>
  <c r="M519" i="1"/>
  <c r="M520" i="1"/>
  <c r="M521" i="1"/>
  <c r="M522" i="1"/>
  <c r="M523" i="1"/>
  <c r="M524" i="1"/>
  <c r="M525" i="1"/>
  <c r="M526" i="1"/>
  <c r="M527" i="1"/>
  <c r="M528" i="1"/>
  <c r="M529" i="1"/>
  <c r="M530" i="1"/>
  <c r="N495" i="1"/>
  <c r="N496" i="1"/>
  <c r="N497" i="1"/>
  <c r="N498" i="1"/>
  <c r="N501" i="1"/>
  <c r="N504" i="1"/>
  <c r="N505" i="1"/>
  <c r="N506" i="1"/>
  <c r="N507" i="1"/>
  <c r="N508" i="1"/>
  <c r="N509" i="1"/>
  <c r="N510" i="1"/>
  <c r="N511" i="1"/>
  <c r="N512" i="1"/>
  <c r="N513" i="1"/>
  <c r="N516" i="1"/>
  <c r="N538" i="1"/>
  <c r="U44" i="2" s="1"/>
  <c r="N533" i="1"/>
  <c r="V44" i="2" s="1"/>
  <c r="V71" i="2" s="1"/>
  <c r="N541" i="1"/>
  <c r="N542" i="1"/>
  <c r="N544" i="1"/>
  <c r="N545" i="1"/>
  <c r="N519" i="1"/>
  <c r="N520" i="1"/>
  <c r="N521" i="1"/>
  <c r="N522" i="1"/>
  <c r="N523" i="1"/>
  <c r="N524" i="1"/>
  <c r="N525" i="1"/>
  <c r="N526" i="1"/>
  <c r="N527" i="1"/>
  <c r="N528" i="1"/>
  <c r="N529" i="1"/>
  <c r="N530" i="1"/>
  <c r="O495" i="1"/>
  <c r="O496" i="1"/>
  <c r="O497" i="1"/>
  <c r="O498" i="1"/>
  <c r="O501" i="1"/>
  <c r="O504" i="1"/>
  <c r="O505" i="1"/>
  <c r="O506" i="1"/>
  <c r="O507" i="1"/>
  <c r="O508" i="1"/>
  <c r="O509" i="1"/>
  <c r="O510" i="1"/>
  <c r="O511" i="1"/>
  <c r="O512" i="1"/>
  <c r="O513" i="1"/>
  <c r="O516" i="1"/>
  <c r="O538" i="1"/>
  <c r="U45" i="2" s="1"/>
  <c r="O533" i="1"/>
  <c r="V45" i="2" s="1"/>
  <c r="V72" i="2" s="1"/>
  <c r="O541" i="1"/>
  <c r="O542" i="1"/>
  <c r="O544" i="1"/>
  <c r="O545" i="1"/>
  <c r="O519" i="1"/>
  <c r="O520" i="1"/>
  <c r="O521" i="1"/>
  <c r="O522" i="1"/>
  <c r="O523" i="1"/>
  <c r="O524" i="1"/>
  <c r="O525" i="1"/>
  <c r="O526" i="1"/>
  <c r="O527" i="1"/>
  <c r="O528" i="1"/>
  <c r="O529" i="1"/>
  <c r="O530" i="1"/>
  <c r="P495" i="1"/>
  <c r="P496" i="1"/>
  <c r="P497" i="1"/>
  <c r="P498" i="1"/>
  <c r="P501" i="1"/>
  <c r="P504" i="1"/>
  <c r="P505" i="1"/>
  <c r="P506" i="1"/>
  <c r="P507" i="1"/>
  <c r="P508" i="1"/>
  <c r="P509" i="1"/>
  <c r="P510" i="1"/>
  <c r="P511" i="1"/>
  <c r="P512" i="1"/>
  <c r="P513" i="1"/>
  <c r="P516" i="1"/>
  <c r="P538" i="1"/>
  <c r="U46" i="2" s="1"/>
  <c r="P533" i="1"/>
  <c r="V46" i="2" s="1"/>
  <c r="V73" i="2" s="1"/>
  <c r="P541" i="1"/>
  <c r="P542" i="1"/>
  <c r="P544" i="1"/>
  <c r="P545" i="1"/>
  <c r="P519" i="1"/>
  <c r="P520" i="1"/>
  <c r="P521" i="1"/>
  <c r="P522" i="1"/>
  <c r="P523" i="1"/>
  <c r="P524" i="1"/>
  <c r="P525" i="1"/>
  <c r="P526" i="1"/>
  <c r="P527" i="1"/>
  <c r="P528" i="1"/>
  <c r="P529" i="1"/>
  <c r="P530" i="1"/>
  <c r="Q495" i="1"/>
  <c r="Q496" i="1"/>
  <c r="Q497" i="1"/>
  <c r="Q498" i="1"/>
  <c r="Q501" i="1"/>
  <c r="Q504" i="1"/>
  <c r="Q505" i="1"/>
  <c r="Q506" i="1"/>
  <c r="Q507" i="1"/>
  <c r="Q508" i="1"/>
  <c r="Q509" i="1"/>
  <c r="Q510" i="1"/>
  <c r="Q511" i="1"/>
  <c r="Q512" i="1"/>
  <c r="Q513" i="1"/>
  <c r="Q516" i="1"/>
  <c r="Q538" i="1"/>
  <c r="U47" i="2" s="1"/>
  <c r="Q533" i="1"/>
  <c r="V47" i="2" s="1"/>
  <c r="V74" i="2" s="1"/>
  <c r="Q541" i="1"/>
  <c r="Q542" i="1"/>
  <c r="Q544" i="1"/>
  <c r="Q545" i="1"/>
  <c r="Q519" i="1"/>
  <c r="Q520" i="1"/>
  <c r="Q521" i="1"/>
  <c r="Q522" i="1"/>
  <c r="Q523" i="1"/>
  <c r="Q524" i="1"/>
  <c r="Q525" i="1"/>
  <c r="Q526" i="1"/>
  <c r="Q527" i="1"/>
  <c r="Q528" i="1"/>
  <c r="Q529" i="1"/>
  <c r="Q530" i="1"/>
  <c r="R495" i="1"/>
  <c r="R496" i="1"/>
  <c r="R497" i="1"/>
  <c r="R498" i="1"/>
  <c r="R501" i="1"/>
  <c r="R504" i="1"/>
  <c r="R505" i="1"/>
  <c r="R506" i="1"/>
  <c r="R507" i="1"/>
  <c r="R508" i="1"/>
  <c r="R509" i="1"/>
  <c r="R510" i="1"/>
  <c r="R511" i="1"/>
  <c r="R512" i="1"/>
  <c r="R513" i="1"/>
  <c r="R516" i="1"/>
  <c r="R538" i="1"/>
  <c r="U48" i="2" s="1"/>
  <c r="R533" i="1"/>
  <c r="V48" i="2" s="1"/>
  <c r="V75" i="2" s="1"/>
  <c r="R541" i="1"/>
  <c r="R542" i="1"/>
  <c r="R544" i="1"/>
  <c r="R545" i="1"/>
  <c r="R519" i="1"/>
  <c r="R520" i="1"/>
  <c r="R521" i="1"/>
  <c r="R522" i="1"/>
  <c r="R523" i="1"/>
  <c r="R524" i="1"/>
  <c r="R525" i="1"/>
  <c r="R526" i="1"/>
  <c r="R527" i="1"/>
  <c r="R528" i="1"/>
  <c r="R529" i="1"/>
  <c r="R530" i="1"/>
  <c r="S495" i="1"/>
  <c r="S496" i="1"/>
  <c r="S497" i="1"/>
  <c r="S498" i="1"/>
  <c r="S501" i="1"/>
  <c r="S504" i="1"/>
  <c r="S505" i="1"/>
  <c r="S506" i="1"/>
  <c r="S507" i="1"/>
  <c r="S508" i="1"/>
  <c r="S509" i="1"/>
  <c r="S510" i="1"/>
  <c r="S511" i="1"/>
  <c r="S512" i="1"/>
  <c r="S513" i="1"/>
  <c r="S516" i="1"/>
  <c r="S538" i="1"/>
  <c r="U49" i="2" s="1"/>
  <c r="S533" i="1"/>
  <c r="V49" i="2" s="1"/>
  <c r="V76" i="2" s="1"/>
  <c r="S541" i="1"/>
  <c r="S542" i="1"/>
  <c r="S544" i="1"/>
  <c r="S545" i="1"/>
  <c r="S519" i="1"/>
  <c r="S520" i="1"/>
  <c r="S521" i="1"/>
  <c r="S522" i="1"/>
  <c r="S523" i="1"/>
  <c r="S524" i="1"/>
  <c r="S525" i="1"/>
  <c r="S526" i="1"/>
  <c r="S527" i="1"/>
  <c r="S528" i="1"/>
  <c r="S529" i="1"/>
  <c r="S530" i="1"/>
  <c r="T495" i="1"/>
  <c r="T496" i="1"/>
  <c r="T497" i="1"/>
  <c r="T498" i="1"/>
  <c r="T501" i="1"/>
  <c r="T504" i="1"/>
  <c r="T505" i="1"/>
  <c r="T506" i="1"/>
  <c r="T507" i="1"/>
  <c r="T508" i="1"/>
  <c r="T509" i="1"/>
  <c r="T510" i="1"/>
  <c r="T511" i="1"/>
  <c r="T512" i="1"/>
  <c r="T513" i="1"/>
  <c r="T516" i="1"/>
  <c r="T538" i="1"/>
  <c r="U50" i="2" s="1"/>
  <c r="T533" i="1"/>
  <c r="V50" i="2" s="1"/>
  <c r="V77" i="2" s="1"/>
  <c r="T541" i="1"/>
  <c r="T542" i="1"/>
  <c r="T544" i="1"/>
  <c r="T545" i="1"/>
  <c r="T519" i="1"/>
  <c r="T520" i="1"/>
  <c r="T521" i="1"/>
  <c r="T522" i="1"/>
  <c r="T523" i="1"/>
  <c r="T524" i="1"/>
  <c r="T525" i="1"/>
  <c r="T526" i="1"/>
  <c r="T527" i="1"/>
  <c r="T528" i="1"/>
  <c r="T529" i="1"/>
  <c r="T530" i="1"/>
  <c r="U495" i="1"/>
  <c r="U496" i="1"/>
  <c r="U497" i="1"/>
  <c r="U498" i="1"/>
  <c r="U501" i="1"/>
  <c r="U504" i="1"/>
  <c r="U505" i="1"/>
  <c r="U506" i="1"/>
  <c r="U507" i="1"/>
  <c r="U508" i="1"/>
  <c r="U509" i="1"/>
  <c r="U510" i="1"/>
  <c r="U511" i="1"/>
  <c r="U512" i="1"/>
  <c r="U513" i="1"/>
  <c r="U516" i="1"/>
  <c r="U538" i="1"/>
  <c r="U51" i="2" s="1"/>
  <c r="U533" i="1"/>
  <c r="V51" i="2" s="1"/>
  <c r="V78" i="2" s="1"/>
  <c r="U541" i="1"/>
  <c r="U542" i="1"/>
  <c r="U544" i="1"/>
  <c r="U545" i="1"/>
  <c r="U519" i="1"/>
  <c r="U520" i="1"/>
  <c r="U521" i="1"/>
  <c r="U522" i="1"/>
  <c r="U523" i="1"/>
  <c r="U524" i="1"/>
  <c r="U525" i="1"/>
  <c r="U526" i="1"/>
  <c r="U527" i="1"/>
  <c r="U528" i="1"/>
  <c r="U529" i="1"/>
  <c r="U530" i="1"/>
  <c r="D80" i="1"/>
  <c r="D81" i="1"/>
  <c r="D82" i="1"/>
  <c r="D83" i="1"/>
  <c r="D84" i="1"/>
  <c r="D85" i="1"/>
  <c r="D86" i="1"/>
  <c r="D87" i="1"/>
  <c r="D88" i="1"/>
  <c r="D89" i="1"/>
  <c r="D90" i="1"/>
  <c r="D91" i="1"/>
  <c r="D64" i="1"/>
  <c r="D65" i="1"/>
  <c r="D66" i="1"/>
  <c r="D67" i="1"/>
  <c r="D68" i="1"/>
  <c r="D69" i="1"/>
  <c r="D70" i="1"/>
  <c r="D71" i="1"/>
  <c r="D72" i="1"/>
  <c r="D73" i="1"/>
  <c r="D74" i="1"/>
  <c r="D75" i="1"/>
  <c r="D76" i="1"/>
  <c r="D77" i="1"/>
  <c r="D48" i="1"/>
  <c r="D49" i="1"/>
  <c r="D50" i="1"/>
  <c r="D51" i="1"/>
  <c r="D52" i="1"/>
  <c r="D55" i="1"/>
  <c r="D56" i="1"/>
  <c r="D57" i="1"/>
  <c r="D58" i="1"/>
  <c r="D59" i="1"/>
  <c r="D60" i="1"/>
  <c r="D61"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4" i="1"/>
  <c r="D96" i="1"/>
  <c r="D97" i="1"/>
  <c r="D98" i="1"/>
  <c r="D100" i="1"/>
  <c r="D109" i="1"/>
  <c r="D110" i="1"/>
  <c r="D111" i="1"/>
  <c r="D113" i="1"/>
  <c r="D114" i="1"/>
  <c r="D115" i="1"/>
  <c r="D116" i="1"/>
  <c r="D117" i="1"/>
  <c r="D118" i="1"/>
  <c r="D119" i="1"/>
  <c r="D120" i="1"/>
  <c r="D121" i="1"/>
  <c r="D124" i="1"/>
  <c r="D127" i="1"/>
  <c r="D126" i="1" s="1"/>
  <c r="D130" i="1"/>
  <c r="D131" i="1"/>
  <c r="D132" i="1"/>
  <c r="D133" i="1"/>
  <c r="D134" i="1"/>
  <c r="D135" i="1"/>
  <c r="D136" i="1"/>
  <c r="D137" i="1"/>
  <c r="D138" i="1"/>
  <c r="D139" i="1"/>
  <c r="D140" i="1"/>
  <c r="D141" i="1"/>
  <c r="D142" i="1"/>
  <c r="D143" i="1"/>
  <c r="D144" i="1"/>
  <c r="D145" i="1"/>
  <c r="D146" i="1"/>
  <c r="D149" i="1"/>
  <c r="D150" i="1"/>
  <c r="D151" i="1"/>
  <c r="D152" i="1"/>
  <c r="D153" i="1"/>
  <c r="D154" i="1"/>
  <c r="D155" i="1"/>
  <c r="D156" i="1"/>
  <c r="D157" i="1"/>
  <c r="D162" i="1"/>
  <c r="D165" i="1"/>
  <c r="D166" i="1"/>
  <c r="D167" i="1"/>
  <c r="D170" i="1"/>
  <c r="D171" i="1"/>
  <c r="D172" i="1"/>
  <c r="D173" i="1"/>
  <c r="D174" i="1"/>
  <c r="D175" i="1"/>
  <c r="D176" i="1"/>
  <c r="D177" i="1"/>
  <c r="D178" i="1"/>
  <c r="D179" i="1"/>
  <c r="D180" i="1"/>
  <c r="D181" i="1"/>
  <c r="D182" i="1"/>
  <c r="D183" i="1"/>
  <c r="D184" i="1"/>
  <c r="D185" i="1"/>
  <c r="D186" i="1"/>
  <c r="D187" i="1"/>
  <c r="D188" i="1"/>
  <c r="D189" i="1"/>
  <c r="D190" i="1"/>
  <c r="D191" i="1"/>
  <c r="D192" i="1"/>
  <c r="D193" i="1"/>
  <c r="D216" i="1"/>
  <c r="D217" i="1"/>
  <c r="D218" i="1"/>
  <c r="D219" i="1"/>
  <c r="D220" i="1"/>
  <c r="D221" i="1"/>
  <c r="D222" i="1"/>
  <c r="D223" i="1"/>
  <c r="D224" i="1"/>
  <c r="D227" i="1"/>
  <c r="D228" i="1"/>
  <c r="D229" i="1"/>
  <c r="D230" i="1"/>
  <c r="D231" i="1"/>
  <c r="D232" i="1"/>
  <c r="D233" i="1"/>
  <c r="D234" i="1"/>
  <c r="D235"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5" i="1"/>
  <c r="D278" i="1"/>
  <c r="D279" i="1"/>
  <c r="D280" i="1"/>
  <c r="D281" i="1"/>
  <c r="D283" i="1"/>
  <c r="D284" i="1"/>
  <c r="D285" i="1"/>
  <c r="D286" i="1"/>
  <c r="D287" i="1"/>
  <c r="D288" i="1"/>
  <c r="D289" i="1"/>
  <c r="D290" i="1"/>
  <c r="D291" i="1"/>
  <c r="D296" i="1"/>
  <c r="D297" i="1"/>
  <c r="D298" i="1"/>
  <c r="D299" i="1"/>
  <c r="D300" i="1"/>
  <c r="D301" i="1"/>
  <c r="D302" i="1"/>
  <c r="D303" i="1"/>
  <c r="D304" i="1"/>
  <c r="D305" i="1"/>
  <c r="D306" i="1"/>
  <c r="D307" i="1"/>
  <c r="D308" i="1"/>
  <c r="D309" i="1"/>
  <c r="D310" i="1"/>
  <c r="D311" i="1"/>
  <c r="D312" i="1"/>
  <c r="D313" i="1"/>
  <c r="D314" i="1"/>
  <c r="D315" i="1"/>
  <c r="D318" i="1"/>
  <c r="D322" i="1"/>
  <c r="D323" i="1"/>
  <c r="D324" i="1"/>
  <c r="D325" i="1"/>
  <c r="D326" i="1"/>
  <c r="D327" i="1"/>
  <c r="D328" i="1"/>
  <c r="D329" i="1"/>
  <c r="D330" i="1"/>
  <c r="D331" i="1"/>
  <c r="D332" i="1"/>
  <c r="D333" i="1"/>
  <c r="D336" i="1"/>
  <c r="D337" i="1"/>
  <c r="D338" i="1"/>
  <c r="D339" i="1"/>
  <c r="D340" i="1"/>
  <c r="D341" i="1"/>
  <c r="D342" i="1"/>
  <c r="D343" i="1"/>
  <c r="D344" i="1"/>
  <c r="D345" i="1"/>
  <c r="D346" i="1"/>
  <c r="D347" i="1"/>
  <c r="D348" i="1"/>
  <c r="D349" i="1"/>
  <c r="D350" i="1"/>
  <c r="D351" i="1"/>
  <c r="D353" i="1"/>
  <c r="D356" i="1"/>
  <c r="D357" i="1"/>
  <c r="D358" i="1"/>
  <c r="D361" i="1"/>
  <c r="D362" i="1"/>
  <c r="D363" i="1"/>
  <c r="D364" i="1"/>
  <c r="D365" i="1"/>
  <c r="D366" i="1"/>
  <c r="D367" i="1"/>
  <c r="D368" i="1"/>
  <c r="D369" i="1"/>
  <c r="D370" i="1"/>
  <c r="D371" i="1"/>
  <c r="D372" i="1"/>
  <c r="D373" i="1"/>
  <c r="D374" i="1"/>
  <c r="D375" i="1"/>
  <c r="D376" i="1"/>
  <c r="D377" i="1"/>
  <c r="D378" i="1"/>
  <c r="D379" i="1"/>
  <c r="D384" i="1"/>
  <c r="D385" i="1"/>
  <c r="D386" i="1"/>
  <c r="D387" i="1"/>
  <c r="D388" i="1"/>
  <c r="D389" i="1"/>
  <c r="D390" i="1"/>
  <c r="D391" i="1"/>
  <c r="D392" i="1"/>
  <c r="D393" i="1"/>
  <c r="D394" i="1"/>
  <c r="D395" i="1"/>
  <c r="D396" i="1"/>
  <c r="D397" i="1"/>
  <c r="D398" i="1"/>
  <c r="D399" i="1"/>
  <c r="D400" i="1"/>
  <c r="D403" i="1"/>
  <c r="D404" i="1"/>
  <c r="D405" i="1"/>
  <c r="D406" i="1"/>
  <c r="D407" i="1"/>
  <c r="D408" i="1"/>
  <c r="D409" i="1"/>
  <c r="D410" i="1"/>
  <c r="D411" i="1"/>
  <c r="D412" i="1"/>
  <c r="D413" i="1"/>
  <c r="D414" i="1"/>
  <c r="D417" i="1"/>
  <c r="D418" i="1"/>
  <c r="D419" i="1"/>
  <c r="D420" i="1"/>
  <c r="D421" i="1"/>
  <c r="D422" i="1"/>
  <c r="D423" i="1"/>
  <c r="D424" i="1"/>
  <c r="D425" i="1"/>
  <c r="D426" i="1"/>
  <c r="D427" i="1"/>
  <c r="D428" i="1"/>
  <c r="D434" i="1"/>
  <c r="D435" i="1"/>
  <c r="D436" i="1"/>
  <c r="D437" i="1"/>
  <c r="D438" i="1"/>
  <c r="D439" i="1"/>
  <c r="D440" i="1"/>
  <c r="D441" i="1"/>
  <c r="D442" i="1"/>
  <c r="D445" i="1"/>
  <c r="D446" i="1"/>
  <c r="D447" i="1"/>
  <c r="D448" i="1"/>
  <c r="D449" i="1"/>
  <c r="D450" i="1"/>
  <c r="D451" i="1"/>
  <c r="D452" i="1"/>
  <c r="D453" i="1"/>
  <c r="D456" i="1"/>
  <c r="D457" i="1"/>
  <c r="D458" i="1"/>
  <c r="D459" i="1"/>
  <c r="D460" i="1"/>
  <c r="D461" i="1"/>
  <c r="D462" i="1"/>
  <c r="D463" i="1"/>
  <c r="D464" i="1"/>
  <c r="D465" i="1"/>
  <c r="D466" i="1"/>
  <c r="D467" i="1"/>
  <c r="D468" i="1"/>
  <c r="D469" i="1"/>
  <c r="D470" i="1"/>
  <c r="D472" i="1"/>
  <c r="D473" i="1"/>
  <c r="D478" i="1"/>
  <c r="D479" i="1"/>
  <c r="D198" i="1"/>
  <c r="D199" i="1"/>
  <c r="D200" i="1"/>
  <c r="D201" i="1"/>
  <c r="D202" i="1"/>
  <c r="D203" i="1"/>
  <c r="D204" i="1"/>
  <c r="D205" i="1"/>
  <c r="D206" i="1"/>
  <c r="D207" i="1"/>
  <c r="D208" i="1"/>
  <c r="D209" i="1"/>
  <c r="D210" i="1"/>
  <c r="D211" i="1"/>
  <c r="E80" i="1"/>
  <c r="E81" i="1"/>
  <c r="E82" i="1"/>
  <c r="E83" i="1"/>
  <c r="E84" i="1"/>
  <c r="E85" i="1"/>
  <c r="E86" i="1"/>
  <c r="E87" i="1"/>
  <c r="E88" i="1"/>
  <c r="E89" i="1"/>
  <c r="E90" i="1"/>
  <c r="E91" i="1"/>
  <c r="E64" i="1"/>
  <c r="E65" i="1"/>
  <c r="E66" i="1"/>
  <c r="E67" i="1"/>
  <c r="E68" i="1"/>
  <c r="E69" i="1"/>
  <c r="E70" i="1"/>
  <c r="E71" i="1"/>
  <c r="E72" i="1"/>
  <c r="E73" i="1"/>
  <c r="E74" i="1"/>
  <c r="E75" i="1"/>
  <c r="E76" i="1"/>
  <c r="E77" i="1"/>
  <c r="E48" i="1"/>
  <c r="E49" i="1"/>
  <c r="E50" i="1"/>
  <c r="E51" i="1"/>
  <c r="E52" i="1"/>
  <c r="E55" i="1"/>
  <c r="E56" i="1"/>
  <c r="E57" i="1"/>
  <c r="E58" i="1"/>
  <c r="E59" i="1"/>
  <c r="E60" i="1"/>
  <c r="E61"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4" i="1"/>
  <c r="E96" i="1"/>
  <c r="E97" i="1"/>
  <c r="E98" i="1"/>
  <c r="E100" i="1"/>
  <c r="E109" i="1"/>
  <c r="E110" i="1"/>
  <c r="E111" i="1"/>
  <c r="E113" i="1"/>
  <c r="E114" i="1"/>
  <c r="E115" i="1"/>
  <c r="E116" i="1"/>
  <c r="E117" i="1"/>
  <c r="E118" i="1"/>
  <c r="E119" i="1"/>
  <c r="E120" i="1"/>
  <c r="E121" i="1"/>
  <c r="E124" i="1"/>
  <c r="E127" i="1"/>
  <c r="E126" i="1" s="1"/>
  <c r="E130" i="1"/>
  <c r="E131" i="1"/>
  <c r="E132" i="1"/>
  <c r="E133" i="1"/>
  <c r="E134" i="1"/>
  <c r="E135" i="1"/>
  <c r="E136" i="1"/>
  <c r="E137" i="1"/>
  <c r="E138" i="1"/>
  <c r="E139" i="1"/>
  <c r="E140" i="1"/>
  <c r="E141" i="1"/>
  <c r="E142" i="1"/>
  <c r="E143" i="1"/>
  <c r="E144" i="1"/>
  <c r="E145" i="1"/>
  <c r="E146" i="1"/>
  <c r="E149" i="1"/>
  <c r="E150" i="1"/>
  <c r="E151" i="1"/>
  <c r="E152" i="1"/>
  <c r="E153" i="1"/>
  <c r="E154" i="1"/>
  <c r="E155" i="1"/>
  <c r="E156" i="1"/>
  <c r="E157" i="1"/>
  <c r="E162" i="1"/>
  <c r="E165" i="1"/>
  <c r="E166" i="1"/>
  <c r="E167" i="1"/>
  <c r="E170" i="1"/>
  <c r="E171" i="1"/>
  <c r="E172" i="1"/>
  <c r="E173" i="1"/>
  <c r="E174" i="1"/>
  <c r="E175" i="1"/>
  <c r="E176" i="1"/>
  <c r="E177" i="1"/>
  <c r="E178" i="1"/>
  <c r="E179" i="1"/>
  <c r="E180" i="1"/>
  <c r="E181" i="1"/>
  <c r="E182" i="1"/>
  <c r="E183" i="1"/>
  <c r="E184" i="1"/>
  <c r="E185" i="1"/>
  <c r="E186" i="1"/>
  <c r="E187" i="1"/>
  <c r="E188" i="1"/>
  <c r="E189" i="1"/>
  <c r="E190" i="1"/>
  <c r="E191" i="1"/>
  <c r="E192" i="1"/>
  <c r="E193" i="1"/>
  <c r="E216" i="1"/>
  <c r="E217" i="1"/>
  <c r="E218" i="1"/>
  <c r="E219" i="1"/>
  <c r="E220" i="1"/>
  <c r="E221" i="1"/>
  <c r="E222" i="1"/>
  <c r="E223" i="1"/>
  <c r="E224" i="1"/>
  <c r="E227" i="1"/>
  <c r="E228" i="1"/>
  <c r="E229" i="1"/>
  <c r="E230" i="1"/>
  <c r="E231" i="1"/>
  <c r="E232" i="1"/>
  <c r="E233" i="1"/>
  <c r="E234" i="1"/>
  <c r="E235"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5" i="1"/>
  <c r="E278" i="1"/>
  <c r="E279" i="1"/>
  <c r="E280" i="1"/>
  <c r="E281" i="1"/>
  <c r="E283" i="1"/>
  <c r="E284" i="1"/>
  <c r="E285" i="1"/>
  <c r="E286" i="1"/>
  <c r="E287" i="1"/>
  <c r="E288" i="1"/>
  <c r="E289" i="1"/>
  <c r="E290" i="1"/>
  <c r="E291" i="1"/>
  <c r="E296" i="1"/>
  <c r="E297" i="1"/>
  <c r="E298" i="1"/>
  <c r="E299" i="1"/>
  <c r="E300" i="1"/>
  <c r="E301" i="1"/>
  <c r="E302" i="1"/>
  <c r="E303" i="1"/>
  <c r="E304" i="1"/>
  <c r="E305" i="1"/>
  <c r="E306" i="1"/>
  <c r="E307" i="1"/>
  <c r="E308" i="1"/>
  <c r="E309" i="1"/>
  <c r="E310" i="1"/>
  <c r="E311" i="1"/>
  <c r="E312" i="1"/>
  <c r="E313" i="1"/>
  <c r="E314" i="1"/>
  <c r="E315" i="1"/>
  <c r="E318" i="1"/>
  <c r="E322" i="1"/>
  <c r="E323" i="1"/>
  <c r="E324" i="1"/>
  <c r="E325" i="1"/>
  <c r="E326" i="1"/>
  <c r="E327" i="1"/>
  <c r="E328" i="1"/>
  <c r="E329" i="1"/>
  <c r="E330" i="1"/>
  <c r="E331" i="1"/>
  <c r="E332" i="1"/>
  <c r="E333" i="1"/>
  <c r="E336" i="1"/>
  <c r="E337" i="1"/>
  <c r="E338" i="1"/>
  <c r="E339" i="1"/>
  <c r="E340" i="1"/>
  <c r="E341" i="1"/>
  <c r="E342" i="1"/>
  <c r="E343" i="1"/>
  <c r="E344" i="1"/>
  <c r="E345" i="1"/>
  <c r="E346" i="1"/>
  <c r="E347" i="1"/>
  <c r="E348" i="1"/>
  <c r="E349" i="1"/>
  <c r="E350" i="1"/>
  <c r="E351" i="1"/>
  <c r="E353" i="1"/>
  <c r="E356" i="1"/>
  <c r="E357" i="1"/>
  <c r="E358" i="1"/>
  <c r="E361" i="1"/>
  <c r="E362" i="1"/>
  <c r="E363" i="1"/>
  <c r="E364" i="1"/>
  <c r="E365" i="1"/>
  <c r="E366" i="1"/>
  <c r="E367" i="1"/>
  <c r="E368" i="1"/>
  <c r="E369" i="1"/>
  <c r="E370" i="1"/>
  <c r="E371" i="1"/>
  <c r="E372" i="1"/>
  <c r="E373" i="1"/>
  <c r="E374" i="1"/>
  <c r="E375" i="1"/>
  <c r="E376" i="1"/>
  <c r="E377" i="1"/>
  <c r="E378" i="1"/>
  <c r="E379" i="1"/>
  <c r="E384" i="1"/>
  <c r="E385" i="1"/>
  <c r="E386" i="1"/>
  <c r="E387" i="1"/>
  <c r="E388" i="1"/>
  <c r="E389" i="1"/>
  <c r="E390" i="1"/>
  <c r="E391" i="1"/>
  <c r="E392" i="1"/>
  <c r="E393" i="1"/>
  <c r="E394" i="1"/>
  <c r="E395" i="1"/>
  <c r="E396" i="1"/>
  <c r="E397" i="1"/>
  <c r="E398" i="1"/>
  <c r="E399" i="1"/>
  <c r="E400" i="1"/>
  <c r="E403" i="1"/>
  <c r="E404" i="1"/>
  <c r="E405" i="1"/>
  <c r="E406" i="1"/>
  <c r="E407" i="1"/>
  <c r="E408" i="1"/>
  <c r="E409" i="1"/>
  <c r="E410" i="1"/>
  <c r="E411" i="1"/>
  <c r="E412" i="1"/>
  <c r="E413" i="1"/>
  <c r="E414" i="1"/>
  <c r="E417" i="1"/>
  <c r="E418" i="1"/>
  <c r="E419" i="1"/>
  <c r="E420" i="1"/>
  <c r="E421" i="1"/>
  <c r="E422" i="1"/>
  <c r="E423" i="1"/>
  <c r="E424" i="1"/>
  <c r="E425" i="1"/>
  <c r="E426" i="1"/>
  <c r="E427" i="1"/>
  <c r="E428" i="1"/>
  <c r="E434" i="1"/>
  <c r="E435" i="1"/>
  <c r="E436" i="1"/>
  <c r="E437" i="1"/>
  <c r="E438" i="1"/>
  <c r="E439" i="1"/>
  <c r="E440" i="1"/>
  <c r="E441" i="1"/>
  <c r="E442" i="1"/>
  <c r="E445" i="1"/>
  <c r="E446" i="1"/>
  <c r="E447" i="1"/>
  <c r="E448" i="1"/>
  <c r="E449" i="1"/>
  <c r="E450" i="1"/>
  <c r="E451" i="1"/>
  <c r="E452" i="1"/>
  <c r="E453" i="1"/>
  <c r="E456" i="1"/>
  <c r="E457" i="1"/>
  <c r="E458" i="1"/>
  <c r="E459" i="1"/>
  <c r="E460" i="1"/>
  <c r="E461" i="1"/>
  <c r="E462" i="1"/>
  <c r="E463" i="1"/>
  <c r="E464" i="1"/>
  <c r="E465" i="1"/>
  <c r="E466" i="1"/>
  <c r="E467" i="1"/>
  <c r="E468" i="1"/>
  <c r="E469" i="1"/>
  <c r="E470" i="1"/>
  <c r="E472" i="1"/>
  <c r="E473" i="1"/>
  <c r="E478" i="1"/>
  <c r="E479" i="1"/>
  <c r="E198" i="1"/>
  <c r="E199" i="1"/>
  <c r="E200" i="1"/>
  <c r="E201" i="1"/>
  <c r="E202" i="1"/>
  <c r="E203" i="1"/>
  <c r="E204" i="1"/>
  <c r="E205" i="1"/>
  <c r="E206" i="1"/>
  <c r="E207" i="1"/>
  <c r="E208" i="1"/>
  <c r="E209" i="1"/>
  <c r="E210" i="1"/>
  <c r="E211" i="1"/>
  <c r="F80" i="1"/>
  <c r="F81" i="1"/>
  <c r="F82" i="1"/>
  <c r="F83" i="1"/>
  <c r="F84" i="1"/>
  <c r="F85" i="1"/>
  <c r="F86" i="1"/>
  <c r="F87" i="1"/>
  <c r="F88" i="1"/>
  <c r="F89" i="1"/>
  <c r="F90" i="1"/>
  <c r="F91" i="1"/>
  <c r="F64" i="1"/>
  <c r="F65" i="1"/>
  <c r="F66" i="1"/>
  <c r="F67" i="1"/>
  <c r="F68" i="1"/>
  <c r="F69" i="1"/>
  <c r="F70" i="1"/>
  <c r="F71" i="1"/>
  <c r="F72" i="1"/>
  <c r="F73" i="1"/>
  <c r="F74" i="1"/>
  <c r="F75" i="1"/>
  <c r="F76" i="1"/>
  <c r="F77" i="1"/>
  <c r="F48" i="1"/>
  <c r="F49" i="1"/>
  <c r="F50" i="1"/>
  <c r="F51" i="1"/>
  <c r="F52" i="1"/>
  <c r="F55" i="1"/>
  <c r="F56" i="1"/>
  <c r="F57" i="1"/>
  <c r="F58" i="1"/>
  <c r="F59" i="1"/>
  <c r="F60" i="1"/>
  <c r="F61"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4" i="1"/>
  <c r="F96" i="1"/>
  <c r="F97" i="1"/>
  <c r="F98" i="1"/>
  <c r="F100" i="1"/>
  <c r="F109" i="1"/>
  <c r="F110" i="1"/>
  <c r="F111" i="1"/>
  <c r="F113" i="1"/>
  <c r="F114" i="1"/>
  <c r="F115" i="1"/>
  <c r="F116" i="1"/>
  <c r="F117" i="1"/>
  <c r="F118" i="1"/>
  <c r="F119" i="1"/>
  <c r="F120" i="1"/>
  <c r="F121" i="1"/>
  <c r="F124" i="1"/>
  <c r="F127" i="1"/>
  <c r="F126" i="1" s="1"/>
  <c r="F130" i="1"/>
  <c r="F131" i="1"/>
  <c r="F132" i="1"/>
  <c r="F133" i="1"/>
  <c r="F134" i="1"/>
  <c r="F135" i="1"/>
  <c r="F136" i="1"/>
  <c r="F137" i="1"/>
  <c r="F138" i="1"/>
  <c r="F139" i="1"/>
  <c r="F140" i="1"/>
  <c r="F141" i="1"/>
  <c r="F142" i="1"/>
  <c r="F143" i="1"/>
  <c r="F144" i="1"/>
  <c r="F145" i="1"/>
  <c r="F146" i="1"/>
  <c r="F149" i="1"/>
  <c r="F150" i="1"/>
  <c r="F151" i="1"/>
  <c r="F152" i="1"/>
  <c r="F153" i="1"/>
  <c r="F154" i="1"/>
  <c r="F155" i="1"/>
  <c r="F156" i="1"/>
  <c r="F157" i="1"/>
  <c r="F162" i="1"/>
  <c r="F165" i="1"/>
  <c r="F166" i="1"/>
  <c r="F167" i="1"/>
  <c r="F170" i="1"/>
  <c r="F171" i="1"/>
  <c r="F172" i="1"/>
  <c r="F173" i="1"/>
  <c r="F174" i="1"/>
  <c r="F175" i="1"/>
  <c r="F176" i="1"/>
  <c r="F177" i="1"/>
  <c r="F178" i="1"/>
  <c r="F179" i="1"/>
  <c r="F180" i="1"/>
  <c r="F181" i="1"/>
  <c r="F182" i="1"/>
  <c r="F183" i="1"/>
  <c r="F184" i="1"/>
  <c r="F185" i="1"/>
  <c r="F186" i="1"/>
  <c r="F187" i="1"/>
  <c r="F188" i="1"/>
  <c r="F189" i="1"/>
  <c r="F190" i="1"/>
  <c r="F191" i="1"/>
  <c r="F192" i="1"/>
  <c r="F193" i="1"/>
  <c r="F216" i="1"/>
  <c r="F217" i="1"/>
  <c r="F218" i="1"/>
  <c r="F219" i="1"/>
  <c r="F220" i="1"/>
  <c r="F221" i="1"/>
  <c r="F222" i="1"/>
  <c r="F223" i="1"/>
  <c r="F224" i="1"/>
  <c r="F227" i="1"/>
  <c r="F228" i="1"/>
  <c r="F229" i="1"/>
  <c r="F230" i="1"/>
  <c r="F231" i="1"/>
  <c r="F232" i="1"/>
  <c r="F233" i="1"/>
  <c r="F234" i="1"/>
  <c r="F235"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5" i="1"/>
  <c r="F278" i="1"/>
  <c r="F279" i="1"/>
  <c r="F280" i="1"/>
  <c r="F281" i="1"/>
  <c r="F283" i="1"/>
  <c r="F284" i="1"/>
  <c r="F285" i="1"/>
  <c r="F286" i="1"/>
  <c r="F287" i="1"/>
  <c r="F288" i="1"/>
  <c r="F289" i="1"/>
  <c r="F290" i="1"/>
  <c r="F291" i="1"/>
  <c r="F296" i="1"/>
  <c r="F297" i="1"/>
  <c r="F298" i="1"/>
  <c r="F299" i="1"/>
  <c r="F300" i="1"/>
  <c r="F301" i="1"/>
  <c r="F302" i="1"/>
  <c r="F303" i="1"/>
  <c r="F304" i="1"/>
  <c r="F305" i="1"/>
  <c r="F306" i="1"/>
  <c r="F307" i="1"/>
  <c r="F308" i="1"/>
  <c r="F309" i="1"/>
  <c r="F310" i="1"/>
  <c r="F311" i="1"/>
  <c r="F312" i="1"/>
  <c r="F313" i="1"/>
  <c r="F314" i="1"/>
  <c r="F315" i="1"/>
  <c r="F318" i="1"/>
  <c r="F322" i="1"/>
  <c r="F323" i="1"/>
  <c r="F324" i="1"/>
  <c r="F325" i="1"/>
  <c r="F326" i="1"/>
  <c r="F327" i="1"/>
  <c r="F328" i="1"/>
  <c r="F329" i="1"/>
  <c r="F330" i="1"/>
  <c r="F331" i="1"/>
  <c r="F332" i="1"/>
  <c r="F333" i="1"/>
  <c r="F336" i="1"/>
  <c r="F337" i="1"/>
  <c r="F338" i="1"/>
  <c r="F339" i="1"/>
  <c r="F340" i="1"/>
  <c r="F341" i="1"/>
  <c r="F342" i="1"/>
  <c r="F343" i="1"/>
  <c r="F344" i="1"/>
  <c r="F345" i="1"/>
  <c r="F346" i="1"/>
  <c r="F347" i="1"/>
  <c r="F348" i="1"/>
  <c r="F349" i="1"/>
  <c r="F350" i="1"/>
  <c r="F351" i="1"/>
  <c r="F353" i="1"/>
  <c r="F356" i="1"/>
  <c r="F357" i="1"/>
  <c r="F358" i="1"/>
  <c r="F361" i="1"/>
  <c r="F362" i="1"/>
  <c r="F363" i="1"/>
  <c r="F364" i="1"/>
  <c r="F365" i="1"/>
  <c r="F366" i="1"/>
  <c r="F367" i="1"/>
  <c r="F368" i="1"/>
  <c r="F369" i="1"/>
  <c r="F370" i="1"/>
  <c r="F371" i="1"/>
  <c r="F372" i="1"/>
  <c r="F373" i="1"/>
  <c r="F374" i="1"/>
  <c r="F375" i="1"/>
  <c r="F376" i="1"/>
  <c r="F377" i="1"/>
  <c r="F378" i="1"/>
  <c r="F379" i="1"/>
  <c r="F384" i="1"/>
  <c r="F385" i="1"/>
  <c r="F386" i="1"/>
  <c r="F387" i="1"/>
  <c r="F388" i="1"/>
  <c r="F389" i="1"/>
  <c r="F390" i="1"/>
  <c r="F391" i="1"/>
  <c r="F392" i="1"/>
  <c r="F393" i="1"/>
  <c r="F394" i="1"/>
  <c r="F395" i="1"/>
  <c r="F396" i="1"/>
  <c r="F397" i="1"/>
  <c r="F398" i="1"/>
  <c r="F399" i="1"/>
  <c r="F400" i="1"/>
  <c r="F403" i="1"/>
  <c r="F404" i="1"/>
  <c r="F405" i="1"/>
  <c r="F406" i="1"/>
  <c r="F407" i="1"/>
  <c r="F408" i="1"/>
  <c r="F409" i="1"/>
  <c r="F410" i="1"/>
  <c r="F411" i="1"/>
  <c r="F412" i="1"/>
  <c r="F413" i="1"/>
  <c r="F414" i="1"/>
  <c r="F417" i="1"/>
  <c r="F418" i="1"/>
  <c r="F419" i="1"/>
  <c r="F420" i="1"/>
  <c r="F421" i="1"/>
  <c r="F422" i="1"/>
  <c r="F423" i="1"/>
  <c r="F424" i="1"/>
  <c r="F425" i="1"/>
  <c r="F426" i="1"/>
  <c r="F427" i="1"/>
  <c r="F428" i="1"/>
  <c r="F434" i="1"/>
  <c r="F435" i="1"/>
  <c r="F436" i="1"/>
  <c r="F437" i="1"/>
  <c r="F438" i="1"/>
  <c r="F439" i="1"/>
  <c r="F440" i="1"/>
  <c r="F441" i="1"/>
  <c r="F442" i="1"/>
  <c r="F445" i="1"/>
  <c r="F446" i="1"/>
  <c r="F447" i="1"/>
  <c r="F448" i="1"/>
  <c r="F449" i="1"/>
  <c r="F450" i="1"/>
  <c r="F451" i="1"/>
  <c r="F452" i="1"/>
  <c r="F453" i="1"/>
  <c r="F456" i="1"/>
  <c r="F457" i="1"/>
  <c r="F458" i="1"/>
  <c r="F459" i="1"/>
  <c r="F460" i="1"/>
  <c r="F461" i="1"/>
  <c r="F462" i="1"/>
  <c r="F463" i="1"/>
  <c r="F464" i="1"/>
  <c r="F465" i="1"/>
  <c r="F466" i="1"/>
  <c r="F467" i="1"/>
  <c r="F468" i="1"/>
  <c r="F469" i="1"/>
  <c r="F470" i="1"/>
  <c r="F472" i="1"/>
  <c r="F473" i="1"/>
  <c r="F478" i="1"/>
  <c r="F479" i="1"/>
  <c r="F198" i="1"/>
  <c r="F199" i="1"/>
  <c r="F200" i="1"/>
  <c r="F201" i="1"/>
  <c r="F202" i="1"/>
  <c r="F203" i="1"/>
  <c r="F204" i="1"/>
  <c r="F205" i="1"/>
  <c r="F206" i="1"/>
  <c r="F207" i="1"/>
  <c r="F208" i="1"/>
  <c r="F209" i="1"/>
  <c r="F210" i="1"/>
  <c r="F211" i="1"/>
  <c r="G80" i="1"/>
  <c r="G81" i="1"/>
  <c r="G82" i="1"/>
  <c r="G83" i="1"/>
  <c r="G84" i="1"/>
  <c r="G85" i="1"/>
  <c r="G86" i="1"/>
  <c r="G87" i="1"/>
  <c r="G88" i="1"/>
  <c r="G89" i="1"/>
  <c r="G90" i="1"/>
  <c r="G91" i="1"/>
  <c r="G64" i="1"/>
  <c r="G65" i="1"/>
  <c r="G66" i="1"/>
  <c r="G67" i="1"/>
  <c r="G68" i="1"/>
  <c r="G69" i="1"/>
  <c r="G70" i="1"/>
  <c r="G71" i="1"/>
  <c r="G72" i="1"/>
  <c r="G73" i="1"/>
  <c r="G74" i="1"/>
  <c r="G75" i="1"/>
  <c r="G76" i="1"/>
  <c r="G77" i="1"/>
  <c r="G48" i="1"/>
  <c r="G49" i="1"/>
  <c r="G50" i="1"/>
  <c r="G51" i="1"/>
  <c r="G52" i="1"/>
  <c r="G55" i="1"/>
  <c r="G56" i="1"/>
  <c r="G57" i="1"/>
  <c r="G58" i="1"/>
  <c r="G59" i="1"/>
  <c r="G60" i="1"/>
  <c r="G61"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4" i="1"/>
  <c r="G96" i="1"/>
  <c r="G97" i="1"/>
  <c r="G98" i="1"/>
  <c r="G100" i="1"/>
  <c r="G109" i="1"/>
  <c r="G110" i="1"/>
  <c r="G111" i="1"/>
  <c r="G113" i="1"/>
  <c r="G114" i="1"/>
  <c r="G115" i="1"/>
  <c r="G116" i="1"/>
  <c r="G117" i="1"/>
  <c r="G118" i="1"/>
  <c r="G119" i="1"/>
  <c r="G120" i="1"/>
  <c r="G121" i="1"/>
  <c r="G124" i="1"/>
  <c r="G127" i="1"/>
  <c r="G126" i="1" s="1"/>
  <c r="G130" i="1"/>
  <c r="G131" i="1"/>
  <c r="G132" i="1"/>
  <c r="G133" i="1"/>
  <c r="G134" i="1"/>
  <c r="G135" i="1"/>
  <c r="G136" i="1"/>
  <c r="G137" i="1"/>
  <c r="G138" i="1"/>
  <c r="G139" i="1"/>
  <c r="G140" i="1"/>
  <c r="G141" i="1"/>
  <c r="G142" i="1"/>
  <c r="G143" i="1"/>
  <c r="G144" i="1"/>
  <c r="G145" i="1"/>
  <c r="G146" i="1"/>
  <c r="G149" i="1"/>
  <c r="G150" i="1"/>
  <c r="G151" i="1"/>
  <c r="G152" i="1"/>
  <c r="G153" i="1"/>
  <c r="G154" i="1"/>
  <c r="G155" i="1"/>
  <c r="G156" i="1"/>
  <c r="G157" i="1"/>
  <c r="G162" i="1"/>
  <c r="G165" i="1"/>
  <c r="G166" i="1"/>
  <c r="G167" i="1"/>
  <c r="G170" i="1"/>
  <c r="G171" i="1"/>
  <c r="G172" i="1"/>
  <c r="G173" i="1"/>
  <c r="G174" i="1"/>
  <c r="G175" i="1"/>
  <c r="G176" i="1"/>
  <c r="G177" i="1"/>
  <c r="G178" i="1"/>
  <c r="G179" i="1"/>
  <c r="G180" i="1"/>
  <c r="G181" i="1"/>
  <c r="G182" i="1"/>
  <c r="G183" i="1"/>
  <c r="G184" i="1"/>
  <c r="G185" i="1"/>
  <c r="G186" i="1"/>
  <c r="G187" i="1"/>
  <c r="G188" i="1"/>
  <c r="G189" i="1"/>
  <c r="G190" i="1"/>
  <c r="G191" i="1"/>
  <c r="G192" i="1"/>
  <c r="G193" i="1"/>
  <c r="G216" i="1"/>
  <c r="G217" i="1"/>
  <c r="G218" i="1"/>
  <c r="G219" i="1"/>
  <c r="G220" i="1"/>
  <c r="G221" i="1"/>
  <c r="G222" i="1"/>
  <c r="G223" i="1"/>
  <c r="G224" i="1"/>
  <c r="G227" i="1"/>
  <c r="G228" i="1"/>
  <c r="G229" i="1"/>
  <c r="G230" i="1"/>
  <c r="G231" i="1"/>
  <c r="G232" i="1"/>
  <c r="G233" i="1"/>
  <c r="G234" i="1"/>
  <c r="G235"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5" i="1"/>
  <c r="G278" i="1"/>
  <c r="G279" i="1"/>
  <c r="G280" i="1"/>
  <c r="G281" i="1"/>
  <c r="G283" i="1"/>
  <c r="G284" i="1"/>
  <c r="G285" i="1"/>
  <c r="G286" i="1"/>
  <c r="G287" i="1"/>
  <c r="G288" i="1"/>
  <c r="G289" i="1"/>
  <c r="G290" i="1"/>
  <c r="G291" i="1"/>
  <c r="G296" i="1"/>
  <c r="G297" i="1"/>
  <c r="G298" i="1"/>
  <c r="G299" i="1"/>
  <c r="G300" i="1"/>
  <c r="G301" i="1"/>
  <c r="G302" i="1"/>
  <c r="G303" i="1"/>
  <c r="G304" i="1"/>
  <c r="G305" i="1"/>
  <c r="G306" i="1"/>
  <c r="G307" i="1"/>
  <c r="G308" i="1"/>
  <c r="G309" i="1"/>
  <c r="G310" i="1"/>
  <c r="G311" i="1"/>
  <c r="G312" i="1"/>
  <c r="G313" i="1"/>
  <c r="G314" i="1"/>
  <c r="G315" i="1"/>
  <c r="G318" i="1"/>
  <c r="G322" i="1"/>
  <c r="G323" i="1"/>
  <c r="G324" i="1"/>
  <c r="G325" i="1"/>
  <c r="G326" i="1"/>
  <c r="G327" i="1"/>
  <c r="G328" i="1"/>
  <c r="G329" i="1"/>
  <c r="G330" i="1"/>
  <c r="G331" i="1"/>
  <c r="G332" i="1"/>
  <c r="G333" i="1"/>
  <c r="G336" i="1"/>
  <c r="G337" i="1"/>
  <c r="G338" i="1"/>
  <c r="G339" i="1"/>
  <c r="G340" i="1"/>
  <c r="G341" i="1"/>
  <c r="G342" i="1"/>
  <c r="G343" i="1"/>
  <c r="G344" i="1"/>
  <c r="G345" i="1"/>
  <c r="G346" i="1"/>
  <c r="G347" i="1"/>
  <c r="G348" i="1"/>
  <c r="G349" i="1"/>
  <c r="G350" i="1"/>
  <c r="G351" i="1"/>
  <c r="G353" i="1"/>
  <c r="G356" i="1"/>
  <c r="G357" i="1"/>
  <c r="G358" i="1"/>
  <c r="G361" i="1"/>
  <c r="G362" i="1"/>
  <c r="G363" i="1"/>
  <c r="G364" i="1"/>
  <c r="G365" i="1"/>
  <c r="G366" i="1"/>
  <c r="G367" i="1"/>
  <c r="G368" i="1"/>
  <c r="G369" i="1"/>
  <c r="G370" i="1"/>
  <c r="G371" i="1"/>
  <c r="G372" i="1"/>
  <c r="G373" i="1"/>
  <c r="G374" i="1"/>
  <c r="G375" i="1"/>
  <c r="G376" i="1"/>
  <c r="G377" i="1"/>
  <c r="G378" i="1"/>
  <c r="G379" i="1"/>
  <c r="G384" i="1"/>
  <c r="G385" i="1"/>
  <c r="G386" i="1"/>
  <c r="G387" i="1"/>
  <c r="G388" i="1"/>
  <c r="G389" i="1"/>
  <c r="G390" i="1"/>
  <c r="G391" i="1"/>
  <c r="G392" i="1"/>
  <c r="G393" i="1"/>
  <c r="G394" i="1"/>
  <c r="G395" i="1"/>
  <c r="G396" i="1"/>
  <c r="G397" i="1"/>
  <c r="G398" i="1"/>
  <c r="G399" i="1"/>
  <c r="G400" i="1"/>
  <c r="G403" i="1"/>
  <c r="G404" i="1"/>
  <c r="G405" i="1"/>
  <c r="G406" i="1"/>
  <c r="G407" i="1"/>
  <c r="G408" i="1"/>
  <c r="G409" i="1"/>
  <c r="G410" i="1"/>
  <c r="G411" i="1"/>
  <c r="G412" i="1"/>
  <c r="G413" i="1"/>
  <c r="G414" i="1"/>
  <c r="G417" i="1"/>
  <c r="G418" i="1"/>
  <c r="G419" i="1"/>
  <c r="G420" i="1"/>
  <c r="G421" i="1"/>
  <c r="G422" i="1"/>
  <c r="G423" i="1"/>
  <c r="G424" i="1"/>
  <c r="G425" i="1"/>
  <c r="G426" i="1"/>
  <c r="G427" i="1"/>
  <c r="G428" i="1"/>
  <c r="G434" i="1"/>
  <c r="G435" i="1"/>
  <c r="G436" i="1"/>
  <c r="G437" i="1"/>
  <c r="G438" i="1"/>
  <c r="G439" i="1"/>
  <c r="G440" i="1"/>
  <c r="G441" i="1"/>
  <c r="G442" i="1"/>
  <c r="G445" i="1"/>
  <c r="G446" i="1"/>
  <c r="G447" i="1"/>
  <c r="G448" i="1"/>
  <c r="G449" i="1"/>
  <c r="G450" i="1"/>
  <c r="G451" i="1"/>
  <c r="G452" i="1"/>
  <c r="G453" i="1"/>
  <c r="G456" i="1"/>
  <c r="G457" i="1"/>
  <c r="G458" i="1"/>
  <c r="G459" i="1"/>
  <c r="G460" i="1"/>
  <c r="G461" i="1"/>
  <c r="G462" i="1"/>
  <c r="G463" i="1"/>
  <c r="G464" i="1"/>
  <c r="G465" i="1"/>
  <c r="G466" i="1"/>
  <c r="G467" i="1"/>
  <c r="G468" i="1"/>
  <c r="G469" i="1"/>
  <c r="G470" i="1"/>
  <c r="G472" i="1"/>
  <c r="G473" i="1"/>
  <c r="G478" i="1"/>
  <c r="G479" i="1"/>
  <c r="G198" i="1"/>
  <c r="G199" i="1"/>
  <c r="G200" i="1"/>
  <c r="G201" i="1"/>
  <c r="G202" i="1"/>
  <c r="G203" i="1"/>
  <c r="G204" i="1"/>
  <c r="G205" i="1"/>
  <c r="G206" i="1"/>
  <c r="G207" i="1"/>
  <c r="G208" i="1"/>
  <c r="G209" i="1"/>
  <c r="G210" i="1"/>
  <c r="G211" i="1"/>
  <c r="H80" i="1"/>
  <c r="H81" i="1"/>
  <c r="H82" i="1"/>
  <c r="H83" i="1"/>
  <c r="H84" i="1"/>
  <c r="H85" i="1"/>
  <c r="H86" i="1"/>
  <c r="H87" i="1"/>
  <c r="H88" i="1"/>
  <c r="H89" i="1"/>
  <c r="H90" i="1"/>
  <c r="H91" i="1"/>
  <c r="H64" i="1"/>
  <c r="H65" i="1"/>
  <c r="H66" i="1"/>
  <c r="H67" i="1"/>
  <c r="H68" i="1"/>
  <c r="H69" i="1"/>
  <c r="H70" i="1"/>
  <c r="H71" i="1"/>
  <c r="H72" i="1"/>
  <c r="H73" i="1"/>
  <c r="H74" i="1"/>
  <c r="H75" i="1"/>
  <c r="H76" i="1"/>
  <c r="H77" i="1"/>
  <c r="H48" i="1"/>
  <c r="H49" i="1"/>
  <c r="H50" i="1"/>
  <c r="H51" i="1"/>
  <c r="H52" i="1"/>
  <c r="H55" i="1"/>
  <c r="H56" i="1"/>
  <c r="H57" i="1"/>
  <c r="H58" i="1"/>
  <c r="H59" i="1"/>
  <c r="H60" i="1"/>
  <c r="H61"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4" i="1"/>
  <c r="H96" i="1"/>
  <c r="H97" i="1"/>
  <c r="H98" i="1"/>
  <c r="H100" i="1"/>
  <c r="H109" i="1"/>
  <c r="H110" i="1"/>
  <c r="H111" i="1"/>
  <c r="H113" i="1"/>
  <c r="H114" i="1"/>
  <c r="H115" i="1"/>
  <c r="H116" i="1"/>
  <c r="H117" i="1"/>
  <c r="H118" i="1"/>
  <c r="H119" i="1"/>
  <c r="H120" i="1"/>
  <c r="H121" i="1"/>
  <c r="H124" i="1"/>
  <c r="H127" i="1"/>
  <c r="H126" i="1" s="1"/>
  <c r="H130" i="1"/>
  <c r="H131" i="1"/>
  <c r="H132" i="1"/>
  <c r="H133" i="1"/>
  <c r="H134" i="1"/>
  <c r="H135" i="1"/>
  <c r="H136" i="1"/>
  <c r="H137" i="1"/>
  <c r="H138" i="1"/>
  <c r="H139" i="1"/>
  <c r="H140" i="1"/>
  <c r="H141" i="1"/>
  <c r="H142" i="1"/>
  <c r="H143" i="1"/>
  <c r="H144" i="1"/>
  <c r="H145" i="1"/>
  <c r="H146" i="1"/>
  <c r="H149" i="1"/>
  <c r="H150" i="1"/>
  <c r="H151" i="1"/>
  <c r="H152" i="1"/>
  <c r="H153" i="1"/>
  <c r="H154" i="1"/>
  <c r="H155" i="1"/>
  <c r="H156" i="1"/>
  <c r="H157" i="1"/>
  <c r="H162" i="1"/>
  <c r="H165" i="1"/>
  <c r="H166" i="1"/>
  <c r="H167" i="1"/>
  <c r="H170" i="1"/>
  <c r="H171" i="1"/>
  <c r="H172" i="1"/>
  <c r="H173" i="1"/>
  <c r="H174" i="1"/>
  <c r="H175" i="1"/>
  <c r="H176" i="1"/>
  <c r="H177" i="1"/>
  <c r="H178" i="1"/>
  <c r="H179" i="1"/>
  <c r="H180" i="1"/>
  <c r="H181" i="1"/>
  <c r="H182" i="1"/>
  <c r="H183" i="1"/>
  <c r="H184" i="1"/>
  <c r="H185" i="1"/>
  <c r="H186" i="1"/>
  <c r="H187" i="1"/>
  <c r="H188" i="1"/>
  <c r="H189" i="1"/>
  <c r="H190" i="1"/>
  <c r="H191" i="1"/>
  <c r="H192" i="1"/>
  <c r="H193" i="1"/>
  <c r="H216" i="1"/>
  <c r="H217" i="1"/>
  <c r="H218" i="1"/>
  <c r="H219" i="1"/>
  <c r="H220" i="1"/>
  <c r="H221" i="1"/>
  <c r="H222" i="1"/>
  <c r="H223" i="1"/>
  <c r="H224" i="1"/>
  <c r="H227" i="1"/>
  <c r="H228" i="1"/>
  <c r="H229" i="1"/>
  <c r="H230" i="1"/>
  <c r="H231" i="1"/>
  <c r="H232" i="1"/>
  <c r="H233" i="1"/>
  <c r="H234" i="1"/>
  <c r="H235"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5" i="1"/>
  <c r="H278" i="1"/>
  <c r="H279" i="1"/>
  <c r="H280" i="1"/>
  <c r="H281" i="1"/>
  <c r="H283" i="1"/>
  <c r="H284" i="1"/>
  <c r="H285" i="1"/>
  <c r="H286" i="1"/>
  <c r="H287" i="1"/>
  <c r="H288" i="1"/>
  <c r="H289" i="1"/>
  <c r="H290" i="1"/>
  <c r="H291" i="1"/>
  <c r="H296" i="1"/>
  <c r="H297" i="1"/>
  <c r="H298" i="1"/>
  <c r="H299" i="1"/>
  <c r="H300" i="1"/>
  <c r="H301" i="1"/>
  <c r="H302" i="1"/>
  <c r="H303" i="1"/>
  <c r="H304" i="1"/>
  <c r="H305" i="1"/>
  <c r="H306" i="1"/>
  <c r="H307" i="1"/>
  <c r="H308" i="1"/>
  <c r="H309" i="1"/>
  <c r="H310" i="1"/>
  <c r="H311" i="1"/>
  <c r="H312" i="1"/>
  <c r="H313" i="1"/>
  <c r="H314" i="1"/>
  <c r="H315" i="1"/>
  <c r="H318" i="1"/>
  <c r="H322" i="1"/>
  <c r="H323" i="1"/>
  <c r="H324" i="1"/>
  <c r="H325" i="1"/>
  <c r="H326" i="1"/>
  <c r="H327" i="1"/>
  <c r="H328" i="1"/>
  <c r="H329" i="1"/>
  <c r="H330" i="1"/>
  <c r="H331" i="1"/>
  <c r="H332" i="1"/>
  <c r="H333" i="1"/>
  <c r="H336" i="1"/>
  <c r="H337" i="1"/>
  <c r="H338" i="1"/>
  <c r="H339" i="1"/>
  <c r="H340" i="1"/>
  <c r="H341" i="1"/>
  <c r="H342" i="1"/>
  <c r="H343" i="1"/>
  <c r="H344" i="1"/>
  <c r="H345" i="1"/>
  <c r="H346" i="1"/>
  <c r="H347" i="1"/>
  <c r="H348" i="1"/>
  <c r="H349" i="1"/>
  <c r="H350" i="1"/>
  <c r="H351" i="1"/>
  <c r="H353" i="1"/>
  <c r="H356" i="1"/>
  <c r="H357" i="1"/>
  <c r="H358" i="1"/>
  <c r="H361" i="1"/>
  <c r="H362" i="1"/>
  <c r="H363" i="1"/>
  <c r="H364" i="1"/>
  <c r="H365" i="1"/>
  <c r="H366" i="1"/>
  <c r="H367" i="1"/>
  <c r="H368" i="1"/>
  <c r="H369" i="1"/>
  <c r="H370" i="1"/>
  <c r="H371" i="1"/>
  <c r="H372" i="1"/>
  <c r="H373" i="1"/>
  <c r="H374" i="1"/>
  <c r="H375" i="1"/>
  <c r="H376" i="1"/>
  <c r="H377" i="1"/>
  <c r="H378" i="1"/>
  <c r="H379" i="1"/>
  <c r="H384" i="1"/>
  <c r="H385" i="1"/>
  <c r="H386" i="1"/>
  <c r="H387" i="1"/>
  <c r="H388" i="1"/>
  <c r="H389" i="1"/>
  <c r="H390" i="1"/>
  <c r="H391" i="1"/>
  <c r="H392" i="1"/>
  <c r="H393" i="1"/>
  <c r="H394" i="1"/>
  <c r="H395" i="1"/>
  <c r="H396" i="1"/>
  <c r="H397" i="1"/>
  <c r="H398" i="1"/>
  <c r="H399" i="1"/>
  <c r="H400" i="1"/>
  <c r="H403" i="1"/>
  <c r="H404" i="1"/>
  <c r="H405" i="1"/>
  <c r="H406" i="1"/>
  <c r="H407" i="1"/>
  <c r="H408" i="1"/>
  <c r="H409" i="1"/>
  <c r="H410" i="1"/>
  <c r="H411" i="1"/>
  <c r="H412" i="1"/>
  <c r="H413" i="1"/>
  <c r="H414" i="1"/>
  <c r="H417" i="1"/>
  <c r="H418" i="1"/>
  <c r="H419" i="1"/>
  <c r="H420" i="1"/>
  <c r="H421" i="1"/>
  <c r="H422" i="1"/>
  <c r="H423" i="1"/>
  <c r="H424" i="1"/>
  <c r="H425" i="1"/>
  <c r="H426" i="1"/>
  <c r="H427" i="1"/>
  <c r="H428" i="1"/>
  <c r="H434" i="1"/>
  <c r="H435" i="1"/>
  <c r="H436" i="1"/>
  <c r="H437" i="1"/>
  <c r="H438" i="1"/>
  <c r="H439" i="1"/>
  <c r="H440" i="1"/>
  <c r="H441" i="1"/>
  <c r="H442" i="1"/>
  <c r="H445" i="1"/>
  <c r="H446" i="1"/>
  <c r="H447" i="1"/>
  <c r="H448" i="1"/>
  <c r="H449" i="1"/>
  <c r="H450" i="1"/>
  <c r="H451" i="1"/>
  <c r="H452" i="1"/>
  <c r="H453" i="1"/>
  <c r="H456" i="1"/>
  <c r="H457" i="1"/>
  <c r="H458" i="1"/>
  <c r="H459" i="1"/>
  <c r="H460" i="1"/>
  <c r="H461" i="1"/>
  <c r="H462" i="1"/>
  <c r="H463" i="1"/>
  <c r="H464" i="1"/>
  <c r="H465" i="1"/>
  <c r="H466" i="1"/>
  <c r="H467" i="1"/>
  <c r="H468" i="1"/>
  <c r="H469" i="1"/>
  <c r="H470" i="1"/>
  <c r="H472" i="1"/>
  <c r="H473" i="1"/>
  <c r="H478" i="1"/>
  <c r="H479" i="1"/>
  <c r="H198" i="1"/>
  <c r="H199" i="1"/>
  <c r="H200" i="1"/>
  <c r="H201" i="1"/>
  <c r="H202" i="1"/>
  <c r="H203" i="1"/>
  <c r="H204" i="1"/>
  <c r="H205" i="1"/>
  <c r="H206" i="1"/>
  <c r="H207" i="1"/>
  <c r="H208" i="1"/>
  <c r="H209" i="1"/>
  <c r="H210" i="1"/>
  <c r="H211" i="1"/>
  <c r="I80" i="1"/>
  <c r="I81" i="1"/>
  <c r="I82" i="1"/>
  <c r="I83" i="1"/>
  <c r="I84" i="1"/>
  <c r="I85" i="1"/>
  <c r="I86" i="1"/>
  <c r="I87" i="1"/>
  <c r="I88" i="1"/>
  <c r="I89" i="1"/>
  <c r="I90" i="1"/>
  <c r="I91" i="1"/>
  <c r="I64" i="1"/>
  <c r="I65" i="1"/>
  <c r="I66" i="1"/>
  <c r="I67" i="1"/>
  <c r="I68" i="1"/>
  <c r="I69" i="1"/>
  <c r="I70" i="1"/>
  <c r="I71" i="1"/>
  <c r="I72" i="1"/>
  <c r="I73" i="1"/>
  <c r="I74" i="1"/>
  <c r="I75" i="1"/>
  <c r="I76" i="1"/>
  <c r="I77" i="1"/>
  <c r="I48" i="1"/>
  <c r="I49" i="1"/>
  <c r="I50" i="1"/>
  <c r="I51" i="1"/>
  <c r="I52" i="1"/>
  <c r="I55" i="1"/>
  <c r="I56" i="1"/>
  <c r="I57" i="1"/>
  <c r="I58" i="1"/>
  <c r="I59" i="1"/>
  <c r="I60" i="1"/>
  <c r="I61"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4" i="1"/>
  <c r="I96" i="1"/>
  <c r="I97" i="1"/>
  <c r="I98" i="1"/>
  <c r="I100" i="1"/>
  <c r="I109" i="1"/>
  <c r="I110" i="1"/>
  <c r="I111" i="1"/>
  <c r="I113" i="1"/>
  <c r="I114" i="1"/>
  <c r="I115" i="1"/>
  <c r="I116" i="1"/>
  <c r="I117" i="1"/>
  <c r="I118" i="1"/>
  <c r="I119" i="1"/>
  <c r="I120" i="1"/>
  <c r="I121" i="1"/>
  <c r="I124" i="1"/>
  <c r="I127" i="1"/>
  <c r="I126" i="1" s="1"/>
  <c r="I130" i="1"/>
  <c r="I131" i="1"/>
  <c r="I132" i="1"/>
  <c r="I133" i="1"/>
  <c r="I134" i="1"/>
  <c r="I135" i="1"/>
  <c r="I136" i="1"/>
  <c r="I137" i="1"/>
  <c r="I138" i="1"/>
  <c r="I139" i="1"/>
  <c r="I140" i="1"/>
  <c r="I141" i="1"/>
  <c r="I142" i="1"/>
  <c r="I143" i="1"/>
  <c r="I144" i="1"/>
  <c r="I145" i="1"/>
  <c r="I146" i="1"/>
  <c r="I149" i="1"/>
  <c r="I150" i="1"/>
  <c r="I151" i="1"/>
  <c r="I152" i="1"/>
  <c r="I153" i="1"/>
  <c r="I154" i="1"/>
  <c r="I155" i="1"/>
  <c r="I156" i="1"/>
  <c r="I157" i="1"/>
  <c r="I162" i="1"/>
  <c r="I165" i="1"/>
  <c r="I166" i="1"/>
  <c r="I167" i="1"/>
  <c r="I170" i="1"/>
  <c r="I171" i="1"/>
  <c r="I172" i="1"/>
  <c r="I173" i="1"/>
  <c r="I174" i="1"/>
  <c r="I175" i="1"/>
  <c r="I176" i="1"/>
  <c r="I177" i="1"/>
  <c r="I178" i="1"/>
  <c r="I179" i="1"/>
  <c r="I180" i="1"/>
  <c r="I181" i="1"/>
  <c r="I182" i="1"/>
  <c r="I183" i="1"/>
  <c r="I184" i="1"/>
  <c r="I185" i="1"/>
  <c r="I186" i="1"/>
  <c r="I187" i="1"/>
  <c r="I188" i="1"/>
  <c r="I189" i="1"/>
  <c r="I190" i="1"/>
  <c r="I191" i="1"/>
  <c r="I192" i="1"/>
  <c r="I193" i="1"/>
  <c r="I216" i="1"/>
  <c r="I217" i="1"/>
  <c r="I218" i="1"/>
  <c r="I219" i="1"/>
  <c r="I220" i="1"/>
  <c r="I221" i="1"/>
  <c r="I222" i="1"/>
  <c r="I223" i="1"/>
  <c r="I224" i="1"/>
  <c r="I227" i="1"/>
  <c r="I228" i="1"/>
  <c r="I229" i="1"/>
  <c r="I230" i="1"/>
  <c r="I231" i="1"/>
  <c r="I232" i="1"/>
  <c r="I233" i="1"/>
  <c r="I234" i="1"/>
  <c r="I235"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5" i="1"/>
  <c r="I278" i="1"/>
  <c r="I279" i="1"/>
  <c r="I280" i="1"/>
  <c r="I281" i="1"/>
  <c r="I283" i="1"/>
  <c r="I284" i="1"/>
  <c r="I285" i="1"/>
  <c r="I286" i="1"/>
  <c r="I287" i="1"/>
  <c r="I288" i="1"/>
  <c r="I289" i="1"/>
  <c r="I290" i="1"/>
  <c r="I291" i="1"/>
  <c r="I296" i="1"/>
  <c r="I297" i="1"/>
  <c r="I298" i="1"/>
  <c r="I299" i="1"/>
  <c r="I300" i="1"/>
  <c r="I301" i="1"/>
  <c r="I302" i="1"/>
  <c r="I303" i="1"/>
  <c r="I304" i="1"/>
  <c r="I305" i="1"/>
  <c r="I306" i="1"/>
  <c r="I307" i="1"/>
  <c r="I308" i="1"/>
  <c r="I309" i="1"/>
  <c r="I310" i="1"/>
  <c r="I311" i="1"/>
  <c r="I312" i="1"/>
  <c r="I313" i="1"/>
  <c r="I314" i="1"/>
  <c r="I315" i="1"/>
  <c r="I318" i="1"/>
  <c r="I322" i="1"/>
  <c r="I323" i="1"/>
  <c r="I324" i="1"/>
  <c r="I325" i="1"/>
  <c r="I326" i="1"/>
  <c r="I327" i="1"/>
  <c r="I328" i="1"/>
  <c r="I329" i="1"/>
  <c r="I330" i="1"/>
  <c r="I331" i="1"/>
  <c r="I332" i="1"/>
  <c r="I333" i="1"/>
  <c r="I336" i="1"/>
  <c r="I337" i="1"/>
  <c r="I338" i="1"/>
  <c r="I339" i="1"/>
  <c r="I340" i="1"/>
  <c r="I341" i="1"/>
  <c r="I342" i="1"/>
  <c r="I343" i="1"/>
  <c r="I344" i="1"/>
  <c r="I345" i="1"/>
  <c r="I346" i="1"/>
  <c r="I347" i="1"/>
  <c r="I348" i="1"/>
  <c r="I349" i="1"/>
  <c r="I350" i="1"/>
  <c r="I351" i="1"/>
  <c r="I353" i="1"/>
  <c r="I356" i="1"/>
  <c r="I357" i="1"/>
  <c r="I358" i="1"/>
  <c r="I361" i="1"/>
  <c r="I362" i="1"/>
  <c r="I363" i="1"/>
  <c r="I364" i="1"/>
  <c r="I365" i="1"/>
  <c r="I366" i="1"/>
  <c r="I367" i="1"/>
  <c r="I368" i="1"/>
  <c r="I369" i="1"/>
  <c r="I370" i="1"/>
  <c r="I371" i="1"/>
  <c r="I372" i="1"/>
  <c r="I373" i="1"/>
  <c r="I374" i="1"/>
  <c r="I375" i="1"/>
  <c r="I376" i="1"/>
  <c r="I377" i="1"/>
  <c r="I378" i="1"/>
  <c r="I379" i="1"/>
  <c r="I384" i="1"/>
  <c r="I385" i="1"/>
  <c r="I386" i="1"/>
  <c r="I387" i="1"/>
  <c r="I388" i="1"/>
  <c r="I389" i="1"/>
  <c r="I390" i="1"/>
  <c r="I391" i="1"/>
  <c r="I392" i="1"/>
  <c r="I393" i="1"/>
  <c r="I394" i="1"/>
  <c r="I395" i="1"/>
  <c r="I396" i="1"/>
  <c r="I397" i="1"/>
  <c r="I398" i="1"/>
  <c r="I399" i="1"/>
  <c r="I400" i="1"/>
  <c r="I403" i="1"/>
  <c r="I404" i="1"/>
  <c r="I405" i="1"/>
  <c r="I406" i="1"/>
  <c r="I407" i="1"/>
  <c r="I408" i="1"/>
  <c r="I409" i="1"/>
  <c r="I410" i="1"/>
  <c r="I411" i="1"/>
  <c r="I412" i="1"/>
  <c r="I413" i="1"/>
  <c r="I414" i="1"/>
  <c r="I417" i="1"/>
  <c r="I418" i="1"/>
  <c r="I419" i="1"/>
  <c r="I420" i="1"/>
  <c r="I421" i="1"/>
  <c r="I422" i="1"/>
  <c r="I423" i="1"/>
  <c r="I424" i="1"/>
  <c r="I425" i="1"/>
  <c r="I426" i="1"/>
  <c r="I427" i="1"/>
  <c r="I428" i="1"/>
  <c r="I434" i="1"/>
  <c r="I435" i="1"/>
  <c r="I436" i="1"/>
  <c r="I437" i="1"/>
  <c r="I438" i="1"/>
  <c r="I439" i="1"/>
  <c r="I440" i="1"/>
  <c r="I441" i="1"/>
  <c r="I442" i="1"/>
  <c r="I445" i="1"/>
  <c r="I446" i="1"/>
  <c r="I447" i="1"/>
  <c r="I448" i="1"/>
  <c r="I449" i="1"/>
  <c r="I450" i="1"/>
  <c r="I451" i="1"/>
  <c r="I452" i="1"/>
  <c r="I453" i="1"/>
  <c r="I456" i="1"/>
  <c r="I457" i="1"/>
  <c r="I458" i="1"/>
  <c r="I459" i="1"/>
  <c r="I460" i="1"/>
  <c r="I461" i="1"/>
  <c r="I462" i="1"/>
  <c r="I463" i="1"/>
  <c r="I464" i="1"/>
  <c r="I465" i="1"/>
  <c r="I466" i="1"/>
  <c r="I467" i="1"/>
  <c r="I468" i="1"/>
  <c r="I469" i="1"/>
  <c r="I470" i="1"/>
  <c r="I472" i="1"/>
  <c r="I473" i="1"/>
  <c r="I478" i="1"/>
  <c r="I479" i="1"/>
  <c r="I198" i="1"/>
  <c r="I199" i="1"/>
  <c r="I200" i="1"/>
  <c r="I201" i="1"/>
  <c r="I202" i="1"/>
  <c r="I203" i="1"/>
  <c r="I204" i="1"/>
  <c r="I205" i="1"/>
  <c r="I206" i="1"/>
  <c r="I207" i="1"/>
  <c r="I208" i="1"/>
  <c r="I209" i="1"/>
  <c r="I210" i="1"/>
  <c r="I211" i="1"/>
  <c r="J80" i="1"/>
  <c r="J81" i="1"/>
  <c r="J82" i="1"/>
  <c r="J83" i="1"/>
  <c r="J84" i="1"/>
  <c r="J85" i="1"/>
  <c r="J86" i="1"/>
  <c r="J87" i="1"/>
  <c r="J88" i="1"/>
  <c r="J89" i="1"/>
  <c r="J90" i="1"/>
  <c r="J91" i="1"/>
  <c r="J64" i="1"/>
  <c r="J65" i="1"/>
  <c r="J66" i="1"/>
  <c r="J67" i="1"/>
  <c r="J68" i="1"/>
  <c r="J69" i="1"/>
  <c r="J70" i="1"/>
  <c r="J71" i="1"/>
  <c r="J72" i="1"/>
  <c r="J73" i="1"/>
  <c r="J74" i="1"/>
  <c r="J75" i="1"/>
  <c r="J76" i="1"/>
  <c r="J77" i="1"/>
  <c r="J48" i="1"/>
  <c r="J49" i="1"/>
  <c r="J50" i="1"/>
  <c r="J51" i="1"/>
  <c r="J52" i="1"/>
  <c r="J55" i="1"/>
  <c r="J56" i="1"/>
  <c r="J57" i="1"/>
  <c r="J58" i="1"/>
  <c r="J59" i="1"/>
  <c r="J60" i="1"/>
  <c r="J61"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4" i="1"/>
  <c r="J96" i="1"/>
  <c r="J97" i="1"/>
  <c r="J98" i="1"/>
  <c r="J100" i="1"/>
  <c r="J109" i="1"/>
  <c r="J110" i="1"/>
  <c r="J111" i="1"/>
  <c r="J113" i="1"/>
  <c r="J114" i="1"/>
  <c r="J115" i="1"/>
  <c r="J116" i="1"/>
  <c r="J117" i="1"/>
  <c r="J118" i="1"/>
  <c r="J119" i="1"/>
  <c r="J120" i="1"/>
  <c r="J121" i="1"/>
  <c r="J124" i="1"/>
  <c r="J127" i="1"/>
  <c r="J126" i="1" s="1"/>
  <c r="J130" i="1"/>
  <c r="J131" i="1"/>
  <c r="J132" i="1"/>
  <c r="J133" i="1"/>
  <c r="J134" i="1"/>
  <c r="J135" i="1"/>
  <c r="J136" i="1"/>
  <c r="J137" i="1"/>
  <c r="J138" i="1"/>
  <c r="J139" i="1"/>
  <c r="J140" i="1"/>
  <c r="J141" i="1"/>
  <c r="J142" i="1"/>
  <c r="J143" i="1"/>
  <c r="J144" i="1"/>
  <c r="J145" i="1"/>
  <c r="J146" i="1"/>
  <c r="J149" i="1"/>
  <c r="J150" i="1"/>
  <c r="J151" i="1"/>
  <c r="J152" i="1"/>
  <c r="J153" i="1"/>
  <c r="J154" i="1"/>
  <c r="J155" i="1"/>
  <c r="J156" i="1"/>
  <c r="J157" i="1"/>
  <c r="J162" i="1"/>
  <c r="J165" i="1"/>
  <c r="J166" i="1"/>
  <c r="J167" i="1"/>
  <c r="J170" i="1"/>
  <c r="J171" i="1"/>
  <c r="J172" i="1"/>
  <c r="J173" i="1"/>
  <c r="J174" i="1"/>
  <c r="J175" i="1"/>
  <c r="J176" i="1"/>
  <c r="J177" i="1"/>
  <c r="J178" i="1"/>
  <c r="J179" i="1"/>
  <c r="J180" i="1"/>
  <c r="J181" i="1"/>
  <c r="J182" i="1"/>
  <c r="J183" i="1"/>
  <c r="J184" i="1"/>
  <c r="J185" i="1"/>
  <c r="J186" i="1"/>
  <c r="J187" i="1"/>
  <c r="J188" i="1"/>
  <c r="J189" i="1"/>
  <c r="J190" i="1"/>
  <c r="J191" i="1"/>
  <c r="J192" i="1"/>
  <c r="J193" i="1"/>
  <c r="J216" i="1"/>
  <c r="J217" i="1"/>
  <c r="J218" i="1"/>
  <c r="J219" i="1"/>
  <c r="J220" i="1"/>
  <c r="J221" i="1"/>
  <c r="J222" i="1"/>
  <c r="J223" i="1"/>
  <c r="J224" i="1"/>
  <c r="J227" i="1"/>
  <c r="J228" i="1"/>
  <c r="J229" i="1"/>
  <c r="J230" i="1"/>
  <c r="J231" i="1"/>
  <c r="J232" i="1"/>
  <c r="J233" i="1"/>
  <c r="J234" i="1"/>
  <c r="J235"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5" i="1"/>
  <c r="J278" i="1"/>
  <c r="J279" i="1"/>
  <c r="J280" i="1"/>
  <c r="J281" i="1"/>
  <c r="J283" i="1"/>
  <c r="J284" i="1"/>
  <c r="J285" i="1"/>
  <c r="J286" i="1"/>
  <c r="J287" i="1"/>
  <c r="J288" i="1"/>
  <c r="J289" i="1"/>
  <c r="J290" i="1"/>
  <c r="J291" i="1"/>
  <c r="J296" i="1"/>
  <c r="J297" i="1"/>
  <c r="J298" i="1"/>
  <c r="J299" i="1"/>
  <c r="J300" i="1"/>
  <c r="J301" i="1"/>
  <c r="J302" i="1"/>
  <c r="J303" i="1"/>
  <c r="J304" i="1"/>
  <c r="J305" i="1"/>
  <c r="J306" i="1"/>
  <c r="J307" i="1"/>
  <c r="J308" i="1"/>
  <c r="J309" i="1"/>
  <c r="J310" i="1"/>
  <c r="J311" i="1"/>
  <c r="J312" i="1"/>
  <c r="J313" i="1"/>
  <c r="J314" i="1"/>
  <c r="J315" i="1"/>
  <c r="J318" i="1"/>
  <c r="J322" i="1"/>
  <c r="J323" i="1"/>
  <c r="J324" i="1"/>
  <c r="J325" i="1"/>
  <c r="J326" i="1"/>
  <c r="J327" i="1"/>
  <c r="J328" i="1"/>
  <c r="J329" i="1"/>
  <c r="J330" i="1"/>
  <c r="J331" i="1"/>
  <c r="J332" i="1"/>
  <c r="J333" i="1"/>
  <c r="J336" i="1"/>
  <c r="J337" i="1"/>
  <c r="J338" i="1"/>
  <c r="J339" i="1"/>
  <c r="J340" i="1"/>
  <c r="J341" i="1"/>
  <c r="J342" i="1"/>
  <c r="J343" i="1"/>
  <c r="J344" i="1"/>
  <c r="J345" i="1"/>
  <c r="J346" i="1"/>
  <c r="J347" i="1"/>
  <c r="J348" i="1"/>
  <c r="J349" i="1"/>
  <c r="J350" i="1"/>
  <c r="J351" i="1"/>
  <c r="J353" i="1"/>
  <c r="J356" i="1"/>
  <c r="J357" i="1"/>
  <c r="J358" i="1"/>
  <c r="J361" i="1"/>
  <c r="J362" i="1"/>
  <c r="J363" i="1"/>
  <c r="J364" i="1"/>
  <c r="J365" i="1"/>
  <c r="J366" i="1"/>
  <c r="J367" i="1"/>
  <c r="J368" i="1"/>
  <c r="J369" i="1"/>
  <c r="J370" i="1"/>
  <c r="J371" i="1"/>
  <c r="J372" i="1"/>
  <c r="J373" i="1"/>
  <c r="J374" i="1"/>
  <c r="J375" i="1"/>
  <c r="J376" i="1"/>
  <c r="J377" i="1"/>
  <c r="J378" i="1"/>
  <c r="J379" i="1"/>
  <c r="J384" i="1"/>
  <c r="J385" i="1"/>
  <c r="J386" i="1"/>
  <c r="J387" i="1"/>
  <c r="J388" i="1"/>
  <c r="J389" i="1"/>
  <c r="J390" i="1"/>
  <c r="J391" i="1"/>
  <c r="J392" i="1"/>
  <c r="J393" i="1"/>
  <c r="J394" i="1"/>
  <c r="J395" i="1"/>
  <c r="J396" i="1"/>
  <c r="J397" i="1"/>
  <c r="J398" i="1"/>
  <c r="J399" i="1"/>
  <c r="J400" i="1"/>
  <c r="J403" i="1"/>
  <c r="J404" i="1"/>
  <c r="J405" i="1"/>
  <c r="J406" i="1"/>
  <c r="J407" i="1"/>
  <c r="J408" i="1"/>
  <c r="J409" i="1"/>
  <c r="J410" i="1"/>
  <c r="J411" i="1"/>
  <c r="J412" i="1"/>
  <c r="J413" i="1"/>
  <c r="J414" i="1"/>
  <c r="J417" i="1"/>
  <c r="J418" i="1"/>
  <c r="J419" i="1"/>
  <c r="J420" i="1"/>
  <c r="J421" i="1"/>
  <c r="J422" i="1"/>
  <c r="J423" i="1"/>
  <c r="J424" i="1"/>
  <c r="J425" i="1"/>
  <c r="J426" i="1"/>
  <c r="J427" i="1"/>
  <c r="J428" i="1"/>
  <c r="J434" i="1"/>
  <c r="J435" i="1"/>
  <c r="J436" i="1"/>
  <c r="J437" i="1"/>
  <c r="J438" i="1"/>
  <c r="J439" i="1"/>
  <c r="J440" i="1"/>
  <c r="J441" i="1"/>
  <c r="J442" i="1"/>
  <c r="J445" i="1"/>
  <c r="J446" i="1"/>
  <c r="J447" i="1"/>
  <c r="J448" i="1"/>
  <c r="J449" i="1"/>
  <c r="J450" i="1"/>
  <c r="J451" i="1"/>
  <c r="J452" i="1"/>
  <c r="J453" i="1"/>
  <c r="J456" i="1"/>
  <c r="J457" i="1"/>
  <c r="J458" i="1"/>
  <c r="J459" i="1"/>
  <c r="J460" i="1"/>
  <c r="J461" i="1"/>
  <c r="J462" i="1"/>
  <c r="J463" i="1"/>
  <c r="J464" i="1"/>
  <c r="J465" i="1"/>
  <c r="J466" i="1"/>
  <c r="J467" i="1"/>
  <c r="J468" i="1"/>
  <c r="J469" i="1"/>
  <c r="J470" i="1"/>
  <c r="J472" i="1"/>
  <c r="J473" i="1"/>
  <c r="J478" i="1"/>
  <c r="J479" i="1"/>
  <c r="J198" i="1"/>
  <c r="J199" i="1"/>
  <c r="J200" i="1"/>
  <c r="J201" i="1"/>
  <c r="J202" i="1"/>
  <c r="J203" i="1"/>
  <c r="J204" i="1"/>
  <c r="J205" i="1"/>
  <c r="J206" i="1"/>
  <c r="J207" i="1"/>
  <c r="J208" i="1"/>
  <c r="J209" i="1"/>
  <c r="J210" i="1"/>
  <c r="J211" i="1"/>
  <c r="K80" i="1"/>
  <c r="K81" i="1"/>
  <c r="K82" i="1"/>
  <c r="K83" i="1"/>
  <c r="K84" i="1"/>
  <c r="K85" i="1"/>
  <c r="K86" i="1"/>
  <c r="K87" i="1"/>
  <c r="K88" i="1"/>
  <c r="K89" i="1"/>
  <c r="K90" i="1"/>
  <c r="K91" i="1"/>
  <c r="K64" i="1"/>
  <c r="K65" i="1"/>
  <c r="K66" i="1"/>
  <c r="K67" i="1"/>
  <c r="K68" i="1"/>
  <c r="K69" i="1"/>
  <c r="K70" i="1"/>
  <c r="K71" i="1"/>
  <c r="K72" i="1"/>
  <c r="K73" i="1"/>
  <c r="K74" i="1"/>
  <c r="K75" i="1"/>
  <c r="K76" i="1"/>
  <c r="K77" i="1"/>
  <c r="K48" i="1"/>
  <c r="K49" i="1"/>
  <c r="K50" i="1"/>
  <c r="K51" i="1"/>
  <c r="K52" i="1"/>
  <c r="K55" i="1"/>
  <c r="K56" i="1"/>
  <c r="K57" i="1"/>
  <c r="K58" i="1"/>
  <c r="K59" i="1"/>
  <c r="K60" i="1"/>
  <c r="K61"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4" i="1"/>
  <c r="K96" i="1"/>
  <c r="K97" i="1"/>
  <c r="K98" i="1"/>
  <c r="K100" i="1"/>
  <c r="K109" i="1"/>
  <c r="K110" i="1"/>
  <c r="K111" i="1"/>
  <c r="K113" i="1"/>
  <c r="K114" i="1"/>
  <c r="K115" i="1"/>
  <c r="K116" i="1"/>
  <c r="K117" i="1"/>
  <c r="K118" i="1"/>
  <c r="K119" i="1"/>
  <c r="K120" i="1"/>
  <c r="K121" i="1"/>
  <c r="K124" i="1"/>
  <c r="K127" i="1"/>
  <c r="K126" i="1" s="1"/>
  <c r="K130" i="1"/>
  <c r="K131" i="1"/>
  <c r="K132" i="1"/>
  <c r="K133" i="1"/>
  <c r="K134" i="1"/>
  <c r="K135" i="1"/>
  <c r="K136" i="1"/>
  <c r="K137" i="1"/>
  <c r="K138" i="1"/>
  <c r="K139" i="1"/>
  <c r="K140" i="1"/>
  <c r="K141" i="1"/>
  <c r="K142" i="1"/>
  <c r="K143" i="1"/>
  <c r="K144" i="1"/>
  <c r="K145" i="1"/>
  <c r="K146" i="1"/>
  <c r="K149" i="1"/>
  <c r="K150" i="1"/>
  <c r="K151" i="1"/>
  <c r="K152" i="1"/>
  <c r="K153" i="1"/>
  <c r="K154" i="1"/>
  <c r="K155" i="1"/>
  <c r="K156" i="1"/>
  <c r="K157" i="1"/>
  <c r="K162" i="1"/>
  <c r="K165" i="1"/>
  <c r="K166" i="1"/>
  <c r="K167" i="1"/>
  <c r="K170" i="1"/>
  <c r="K171" i="1"/>
  <c r="K172" i="1"/>
  <c r="K173" i="1"/>
  <c r="K174" i="1"/>
  <c r="K175" i="1"/>
  <c r="K176" i="1"/>
  <c r="K177" i="1"/>
  <c r="K178" i="1"/>
  <c r="K179" i="1"/>
  <c r="K180" i="1"/>
  <c r="K181" i="1"/>
  <c r="K182" i="1"/>
  <c r="K183" i="1"/>
  <c r="K184" i="1"/>
  <c r="K185" i="1"/>
  <c r="K186" i="1"/>
  <c r="K187" i="1"/>
  <c r="K188" i="1"/>
  <c r="K189" i="1"/>
  <c r="K190" i="1"/>
  <c r="K191" i="1"/>
  <c r="K192" i="1"/>
  <c r="K193" i="1"/>
  <c r="K216" i="1"/>
  <c r="K217" i="1"/>
  <c r="K218" i="1"/>
  <c r="K219" i="1"/>
  <c r="K220" i="1"/>
  <c r="K221" i="1"/>
  <c r="K222" i="1"/>
  <c r="K223" i="1"/>
  <c r="K224" i="1"/>
  <c r="K227" i="1"/>
  <c r="K228" i="1"/>
  <c r="K229" i="1"/>
  <c r="K230" i="1"/>
  <c r="K231" i="1"/>
  <c r="K232" i="1"/>
  <c r="K233" i="1"/>
  <c r="K234" i="1"/>
  <c r="K235"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5" i="1"/>
  <c r="K278" i="1"/>
  <c r="K279" i="1"/>
  <c r="K280" i="1"/>
  <c r="K281" i="1"/>
  <c r="K283" i="1"/>
  <c r="K284" i="1"/>
  <c r="K285" i="1"/>
  <c r="K286" i="1"/>
  <c r="K287" i="1"/>
  <c r="K288" i="1"/>
  <c r="K289" i="1"/>
  <c r="K290" i="1"/>
  <c r="K291" i="1"/>
  <c r="K296" i="1"/>
  <c r="K297" i="1"/>
  <c r="K298" i="1"/>
  <c r="K299" i="1"/>
  <c r="K300" i="1"/>
  <c r="K301" i="1"/>
  <c r="K302" i="1"/>
  <c r="K303" i="1"/>
  <c r="K304" i="1"/>
  <c r="K305" i="1"/>
  <c r="K306" i="1"/>
  <c r="K307" i="1"/>
  <c r="K308" i="1"/>
  <c r="K309" i="1"/>
  <c r="K310" i="1"/>
  <c r="K311" i="1"/>
  <c r="K312" i="1"/>
  <c r="K313" i="1"/>
  <c r="K314" i="1"/>
  <c r="K315" i="1"/>
  <c r="K318" i="1"/>
  <c r="K322" i="1"/>
  <c r="K323" i="1"/>
  <c r="K324" i="1"/>
  <c r="K325" i="1"/>
  <c r="K326" i="1"/>
  <c r="K327" i="1"/>
  <c r="K328" i="1"/>
  <c r="K329" i="1"/>
  <c r="K330" i="1"/>
  <c r="K331" i="1"/>
  <c r="K332" i="1"/>
  <c r="K333" i="1"/>
  <c r="K336" i="1"/>
  <c r="K337" i="1"/>
  <c r="K338" i="1"/>
  <c r="K339" i="1"/>
  <c r="K340" i="1"/>
  <c r="K341" i="1"/>
  <c r="K342" i="1"/>
  <c r="K343" i="1"/>
  <c r="K344" i="1"/>
  <c r="K345" i="1"/>
  <c r="K346" i="1"/>
  <c r="K347" i="1"/>
  <c r="K348" i="1"/>
  <c r="K349" i="1"/>
  <c r="K350" i="1"/>
  <c r="K351" i="1"/>
  <c r="K353" i="1"/>
  <c r="K356" i="1"/>
  <c r="K357" i="1"/>
  <c r="K358" i="1"/>
  <c r="K361" i="1"/>
  <c r="K362" i="1"/>
  <c r="K363" i="1"/>
  <c r="K364" i="1"/>
  <c r="K365" i="1"/>
  <c r="K366" i="1"/>
  <c r="K367" i="1"/>
  <c r="K368" i="1"/>
  <c r="K369" i="1"/>
  <c r="K370" i="1"/>
  <c r="K371" i="1"/>
  <c r="K372" i="1"/>
  <c r="K373" i="1"/>
  <c r="K374" i="1"/>
  <c r="K375" i="1"/>
  <c r="K376" i="1"/>
  <c r="K377" i="1"/>
  <c r="K378" i="1"/>
  <c r="K379" i="1"/>
  <c r="K384" i="1"/>
  <c r="K385" i="1"/>
  <c r="K386" i="1"/>
  <c r="K387" i="1"/>
  <c r="K388" i="1"/>
  <c r="K389" i="1"/>
  <c r="K390" i="1"/>
  <c r="K391" i="1"/>
  <c r="K392" i="1"/>
  <c r="K393" i="1"/>
  <c r="K394" i="1"/>
  <c r="K395" i="1"/>
  <c r="K396" i="1"/>
  <c r="K397" i="1"/>
  <c r="K398" i="1"/>
  <c r="K399" i="1"/>
  <c r="K400" i="1"/>
  <c r="K403" i="1"/>
  <c r="K404" i="1"/>
  <c r="K405" i="1"/>
  <c r="K406" i="1"/>
  <c r="K407" i="1"/>
  <c r="K408" i="1"/>
  <c r="K409" i="1"/>
  <c r="K410" i="1"/>
  <c r="K411" i="1"/>
  <c r="K412" i="1"/>
  <c r="K413" i="1"/>
  <c r="K414" i="1"/>
  <c r="K417" i="1"/>
  <c r="K418" i="1"/>
  <c r="K419" i="1"/>
  <c r="K420" i="1"/>
  <c r="K421" i="1"/>
  <c r="K422" i="1"/>
  <c r="K423" i="1"/>
  <c r="K424" i="1"/>
  <c r="K425" i="1"/>
  <c r="K426" i="1"/>
  <c r="K427" i="1"/>
  <c r="K428" i="1"/>
  <c r="K434" i="1"/>
  <c r="K435" i="1"/>
  <c r="K436" i="1"/>
  <c r="K437" i="1"/>
  <c r="K438" i="1"/>
  <c r="K439" i="1"/>
  <c r="K440" i="1"/>
  <c r="K441" i="1"/>
  <c r="K442" i="1"/>
  <c r="K445" i="1"/>
  <c r="K446" i="1"/>
  <c r="K447" i="1"/>
  <c r="K448" i="1"/>
  <c r="K449" i="1"/>
  <c r="K450" i="1"/>
  <c r="K451" i="1"/>
  <c r="K452" i="1"/>
  <c r="K453" i="1"/>
  <c r="K456" i="1"/>
  <c r="K457" i="1"/>
  <c r="K458" i="1"/>
  <c r="K459" i="1"/>
  <c r="K460" i="1"/>
  <c r="K461" i="1"/>
  <c r="K462" i="1"/>
  <c r="K463" i="1"/>
  <c r="K464" i="1"/>
  <c r="K465" i="1"/>
  <c r="K466" i="1"/>
  <c r="K467" i="1"/>
  <c r="K468" i="1"/>
  <c r="K469" i="1"/>
  <c r="K470" i="1"/>
  <c r="K472" i="1"/>
  <c r="K473" i="1"/>
  <c r="K478" i="1"/>
  <c r="K479" i="1"/>
  <c r="K198" i="1"/>
  <c r="K199" i="1"/>
  <c r="K200" i="1"/>
  <c r="K201" i="1"/>
  <c r="K202" i="1"/>
  <c r="K203" i="1"/>
  <c r="K204" i="1"/>
  <c r="K205" i="1"/>
  <c r="K206" i="1"/>
  <c r="K207" i="1"/>
  <c r="K208" i="1"/>
  <c r="K209" i="1"/>
  <c r="K210" i="1"/>
  <c r="K211" i="1"/>
  <c r="L80" i="1"/>
  <c r="L81" i="1"/>
  <c r="L82" i="1"/>
  <c r="L83" i="1"/>
  <c r="L84" i="1"/>
  <c r="L85" i="1"/>
  <c r="L86" i="1"/>
  <c r="L87" i="1"/>
  <c r="L88" i="1"/>
  <c r="L89" i="1"/>
  <c r="L90" i="1"/>
  <c r="L91" i="1"/>
  <c r="L64" i="1"/>
  <c r="L65" i="1"/>
  <c r="L66" i="1"/>
  <c r="L67" i="1"/>
  <c r="L68" i="1"/>
  <c r="L69" i="1"/>
  <c r="L70" i="1"/>
  <c r="L71" i="1"/>
  <c r="L72" i="1"/>
  <c r="L73" i="1"/>
  <c r="L74" i="1"/>
  <c r="L75" i="1"/>
  <c r="L76" i="1"/>
  <c r="L77" i="1"/>
  <c r="L48" i="1"/>
  <c r="L49" i="1"/>
  <c r="L50" i="1"/>
  <c r="L51" i="1"/>
  <c r="L52" i="1"/>
  <c r="L55" i="1"/>
  <c r="L56" i="1"/>
  <c r="L57" i="1"/>
  <c r="L58" i="1"/>
  <c r="L59" i="1"/>
  <c r="L60" i="1"/>
  <c r="L61"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4" i="1"/>
  <c r="L96" i="1"/>
  <c r="L97" i="1"/>
  <c r="L98" i="1"/>
  <c r="L100" i="1"/>
  <c r="L109" i="1"/>
  <c r="L110" i="1"/>
  <c r="L111" i="1"/>
  <c r="L113" i="1"/>
  <c r="L114" i="1"/>
  <c r="L115" i="1"/>
  <c r="L116" i="1"/>
  <c r="L117" i="1"/>
  <c r="L118" i="1"/>
  <c r="L119" i="1"/>
  <c r="L120" i="1"/>
  <c r="L121" i="1"/>
  <c r="L124" i="1"/>
  <c r="L127" i="1"/>
  <c r="L126" i="1" s="1"/>
  <c r="L130" i="1"/>
  <c r="L131" i="1"/>
  <c r="L132" i="1"/>
  <c r="L133" i="1"/>
  <c r="L134" i="1"/>
  <c r="L135" i="1"/>
  <c r="L136" i="1"/>
  <c r="L137" i="1"/>
  <c r="L138" i="1"/>
  <c r="L139" i="1"/>
  <c r="L140" i="1"/>
  <c r="L141" i="1"/>
  <c r="L142" i="1"/>
  <c r="L143" i="1"/>
  <c r="L144" i="1"/>
  <c r="L145" i="1"/>
  <c r="L146" i="1"/>
  <c r="L149" i="1"/>
  <c r="L150" i="1"/>
  <c r="L151" i="1"/>
  <c r="L152" i="1"/>
  <c r="L153" i="1"/>
  <c r="L154" i="1"/>
  <c r="L155" i="1"/>
  <c r="L156" i="1"/>
  <c r="L157" i="1"/>
  <c r="L162" i="1"/>
  <c r="L165" i="1"/>
  <c r="L166" i="1"/>
  <c r="L167" i="1"/>
  <c r="L170" i="1"/>
  <c r="L171" i="1"/>
  <c r="L172" i="1"/>
  <c r="L173" i="1"/>
  <c r="L174" i="1"/>
  <c r="L175" i="1"/>
  <c r="L176" i="1"/>
  <c r="L177" i="1"/>
  <c r="L178" i="1"/>
  <c r="L179" i="1"/>
  <c r="L180" i="1"/>
  <c r="L181" i="1"/>
  <c r="L182" i="1"/>
  <c r="L183" i="1"/>
  <c r="L184" i="1"/>
  <c r="L185" i="1"/>
  <c r="L186" i="1"/>
  <c r="L187" i="1"/>
  <c r="L188" i="1"/>
  <c r="L189" i="1"/>
  <c r="L190" i="1"/>
  <c r="L191" i="1"/>
  <c r="L192" i="1"/>
  <c r="L193" i="1"/>
  <c r="L216" i="1"/>
  <c r="L217" i="1"/>
  <c r="L218" i="1"/>
  <c r="L219" i="1"/>
  <c r="L220" i="1"/>
  <c r="L221" i="1"/>
  <c r="L222" i="1"/>
  <c r="L223" i="1"/>
  <c r="L224" i="1"/>
  <c r="L227" i="1"/>
  <c r="L228" i="1"/>
  <c r="L229" i="1"/>
  <c r="L230" i="1"/>
  <c r="L231" i="1"/>
  <c r="L232" i="1"/>
  <c r="L233" i="1"/>
  <c r="L234" i="1"/>
  <c r="L235"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5" i="1"/>
  <c r="L278" i="1"/>
  <c r="L279" i="1"/>
  <c r="L280" i="1"/>
  <c r="L281" i="1"/>
  <c r="L283" i="1"/>
  <c r="L284" i="1"/>
  <c r="L285" i="1"/>
  <c r="L286" i="1"/>
  <c r="L287" i="1"/>
  <c r="L288" i="1"/>
  <c r="L289" i="1"/>
  <c r="L290" i="1"/>
  <c r="L291" i="1"/>
  <c r="L296" i="1"/>
  <c r="L297" i="1"/>
  <c r="L298" i="1"/>
  <c r="L299" i="1"/>
  <c r="L300" i="1"/>
  <c r="L301" i="1"/>
  <c r="L302" i="1"/>
  <c r="L303" i="1"/>
  <c r="L304" i="1"/>
  <c r="L305" i="1"/>
  <c r="L306" i="1"/>
  <c r="L307" i="1"/>
  <c r="L308" i="1"/>
  <c r="L309" i="1"/>
  <c r="L310" i="1"/>
  <c r="L311" i="1"/>
  <c r="L312" i="1"/>
  <c r="L313" i="1"/>
  <c r="L314" i="1"/>
  <c r="L315" i="1"/>
  <c r="L318" i="1"/>
  <c r="L322" i="1"/>
  <c r="L323" i="1"/>
  <c r="L324" i="1"/>
  <c r="L325" i="1"/>
  <c r="L326" i="1"/>
  <c r="L327" i="1"/>
  <c r="L328" i="1"/>
  <c r="L329" i="1"/>
  <c r="L330" i="1"/>
  <c r="L331" i="1"/>
  <c r="L332" i="1"/>
  <c r="L333" i="1"/>
  <c r="L336" i="1"/>
  <c r="L337" i="1"/>
  <c r="L338" i="1"/>
  <c r="L339" i="1"/>
  <c r="L340" i="1"/>
  <c r="L341" i="1"/>
  <c r="L342" i="1"/>
  <c r="L343" i="1"/>
  <c r="L344" i="1"/>
  <c r="L345" i="1"/>
  <c r="L346" i="1"/>
  <c r="L347" i="1"/>
  <c r="L348" i="1"/>
  <c r="L349" i="1"/>
  <c r="L350" i="1"/>
  <c r="L351" i="1"/>
  <c r="L353" i="1"/>
  <c r="L356" i="1"/>
  <c r="L357" i="1"/>
  <c r="L358" i="1"/>
  <c r="L361" i="1"/>
  <c r="L362" i="1"/>
  <c r="L363" i="1"/>
  <c r="L364" i="1"/>
  <c r="L365" i="1"/>
  <c r="L366" i="1"/>
  <c r="L367" i="1"/>
  <c r="L368" i="1"/>
  <c r="L369" i="1"/>
  <c r="L370" i="1"/>
  <c r="L371" i="1"/>
  <c r="L372" i="1"/>
  <c r="L373" i="1"/>
  <c r="L374" i="1"/>
  <c r="L375" i="1"/>
  <c r="L376" i="1"/>
  <c r="L377" i="1"/>
  <c r="L378" i="1"/>
  <c r="L379" i="1"/>
  <c r="L384" i="1"/>
  <c r="L385" i="1"/>
  <c r="L386" i="1"/>
  <c r="L387" i="1"/>
  <c r="L388" i="1"/>
  <c r="L389" i="1"/>
  <c r="L390" i="1"/>
  <c r="L391" i="1"/>
  <c r="L392" i="1"/>
  <c r="L393" i="1"/>
  <c r="L394" i="1"/>
  <c r="L395" i="1"/>
  <c r="L396" i="1"/>
  <c r="L397" i="1"/>
  <c r="L398" i="1"/>
  <c r="L399" i="1"/>
  <c r="L400" i="1"/>
  <c r="L403" i="1"/>
  <c r="L404" i="1"/>
  <c r="L405" i="1"/>
  <c r="L406" i="1"/>
  <c r="L407" i="1"/>
  <c r="L408" i="1"/>
  <c r="L409" i="1"/>
  <c r="L410" i="1"/>
  <c r="L411" i="1"/>
  <c r="L412" i="1"/>
  <c r="L413" i="1"/>
  <c r="L414" i="1"/>
  <c r="L417" i="1"/>
  <c r="L418" i="1"/>
  <c r="L419" i="1"/>
  <c r="L420" i="1"/>
  <c r="L421" i="1"/>
  <c r="L422" i="1"/>
  <c r="L423" i="1"/>
  <c r="L424" i="1"/>
  <c r="L425" i="1"/>
  <c r="L426" i="1"/>
  <c r="L427" i="1"/>
  <c r="L428" i="1"/>
  <c r="L434" i="1"/>
  <c r="L435" i="1"/>
  <c r="L436" i="1"/>
  <c r="L437" i="1"/>
  <c r="L438" i="1"/>
  <c r="L439" i="1"/>
  <c r="L440" i="1"/>
  <c r="L441" i="1"/>
  <c r="L442" i="1"/>
  <c r="L445" i="1"/>
  <c r="L446" i="1"/>
  <c r="L447" i="1"/>
  <c r="L448" i="1"/>
  <c r="L449" i="1"/>
  <c r="L450" i="1"/>
  <c r="L451" i="1"/>
  <c r="L452" i="1"/>
  <c r="L453" i="1"/>
  <c r="L456" i="1"/>
  <c r="L457" i="1"/>
  <c r="L458" i="1"/>
  <c r="L459" i="1"/>
  <c r="L460" i="1"/>
  <c r="L461" i="1"/>
  <c r="L462" i="1"/>
  <c r="L463" i="1"/>
  <c r="L464" i="1"/>
  <c r="L465" i="1"/>
  <c r="L466" i="1"/>
  <c r="L467" i="1"/>
  <c r="L468" i="1"/>
  <c r="L469" i="1"/>
  <c r="L470" i="1"/>
  <c r="L472" i="1"/>
  <c r="L473" i="1"/>
  <c r="L478" i="1"/>
  <c r="L479" i="1"/>
  <c r="L198" i="1"/>
  <c r="L199" i="1"/>
  <c r="L200" i="1"/>
  <c r="L201" i="1"/>
  <c r="L202" i="1"/>
  <c r="L203" i="1"/>
  <c r="L204" i="1"/>
  <c r="L205" i="1"/>
  <c r="L206" i="1"/>
  <c r="L207" i="1"/>
  <c r="L208" i="1"/>
  <c r="L209" i="1"/>
  <c r="L210" i="1"/>
  <c r="L211" i="1"/>
  <c r="M80" i="1"/>
  <c r="M81" i="1"/>
  <c r="M82" i="1"/>
  <c r="M83" i="1"/>
  <c r="M84" i="1"/>
  <c r="M85" i="1"/>
  <c r="M86" i="1"/>
  <c r="M87" i="1"/>
  <c r="M88" i="1"/>
  <c r="M89" i="1"/>
  <c r="M90" i="1"/>
  <c r="M91" i="1"/>
  <c r="M64" i="1"/>
  <c r="M65" i="1"/>
  <c r="M66" i="1"/>
  <c r="M67" i="1"/>
  <c r="M68" i="1"/>
  <c r="M69" i="1"/>
  <c r="M70" i="1"/>
  <c r="M71" i="1"/>
  <c r="M72" i="1"/>
  <c r="M73" i="1"/>
  <c r="M74" i="1"/>
  <c r="M75" i="1"/>
  <c r="M76" i="1"/>
  <c r="M77" i="1"/>
  <c r="M48" i="1"/>
  <c r="M49" i="1"/>
  <c r="M50" i="1"/>
  <c r="M51" i="1"/>
  <c r="M52" i="1"/>
  <c r="M55" i="1"/>
  <c r="M56" i="1"/>
  <c r="M57" i="1"/>
  <c r="M58" i="1"/>
  <c r="M59" i="1"/>
  <c r="M60" i="1"/>
  <c r="M61"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4" i="1"/>
  <c r="M96" i="1"/>
  <c r="M97" i="1"/>
  <c r="M98" i="1"/>
  <c r="M100" i="1"/>
  <c r="M109" i="1"/>
  <c r="M110" i="1"/>
  <c r="M111" i="1"/>
  <c r="M113" i="1"/>
  <c r="M114" i="1"/>
  <c r="M115" i="1"/>
  <c r="M116" i="1"/>
  <c r="M117" i="1"/>
  <c r="M118" i="1"/>
  <c r="M119" i="1"/>
  <c r="M120" i="1"/>
  <c r="M121" i="1"/>
  <c r="M124" i="1"/>
  <c r="M127" i="1"/>
  <c r="M126" i="1" s="1"/>
  <c r="M130" i="1"/>
  <c r="M131" i="1"/>
  <c r="M132" i="1"/>
  <c r="M133" i="1"/>
  <c r="M134" i="1"/>
  <c r="M135" i="1"/>
  <c r="M136" i="1"/>
  <c r="M137" i="1"/>
  <c r="M138" i="1"/>
  <c r="M139" i="1"/>
  <c r="M140" i="1"/>
  <c r="M141" i="1"/>
  <c r="M142" i="1"/>
  <c r="M143" i="1"/>
  <c r="M144" i="1"/>
  <c r="M145" i="1"/>
  <c r="M146" i="1"/>
  <c r="M149" i="1"/>
  <c r="M150" i="1"/>
  <c r="M151" i="1"/>
  <c r="M152" i="1"/>
  <c r="M153" i="1"/>
  <c r="M154" i="1"/>
  <c r="M155" i="1"/>
  <c r="M156" i="1"/>
  <c r="M157" i="1"/>
  <c r="M162" i="1"/>
  <c r="M165" i="1"/>
  <c r="M166" i="1"/>
  <c r="M167" i="1"/>
  <c r="M170" i="1"/>
  <c r="M171" i="1"/>
  <c r="M172" i="1"/>
  <c r="M173" i="1"/>
  <c r="M174" i="1"/>
  <c r="M175" i="1"/>
  <c r="M176" i="1"/>
  <c r="M177" i="1"/>
  <c r="M178" i="1"/>
  <c r="M179" i="1"/>
  <c r="M180" i="1"/>
  <c r="M181" i="1"/>
  <c r="M182" i="1"/>
  <c r="M183" i="1"/>
  <c r="M184" i="1"/>
  <c r="M185" i="1"/>
  <c r="M186" i="1"/>
  <c r="M187" i="1"/>
  <c r="M188" i="1"/>
  <c r="M189" i="1"/>
  <c r="M190" i="1"/>
  <c r="M191" i="1"/>
  <c r="M192" i="1"/>
  <c r="M193" i="1"/>
  <c r="M216" i="1"/>
  <c r="M217" i="1"/>
  <c r="M218" i="1"/>
  <c r="M219" i="1"/>
  <c r="M220" i="1"/>
  <c r="M221" i="1"/>
  <c r="M222" i="1"/>
  <c r="M223" i="1"/>
  <c r="M224" i="1"/>
  <c r="M227" i="1"/>
  <c r="M228" i="1"/>
  <c r="M229" i="1"/>
  <c r="M230" i="1"/>
  <c r="M231" i="1"/>
  <c r="M232" i="1"/>
  <c r="M233" i="1"/>
  <c r="M234" i="1"/>
  <c r="M235"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5" i="1"/>
  <c r="M278" i="1"/>
  <c r="M279" i="1"/>
  <c r="M280" i="1"/>
  <c r="M281" i="1"/>
  <c r="M283" i="1"/>
  <c r="M284" i="1"/>
  <c r="M285" i="1"/>
  <c r="M286" i="1"/>
  <c r="M287" i="1"/>
  <c r="M288" i="1"/>
  <c r="M289" i="1"/>
  <c r="M290" i="1"/>
  <c r="M291" i="1"/>
  <c r="M296" i="1"/>
  <c r="M297" i="1"/>
  <c r="M298" i="1"/>
  <c r="M299" i="1"/>
  <c r="M300" i="1"/>
  <c r="M301" i="1"/>
  <c r="M302" i="1"/>
  <c r="M303" i="1"/>
  <c r="M304" i="1"/>
  <c r="M305" i="1"/>
  <c r="M306" i="1"/>
  <c r="M307" i="1"/>
  <c r="M308" i="1"/>
  <c r="M309" i="1"/>
  <c r="M310" i="1"/>
  <c r="M311" i="1"/>
  <c r="M312" i="1"/>
  <c r="M313" i="1"/>
  <c r="M314" i="1"/>
  <c r="M315" i="1"/>
  <c r="M318" i="1"/>
  <c r="M322" i="1"/>
  <c r="M323" i="1"/>
  <c r="M324" i="1"/>
  <c r="M325" i="1"/>
  <c r="M326" i="1"/>
  <c r="M327" i="1"/>
  <c r="M328" i="1"/>
  <c r="M329" i="1"/>
  <c r="M330" i="1"/>
  <c r="M331" i="1"/>
  <c r="M332" i="1"/>
  <c r="M333" i="1"/>
  <c r="M336" i="1"/>
  <c r="M337" i="1"/>
  <c r="M338" i="1"/>
  <c r="M339" i="1"/>
  <c r="M340" i="1"/>
  <c r="M341" i="1"/>
  <c r="M342" i="1"/>
  <c r="M343" i="1"/>
  <c r="M344" i="1"/>
  <c r="M345" i="1"/>
  <c r="M346" i="1"/>
  <c r="M347" i="1"/>
  <c r="M348" i="1"/>
  <c r="M349" i="1"/>
  <c r="M350" i="1"/>
  <c r="M351" i="1"/>
  <c r="M353" i="1"/>
  <c r="M356" i="1"/>
  <c r="M357" i="1"/>
  <c r="M358" i="1"/>
  <c r="M361" i="1"/>
  <c r="M362" i="1"/>
  <c r="M363" i="1"/>
  <c r="M364" i="1"/>
  <c r="M365" i="1"/>
  <c r="M366" i="1"/>
  <c r="M367" i="1"/>
  <c r="M368" i="1"/>
  <c r="M369" i="1"/>
  <c r="M370" i="1"/>
  <c r="M371" i="1"/>
  <c r="M372" i="1"/>
  <c r="M373" i="1"/>
  <c r="M374" i="1"/>
  <c r="M375" i="1"/>
  <c r="M376" i="1"/>
  <c r="M377" i="1"/>
  <c r="M378" i="1"/>
  <c r="M379" i="1"/>
  <c r="M384" i="1"/>
  <c r="M385" i="1"/>
  <c r="M386" i="1"/>
  <c r="M387" i="1"/>
  <c r="M388" i="1"/>
  <c r="M389" i="1"/>
  <c r="M390" i="1"/>
  <c r="M391" i="1"/>
  <c r="M392" i="1"/>
  <c r="M393" i="1"/>
  <c r="M394" i="1"/>
  <c r="M395" i="1"/>
  <c r="M396" i="1"/>
  <c r="M397" i="1"/>
  <c r="M398" i="1"/>
  <c r="M399" i="1"/>
  <c r="M400" i="1"/>
  <c r="M403" i="1"/>
  <c r="M404" i="1"/>
  <c r="M405" i="1"/>
  <c r="M406" i="1"/>
  <c r="M407" i="1"/>
  <c r="M408" i="1"/>
  <c r="M409" i="1"/>
  <c r="M410" i="1"/>
  <c r="M411" i="1"/>
  <c r="M412" i="1"/>
  <c r="M413" i="1"/>
  <c r="M414" i="1"/>
  <c r="M417" i="1"/>
  <c r="M418" i="1"/>
  <c r="M419" i="1"/>
  <c r="M420" i="1"/>
  <c r="M421" i="1"/>
  <c r="M422" i="1"/>
  <c r="M423" i="1"/>
  <c r="M424" i="1"/>
  <c r="M425" i="1"/>
  <c r="M426" i="1"/>
  <c r="M427" i="1"/>
  <c r="M428" i="1"/>
  <c r="M434" i="1"/>
  <c r="M435" i="1"/>
  <c r="M436" i="1"/>
  <c r="M437" i="1"/>
  <c r="M438" i="1"/>
  <c r="M439" i="1"/>
  <c r="M440" i="1"/>
  <c r="M441" i="1"/>
  <c r="M442" i="1"/>
  <c r="M445" i="1"/>
  <c r="M446" i="1"/>
  <c r="M447" i="1"/>
  <c r="M448" i="1"/>
  <c r="M449" i="1"/>
  <c r="M450" i="1"/>
  <c r="M451" i="1"/>
  <c r="M452" i="1"/>
  <c r="M453" i="1"/>
  <c r="M456" i="1"/>
  <c r="M457" i="1"/>
  <c r="M458" i="1"/>
  <c r="M459" i="1"/>
  <c r="M460" i="1"/>
  <c r="M461" i="1"/>
  <c r="M462" i="1"/>
  <c r="M463" i="1"/>
  <c r="M464" i="1"/>
  <c r="M465" i="1"/>
  <c r="M466" i="1"/>
  <c r="M467" i="1"/>
  <c r="M468" i="1"/>
  <c r="M469" i="1"/>
  <c r="M470" i="1"/>
  <c r="M472" i="1"/>
  <c r="M473" i="1"/>
  <c r="M478" i="1"/>
  <c r="M479" i="1"/>
  <c r="M198" i="1"/>
  <c r="M199" i="1"/>
  <c r="M200" i="1"/>
  <c r="M201" i="1"/>
  <c r="M202" i="1"/>
  <c r="M203" i="1"/>
  <c r="M204" i="1"/>
  <c r="M205" i="1"/>
  <c r="M206" i="1"/>
  <c r="M207" i="1"/>
  <c r="M208" i="1"/>
  <c r="M209" i="1"/>
  <c r="M210" i="1"/>
  <c r="M211" i="1"/>
  <c r="N80" i="1"/>
  <c r="N81" i="1"/>
  <c r="N82" i="1"/>
  <c r="N83" i="1"/>
  <c r="N84" i="1"/>
  <c r="N85" i="1"/>
  <c r="N86" i="1"/>
  <c r="N87" i="1"/>
  <c r="N88" i="1"/>
  <c r="N89" i="1"/>
  <c r="N90" i="1"/>
  <c r="N91" i="1"/>
  <c r="N64" i="1"/>
  <c r="N65" i="1"/>
  <c r="N66" i="1"/>
  <c r="N67" i="1"/>
  <c r="N68" i="1"/>
  <c r="N69" i="1"/>
  <c r="N70" i="1"/>
  <c r="N71" i="1"/>
  <c r="N72" i="1"/>
  <c r="N73" i="1"/>
  <c r="N74" i="1"/>
  <c r="N75" i="1"/>
  <c r="N76" i="1"/>
  <c r="N77" i="1"/>
  <c r="N48" i="1"/>
  <c r="N49" i="1"/>
  <c r="N50" i="1"/>
  <c r="N51" i="1"/>
  <c r="N52" i="1"/>
  <c r="N55" i="1"/>
  <c r="N56" i="1"/>
  <c r="N57" i="1"/>
  <c r="N58" i="1"/>
  <c r="N59" i="1"/>
  <c r="N60" i="1"/>
  <c r="N61"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4" i="1"/>
  <c r="N96" i="1"/>
  <c r="N97" i="1"/>
  <c r="N98" i="1"/>
  <c r="N100" i="1"/>
  <c r="N109" i="1"/>
  <c r="N110" i="1"/>
  <c r="N111" i="1"/>
  <c r="N113" i="1"/>
  <c r="N114" i="1"/>
  <c r="N115" i="1"/>
  <c r="N116" i="1"/>
  <c r="N117" i="1"/>
  <c r="N118" i="1"/>
  <c r="N119" i="1"/>
  <c r="N120" i="1"/>
  <c r="N121" i="1"/>
  <c r="N124" i="1"/>
  <c r="N127" i="1"/>
  <c r="N130" i="1"/>
  <c r="N131" i="1"/>
  <c r="N132" i="1"/>
  <c r="N133" i="1"/>
  <c r="N134" i="1"/>
  <c r="N135" i="1"/>
  <c r="N136" i="1"/>
  <c r="N137" i="1"/>
  <c r="N138" i="1"/>
  <c r="N139" i="1"/>
  <c r="N140" i="1"/>
  <c r="N141" i="1"/>
  <c r="N142" i="1"/>
  <c r="N143" i="1"/>
  <c r="N144" i="1"/>
  <c r="N145" i="1"/>
  <c r="N146" i="1"/>
  <c r="N149" i="1"/>
  <c r="N150" i="1"/>
  <c r="N151" i="1"/>
  <c r="N152" i="1"/>
  <c r="N153" i="1"/>
  <c r="N154" i="1"/>
  <c r="N155" i="1"/>
  <c r="N156" i="1"/>
  <c r="N157" i="1"/>
  <c r="N162" i="1"/>
  <c r="N165" i="1"/>
  <c r="N166" i="1"/>
  <c r="N167" i="1"/>
  <c r="N170" i="1"/>
  <c r="N171" i="1"/>
  <c r="N172" i="1"/>
  <c r="N173" i="1"/>
  <c r="N174" i="1"/>
  <c r="N175" i="1"/>
  <c r="N176" i="1"/>
  <c r="N177" i="1"/>
  <c r="N178" i="1"/>
  <c r="N179" i="1"/>
  <c r="N180" i="1"/>
  <c r="N181" i="1"/>
  <c r="N182" i="1"/>
  <c r="N183" i="1"/>
  <c r="N184" i="1"/>
  <c r="N185" i="1"/>
  <c r="N186" i="1"/>
  <c r="N187" i="1"/>
  <c r="N188" i="1"/>
  <c r="N189" i="1"/>
  <c r="N190" i="1"/>
  <c r="N191" i="1"/>
  <c r="N192" i="1"/>
  <c r="N193" i="1"/>
  <c r="N216" i="1"/>
  <c r="N217" i="1"/>
  <c r="N218" i="1"/>
  <c r="N219" i="1"/>
  <c r="N220" i="1"/>
  <c r="N221" i="1"/>
  <c r="N222" i="1"/>
  <c r="N223" i="1"/>
  <c r="N224" i="1"/>
  <c r="N227" i="1"/>
  <c r="N228" i="1"/>
  <c r="N229" i="1"/>
  <c r="N230" i="1"/>
  <c r="N231" i="1"/>
  <c r="N232" i="1"/>
  <c r="N233" i="1"/>
  <c r="N234" i="1"/>
  <c r="N235"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5" i="1"/>
  <c r="N278" i="1"/>
  <c r="N279" i="1"/>
  <c r="N280" i="1"/>
  <c r="N281" i="1"/>
  <c r="N283" i="1"/>
  <c r="N284" i="1"/>
  <c r="N285" i="1"/>
  <c r="N286" i="1"/>
  <c r="N287" i="1"/>
  <c r="N288" i="1"/>
  <c r="N289" i="1"/>
  <c r="N290" i="1"/>
  <c r="N291" i="1"/>
  <c r="N296" i="1"/>
  <c r="N297" i="1"/>
  <c r="N298" i="1"/>
  <c r="N299" i="1"/>
  <c r="N300" i="1"/>
  <c r="N301" i="1"/>
  <c r="N302" i="1"/>
  <c r="N303" i="1"/>
  <c r="N304" i="1"/>
  <c r="N305" i="1"/>
  <c r="N306" i="1"/>
  <c r="N307" i="1"/>
  <c r="N308" i="1"/>
  <c r="N309" i="1"/>
  <c r="N310" i="1"/>
  <c r="N311" i="1"/>
  <c r="N312" i="1"/>
  <c r="N313" i="1"/>
  <c r="N314" i="1"/>
  <c r="N315" i="1"/>
  <c r="N318" i="1"/>
  <c r="N322" i="1"/>
  <c r="N323" i="1"/>
  <c r="N324" i="1"/>
  <c r="N325" i="1"/>
  <c r="N326" i="1"/>
  <c r="N327" i="1"/>
  <c r="N328" i="1"/>
  <c r="N329" i="1"/>
  <c r="N330" i="1"/>
  <c r="N331" i="1"/>
  <c r="N332" i="1"/>
  <c r="N333" i="1"/>
  <c r="N336" i="1"/>
  <c r="N337" i="1"/>
  <c r="N338" i="1"/>
  <c r="N339" i="1"/>
  <c r="N340" i="1"/>
  <c r="N341" i="1"/>
  <c r="N342" i="1"/>
  <c r="N343" i="1"/>
  <c r="N344" i="1"/>
  <c r="N345" i="1"/>
  <c r="N346" i="1"/>
  <c r="N347" i="1"/>
  <c r="N348" i="1"/>
  <c r="N349" i="1"/>
  <c r="N350" i="1"/>
  <c r="N351" i="1"/>
  <c r="N353" i="1"/>
  <c r="N356" i="1"/>
  <c r="N357" i="1"/>
  <c r="N358" i="1"/>
  <c r="N361" i="1"/>
  <c r="N362" i="1"/>
  <c r="N363" i="1"/>
  <c r="N364" i="1"/>
  <c r="N365" i="1"/>
  <c r="N366" i="1"/>
  <c r="N367" i="1"/>
  <c r="N368" i="1"/>
  <c r="N369" i="1"/>
  <c r="N370" i="1"/>
  <c r="N371" i="1"/>
  <c r="N372" i="1"/>
  <c r="N373" i="1"/>
  <c r="N374" i="1"/>
  <c r="N375" i="1"/>
  <c r="N376" i="1"/>
  <c r="N377" i="1"/>
  <c r="N378" i="1"/>
  <c r="N379" i="1"/>
  <c r="N384" i="1"/>
  <c r="N385" i="1"/>
  <c r="N386" i="1"/>
  <c r="N387" i="1"/>
  <c r="N388" i="1"/>
  <c r="N389" i="1"/>
  <c r="N390" i="1"/>
  <c r="N391" i="1"/>
  <c r="N392" i="1"/>
  <c r="N393" i="1"/>
  <c r="N394" i="1"/>
  <c r="N395" i="1"/>
  <c r="N396" i="1"/>
  <c r="N397" i="1"/>
  <c r="N398" i="1"/>
  <c r="N399" i="1"/>
  <c r="N400" i="1"/>
  <c r="N403" i="1"/>
  <c r="N404" i="1"/>
  <c r="N405" i="1"/>
  <c r="N406" i="1"/>
  <c r="N407" i="1"/>
  <c r="N408" i="1"/>
  <c r="N409" i="1"/>
  <c r="N410" i="1"/>
  <c r="N411" i="1"/>
  <c r="N412" i="1"/>
  <c r="N413" i="1"/>
  <c r="N414" i="1"/>
  <c r="N417" i="1"/>
  <c r="N418" i="1"/>
  <c r="N419" i="1"/>
  <c r="N420" i="1"/>
  <c r="N421" i="1"/>
  <c r="N422" i="1"/>
  <c r="N423" i="1"/>
  <c r="N424" i="1"/>
  <c r="N425" i="1"/>
  <c r="N426" i="1"/>
  <c r="N427" i="1"/>
  <c r="N428" i="1"/>
  <c r="N434" i="1"/>
  <c r="N435" i="1"/>
  <c r="N436" i="1"/>
  <c r="N437" i="1"/>
  <c r="N438" i="1"/>
  <c r="N439" i="1"/>
  <c r="N440" i="1"/>
  <c r="N441" i="1"/>
  <c r="N442" i="1"/>
  <c r="N445" i="1"/>
  <c r="N446" i="1"/>
  <c r="N447" i="1"/>
  <c r="N448" i="1"/>
  <c r="N449" i="1"/>
  <c r="N450" i="1"/>
  <c r="N451" i="1"/>
  <c r="N452" i="1"/>
  <c r="N453" i="1"/>
  <c r="N456" i="1"/>
  <c r="N457" i="1"/>
  <c r="N458" i="1"/>
  <c r="N459" i="1"/>
  <c r="N460" i="1"/>
  <c r="N461" i="1"/>
  <c r="N462" i="1"/>
  <c r="N463" i="1"/>
  <c r="N464" i="1"/>
  <c r="N465" i="1"/>
  <c r="N466" i="1"/>
  <c r="N467" i="1"/>
  <c r="N468" i="1"/>
  <c r="N469" i="1"/>
  <c r="N470" i="1"/>
  <c r="N472" i="1"/>
  <c r="N473" i="1"/>
  <c r="N478" i="1"/>
  <c r="N479" i="1"/>
  <c r="N198" i="1"/>
  <c r="N199" i="1"/>
  <c r="N200" i="1"/>
  <c r="N201" i="1"/>
  <c r="N202" i="1"/>
  <c r="N203" i="1"/>
  <c r="N204" i="1"/>
  <c r="N205" i="1"/>
  <c r="N206" i="1"/>
  <c r="N207" i="1"/>
  <c r="N208" i="1"/>
  <c r="N209" i="1"/>
  <c r="N210" i="1"/>
  <c r="N211" i="1"/>
  <c r="O80" i="1"/>
  <c r="O81" i="1"/>
  <c r="O82" i="1"/>
  <c r="O83" i="1"/>
  <c r="O84" i="1"/>
  <c r="O85" i="1"/>
  <c r="O86" i="1"/>
  <c r="O87" i="1"/>
  <c r="O88" i="1"/>
  <c r="O89" i="1"/>
  <c r="O90" i="1"/>
  <c r="O91" i="1"/>
  <c r="O64" i="1"/>
  <c r="O65" i="1"/>
  <c r="O66" i="1"/>
  <c r="O67" i="1"/>
  <c r="O68" i="1"/>
  <c r="O69" i="1"/>
  <c r="O70" i="1"/>
  <c r="O71" i="1"/>
  <c r="O72" i="1"/>
  <c r="O73" i="1"/>
  <c r="O74" i="1"/>
  <c r="O75" i="1"/>
  <c r="O76" i="1"/>
  <c r="O77" i="1"/>
  <c r="O48" i="1"/>
  <c r="O49" i="1"/>
  <c r="O50" i="1"/>
  <c r="O51" i="1"/>
  <c r="O52" i="1"/>
  <c r="O55" i="1"/>
  <c r="O56" i="1"/>
  <c r="O57" i="1"/>
  <c r="O58" i="1"/>
  <c r="O59" i="1"/>
  <c r="O60" i="1"/>
  <c r="O61"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4" i="1"/>
  <c r="O96" i="1"/>
  <c r="O97" i="1"/>
  <c r="O98" i="1"/>
  <c r="O100" i="1"/>
  <c r="O109" i="1"/>
  <c r="O110" i="1"/>
  <c r="O111" i="1"/>
  <c r="O113" i="1"/>
  <c r="O114" i="1"/>
  <c r="O115" i="1"/>
  <c r="O116" i="1"/>
  <c r="O117" i="1"/>
  <c r="O118" i="1"/>
  <c r="O119" i="1"/>
  <c r="O120" i="1"/>
  <c r="O121" i="1"/>
  <c r="O124" i="1"/>
  <c r="O127" i="1"/>
  <c r="O126" i="1" s="1"/>
  <c r="O130" i="1"/>
  <c r="O131" i="1"/>
  <c r="O132" i="1"/>
  <c r="O133" i="1"/>
  <c r="O134" i="1"/>
  <c r="O135" i="1"/>
  <c r="O136" i="1"/>
  <c r="O137" i="1"/>
  <c r="O138" i="1"/>
  <c r="O139" i="1"/>
  <c r="O140" i="1"/>
  <c r="O141" i="1"/>
  <c r="O142" i="1"/>
  <c r="O143" i="1"/>
  <c r="O144" i="1"/>
  <c r="O145" i="1"/>
  <c r="O146" i="1"/>
  <c r="O149" i="1"/>
  <c r="O150" i="1"/>
  <c r="O151" i="1"/>
  <c r="O152" i="1"/>
  <c r="O153" i="1"/>
  <c r="O154" i="1"/>
  <c r="O155" i="1"/>
  <c r="O156" i="1"/>
  <c r="O157" i="1"/>
  <c r="O162" i="1"/>
  <c r="O165" i="1"/>
  <c r="O166" i="1"/>
  <c r="O167" i="1"/>
  <c r="O170" i="1"/>
  <c r="O171" i="1"/>
  <c r="O172" i="1"/>
  <c r="O173" i="1"/>
  <c r="O174" i="1"/>
  <c r="O175" i="1"/>
  <c r="O176" i="1"/>
  <c r="O177" i="1"/>
  <c r="O178" i="1"/>
  <c r="O179" i="1"/>
  <c r="O180" i="1"/>
  <c r="O181" i="1"/>
  <c r="O182" i="1"/>
  <c r="O183" i="1"/>
  <c r="O184" i="1"/>
  <c r="O185" i="1"/>
  <c r="O186" i="1"/>
  <c r="O187" i="1"/>
  <c r="O188" i="1"/>
  <c r="O189" i="1"/>
  <c r="O190" i="1"/>
  <c r="O191" i="1"/>
  <c r="O192" i="1"/>
  <c r="O193" i="1"/>
  <c r="O216" i="1"/>
  <c r="O217" i="1"/>
  <c r="O218" i="1"/>
  <c r="O219" i="1"/>
  <c r="O220" i="1"/>
  <c r="O221" i="1"/>
  <c r="O222" i="1"/>
  <c r="O223" i="1"/>
  <c r="O224" i="1"/>
  <c r="O227" i="1"/>
  <c r="O228" i="1"/>
  <c r="O229" i="1"/>
  <c r="O230" i="1"/>
  <c r="O231" i="1"/>
  <c r="O232" i="1"/>
  <c r="O233" i="1"/>
  <c r="O234" i="1"/>
  <c r="O235"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5" i="1"/>
  <c r="O278" i="1"/>
  <c r="O279" i="1"/>
  <c r="O280" i="1"/>
  <c r="O281" i="1"/>
  <c r="O283" i="1"/>
  <c r="O284" i="1"/>
  <c r="O285" i="1"/>
  <c r="O286" i="1"/>
  <c r="O287" i="1"/>
  <c r="O288" i="1"/>
  <c r="O289" i="1"/>
  <c r="O290" i="1"/>
  <c r="O291" i="1"/>
  <c r="O296" i="1"/>
  <c r="O297" i="1"/>
  <c r="O298" i="1"/>
  <c r="O299" i="1"/>
  <c r="O300" i="1"/>
  <c r="O301" i="1"/>
  <c r="O302" i="1"/>
  <c r="O303" i="1"/>
  <c r="O304" i="1"/>
  <c r="O305" i="1"/>
  <c r="O306" i="1"/>
  <c r="O307" i="1"/>
  <c r="O308" i="1"/>
  <c r="O309" i="1"/>
  <c r="O310" i="1"/>
  <c r="O311" i="1"/>
  <c r="O312" i="1"/>
  <c r="O313" i="1"/>
  <c r="O314" i="1"/>
  <c r="O315" i="1"/>
  <c r="O318" i="1"/>
  <c r="O322" i="1"/>
  <c r="O323" i="1"/>
  <c r="O324" i="1"/>
  <c r="O325" i="1"/>
  <c r="O326" i="1"/>
  <c r="O327" i="1"/>
  <c r="O328" i="1"/>
  <c r="O329" i="1"/>
  <c r="O330" i="1"/>
  <c r="O331" i="1"/>
  <c r="O332" i="1"/>
  <c r="O333" i="1"/>
  <c r="O336" i="1"/>
  <c r="O337" i="1"/>
  <c r="O338" i="1"/>
  <c r="O339" i="1"/>
  <c r="O340" i="1"/>
  <c r="O341" i="1"/>
  <c r="O342" i="1"/>
  <c r="O343" i="1"/>
  <c r="O344" i="1"/>
  <c r="O345" i="1"/>
  <c r="O346" i="1"/>
  <c r="O347" i="1"/>
  <c r="O348" i="1"/>
  <c r="O349" i="1"/>
  <c r="O350" i="1"/>
  <c r="O351" i="1"/>
  <c r="O353" i="1"/>
  <c r="O356" i="1"/>
  <c r="O357" i="1"/>
  <c r="O358" i="1"/>
  <c r="O361" i="1"/>
  <c r="O362" i="1"/>
  <c r="O363" i="1"/>
  <c r="O364" i="1"/>
  <c r="O365" i="1"/>
  <c r="O366" i="1"/>
  <c r="O367" i="1"/>
  <c r="O368" i="1"/>
  <c r="O369" i="1"/>
  <c r="O370" i="1"/>
  <c r="O371" i="1"/>
  <c r="O372" i="1"/>
  <c r="O373" i="1"/>
  <c r="O374" i="1"/>
  <c r="O375" i="1"/>
  <c r="O376" i="1"/>
  <c r="O377" i="1"/>
  <c r="O378" i="1"/>
  <c r="O379" i="1"/>
  <c r="O384" i="1"/>
  <c r="O385" i="1"/>
  <c r="O386" i="1"/>
  <c r="O387" i="1"/>
  <c r="O388" i="1"/>
  <c r="O389" i="1"/>
  <c r="O390" i="1"/>
  <c r="O391" i="1"/>
  <c r="O392" i="1"/>
  <c r="O393" i="1"/>
  <c r="O394" i="1"/>
  <c r="O395" i="1"/>
  <c r="O396" i="1"/>
  <c r="O397" i="1"/>
  <c r="O398" i="1"/>
  <c r="O399" i="1"/>
  <c r="O400" i="1"/>
  <c r="O403" i="1"/>
  <c r="O404" i="1"/>
  <c r="O405" i="1"/>
  <c r="O406" i="1"/>
  <c r="O407" i="1"/>
  <c r="O408" i="1"/>
  <c r="O409" i="1"/>
  <c r="O410" i="1"/>
  <c r="O411" i="1"/>
  <c r="O412" i="1"/>
  <c r="O413" i="1"/>
  <c r="O414" i="1"/>
  <c r="O417" i="1"/>
  <c r="O418" i="1"/>
  <c r="O419" i="1"/>
  <c r="O420" i="1"/>
  <c r="O421" i="1"/>
  <c r="O422" i="1"/>
  <c r="O423" i="1"/>
  <c r="O424" i="1"/>
  <c r="O425" i="1"/>
  <c r="O426" i="1"/>
  <c r="O427" i="1"/>
  <c r="O428" i="1"/>
  <c r="O434" i="1"/>
  <c r="O435" i="1"/>
  <c r="O436" i="1"/>
  <c r="O437" i="1"/>
  <c r="O438" i="1"/>
  <c r="O439" i="1"/>
  <c r="O440" i="1"/>
  <c r="O441" i="1"/>
  <c r="O442" i="1"/>
  <c r="O445" i="1"/>
  <c r="O446" i="1"/>
  <c r="O447" i="1"/>
  <c r="O448" i="1"/>
  <c r="O449" i="1"/>
  <c r="O450" i="1"/>
  <c r="O451" i="1"/>
  <c r="O452" i="1"/>
  <c r="O453" i="1"/>
  <c r="O456" i="1"/>
  <c r="O457" i="1"/>
  <c r="O458" i="1"/>
  <c r="O459" i="1"/>
  <c r="O460" i="1"/>
  <c r="O461" i="1"/>
  <c r="O462" i="1"/>
  <c r="O463" i="1"/>
  <c r="O464" i="1"/>
  <c r="O465" i="1"/>
  <c r="O466" i="1"/>
  <c r="O467" i="1"/>
  <c r="O468" i="1"/>
  <c r="O469" i="1"/>
  <c r="O470" i="1"/>
  <c r="O472" i="1"/>
  <c r="O473" i="1"/>
  <c r="O478" i="1"/>
  <c r="O479" i="1"/>
  <c r="O198" i="1"/>
  <c r="O199" i="1"/>
  <c r="O200" i="1"/>
  <c r="O201" i="1"/>
  <c r="O202" i="1"/>
  <c r="O203" i="1"/>
  <c r="O204" i="1"/>
  <c r="O205" i="1"/>
  <c r="O206" i="1"/>
  <c r="O207" i="1"/>
  <c r="O208" i="1"/>
  <c r="O209" i="1"/>
  <c r="O210" i="1"/>
  <c r="O211" i="1"/>
  <c r="P80" i="1"/>
  <c r="P81" i="1"/>
  <c r="P82" i="1"/>
  <c r="P83" i="1"/>
  <c r="P84" i="1"/>
  <c r="P85" i="1"/>
  <c r="P86" i="1"/>
  <c r="P87" i="1"/>
  <c r="P88" i="1"/>
  <c r="P89" i="1"/>
  <c r="P90" i="1"/>
  <c r="P91" i="1"/>
  <c r="P64" i="1"/>
  <c r="P65" i="1"/>
  <c r="P66" i="1"/>
  <c r="P67" i="1"/>
  <c r="P68" i="1"/>
  <c r="P69" i="1"/>
  <c r="P70" i="1"/>
  <c r="P71" i="1"/>
  <c r="P72" i="1"/>
  <c r="P73" i="1"/>
  <c r="P74" i="1"/>
  <c r="P75" i="1"/>
  <c r="P76" i="1"/>
  <c r="P77" i="1"/>
  <c r="P48" i="1"/>
  <c r="P49" i="1"/>
  <c r="P50" i="1"/>
  <c r="P51" i="1"/>
  <c r="P52" i="1"/>
  <c r="P55" i="1"/>
  <c r="P56" i="1"/>
  <c r="P57" i="1"/>
  <c r="P58" i="1"/>
  <c r="P59" i="1"/>
  <c r="P60" i="1"/>
  <c r="P61"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4" i="1"/>
  <c r="P96" i="1"/>
  <c r="P97" i="1"/>
  <c r="P98" i="1"/>
  <c r="P100" i="1"/>
  <c r="P109" i="1"/>
  <c r="P110" i="1"/>
  <c r="P111" i="1"/>
  <c r="P113" i="1"/>
  <c r="P114" i="1"/>
  <c r="P115" i="1"/>
  <c r="P116" i="1"/>
  <c r="P117" i="1"/>
  <c r="P118" i="1"/>
  <c r="P119" i="1"/>
  <c r="P120" i="1"/>
  <c r="P121" i="1"/>
  <c r="P124" i="1"/>
  <c r="P127" i="1"/>
  <c r="P130" i="1"/>
  <c r="P131" i="1"/>
  <c r="P132" i="1"/>
  <c r="P133" i="1"/>
  <c r="P134" i="1"/>
  <c r="P135" i="1"/>
  <c r="P136" i="1"/>
  <c r="P137" i="1"/>
  <c r="P138" i="1"/>
  <c r="P139" i="1"/>
  <c r="P140" i="1"/>
  <c r="P141" i="1"/>
  <c r="P142" i="1"/>
  <c r="P143" i="1"/>
  <c r="P144" i="1"/>
  <c r="P145" i="1"/>
  <c r="P146" i="1"/>
  <c r="P149" i="1"/>
  <c r="P150" i="1"/>
  <c r="P151" i="1"/>
  <c r="P152" i="1"/>
  <c r="P153" i="1"/>
  <c r="P154" i="1"/>
  <c r="P155" i="1"/>
  <c r="P156" i="1"/>
  <c r="P157" i="1"/>
  <c r="P162" i="1"/>
  <c r="P165" i="1"/>
  <c r="P166" i="1"/>
  <c r="P167" i="1"/>
  <c r="P170" i="1"/>
  <c r="P171" i="1"/>
  <c r="P172" i="1"/>
  <c r="P173" i="1"/>
  <c r="P174" i="1"/>
  <c r="P175" i="1"/>
  <c r="P176" i="1"/>
  <c r="P177" i="1"/>
  <c r="P178" i="1"/>
  <c r="P179" i="1"/>
  <c r="P180" i="1"/>
  <c r="P181" i="1"/>
  <c r="P182" i="1"/>
  <c r="P183" i="1"/>
  <c r="P184" i="1"/>
  <c r="P185" i="1"/>
  <c r="P186" i="1"/>
  <c r="P187" i="1"/>
  <c r="P188" i="1"/>
  <c r="P189" i="1"/>
  <c r="P190" i="1"/>
  <c r="P191" i="1"/>
  <c r="P192" i="1"/>
  <c r="P193" i="1"/>
  <c r="P216" i="1"/>
  <c r="P217" i="1"/>
  <c r="P218" i="1"/>
  <c r="P219" i="1"/>
  <c r="P220" i="1"/>
  <c r="P221" i="1"/>
  <c r="P222" i="1"/>
  <c r="P223" i="1"/>
  <c r="P224" i="1"/>
  <c r="P227" i="1"/>
  <c r="P228" i="1"/>
  <c r="P229" i="1"/>
  <c r="P230" i="1"/>
  <c r="P231" i="1"/>
  <c r="P232" i="1"/>
  <c r="P233" i="1"/>
  <c r="P234" i="1"/>
  <c r="P235"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5" i="1"/>
  <c r="P278" i="1"/>
  <c r="P279" i="1"/>
  <c r="P280" i="1"/>
  <c r="P281" i="1"/>
  <c r="P283" i="1"/>
  <c r="P284" i="1"/>
  <c r="P285" i="1"/>
  <c r="P286" i="1"/>
  <c r="P287" i="1"/>
  <c r="P288" i="1"/>
  <c r="P289" i="1"/>
  <c r="P290" i="1"/>
  <c r="P291" i="1"/>
  <c r="P296" i="1"/>
  <c r="P297" i="1"/>
  <c r="P298" i="1"/>
  <c r="P299" i="1"/>
  <c r="P300" i="1"/>
  <c r="P301" i="1"/>
  <c r="P302" i="1"/>
  <c r="P303" i="1"/>
  <c r="P304" i="1"/>
  <c r="P305" i="1"/>
  <c r="P306" i="1"/>
  <c r="P307" i="1"/>
  <c r="P308" i="1"/>
  <c r="P309" i="1"/>
  <c r="P310" i="1"/>
  <c r="P311" i="1"/>
  <c r="P312" i="1"/>
  <c r="P313" i="1"/>
  <c r="P314" i="1"/>
  <c r="P315" i="1"/>
  <c r="P318" i="1"/>
  <c r="P322" i="1"/>
  <c r="P323" i="1"/>
  <c r="P324" i="1"/>
  <c r="P325" i="1"/>
  <c r="P326" i="1"/>
  <c r="P327" i="1"/>
  <c r="P328" i="1"/>
  <c r="P329" i="1"/>
  <c r="P330" i="1"/>
  <c r="P331" i="1"/>
  <c r="P332" i="1"/>
  <c r="P333" i="1"/>
  <c r="P336" i="1"/>
  <c r="P337" i="1"/>
  <c r="P338" i="1"/>
  <c r="P339" i="1"/>
  <c r="P340" i="1"/>
  <c r="P341" i="1"/>
  <c r="P342" i="1"/>
  <c r="P343" i="1"/>
  <c r="P344" i="1"/>
  <c r="P345" i="1"/>
  <c r="P346" i="1"/>
  <c r="P347" i="1"/>
  <c r="P348" i="1"/>
  <c r="P349" i="1"/>
  <c r="P350" i="1"/>
  <c r="P351" i="1"/>
  <c r="P353" i="1"/>
  <c r="P356" i="1"/>
  <c r="P357" i="1"/>
  <c r="P358" i="1"/>
  <c r="P361" i="1"/>
  <c r="P362" i="1"/>
  <c r="P363" i="1"/>
  <c r="P364" i="1"/>
  <c r="P365" i="1"/>
  <c r="P366" i="1"/>
  <c r="P367" i="1"/>
  <c r="P368" i="1"/>
  <c r="P369" i="1"/>
  <c r="P370" i="1"/>
  <c r="P371" i="1"/>
  <c r="P372" i="1"/>
  <c r="P373" i="1"/>
  <c r="P374" i="1"/>
  <c r="P375" i="1"/>
  <c r="P376" i="1"/>
  <c r="P377" i="1"/>
  <c r="P378" i="1"/>
  <c r="P379" i="1"/>
  <c r="P384" i="1"/>
  <c r="P385" i="1"/>
  <c r="P386" i="1"/>
  <c r="P387" i="1"/>
  <c r="P388" i="1"/>
  <c r="P389" i="1"/>
  <c r="P390" i="1"/>
  <c r="P391" i="1"/>
  <c r="P392" i="1"/>
  <c r="P393" i="1"/>
  <c r="P394" i="1"/>
  <c r="P395" i="1"/>
  <c r="P396" i="1"/>
  <c r="P397" i="1"/>
  <c r="P398" i="1"/>
  <c r="P399" i="1"/>
  <c r="P400" i="1"/>
  <c r="P403" i="1"/>
  <c r="P404" i="1"/>
  <c r="P405" i="1"/>
  <c r="P406" i="1"/>
  <c r="P407" i="1"/>
  <c r="P408" i="1"/>
  <c r="P409" i="1"/>
  <c r="P410" i="1"/>
  <c r="P411" i="1"/>
  <c r="P412" i="1"/>
  <c r="P413" i="1"/>
  <c r="P414" i="1"/>
  <c r="P417" i="1"/>
  <c r="P418" i="1"/>
  <c r="P419" i="1"/>
  <c r="P420" i="1"/>
  <c r="P421" i="1"/>
  <c r="P422" i="1"/>
  <c r="P423" i="1"/>
  <c r="P424" i="1"/>
  <c r="P425" i="1"/>
  <c r="P426" i="1"/>
  <c r="P427" i="1"/>
  <c r="P428" i="1"/>
  <c r="P434" i="1"/>
  <c r="P435" i="1"/>
  <c r="P436" i="1"/>
  <c r="P437" i="1"/>
  <c r="P438" i="1"/>
  <c r="P439" i="1"/>
  <c r="P440" i="1"/>
  <c r="P441" i="1"/>
  <c r="P442" i="1"/>
  <c r="P445" i="1"/>
  <c r="P446" i="1"/>
  <c r="P447" i="1"/>
  <c r="P448" i="1"/>
  <c r="P449" i="1"/>
  <c r="P450" i="1"/>
  <c r="P451" i="1"/>
  <c r="P452" i="1"/>
  <c r="P453" i="1"/>
  <c r="P456" i="1"/>
  <c r="P457" i="1"/>
  <c r="P458" i="1"/>
  <c r="P459" i="1"/>
  <c r="P460" i="1"/>
  <c r="P461" i="1"/>
  <c r="P462" i="1"/>
  <c r="P463" i="1"/>
  <c r="P464" i="1"/>
  <c r="P465" i="1"/>
  <c r="P466" i="1"/>
  <c r="P467" i="1"/>
  <c r="P468" i="1"/>
  <c r="P469" i="1"/>
  <c r="P470" i="1"/>
  <c r="P472" i="1"/>
  <c r="P473" i="1"/>
  <c r="P478" i="1"/>
  <c r="P479" i="1"/>
  <c r="P198" i="1"/>
  <c r="P199" i="1"/>
  <c r="P200" i="1"/>
  <c r="P201" i="1"/>
  <c r="P202" i="1"/>
  <c r="P203" i="1"/>
  <c r="P204" i="1"/>
  <c r="P205" i="1"/>
  <c r="P206" i="1"/>
  <c r="P207" i="1"/>
  <c r="P208" i="1"/>
  <c r="P209" i="1"/>
  <c r="P210" i="1"/>
  <c r="P211" i="1"/>
  <c r="Q80" i="1"/>
  <c r="Q81" i="1"/>
  <c r="Q82" i="1"/>
  <c r="Q83" i="1"/>
  <c r="Q84" i="1"/>
  <c r="Q85" i="1"/>
  <c r="Q86" i="1"/>
  <c r="Q87" i="1"/>
  <c r="Q88" i="1"/>
  <c r="Q89" i="1"/>
  <c r="Q90" i="1"/>
  <c r="Q91" i="1"/>
  <c r="Q64" i="1"/>
  <c r="Q65" i="1"/>
  <c r="Q66" i="1"/>
  <c r="Q67" i="1"/>
  <c r="Q68" i="1"/>
  <c r="Q69" i="1"/>
  <c r="Q70" i="1"/>
  <c r="Q71" i="1"/>
  <c r="Q72" i="1"/>
  <c r="Q73" i="1"/>
  <c r="Q74" i="1"/>
  <c r="Q75" i="1"/>
  <c r="Q76" i="1"/>
  <c r="Q77" i="1"/>
  <c r="Q48" i="1"/>
  <c r="Q49" i="1"/>
  <c r="Q50" i="1"/>
  <c r="Q51" i="1"/>
  <c r="Q52" i="1"/>
  <c r="Q55" i="1"/>
  <c r="Q56" i="1"/>
  <c r="Q57" i="1"/>
  <c r="Q58" i="1"/>
  <c r="Q59" i="1"/>
  <c r="Q60" i="1"/>
  <c r="Q61"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4" i="1"/>
  <c r="Q96" i="1"/>
  <c r="Q97" i="1"/>
  <c r="Q98" i="1"/>
  <c r="Q100" i="1"/>
  <c r="Q109" i="1"/>
  <c r="Q110" i="1"/>
  <c r="Q111" i="1"/>
  <c r="Q113" i="1"/>
  <c r="Q114" i="1"/>
  <c r="Q115" i="1"/>
  <c r="Q116" i="1"/>
  <c r="Q117" i="1"/>
  <c r="Q118" i="1"/>
  <c r="Q119" i="1"/>
  <c r="Q120" i="1"/>
  <c r="Q121" i="1"/>
  <c r="Q124" i="1"/>
  <c r="Q127" i="1"/>
  <c r="Q126" i="1" s="1"/>
  <c r="Q130" i="1"/>
  <c r="Q131" i="1"/>
  <c r="Q132" i="1"/>
  <c r="Q133" i="1"/>
  <c r="Q134" i="1"/>
  <c r="Q135" i="1"/>
  <c r="Q136" i="1"/>
  <c r="Q137" i="1"/>
  <c r="Q138" i="1"/>
  <c r="Q139" i="1"/>
  <c r="Q140" i="1"/>
  <c r="Q141" i="1"/>
  <c r="Q142" i="1"/>
  <c r="Q143" i="1"/>
  <c r="Q144" i="1"/>
  <c r="Q145" i="1"/>
  <c r="Q146" i="1"/>
  <c r="Q149" i="1"/>
  <c r="Q150" i="1"/>
  <c r="Q151" i="1"/>
  <c r="Q152" i="1"/>
  <c r="Q153" i="1"/>
  <c r="Q154" i="1"/>
  <c r="Q155" i="1"/>
  <c r="Q156" i="1"/>
  <c r="Q157" i="1"/>
  <c r="Q162" i="1"/>
  <c r="Q165" i="1"/>
  <c r="Q166" i="1"/>
  <c r="Q167" i="1"/>
  <c r="Q170" i="1"/>
  <c r="Q171" i="1"/>
  <c r="Q172" i="1"/>
  <c r="Q173" i="1"/>
  <c r="Q174" i="1"/>
  <c r="Q175" i="1"/>
  <c r="Q176" i="1"/>
  <c r="Q177" i="1"/>
  <c r="Q178" i="1"/>
  <c r="Q179" i="1"/>
  <c r="Q180" i="1"/>
  <c r="Q181" i="1"/>
  <c r="Q182" i="1"/>
  <c r="Q183" i="1"/>
  <c r="Q184" i="1"/>
  <c r="Q185" i="1"/>
  <c r="Q186" i="1"/>
  <c r="Q187" i="1"/>
  <c r="Q188" i="1"/>
  <c r="Q189" i="1"/>
  <c r="Q190" i="1"/>
  <c r="Q191" i="1"/>
  <c r="Q192" i="1"/>
  <c r="Q193" i="1"/>
  <c r="Q216" i="1"/>
  <c r="Q217" i="1"/>
  <c r="Q218" i="1"/>
  <c r="Q219" i="1"/>
  <c r="Q220" i="1"/>
  <c r="Q221" i="1"/>
  <c r="Q222" i="1"/>
  <c r="Q223" i="1"/>
  <c r="Q224" i="1"/>
  <c r="Q227" i="1"/>
  <c r="Q228" i="1"/>
  <c r="Q229" i="1"/>
  <c r="Q230" i="1"/>
  <c r="Q231" i="1"/>
  <c r="Q232" i="1"/>
  <c r="Q233" i="1"/>
  <c r="Q234" i="1"/>
  <c r="Q235"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5" i="1"/>
  <c r="Q278" i="1"/>
  <c r="Q279" i="1"/>
  <c r="Q280" i="1"/>
  <c r="Q281" i="1"/>
  <c r="Q283" i="1"/>
  <c r="Q284" i="1"/>
  <c r="Q285" i="1"/>
  <c r="Q286" i="1"/>
  <c r="Q287" i="1"/>
  <c r="Q288" i="1"/>
  <c r="Q289" i="1"/>
  <c r="Q290" i="1"/>
  <c r="Q291" i="1"/>
  <c r="Q296" i="1"/>
  <c r="Q297" i="1"/>
  <c r="Q298" i="1"/>
  <c r="Q299" i="1"/>
  <c r="Q300" i="1"/>
  <c r="Q301" i="1"/>
  <c r="Q302" i="1"/>
  <c r="Q303" i="1"/>
  <c r="Q304" i="1"/>
  <c r="Q305" i="1"/>
  <c r="Q306" i="1"/>
  <c r="Q307" i="1"/>
  <c r="Q308" i="1"/>
  <c r="Q309" i="1"/>
  <c r="Q310" i="1"/>
  <c r="Q311" i="1"/>
  <c r="Q312" i="1"/>
  <c r="Q313" i="1"/>
  <c r="Q314" i="1"/>
  <c r="Q315" i="1"/>
  <c r="Q318" i="1"/>
  <c r="Q322" i="1"/>
  <c r="Q323" i="1"/>
  <c r="Q324" i="1"/>
  <c r="Q325" i="1"/>
  <c r="Q326" i="1"/>
  <c r="Q327" i="1"/>
  <c r="Q328" i="1"/>
  <c r="Q329" i="1"/>
  <c r="Q330" i="1"/>
  <c r="Q331" i="1"/>
  <c r="Q332" i="1"/>
  <c r="Q333" i="1"/>
  <c r="Q336" i="1"/>
  <c r="Q337" i="1"/>
  <c r="Q338" i="1"/>
  <c r="Q339" i="1"/>
  <c r="Q340" i="1"/>
  <c r="Q341" i="1"/>
  <c r="Q342" i="1"/>
  <c r="Q343" i="1"/>
  <c r="Q344" i="1"/>
  <c r="Q345" i="1"/>
  <c r="Q346" i="1"/>
  <c r="Q347" i="1"/>
  <c r="Q348" i="1"/>
  <c r="Q349" i="1"/>
  <c r="Q350" i="1"/>
  <c r="Q351" i="1"/>
  <c r="Q353" i="1"/>
  <c r="Q356" i="1"/>
  <c r="Q357" i="1"/>
  <c r="Q358" i="1"/>
  <c r="Q361" i="1"/>
  <c r="Q362" i="1"/>
  <c r="Q363" i="1"/>
  <c r="Q364" i="1"/>
  <c r="Q365" i="1"/>
  <c r="Q366" i="1"/>
  <c r="Q367" i="1"/>
  <c r="Q368" i="1"/>
  <c r="Q369" i="1"/>
  <c r="Q370" i="1"/>
  <c r="Q371" i="1"/>
  <c r="Q372" i="1"/>
  <c r="Q373" i="1"/>
  <c r="Q374" i="1"/>
  <c r="Q375" i="1"/>
  <c r="Q376" i="1"/>
  <c r="Q377" i="1"/>
  <c r="Q378" i="1"/>
  <c r="Q379" i="1"/>
  <c r="Q384" i="1"/>
  <c r="Q385" i="1"/>
  <c r="Q386" i="1"/>
  <c r="Q387" i="1"/>
  <c r="Q388" i="1"/>
  <c r="Q389" i="1"/>
  <c r="Q390" i="1"/>
  <c r="Q391" i="1"/>
  <c r="Q392" i="1"/>
  <c r="Q393" i="1"/>
  <c r="Q394" i="1"/>
  <c r="Q395" i="1"/>
  <c r="Q396" i="1"/>
  <c r="Q397" i="1"/>
  <c r="Q398" i="1"/>
  <c r="Q399" i="1"/>
  <c r="Q400" i="1"/>
  <c r="Q403" i="1"/>
  <c r="Q404" i="1"/>
  <c r="Q405" i="1"/>
  <c r="Q406" i="1"/>
  <c r="Q407" i="1"/>
  <c r="Q408" i="1"/>
  <c r="Q409" i="1"/>
  <c r="Q410" i="1"/>
  <c r="Q411" i="1"/>
  <c r="Q412" i="1"/>
  <c r="Q413" i="1"/>
  <c r="Q414" i="1"/>
  <c r="Q417" i="1"/>
  <c r="Q418" i="1"/>
  <c r="Q419" i="1"/>
  <c r="Q420" i="1"/>
  <c r="Q421" i="1"/>
  <c r="Q422" i="1"/>
  <c r="Q423" i="1"/>
  <c r="Q424" i="1"/>
  <c r="Q425" i="1"/>
  <c r="Q426" i="1"/>
  <c r="Q427" i="1"/>
  <c r="Q428" i="1"/>
  <c r="Q434" i="1"/>
  <c r="Q435" i="1"/>
  <c r="Q436" i="1"/>
  <c r="Q437" i="1"/>
  <c r="Q438" i="1"/>
  <c r="Q439" i="1"/>
  <c r="Q440" i="1"/>
  <c r="Q441" i="1"/>
  <c r="Q442" i="1"/>
  <c r="Q445" i="1"/>
  <c r="Q446" i="1"/>
  <c r="Q447" i="1"/>
  <c r="Q448" i="1"/>
  <c r="Q449" i="1"/>
  <c r="Q450" i="1"/>
  <c r="Q451" i="1"/>
  <c r="Q452" i="1"/>
  <c r="Q453" i="1"/>
  <c r="Q456" i="1"/>
  <c r="Q457" i="1"/>
  <c r="Q458" i="1"/>
  <c r="Q459" i="1"/>
  <c r="Q460" i="1"/>
  <c r="Q461" i="1"/>
  <c r="Q462" i="1"/>
  <c r="Q463" i="1"/>
  <c r="Q464" i="1"/>
  <c r="Q465" i="1"/>
  <c r="Q466" i="1"/>
  <c r="Q467" i="1"/>
  <c r="Q468" i="1"/>
  <c r="Q469" i="1"/>
  <c r="Q470" i="1"/>
  <c r="Q472" i="1"/>
  <c r="Q473" i="1"/>
  <c r="Q478" i="1"/>
  <c r="Q479" i="1"/>
  <c r="Q198" i="1"/>
  <c r="Q199" i="1"/>
  <c r="Q200" i="1"/>
  <c r="Q201" i="1"/>
  <c r="Q202" i="1"/>
  <c r="Q203" i="1"/>
  <c r="Q204" i="1"/>
  <c r="Q205" i="1"/>
  <c r="Q206" i="1"/>
  <c r="Q207" i="1"/>
  <c r="Q208" i="1"/>
  <c r="Q209" i="1"/>
  <c r="Q210" i="1"/>
  <c r="Q211" i="1"/>
  <c r="R80" i="1"/>
  <c r="R81" i="1"/>
  <c r="R82" i="1"/>
  <c r="R83" i="1"/>
  <c r="R84" i="1"/>
  <c r="R85" i="1"/>
  <c r="R86" i="1"/>
  <c r="R87" i="1"/>
  <c r="R88" i="1"/>
  <c r="R89" i="1"/>
  <c r="R90" i="1"/>
  <c r="R91" i="1"/>
  <c r="R64" i="1"/>
  <c r="R65" i="1"/>
  <c r="R66" i="1"/>
  <c r="R67" i="1"/>
  <c r="R68" i="1"/>
  <c r="R69" i="1"/>
  <c r="R70" i="1"/>
  <c r="R71" i="1"/>
  <c r="R72" i="1"/>
  <c r="R73" i="1"/>
  <c r="R74" i="1"/>
  <c r="R75" i="1"/>
  <c r="R76" i="1"/>
  <c r="R77" i="1"/>
  <c r="R48" i="1"/>
  <c r="R49" i="1"/>
  <c r="R50" i="1"/>
  <c r="R51" i="1"/>
  <c r="R52" i="1"/>
  <c r="R55" i="1"/>
  <c r="R56" i="1"/>
  <c r="R57" i="1"/>
  <c r="R58" i="1"/>
  <c r="R59" i="1"/>
  <c r="R60" i="1"/>
  <c r="R61"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4" i="1"/>
  <c r="R96" i="1"/>
  <c r="R97" i="1"/>
  <c r="R98" i="1"/>
  <c r="R100" i="1"/>
  <c r="R109" i="1"/>
  <c r="R110" i="1"/>
  <c r="R111" i="1"/>
  <c r="R113" i="1"/>
  <c r="R114" i="1"/>
  <c r="R115" i="1"/>
  <c r="R116" i="1"/>
  <c r="R117" i="1"/>
  <c r="R118" i="1"/>
  <c r="R119" i="1"/>
  <c r="R120" i="1"/>
  <c r="R121" i="1"/>
  <c r="R124" i="1"/>
  <c r="R127" i="1"/>
  <c r="R130" i="1"/>
  <c r="R131" i="1"/>
  <c r="R132" i="1"/>
  <c r="R133" i="1"/>
  <c r="R134" i="1"/>
  <c r="R135" i="1"/>
  <c r="R136" i="1"/>
  <c r="R137" i="1"/>
  <c r="R138" i="1"/>
  <c r="R139" i="1"/>
  <c r="R140" i="1"/>
  <c r="R141" i="1"/>
  <c r="R142" i="1"/>
  <c r="R143" i="1"/>
  <c r="R144" i="1"/>
  <c r="R145" i="1"/>
  <c r="R146" i="1"/>
  <c r="R149" i="1"/>
  <c r="R150" i="1"/>
  <c r="R151" i="1"/>
  <c r="R152" i="1"/>
  <c r="R153" i="1"/>
  <c r="R154" i="1"/>
  <c r="R155" i="1"/>
  <c r="R156" i="1"/>
  <c r="R157" i="1"/>
  <c r="R162" i="1"/>
  <c r="R165" i="1"/>
  <c r="R166" i="1"/>
  <c r="R167" i="1"/>
  <c r="R170" i="1"/>
  <c r="R171" i="1"/>
  <c r="R172" i="1"/>
  <c r="R173" i="1"/>
  <c r="R174" i="1"/>
  <c r="R175" i="1"/>
  <c r="R176" i="1"/>
  <c r="R177" i="1"/>
  <c r="R178" i="1"/>
  <c r="R179" i="1"/>
  <c r="R180" i="1"/>
  <c r="R181" i="1"/>
  <c r="R182" i="1"/>
  <c r="R183" i="1"/>
  <c r="R184" i="1"/>
  <c r="R185" i="1"/>
  <c r="R186" i="1"/>
  <c r="R187" i="1"/>
  <c r="R188" i="1"/>
  <c r="R189" i="1"/>
  <c r="R190" i="1"/>
  <c r="R191" i="1"/>
  <c r="R192" i="1"/>
  <c r="R193" i="1"/>
  <c r="R216" i="1"/>
  <c r="R217" i="1"/>
  <c r="R218" i="1"/>
  <c r="R219" i="1"/>
  <c r="R220" i="1"/>
  <c r="R221" i="1"/>
  <c r="R222" i="1"/>
  <c r="R223" i="1"/>
  <c r="R224" i="1"/>
  <c r="R227" i="1"/>
  <c r="R228" i="1"/>
  <c r="R229" i="1"/>
  <c r="R230" i="1"/>
  <c r="R231" i="1"/>
  <c r="R232" i="1"/>
  <c r="R233" i="1"/>
  <c r="R234" i="1"/>
  <c r="R235"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5" i="1"/>
  <c r="R278" i="1"/>
  <c r="R279" i="1"/>
  <c r="R280" i="1"/>
  <c r="R281" i="1"/>
  <c r="R283" i="1"/>
  <c r="R284" i="1"/>
  <c r="R285" i="1"/>
  <c r="R286" i="1"/>
  <c r="R287" i="1"/>
  <c r="R288" i="1"/>
  <c r="R289" i="1"/>
  <c r="R290" i="1"/>
  <c r="R291" i="1"/>
  <c r="R296" i="1"/>
  <c r="R297" i="1"/>
  <c r="R298" i="1"/>
  <c r="R299" i="1"/>
  <c r="R300" i="1"/>
  <c r="R301" i="1"/>
  <c r="R302" i="1"/>
  <c r="R303" i="1"/>
  <c r="R304" i="1"/>
  <c r="R305" i="1"/>
  <c r="R306" i="1"/>
  <c r="R307" i="1"/>
  <c r="R308" i="1"/>
  <c r="R309" i="1"/>
  <c r="R310" i="1"/>
  <c r="R311" i="1"/>
  <c r="R312" i="1"/>
  <c r="R313" i="1"/>
  <c r="R314" i="1"/>
  <c r="R315" i="1"/>
  <c r="R318" i="1"/>
  <c r="R322" i="1"/>
  <c r="R323" i="1"/>
  <c r="R324" i="1"/>
  <c r="R325" i="1"/>
  <c r="R326" i="1"/>
  <c r="R327" i="1"/>
  <c r="R328" i="1"/>
  <c r="R329" i="1"/>
  <c r="R330" i="1"/>
  <c r="R331" i="1"/>
  <c r="R332" i="1"/>
  <c r="R333" i="1"/>
  <c r="R336" i="1"/>
  <c r="R337" i="1"/>
  <c r="R338" i="1"/>
  <c r="R339" i="1"/>
  <c r="R340" i="1"/>
  <c r="R341" i="1"/>
  <c r="R342" i="1"/>
  <c r="R343" i="1"/>
  <c r="R344" i="1"/>
  <c r="R345" i="1"/>
  <c r="R346" i="1"/>
  <c r="R347" i="1"/>
  <c r="R348" i="1"/>
  <c r="R349" i="1"/>
  <c r="R350" i="1"/>
  <c r="R351" i="1"/>
  <c r="R353" i="1"/>
  <c r="R356" i="1"/>
  <c r="R357" i="1"/>
  <c r="R358" i="1"/>
  <c r="R361" i="1"/>
  <c r="R362" i="1"/>
  <c r="R363" i="1"/>
  <c r="R364" i="1"/>
  <c r="R365" i="1"/>
  <c r="R366" i="1"/>
  <c r="R367" i="1"/>
  <c r="R368" i="1"/>
  <c r="R369" i="1"/>
  <c r="R370" i="1"/>
  <c r="R371" i="1"/>
  <c r="R372" i="1"/>
  <c r="R373" i="1"/>
  <c r="R374" i="1"/>
  <c r="R375" i="1"/>
  <c r="R376" i="1"/>
  <c r="R377" i="1"/>
  <c r="R378" i="1"/>
  <c r="R379" i="1"/>
  <c r="R384" i="1"/>
  <c r="R385" i="1"/>
  <c r="R386" i="1"/>
  <c r="R387" i="1"/>
  <c r="R388" i="1"/>
  <c r="R389" i="1"/>
  <c r="R390" i="1"/>
  <c r="R391" i="1"/>
  <c r="R392" i="1"/>
  <c r="R393" i="1"/>
  <c r="R394" i="1"/>
  <c r="R395" i="1"/>
  <c r="R396" i="1"/>
  <c r="R397" i="1"/>
  <c r="R398" i="1"/>
  <c r="R399" i="1"/>
  <c r="R400" i="1"/>
  <c r="R403" i="1"/>
  <c r="R404" i="1"/>
  <c r="R405" i="1"/>
  <c r="R406" i="1"/>
  <c r="R407" i="1"/>
  <c r="R408" i="1"/>
  <c r="R409" i="1"/>
  <c r="R410" i="1"/>
  <c r="R411" i="1"/>
  <c r="R412" i="1"/>
  <c r="R413" i="1"/>
  <c r="R414" i="1"/>
  <c r="R417" i="1"/>
  <c r="R418" i="1"/>
  <c r="R419" i="1"/>
  <c r="R420" i="1"/>
  <c r="R421" i="1"/>
  <c r="R422" i="1"/>
  <c r="R423" i="1"/>
  <c r="R424" i="1"/>
  <c r="R425" i="1"/>
  <c r="R426" i="1"/>
  <c r="R427" i="1"/>
  <c r="R428" i="1"/>
  <c r="R434" i="1"/>
  <c r="R435" i="1"/>
  <c r="R436" i="1"/>
  <c r="R437" i="1"/>
  <c r="R438" i="1"/>
  <c r="R439" i="1"/>
  <c r="R440" i="1"/>
  <c r="R441" i="1"/>
  <c r="R442" i="1"/>
  <c r="R445" i="1"/>
  <c r="R446" i="1"/>
  <c r="R447" i="1"/>
  <c r="R448" i="1"/>
  <c r="R449" i="1"/>
  <c r="R450" i="1"/>
  <c r="R451" i="1"/>
  <c r="R452" i="1"/>
  <c r="R453" i="1"/>
  <c r="R456" i="1"/>
  <c r="R457" i="1"/>
  <c r="R458" i="1"/>
  <c r="R459" i="1"/>
  <c r="R460" i="1"/>
  <c r="R461" i="1"/>
  <c r="R462" i="1"/>
  <c r="R463" i="1"/>
  <c r="R464" i="1"/>
  <c r="R465" i="1"/>
  <c r="R466" i="1"/>
  <c r="R467" i="1"/>
  <c r="R468" i="1"/>
  <c r="R469" i="1"/>
  <c r="R470" i="1"/>
  <c r="R472" i="1"/>
  <c r="R473" i="1"/>
  <c r="R478" i="1"/>
  <c r="R479" i="1"/>
  <c r="R198" i="1"/>
  <c r="R199" i="1"/>
  <c r="R200" i="1"/>
  <c r="R201" i="1"/>
  <c r="R202" i="1"/>
  <c r="R203" i="1"/>
  <c r="R204" i="1"/>
  <c r="R205" i="1"/>
  <c r="R206" i="1"/>
  <c r="R207" i="1"/>
  <c r="R208" i="1"/>
  <c r="R209" i="1"/>
  <c r="R210" i="1"/>
  <c r="R211" i="1"/>
  <c r="S80" i="1"/>
  <c r="S81" i="1"/>
  <c r="S82" i="1"/>
  <c r="S83" i="1"/>
  <c r="S84" i="1"/>
  <c r="S85" i="1"/>
  <c r="S86" i="1"/>
  <c r="S87" i="1"/>
  <c r="S88" i="1"/>
  <c r="S89" i="1"/>
  <c r="S90" i="1"/>
  <c r="S91" i="1"/>
  <c r="S64" i="1"/>
  <c r="S65" i="1"/>
  <c r="S66" i="1"/>
  <c r="S67" i="1"/>
  <c r="S68" i="1"/>
  <c r="S69" i="1"/>
  <c r="S70" i="1"/>
  <c r="S71" i="1"/>
  <c r="S72" i="1"/>
  <c r="S73" i="1"/>
  <c r="S74" i="1"/>
  <c r="S75" i="1"/>
  <c r="S76" i="1"/>
  <c r="S77" i="1"/>
  <c r="S48" i="1"/>
  <c r="S49" i="1"/>
  <c r="S50" i="1"/>
  <c r="S51" i="1"/>
  <c r="S52" i="1"/>
  <c r="S55" i="1"/>
  <c r="S56" i="1"/>
  <c r="S57" i="1"/>
  <c r="S58" i="1"/>
  <c r="S59" i="1"/>
  <c r="S60" i="1"/>
  <c r="S61"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4" i="1"/>
  <c r="S96" i="1"/>
  <c r="S97" i="1"/>
  <c r="S98" i="1"/>
  <c r="S100" i="1"/>
  <c r="S109" i="1"/>
  <c r="S110" i="1"/>
  <c r="S111" i="1"/>
  <c r="S113" i="1"/>
  <c r="S114" i="1"/>
  <c r="S115" i="1"/>
  <c r="S116" i="1"/>
  <c r="S117" i="1"/>
  <c r="S118" i="1"/>
  <c r="S119" i="1"/>
  <c r="S120" i="1"/>
  <c r="S121" i="1"/>
  <c r="S124" i="1"/>
  <c r="S127" i="1"/>
  <c r="S130" i="1"/>
  <c r="S131" i="1"/>
  <c r="S132" i="1"/>
  <c r="S133" i="1"/>
  <c r="S134" i="1"/>
  <c r="S135" i="1"/>
  <c r="S136" i="1"/>
  <c r="S137" i="1"/>
  <c r="S138" i="1"/>
  <c r="S139" i="1"/>
  <c r="S140" i="1"/>
  <c r="S141" i="1"/>
  <c r="S142" i="1"/>
  <c r="S143" i="1"/>
  <c r="S144" i="1"/>
  <c r="S145" i="1"/>
  <c r="S146" i="1"/>
  <c r="S149" i="1"/>
  <c r="S150" i="1"/>
  <c r="S151" i="1"/>
  <c r="S152" i="1"/>
  <c r="S153" i="1"/>
  <c r="S154" i="1"/>
  <c r="S155" i="1"/>
  <c r="S156" i="1"/>
  <c r="S157" i="1"/>
  <c r="S162" i="1"/>
  <c r="S165" i="1"/>
  <c r="S166" i="1"/>
  <c r="S167" i="1"/>
  <c r="S170" i="1"/>
  <c r="S171" i="1"/>
  <c r="S172" i="1"/>
  <c r="S173" i="1"/>
  <c r="S174" i="1"/>
  <c r="S175" i="1"/>
  <c r="S176" i="1"/>
  <c r="S177" i="1"/>
  <c r="S178" i="1"/>
  <c r="S179" i="1"/>
  <c r="S180" i="1"/>
  <c r="S181" i="1"/>
  <c r="S182" i="1"/>
  <c r="S183" i="1"/>
  <c r="S184" i="1"/>
  <c r="S185" i="1"/>
  <c r="S186" i="1"/>
  <c r="S187" i="1"/>
  <c r="S188" i="1"/>
  <c r="S189" i="1"/>
  <c r="S190" i="1"/>
  <c r="S191" i="1"/>
  <c r="S192" i="1"/>
  <c r="S193" i="1"/>
  <c r="S216" i="1"/>
  <c r="S217" i="1"/>
  <c r="S218" i="1"/>
  <c r="S219" i="1"/>
  <c r="S220" i="1"/>
  <c r="S221" i="1"/>
  <c r="S222" i="1"/>
  <c r="S223" i="1"/>
  <c r="S224" i="1"/>
  <c r="S227" i="1"/>
  <c r="S228" i="1"/>
  <c r="S229" i="1"/>
  <c r="S230" i="1"/>
  <c r="S231" i="1"/>
  <c r="S232" i="1"/>
  <c r="S233" i="1"/>
  <c r="S234" i="1"/>
  <c r="S235"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5" i="1"/>
  <c r="S278" i="1"/>
  <c r="S279" i="1"/>
  <c r="S280" i="1"/>
  <c r="S281" i="1"/>
  <c r="S283" i="1"/>
  <c r="S284" i="1"/>
  <c r="S285" i="1"/>
  <c r="S286" i="1"/>
  <c r="S287" i="1"/>
  <c r="S288" i="1"/>
  <c r="S289" i="1"/>
  <c r="S290" i="1"/>
  <c r="S291" i="1"/>
  <c r="S296" i="1"/>
  <c r="S297" i="1"/>
  <c r="S298" i="1"/>
  <c r="S299" i="1"/>
  <c r="S300" i="1"/>
  <c r="S301" i="1"/>
  <c r="S302" i="1"/>
  <c r="S303" i="1"/>
  <c r="S304" i="1"/>
  <c r="S305" i="1"/>
  <c r="S306" i="1"/>
  <c r="S307" i="1"/>
  <c r="S308" i="1"/>
  <c r="S309" i="1"/>
  <c r="S310" i="1"/>
  <c r="S311" i="1"/>
  <c r="S312" i="1"/>
  <c r="S313" i="1"/>
  <c r="S314" i="1"/>
  <c r="S315" i="1"/>
  <c r="S318" i="1"/>
  <c r="S322" i="1"/>
  <c r="S323" i="1"/>
  <c r="S324" i="1"/>
  <c r="S325" i="1"/>
  <c r="S326" i="1"/>
  <c r="S327" i="1"/>
  <c r="S328" i="1"/>
  <c r="S329" i="1"/>
  <c r="S330" i="1"/>
  <c r="S331" i="1"/>
  <c r="S332" i="1"/>
  <c r="S333" i="1"/>
  <c r="S336" i="1"/>
  <c r="S337" i="1"/>
  <c r="S338" i="1"/>
  <c r="S339" i="1"/>
  <c r="S340" i="1"/>
  <c r="S341" i="1"/>
  <c r="S342" i="1"/>
  <c r="S343" i="1"/>
  <c r="S344" i="1"/>
  <c r="S345" i="1"/>
  <c r="S346" i="1"/>
  <c r="S347" i="1"/>
  <c r="S348" i="1"/>
  <c r="S349" i="1"/>
  <c r="S350" i="1"/>
  <c r="S351" i="1"/>
  <c r="S353" i="1"/>
  <c r="S356" i="1"/>
  <c r="S357" i="1"/>
  <c r="S358" i="1"/>
  <c r="S361" i="1"/>
  <c r="S362" i="1"/>
  <c r="S363" i="1"/>
  <c r="S364" i="1"/>
  <c r="S365" i="1"/>
  <c r="S366" i="1"/>
  <c r="S367" i="1"/>
  <c r="S368" i="1"/>
  <c r="S369" i="1"/>
  <c r="S370" i="1"/>
  <c r="S371" i="1"/>
  <c r="S372" i="1"/>
  <c r="S373" i="1"/>
  <c r="S374" i="1"/>
  <c r="S375" i="1"/>
  <c r="S376" i="1"/>
  <c r="S377" i="1"/>
  <c r="S378" i="1"/>
  <c r="S379" i="1"/>
  <c r="S384" i="1"/>
  <c r="S385" i="1"/>
  <c r="S386" i="1"/>
  <c r="S387" i="1"/>
  <c r="S388" i="1"/>
  <c r="S389" i="1"/>
  <c r="S390" i="1"/>
  <c r="S391" i="1"/>
  <c r="S392" i="1"/>
  <c r="S393" i="1"/>
  <c r="S394" i="1"/>
  <c r="S395" i="1"/>
  <c r="S396" i="1"/>
  <c r="S397" i="1"/>
  <c r="S398" i="1"/>
  <c r="S399" i="1"/>
  <c r="S400" i="1"/>
  <c r="S403" i="1"/>
  <c r="S404" i="1"/>
  <c r="S405" i="1"/>
  <c r="S406" i="1"/>
  <c r="S407" i="1"/>
  <c r="S408" i="1"/>
  <c r="S409" i="1"/>
  <c r="S410" i="1"/>
  <c r="S411" i="1"/>
  <c r="S412" i="1"/>
  <c r="S413" i="1"/>
  <c r="S414" i="1"/>
  <c r="S417" i="1"/>
  <c r="S418" i="1"/>
  <c r="S419" i="1"/>
  <c r="S420" i="1"/>
  <c r="S421" i="1"/>
  <c r="S422" i="1"/>
  <c r="S423" i="1"/>
  <c r="S424" i="1"/>
  <c r="S425" i="1"/>
  <c r="S426" i="1"/>
  <c r="S427" i="1"/>
  <c r="S428" i="1"/>
  <c r="S434" i="1"/>
  <c r="S435" i="1"/>
  <c r="S436" i="1"/>
  <c r="S437" i="1"/>
  <c r="S438" i="1"/>
  <c r="S439" i="1"/>
  <c r="S440" i="1"/>
  <c r="S441" i="1"/>
  <c r="S442" i="1"/>
  <c r="S445" i="1"/>
  <c r="S446" i="1"/>
  <c r="S447" i="1"/>
  <c r="S448" i="1"/>
  <c r="S449" i="1"/>
  <c r="S450" i="1"/>
  <c r="S451" i="1"/>
  <c r="S452" i="1"/>
  <c r="S453" i="1"/>
  <c r="S456" i="1"/>
  <c r="S457" i="1"/>
  <c r="S458" i="1"/>
  <c r="S459" i="1"/>
  <c r="S460" i="1"/>
  <c r="S461" i="1"/>
  <c r="S462" i="1"/>
  <c r="S463" i="1"/>
  <c r="S464" i="1"/>
  <c r="S465" i="1"/>
  <c r="S466" i="1"/>
  <c r="S467" i="1"/>
  <c r="S468" i="1"/>
  <c r="S469" i="1"/>
  <c r="S470" i="1"/>
  <c r="S472" i="1"/>
  <c r="S473" i="1"/>
  <c r="S478" i="1"/>
  <c r="S479" i="1"/>
  <c r="S198" i="1"/>
  <c r="S199" i="1"/>
  <c r="S200" i="1"/>
  <c r="S201" i="1"/>
  <c r="S202" i="1"/>
  <c r="S203" i="1"/>
  <c r="S204" i="1"/>
  <c r="S205" i="1"/>
  <c r="S206" i="1"/>
  <c r="S207" i="1"/>
  <c r="S208" i="1"/>
  <c r="S209" i="1"/>
  <c r="S210" i="1"/>
  <c r="S211" i="1"/>
  <c r="T80" i="1"/>
  <c r="T81" i="1"/>
  <c r="T82" i="1"/>
  <c r="T83" i="1"/>
  <c r="T84" i="1"/>
  <c r="T85" i="1"/>
  <c r="T86" i="1"/>
  <c r="T87" i="1"/>
  <c r="T88" i="1"/>
  <c r="T89" i="1"/>
  <c r="T90" i="1"/>
  <c r="T91" i="1"/>
  <c r="T64" i="1"/>
  <c r="T65" i="1"/>
  <c r="T66" i="1"/>
  <c r="T67" i="1"/>
  <c r="T68" i="1"/>
  <c r="T69" i="1"/>
  <c r="T70" i="1"/>
  <c r="T71" i="1"/>
  <c r="T72" i="1"/>
  <c r="T73" i="1"/>
  <c r="T74" i="1"/>
  <c r="T75" i="1"/>
  <c r="T76" i="1"/>
  <c r="T77" i="1"/>
  <c r="T48" i="1"/>
  <c r="T49" i="1"/>
  <c r="T50" i="1"/>
  <c r="T51" i="1"/>
  <c r="T52" i="1"/>
  <c r="T55" i="1"/>
  <c r="T56" i="1"/>
  <c r="T57" i="1"/>
  <c r="T58" i="1"/>
  <c r="T59" i="1"/>
  <c r="T60" i="1"/>
  <c r="T61"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4" i="1"/>
  <c r="T96" i="1"/>
  <c r="T97" i="1"/>
  <c r="T98" i="1"/>
  <c r="T100" i="1"/>
  <c r="T109" i="1"/>
  <c r="T110" i="1"/>
  <c r="T111" i="1"/>
  <c r="T113" i="1"/>
  <c r="T114" i="1"/>
  <c r="T115" i="1"/>
  <c r="T116" i="1"/>
  <c r="T117" i="1"/>
  <c r="T118" i="1"/>
  <c r="T119" i="1"/>
  <c r="T120" i="1"/>
  <c r="T121" i="1"/>
  <c r="T124" i="1"/>
  <c r="T127" i="1"/>
  <c r="T130" i="1"/>
  <c r="T131" i="1"/>
  <c r="T132" i="1"/>
  <c r="T133" i="1"/>
  <c r="T134" i="1"/>
  <c r="T135" i="1"/>
  <c r="T136" i="1"/>
  <c r="T137" i="1"/>
  <c r="T138" i="1"/>
  <c r="T139" i="1"/>
  <c r="T140" i="1"/>
  <c r="T141" i="1"/>
  <c r="T142" i="1"/>
  <c r="T143" i="1"/>
  <c r="T144" i="1"/>
  <c r="T145" i="1"/>
  <c r="T146" i="1"/>
  <c r="T149" i="1"/>
  <c r="T150" i="1"/>
  <c r="T151" i="1"/>
  <c r="T152" i="1"/>
  <c r="T153" i="1"/>
  <c r="T154" i="1"/>
  <c r="T155" i="1"/>
  <c r="T156" i="1"/>
  <c r="T157" i="1"/>
  <c r="T162" i="1"/>
  <c r="T165" i="1"/>
  <c r="T166" i="1"/>
  <c r="T167" i="1"/>
  <c r="T170" i="1"/>
  <c r="T171" i="1"/>
  <c r="T172" i="1"/>
  <c r="T173" i="1"/>
  <c r="T174" i="1"/>
  <c r="T175" i="1"/>
  <c r="T176" i="1"/>
  <c r="T177" i="1"/>
  <c r="T178" i="1"/>
  <c r="T179" i="1"/>
  <c r="T180" i="1"/>
  <c r="T181" i="1"/>
  <c r="T182" i="1"/>
  <c r="T183" i="1"/>
  <c r="T184" i="1"/>
  <c r="U184" i="3" s="1"/>
  <c r="T185" i="1"/>
  <c r="T186" i="1"/>
  <c r="T187" i="1"/>
  <c r="T188" i="1"/>
  <c r="U188" i="3" s="1"/>
  <c r="T189" i="1"/>
  <c r="T190" i="1"/>
  <c r="T191" i="1"/>
  <c r="T192" i="1"/>
  <c r="U192" i="3" s="1"/>
  <c r="T193" i="1"/>
  <c r="T216" i="1"/>
  <c r="U216" i="3" s="1"/>
  <c r="T217" i="1"/>
  <c r="T218" i="1"/>
  <c r="T219" i="1"/>
  <c r="T220" i="1"/>
  <c r="U220" i="3" s="1"/>
  <c r="T221" i="1"/>
  <c r="T222" i="1"/>
  <c r="T223" i="1"/>
  <c r="T224" i="1"/>
  <c r="U224" i="3" s="1"/>
  <c r="T227" i="1"/>
  <c r="T228" i="1"/>
  <c r="U228" i="3" s="1"/>
  <c r="T229" i="1"/>
  <c r="T230" i="1"/>
  <c r="T231" i="1"/>
  <c r="T232" i="1"/>
  <c r="U232" i="3" s="1"/>
  <c r="T233" i="1"/>
  <c r="T234" i="1"/>
  <c r="U234" i="3" s="1"/>
  <c r="T235" i="1"/>
  <c r="T239" i="1"/>
  <c r="U239" i="3" s="1"/>
  <c r="T240" i="1"/>
  <c r="T241" i="1"/>
  <c r="T242" i="1"/>
  <c r="T243" i="1"/>
  <c r="U243" i="3" s="1"/>
  <c r="T244" i="1"/>
  <c r="T245" i="1"/>
  <c r="U245" i="3" s="1"/>
  <c r="T246" i="1"/>
  <c r="T247" i="1"/>
  <c r="T248" i="1"/>
  <c r="T249" i="1"/>
  <c r="T250" i="1"/>
  <c r="T251" i="1"/>
  <c r="U251" i="3" s="1"/>
  <c r="T252" i="1"/>
  <c r="T253" i="1"/>
  <c r="U253" i="3" s="1"/>
  <c r="T254" i="1"/>
  <c r="T255" i="1"/>
  <c r="U255" i="3" s="1"/>
  <c r="T256" i="1"/>
  <c r="T257" i="1"/>
  <c r="U257" i="3" s="1"/>
  <c r="T258" i="1"/>
  <c r="T259" i="1"/>
  <c r="T260" i="1"/>
  <c r="T261" i="1"/>
  <c r="T262" i="1"/>
  <c r="T263" i="1"/>
  <c r="T264" i="1"/>
  <c r="T265" i="1"/>
  <c r="U265" i="3" s="1"/>
  <c r="T266" i="1"/>
  <c r="T267" i="1"/>
  <c r="U267" i="3" s="1"/>
  <c r="T268" i="1"/>
  <c r="T269" i="1"/>
  <c r="U269" i="3" s="1"/>
  <c r="T270" i="1"/>
  <c r="T271" i="1"/>
  <c r="U271" i="3" s="1"/>
  <c r="T272" i="1"/>
  <c r="T273" i="1"/>
  <c r="U273" i="3" s="1"/>
  <c r="T275" i="1"/>
  <c r="T278" i="1"/>
  <c r="U278" i="3" s="1"/>
  <c r="T279" i="1"/>
  <c r="T280" i="1"/>
  <c r="T281" i="1"/>
  <c r="T283" i="1"/>
  <c r="U283" i="3" s="1"/>
  <c r="T284" i="1"/>
  <c r="T285" i="1"/>
  <c r="T286" i="1"/>
  <c r="T287" i="1"/>
  <c r="U287" i="3" s="1"/>
  <c r="T288" i="1"/>
  <c r="T289" i="1"/>
  <c r="U289" i="3" s="1"/>
  <c r="T290" i="1"/>
  <c r="T291" i="1"/>
  <c r="T296" i="1"/>
  <c r="T297" i="1"/>
  <c r="U297" i="3" s="1"/>
  <c r="T298" i="1"/>
  <c r="T299" i="1"/>
  <c r="U299" i="3" s="1"/>
  <c r="T300" i="1"/>
  <c r="T301" i="1"/>
  <c r="U301" i="3" s="1"/>
  <c r="T302" i="1"/>
  <c r="T303" i="1"/>
  <c r="T304" i="1"/>
  <c r="T305" i="1"/>
  <c r="U305" i="3" s="1"/>
  <c r="T306" i="1"/>
  <c r="T307" i="1"/>
  <c r="U307" i="3" s="1"/>
  <c r="T308" i="1"/>
  <c r="T309" i="1"/>
  <c r="U309" i="3" s="1"/>
  <c r="T310" i="1"/>
  <c r="T311" i="1"/>
  <c r="T312" i="1"/>
  <c r="T313" i="1"/>
  <c r="U313" i="3" s="1"/>
  <c r="T314" i="1"/>
  <c r="T315" i="1"/>
  <c r="U315" i="3" s="1"/>
  <c r="T318" i="1"/>
  <c r="T322" i="1"/>
  <c r="T323" i="1"/>
  <c r="T324" i="1"/>
  <c r="U324" i="3" s="1"/>
  <c r="T325" i="1"/>
  <c r="T326" i="1"/>
  <c r="U326" i="3" s="1"/>
  <c r="T327" i="1"/>
  <c r="T328" i="1"/>
  <c r="U328" i="3" s="1"/>
  <c r="T329" i="1"/>
  <c r="T330" i="1"/>
  <c r="T331" i="1"/>
  <c r="T332" i="1"/>
  <c r="T333" i="1"/>
  <c r="T336" i="1"/>
  <c r="T337" i="1"/>
  <c r="T338" i="1"/>
  <c r="T339" i="1"/>
  <c r="T340" i="1"/>
  <c r="T341" i="1"/>
  <c r="T342" i="1"/>
  <c r="T343" i="1"/>
  <c r="T344" i="1"/>
  <c r="T345" i="1"/>
  <c r="T346" i="1"/>
  <c r="T347" i="1"/>
  <c r="T348" i="1"/>
  <c r="T349" i="1"/>
  <c r="T350" i="1"/>
  <c r="T351" i="1"/>
  <c r="T353" i="1"/>
  <c r="T356" i="1"/>
  <c r="T357" i="1"/>
  <c r="T358" i="1"/>
  <c r="T361" i="1"/>
  <c r="T362" i="1"/>
  <c r="T363" i="1"/>
  <c r="T364" i="1"/>
  <c r="T365" i="1"/>
  <c r="T366" i="1"/>
  <c r="T367" i="1"/>
  <c r="T368" i="1"/>
  <c r="T369" i="1"/>
  <c r="T370" i="1"/>
  <c r="T371" i="1"/>
  <c r="T372" i="1"/>
  <c r="T373" i="1"/>
  <c r="T374" i="1"/>
  <c r="T375" i="1"/>
  <c r="T376" i="1"/>
  <c r="T377" i="1"/>
  <c r="T378" i="1"/>
  <c r="T379" i="1"/>
  <c r="T384" i="1"/>
  <c r="T385" i="1"/>
  <c r="T386" i="1"/>
  <c r="T387" i="1"/>
  <c r="T388" i="1"/>
  <c r="T389" i="1"/>
  <c r="T390" i="1"/>
  <c r="T391" i="1"/>
  <c r="T392" i="1"/>
  <c r="T393" i="1"/>
  <c r="T394" i="1"/>
  <c r="T395" i="1"/>
  <c r="T396" i="1"/>
  <c r="T397" i="1"/>
  <c r="T398" i="1"/>
  <c r="T399" i="1"/>
  <c r="T400" i="1"/>
  <c r="T403" i="1"/>
  <c r="T404" i="1"/>
  <c r="T405" i="1"/>
  <c r="T406" i="1"/>
  <c r="T407" i="1"/>
  <c r="T408" i="1"/>
  <c r="T409" i="1"/>
  <c r="T410" i="1"/>
  <c r="T411" i="1"/>
  <c r="T412" i="1"/>
  <c r="T413" i="1"/>
  <c r="T414" i="1"/>
  <c r="T417" i="1"/>
  <c r="T418" i="1"/>
  <c r="T419" i="1"/>
  <c r="T420" i="1"/>
  <c r="T421" i="1"/>
  <c r="T422" i="1"/>
  <c r="T423" i="1"/>
  <c r="T424" i="1"/>
  <c r="T425" i="1"/>
  <c r="T426" i="1"/>
  <c r="T427" i="1"/>
  <c r="T428" i="1"/>
  <c r="T434" i="1"/>
  <c r="T435" i="1"/>
  <c r="T436" i="1"/>
  <c r="T437" i="1"/>
  <c r="T438" i="1"/>
  <c r="T439" i="1"/>
  <c r="T440" i="1"/>
  <c r="T441" i="1"/>
  <c r="T442" i="1"/>
  <c r="T445" i="1"/>
  <c r="T446" i="1"/>
  <c r="T447" i="1"/>
  <c r="T448" i="1"/>
  <c r="T449" i="1"/>
  <c r="T450" i="1"/>
  <c r="T451" i="1"/>
  <c r="T452" i="1"/>
  <c r="T453" i="1"/>
  <c r="T456" i="1"/>
  <c r="T457" i="1"/>
  <c r="T458" i="1"/>
  <c r="T459" i="1"/>
  <c r="T460" i="1"/>
  <c r="T461" i="1"/>
  <c r="T462" i="1"/>
  <c r="T463" i="1"/>
  <c r="T464" i="1"/>
  <c r="T465" i="1"/>
  <c r="T466" i="1"/>
  <c r="T467" i="1"/>
  <c r="T468" i="1"/>
  <c r="T469" i="1"/>
  <c r="T470" i="1"/>
  <c r="T472" i="1"/>
  <c r="T473" i="1"/>
  <c r="T478" i="1"/>
  <c r="T479" i="1"/>
  <c r="T198" i="1"/>
  <c r="T199" i="1"/>
  <c r="T200" i="1"/>
  <c r="T201" i="1"/>
  <c r="T202" i="1"/>
  <c r="T203" i="1"/>
  <c r="T204" i="1"/>
  <c r="T205" i="1"/>
  <c r="T206" i="1"/>
  <c r="T207" i="1"/>
  <c r="T208" i="1"/>
  <c r="T209" i="1"/>
  <c r="T210" i="1"/>
  <c r="T211" i="1"/>
  <c r="U80" i="1"/>
  <c r="U81" i="1"/>
  <c r="U82" i="1"/>
  <c r="U83" i="1"/>
  <c r="U84" i="1"/>
  <c r="U85" i="1"/>
  <c r="U86" i="1"/>
  <c r="U87" i="1"/>
  <c r="U88" i="1"/>
  <c r="U89" i="1"/>
  <c r="U90" i="1"/>
  <c r="U91" i="1"/>
  <c r="U64" i="1"/>
  <c r="U65" i="1"/>
  <c r="U66" i="1"/>
  <c r="U67" i="1"/>
  <c r="U68" i="1"/>
  <c r="U69" i="1"/>
  <c r="U70" i="1"/>
  <c r="U71" i="1"/>
  <c r="U72" i="1"/>
  <c r="U73" i="1"/>
  <c r="U74" i="1"/>
  <c r="U75" i="1"/>
  <c r="U76" i="1"/>
  <c r="U77" i="1"/>
  <c r="U48" i="1"/>
  <c r="U49" i="1"/>
  <c r="U50" i="1"/>
  <c r="U51" i="1"/>
  <c r="U52" i="1"/>
  <c r="U55" i="1"/>
  <c r="U56" i="1"/>
  <c r="U57" i="1"/>
  <c r="U58" i="1"/>
  <c r="U59" i="1"/>
  <c r="U60" i="1"/>
  <c r="U61"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4" i="1"/>
  <c r="U96" i="1"/>
  <c r="U97" i="1"/>
  <c r="U98" i="1"/>
  <c r="U100" i="1"/>
  <c r="U109" i="1"/>
  <c r="U110" i="1"/>
  <c r="U111" i="1"/>
  <c r="U113" i="1"/>
  <c r="U114" i="1"/>
  <c r="U115" i="1"/>
  <c r="U116" i="1"/>
  <c r="U117" i="1"/>
  <c r="U118" i="1"/>
  <c r="U119" i="1"/>
  <c r="U120" i="1"/>
  <c r="U121" i="1"/>
  <c r="U124" i="1"/>
  <c r="U127" i="1"/>
  <c r="U130" i="1"/>
  <c r="U131" i="1"/>
  <c r="U132" i="1"/>
  <c r="U133" i="1"/>
  <c r="U134" i="1"/>
  <c r="U135" i="1"/>
  <c r="U136" i="1"/>
  <c r="U137" i="1"/>
  <c r="U138" i="1"/>
  <c r="U139" i="1"/>
  <c r="U140" i="1"/>
  <c r="U141" i="1"/>
  <c r="U142" i="1"/>
  <c r="U143" i="1"/>
  <c r="U144" i="1"/>
  <c r="U145" i="1"/>
  <c r="U146" i="1"/>
  <c r="U149" i="1"/>
  <c r="U150" i="1"/>
  <c r="U151" i="1"/>
  <c r="U152" i="1"/>
  <c r="U153" i="1"/>
  <c r="U154" i="1"/>
  <c r="U155" i="1"/>
  <c r="U156" i="1"/>
  <c r="U157" i="1"/>
  <c r="U162" i="1"/>
  <c r="U165" i="1"/>
  <c r="U166" i="1"/>
  <c r="U167" i="1"/>
  <c r="U170" i="1"/>
  <c r="U171" i="1"/>
  <c r="U172" i="1"/>
  <c r="U173" i="1"/>
  <c r="U174" i="1"/>
  <c r="U175" i="1"/>
  <c r="U176" i="1"/>
  <c r="U177" i="1"/>
  <c r="U178" i="1"/>
  <c r="U179" i="1"/>
  <c r="U180" i="1"/>
  <c r="U181" i="1"/>
  <c r="U182" i="1"/>
  <c r="U183" i="1"/>
  <c r="U184" i="1"/>
  <c r="U185" i="1"/>
  <c r="U186" i="1"/>
  <c r="U187" i="1"/>
  <c r="U188" i="1"/>
  <c r="U189" i="1"/>
  <c r="U190" i="1"/>
  <c r="U191" i="1"/>
  <c r="U192" i="1"/>
  <c r="U193" i="1"/>
  <c r="U216" i="1"/>
  <c r="U217" i="1"/>
  <c r="U218" i="1"/>
  <c r="U219" i="1"/>
  <c r="U220" i="1"/>
  <c r="U221" i="1"/>
  <c r="U222" i="1"/>
  <c r="U223" i="1"/>
  <c r="U224" i="1"/>
  <c r="U227" i="1"/>
  <c r="U228" i="1"/>
  <c r="U229" i="1"/>
  <c r="U230" i="1"/>
  <c r="U231" i="1"/>
  <c r="U232" i="1"/>
  <c r="U233" i="1"/>
  <c r="U234" i="1"/>
  <c r="U235"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5" i="1"/>
  <c r="U278" i="1"/>
  <c r="U279" i="1"/>
  <c r="U280" i="1"/>
  <c r="U281" i="1"/>
  <c r="U283" i="1"/>
  <c r="U284" i="1"/>
  <c r="U285" i="1"/>
  <c r="U286" i="1"/>
  <c r="U287" i="1"/>
  <c r="U288" i="1"/>
  <c r="U289" i="1"/>
  <c r="U290" i="1"/>
  <c r="U291" i="1"/>
  <c r="U296" i="1"/>
  <c r="U297" i="1"/>
  <c r="U298" i="1"/>
  <c r="U299" i="1"/>
  <c r="U300" i="1"/>
  <c r="U301" i="1"/>
  <c r="U302" i="1"/>
  <c r="U303" i="1"/>
  <c r="U304" i="1"/>
  <c r="U305" i="1"/>
  <c r="U306" i="1"/>
  <c r="U307" i="1"/>
  <c r="U308" i="1"/>
  <c r="U309" i="1"/>
  <c r="U310" i="1"/>
  <c r="U311" i="1"/>
  <c r="U312" i="1"/>
  <c r="U313" i="1"/>
  <c r="U314" i="1"/>
  <c r="U315" i="1"/>
  <c r="U318" i="1"/>
  <c r="U322" i="1"/>
  <c r="U323" i="1"/>
  <c r="U324" i="1"/>
  <c r="U325" i="1"/>
  <c r="U326" i="1"/>
  <c r="U327" i="1"/>
  <c r="U328" i="1"/>
  <c r="U329" i="1"/>
  <c r="U330" i="1"/>
  <c r="U331" i="1"/>
  <c r="U332" i="1"/>
  <c r="U333" i="1"/>
  <c r="U336" i="1"/>
  <c r="U337" i="1"/>
  <c r="U338" i="1"/>
  <c r="U339" i="1"/>
  <c r="U340" i="1"/>
  <c r="U341" i="1"/>
  <c r="U342" i="1"/>
  <c r="U343" i="1"/>
  <c r="U344" i="1"/>
  <c r="U345" i="1"/>
  <c r="U346" i="1"/>
  <c r="U347" i="1"/>
  <c r="U348" i="1"/>
  <c r="U349" i="1"/>
  <c r="U350" i="1"/>
  <c r="U351" i="1"/>
  <c r="U353" i="1"/>
  <c r="U356" i="1"/>
  <c r="U357" i="1"/>
  <c r="U358" i="1"/>
  <c r="U361" i="1"/>
  <c r="U362" i="1"/>
  <c r="U363" i="1"/>
  <c r="U364" i="1"/>
  <c r="U365" i="1"/>
  <c r="U366" i="1"/>
  <c r="U367" i="1"/>
  <c r="U368" i="1"/>
  <c r="U369" i="1"/>
  <c r="U370" i="1"/>
  <c r="U371" i="1"/>
  <c r="U372" i="1"/>
  <c r="U373" i="1"/>
  <c r="U374" i="1"/>
  <c r="U375" i="1"/>
  <c r="U376" i="1"/>
  <c r="U377" i="1"/>
  <c r="U378" i="1"/>
  <c r="U379" i="1"/>
  <c r="U384" i="1"/>
  <c r="U385" i="1"/>
  <c r="U386" i="1"/>
  <c r="U387" i="1"/>
  <c r="U388" i="1"/>
  <c r="U389" i="1"/>
  <c r="U390" i="1"/>
  <c r="U391" i="1"/>
  <c r="U392" i="1"/>
  <c r="U393" i="1"/>
  <c r="U394" i="1"/>
  <c r="U395" i="1"/>
  <c r="U396" i="1"/>
  <c r="U397" i="1"/>
  <c r="U398" i="1"/>
  <c r="U399" i="1"/>
  <c r="U400" i="1"/>
  <c r="U403" i="1"/>
  <c r="U404" i="1"/>
  <c r="U405" i="1"/>
  <c r="U406" i="1"/>
  <c r="U407" i="1"/>
  <c r="U408" i="1"/>
  <c r="U409" i="1"/>
  <c r="U410" i="1"/>
  <c r="U411" i="1"/>
  <c r="U412" i="1"/>
  <c r="U413" i="1"/>
  <c r="U414" i="1"/>
  <c r="U417" i="1"/>
  <c r="U418" i="1"/>
  <c r="U419" i="1"/>
  <c r="U420" i="1"/>
  <c r="U421" i="1"/>
  <c r="U422" i="1"/>
  <c r="U423" i="1"/>
  <c r="U424" i="1"/>
  <c r="U425" i="1"/>
  <c r="U426" i="1"/>
  <c r="U427" i="1"/>
  <c r="U428" i="1"/>
  <c r="U434" i="1"/>
  <c r="U435" i="1"/>
  <c r="U436" i="1"/>
  <c r="U437" i="1"/>
  <c r="U438" i="1"/>
  <c r="U439" i="1"/>
  <c r="U440" i="1"/>
  <c r="U441" i="1"/>
  <c r="U442" i="1"/>
  <c r="U445" i="1"/>
  <c r="U446" i="1"/>
  <c r="U447" i="1"/>
  <c r="U448" i="1"/>
  <c r="U449" i="1"/>
  <c r="U450" i="1"/>
  <c r="U451" i="1"/>
  <c r="U452" i="1"/>
  <c r="U453" i="1"/>
  <c r="U456" i="1"/>
  <c r="U457" i="1"/>
  <c r="U458" i="1"/>
  <c r="U459" i="1"/>
  <c r="U460" i="1"/>
  <c r="U461" i="1"/>
  <c r="U462" i="1"/>
  <c r="U463" i="1"/>
  <c r="U464" i="1"/>
  <c r="U465" i="1"/>
  <c r="U466" i="1"/>
  <c r="U467" i="1"/>
  <c r="U468" i="1"/>
  <c r="U469" i="1"/>
  <c r="U470" i="1"/>
  <c r="U472" i="1"/>
  <c r="U473" i="1"/>
  <c r="U478" i="1"/>
  <c r="U479" i="1"/>
  <c r="U198" i="1"/>
  <c r="U199" i="1"/>
  <c r="U200" i="1"/>
  <c r="U201" i="1"/>
  <c r="U202" i="1"/>
  <c r="U203" i="1"/>
  <c r="U204" i="1"/>
  <c r="U205" i="1"/>
  <c r="U206" i="1"/>
  <c r="U207" i="1"/>
  <c r="U208" i="1"/>
  <c r="U209" i="1"/>
  <c r="U210" i="1"/>
  <c r="U211" i="1"/>
  <c r="D25" i="2"/>
  <c r="A523" i="3"/>
  <c r="A523" i="6"/>
  <c r="A523" i="4"/>
  <c r="A523" i="5"/>
  <c r="A523" i="1"/>
  <c r="C523" i="3"/>
  <c r="V523" i="1"/>
  <c r="D485" i="1"/>
  <c r="E543" i="3" s="1"/>
  <c r="E485" i="1"/>
  <c r="F543" i="3" s="1"/>
  <c r="F485" i="1"/>
  <c r="G543" i="3" s="1"/>
  <c r="G485" i="1"/>
  <c r="H543" i="3" s="1"/>
  <c r="H485" i="1"/>
  <c r="I543" i="3" s="1"/>
  <c r="I485" i="1"/>
  <c r="J543" i="3" s="1"/>
  <c r="J485" i="1"/>
  <c r="K543" i="3" s="1"/>
  <c r="K485" i="1"/>
  <c r="L543" i="3" s="1"/>
  <c r="L485" i="1"/>
  <c r="M543" i="3" s="1"/>
  <c r="M485" i="1"/>
  <c r="N543" i="3" s="1"/>
  <c r="N485" i="1"/>
  <c r="O543" i="3" s="1"/>
  <c r="O485" i="1"/>
  <c r="P543" i="3" s="1"/>
  <c r="P485" i="1"/>
  <c r="Q543" i="3" s="1"/>
  <c r="Q485" i="1"/>
  <c r="R543" i="3" s="1"/>
  <c r="R485" i="1"/>
  <c r="S543" i="3" s="1"/>
  <c r="S485" i="1"/>
  <c r="T543" i="3" s="1"/>
  <c r="T485" i="1"/>
  <c r="U543" i="3" s="1"/>
  <c r="U485" i="1"/>
  <c r="V543" i="3" s="1"/>
  <c r="E523" i="3"/>
  <c r="C523" i="6"/>
  <c r="C523" i="4"/>
  <c r="C523" i="5"/>
  <c r="E552" i="4"/>
  <c r="F552" i="4"/>
  <c r="G552" i="4"/>
  <c r="H552" i="4"/>
  <c r="I552" i="4"/>
  <c r="J552" i="4"/>
  <c r="K552" i="4"/>
  <c r="L552" i="4"/>
  <c r="M552" i="4"/>
  <c r="N552" i="4"/>
  <c r="O552" i="4"/>
  <c r="P552" i="4"/>
  <c r="Q552" i="4"/>
  <c r="R552" i="4"/>
  <c r="S552" i="4"/>
  <c r="T552" i="4"/>
  <c r="U552" i="4"/>
  <c r="V552" i="4"/>
  <c r="C523" i="1"/>
  <c r="E143" i="2"/>
  <c r="E151" i="2"/>
  <c r="A207" i="3"/>
  <c r="A207" i="6"/>
  <c r="A207" i="4"/>
  <c r="A207" i="5"/>
  <c r="A207" i="1"/>
  <c r="A199" i="3"/>
  <c r="A199" i="6"/>
  <c r="A199" i="4"/>
  <c r="A199" i="5"/>
  <c r="A199" i="1"/>
  <c r="C211" i="1"/>
  <c r="C210" i="1"/>
  <c r="C209" i="1"/>
  <c r="C207" i="1"/>
  <c r="C206" i="1"/>
  <c r="C205" i="1"/>
  <c r="C204" i="1"/>
  <c r="C203" i="1"/>
  <c r="C202" i="1"/>
  <c r="C201" i="1"/>
  <c r="C200" i="1"/>
  <c r="C199" i="1"/>
  <c r="C198" i="1"/>
  <c r="C199" i="3"/>
  <c r="C199" i="6"/>
  <c r="C199" i="4"/>
  <c r="C199" i="5"/>
  <c r="C115" i="1"/>
  <c r="A49" i="4"/>
  <c r="A49" i="6"/>
  <c r="A49" i="3"/>
  <c r="A434" i="3"/>
  <c r="A434" i="6"/>
  <c r="A434" i="4"/>
  <c r="A434" i="5"/>
  <c r="A434" i="1"/>
  <c r="A549" i="5"/>
  <c r="A548" i="5"/>
  <c r="A547" i="5"/>
  <c r="A545" i="5"/>
  <c r="A544" i="5"/>
  <c r="A542" i="5"/>
  <c r="A541" i="5"/>
  <c r="A538" i="5"/>
  <c r="A533" i="5"/>
  <c r="A530" i="5"/>
  <c r="A529" i="5"/>
  <c r="A528" i="5"/>
  <c r="A527" i="5"/>
  <c r="A526" i="5"/>
  <c r="A525" i="5"/>
  <c r="A524" i="5"/>
  <c r="A522" i="5"/>
  <c r="A521" i="5"/>
  <c r="A520" i="5"/>
  <c r="A519" i="5"/>
  <c r="A516" i="5"/>
  <c r="A513" i="5"/>
  <c r="A512" i="5"/>
  <c r="A511" i="5"/>
  <c r="A510" i="5"/>
  <c r="A509" i="5"/>
  <c r="A508" i="5"/>
  <c r="A507" i="5"/>
  <c r="A506" i="5"/>
  <c r="A505" i="5"/>
  <c r="A504" i="5"/>
  <c r="A501" i="5"/>
  <c r="A498" i="5"/>
  <c r="A497" i="5"/>
  <c r="A496" i="5"/>
  <c r="A495" i="5"/>
  <c r="A479" i="5"/>
  <c r="A478" i="5"/>
  <c r="A473" i="5"/>
  <c r="A472" i="5"/>
  <c r="A470" i="5"/>
  <c r="A469" i="5"/>
  <c r="A468" i="5"/>
  <c r="A467" i="5"/>
  <c r="A466" i="5"/>
  <c r="A465" i="5"/>
  <c r="A464" i="5"/>
  <c r="A463" i="5"/>
  <c r="A462" i="5"/>
  <c r="A461" i="5"/>
  <c r="A460" i="5"/>
  <c r="A459" i="5"/>
  <c r="A458" i="5"/>
  <c r="A457" i="5"/>
  <c r="A456" i="5"/>
  <c r="A453" i="5"/>
  <c r="A452" i="5"/>
  <c r="A451" i="5"/>
  <c r="A450" i="5"/>
  <c r="A449" i="5"/>
  <c r="A448" i="5"/>
  <c r="A447" i="5"/>
  <c r="A446" i="5"/>
  <c r="A445" i="5"/>
  <c r="A442" i="5"/>
  <c r="A441" i="5"/>
  <c r="A440" i="5"/>
  <c r="A439" i="5"/>
  <c r="A438" i="5"/>
  <c r="A437" i="5"/>
  <c r="A436" i="5"/>
  <c r="A435" i="5"/>
  <c r="A428" i="5"/>
  <c r="A427" i="5"/>
  <c r="A426" i="5"/>
  <c r="A425" i="5"/>
  <c r="A424" i="5"/>
  <c r="A423" i="5"/>
  <c r="A422" i="5"/>
  <c r="A421" i="5"/>
  <c r="A420" i="5"/>
  <c r="A419" i="5"/>
  <c r="A418" i="5"/>
  <c r="A417" i="5"/>
  <c r="A414" i="5"/>
  <c r="A413" i="5"/>
  <c r="A412" i="5"/>
  <c r="A411" i="5"/>
  <c r="A410" i="5"/>
  <c r="A409" i="5"/>
  <c r="A408" i="5"/>
  <c r="A407" i="5"/>
  <c r="A406" i="5"/>
  <c r="A405" i="5"/>
  <c r="A404" i="5"/>
  <c r="A403" i="5"/>
  <c r="A400" i="5"/>
  <c r="A399" i="5"/>
  <c r="A398" i="5"/>
  <c r="A397" i="5"/>
  <c r="A396" i="5"/>
  <c r="A395" i="5"/>
  <c r="A394" i="5"/>
  <c r="A393" i="5"/>
  <c r="A392" i="5"/>
  <c r="A391" i="5"/>
  <c r="A390" i="5"/>
  <c r="A389" i="5"/>
  <c r="A388" i="5"/>
  <c r="A387" i="5"/>
  <c r="A386" i="5"/>
  <c r="A385" i="5"/>
  <c r="A384" i="5"/>
  <c r="A379" i="5"/>
  <c r="A378" i="5"/>
  <c r="A377" i="5"/>
  <c r="A376" i="5"/>
  <c r="A375" i="5"/>
  <c r="A374" i="5"/>
  <c r="A373" i="5"/>
  <c r="A372" i="5"/>
  <c r="A371" i="5"/>
  <c r="A370" i="5"/>
  <c r="A369" i="5"/>
  <c r="A368" i="5"/>
  <c r="A367" i="5"/>
  <c r="A366" i="5"/>
  <c r="A365" i="5"/>
  <c r="A364" i="5"/>
  <c r="A363" i="5"/>
  <c r="A362" i="5"/>
  <c r="A361" i="5"/>
  <c r="A358" i="5"/>
  <c r="A357" i="5"/>
  <c r="A356" i="5"/>
  <c r="A353" i="5"/>
  <c r="A351" i="5"/>
  <c r="A350" i="5"/>
  <c r="A349" i="5"/>
  <c r="A348" i="5"/>
  <c r="A347" i="5"/>
  <c r="A346" i="5"/>
  <c r="A345" i="5"/>
  <c r="A344" i="5"/>
  <c r="A343" i="5"/>
  <c r="A342" i="5"/>
  <c r="A341" i="5"/>
  <c r="A340" i="5"/>
  <c r="A339" i="5"/>
  <c r="A338" i="5"/>
  <c r="A337" i="5"/>
  <c r="A336" i="5"/>
  <c r="A333" i="5"/>
  <c r="A332" i="5"/>
  <c r="A331" i="5"/>
  <c r="A330" i="5"/>
  <c r="A329" i="5"/>
  <c r="A328" i="5"/>
  <c r="A327" i="5"/>
  <c r="A326" i="5"/>
  <c r="A325" i="5"/>
  <c r="A324" i="5"/>
  <c r="A323" i="5"/>
  <c r="A322" i="5"/>
  <c r="A318" i="5"/>
  <c r="A315" i="5"/>
  <c r="A314" i="5"/>
  <c r="A313" i="5"/>
  <c r="A312" i="5"/>
  <c r="A311" i="5"/>
  <c r="A310" i="5"/>
  <c r="A309" i="5"/>
  <c r="A308" i="5"/>
  <c r="A307" i="5"/>
  <c r="A306" i="5"/>
  <c r="A305" i="5"/>
  <c r="A304" i="5"/>
  <c r="A303" i="5"/>
  <c r="A302" i="5"/>
  <c r="A301" i="5"/>
  <c r="A300" i="5"/>
  <c r="A299" i="5"/>
  <c r="A298" i="5"/>
  <c r="A297" i="5"/>
  <c r="A296" i="5"/>
  <c r="A291" i="5"/>
  <c r="A290" i="5"/>
  <c r="A289" i="5"/>
  <c r="A288" i="5"/>
  <c r="A287" i="5"/>
  <c r="A286" i="5"/>
  <c r="A285" i="5"/>
  <c r="A284" i="5"/>
  <c r="A283" i="5"/>
  <c r="A281" i="5"/>
  <c r="A280" i="5"/>
  <c r="A279" i="5"/>
  <c r="A278" i="5"/>
  <c r="A275"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5" i="5"/>
  <c r="A234" i="5"/>
  <c r="A233" i="5"/>
  <c r="A232" i="5"/>
  <c r="A231" i="5"/>
  <c r="A230" i="5"/>
  <c r="A229" i="5"/>
  <c r="A228" i="5"/>
  <c r="A227" i="5"/>
  <c r="A224" i="5"/>
  <c r="A223" i="5"/>
  <c r="A222" i="5"/>
  <c r="A221" i="5"/>
  <c r="A220" i="5"/>
  <c r="A219" i="5"/>
  <c r="A218" i="5"/>
  <c r="A217" i="5"/>
  <c r="A216" i="5"/>
  <c r="A211" i="5"/>
  <c r="A210" i="5"/>
  <c r="A209" i="5"/>
  <c r="A208" i="5"/>
  <c r="A206" i="5"/>
  <c r="A205" i="5"/>
  <c r="A204" i="5"/>
  <c r="A203" i="5"/>
  <c r="A202" i="5"/>
  <c r="A201" i="5"/>
  <c r="A200" i="5"/>
  <c r="A198" i="5"/>
  <c r="A167" i="5"/>
  <c r="A166" i="5"/>
  <c r="A165" i="5"/>
  <c r="A162" i="5"/>
  <c r="A157" i="5"/>
  <c r="A156" i="5"/>
  <c r="A155" i="5"/>
  <c r="A154" i="5"/>
  <c r="A153" i="5"/>
  <c r="A152" i="5"/>
  <c r="A151" i="5"/>
  <c r="A150" i="5"/>
  <c r="A149" i="5"/>
  <c r="A146" i="5"/>
  <c r="A145" i="5"/>
  <c r="A144" i="5"/>
  <c r="A143" i="5"/>
  <c r="A142" i="5"/>
  <c r="A141" i="5"/>
  <c r="A140" i="5"/>
  <c r="A139" i="5"/>
  <c r="A138" i="5"/>
  <c r="A137" i="5"/>
  <c r="A136" i="5"/>
  <c r="A135" i="5"/>
  <c r="A134" i="5"/>
  <c r="A133" i="5"/>
  <c r="A132" i="5"/>
  <c r="A131" i="5"/>
  <c r="A130" i="5"/>
  <c r="A127" i="5"/>
  <c r="A124" i="5"/>
  <c r="A121" i="5"/>
  <c r="A120" i="5"/>
  <c r="A119" i="5"/>
  <c r="A118" i="5"/>
  <c r="A117" i="5"/>
  <c r="A116" i="5"/>
  <c r="A115" i="5"/>
  <c r="A114" i="5"/>
  <c r="A113" i="5"/>
  <c r="A111" i="5"/>
  <c r="A110" i="5"/>
  <c r="A109" i="5"/>
  <c r="A100" i="5"/>
  <c r="A97" i="5"/>
  <c r="A96" i="5"/>
  <c r="A94" i="5"/>
  <c r="A91" i="5"/>
  <c r="A90" i="5"/>
  <c r="A89" i="5"/>
  <c r="A88" i="5"/>
  <c r="A87" i="5"/>
  <c r="A86" i="5"/>
  <c r="A85" i="5"/>
  <c r="A84" i="5"/>
  <c r="A83" i="5"/>
  <c r="A82" i="5"/>
  <c r="A81" i="5"/>
  <c r="A80" i="5"/>
  <c r="A77" i="5"/>
  <c r="A76" i="5"/>
  <c r="A75" i="5"/>
  <c r="A74" i="5"/>
  <c r="A73" i="5"/>
  <c r="A72" i="5"/>
  <c r="A71" i="5"/>
  <c r="A70" i="5"/>
  <c r="A69" i="5"/>
  <c r="A68" i="5"/>
  <c r="A67" i="5"/>
  <c r="A66" i="5"/>
  <c r="A65" i="5"/>
  <c r="A64" i="5"/>
  <c r="A61" i="5"/>
  <c r="A60" i="5"/>
  <c r="A59" i="5"/>
  <c r="A58" i="5"/>
  <c r="A57" i="5"/>
  <c r="A56" i="5"/>
  <c r="A55"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9" i="4"/>
  <c r="A548" i="4"/>
  <c r="A547" i="4"/>
  <c r="A545" i="4"/>
  <c r="A544" i="4"/>
  <c r="A542" i="4"/>
  <c r="A541" i="4"/>
  <c r="A538" i="4"/>
  <c r="A533" i="4"/>
  <c r="A530" i="4"/>
  <c r="A529" i="4"/>
  <c r="A528" i="4"/>
  <c r="A527" i="4"/>
  <c r="A526" i="4"/>
  <c r="A525" i="4"/>
  <c r="A524" i="4"/>
  <c r="A522" i="4"/>
  <c r="A521" i="4"/>
  <c r="A520" i="4"/>
  <c r="A519" i="4"/>
  <c r="A516" i="4"/>
  <c r="A513" i="4"/>
  <c r="A512" i="4"/>
  <c r="A511" i="4"/>
  <c r="A510" i="4"/>
  <c r="A509" i="4"/>
  <c r="A508" i="4"/>
  <c r="A507" i="4"/>
  <c r="A506" i="4"/>
  <c r="A505" i="4"/>
  <c r="A504" i="4"/>
  <c r="A501" i="4"/>
  <c r="A498" i="4"/>
  <c r="A497" i="4"/>
  <c r="A496" i="4"/>
  <c r="A495" i="4"/>
  <c r="A479" i="4"/>
  <c r="A478" i="4"/>
  <c r="A473" i="4"/>
  <c r="A472" i="4"/>
  <c r="A470" i="4"/>
  <c r="A469" i="4"/>
  <c r="A468" i="4"/>
  <c r="A467" i="4"/>
  <c r="A466" i="4"/>
  <c r="A465" i="4"/>
  <c r="A464" i="4"/>
  <c r="A463" i="4"/>
  <c r="A462" i="4"/>
  <c r="A461" i="4"/>
  <c r="A460" i="4"/>
  <c r="A459" i="4"/>
  <c r="A458" i="4"/>
  <c r="A457" i="4"/>
  <c r="A456" i="4"/>
  <c r="A453" i="4"/>
  <c r="A452" i="4"/>
  <c r="A451" i="4"/>
  <c r="A450" i="4"/>
  <c r="A449" i="4"/>
  <c r="A448" i="4"/>
  <c r="A447" i="4"/>
  <c r="A446" i="4"/>
  <c r="A445" i="4"/>
  <c r="A442" i="4"/>
  <c r="A441" i="4"/>
  <c r="A440" i="4"/>
  <c r="A439" i="4"/>
  <c r="A438" i="4"/>
  <c r="A437" i="4"/>
  <c r="A436" i="4"/>
  <c r="A435" i="4"/>
  <c r="A428" i="4"/>
  <c r="A427" i="4"/>
  <c r="A426" i="4"/>
  <c r="A425" i="4"/>
  <c r="A424" i="4"/>
  <c r="A423" i="4"/>
  <c r="A422" i="4"/>
  <c r="A421" i="4"/>
  <c r="A420" i="4"/>
  <c r="A419" i="4"/>
  <c r="A418" i="4"/>
  <c r="A417" i="4"/>
  <c r="A414" i="4"/>
  <c r="A413" i="4"/>
  <c r="A412" i="4"/>
  <c r="A411" i="4"/>
  <c r="A410" i="4"/>
  <c r="A409" i="4"/>
  <c r="A408" i="4"/>
  <c r="A407" i="4"/>
  <c r="A406" i="4"/>
  <c r="A405" i="4"/>
  <c r="A404" i="4"/>
  <c r="A403" i="4"/>
  <c r="A400" i="4"/>
  <c r="A399" i="4"/>
  <c r="A398" i="4"/>
  <c r="A397" i="4"/>
  <c r="A396" i="4"/>
  <c r="A395" i="4"/>
  <c r="A394" i="4"/>
  <c r="A393" i="4"/>
  <c r="A392" i="4"/>
  <c r="A391" i="4"/>
  <c r="A390" i="4"/>
  <c r="A389" i="4"/>
  <c r="A388" i="4"/>
  <c r="A387" i="4"/>
  <c r="A386" i="4"/>
  <c r="A385" i="4"/>
  <c r="A384" i="4"/>
  <c r="A379" i="4"/>
  <c r="A378" i="4"/>
  <c r="A377" i="4"/>
  <c r="A376" i="4"/>
  <c r="A375" i="4"/>
  <c r="A374" i="4"/>
  <c r="A373" i="4"/>
  <c r="A372" i="4"/>
  <c r="A371" i="4"/>
  <c r="A370" i="4"/>
  <c r="A369" i="4"/>
  <c r="A368" i="4"/>
  <c r="A367" i="4"/>
  <c r="A366" i="4"/>
  <c r="A365" i="4"/>
  <c r="A364" i="4"/>
  <c r="A363" i="4"/>
  <c r="A362" i="4"/>
  <c r="A361" i="4"/>
  <c r="A358" i="4"/>
  <c r="A357" i="4"/>
  <c r="A356" i="4"/>
  <c r="A353" i="4"/>
  <c r="A351" i="4"/>
  <c r="A350" i="4"/>
  <c r="A349" i="4"/>
  <c r="A348" i="4"/>
  <c r="A347" i="4"/>
  <c r="A346" i="4"/>
  <c r="A345" i="4"/>
  <c r="A344" i="4"/>
  <c r="A343" i="4"/>
  <c r="A342" i="4"/>
  <c r="A341" i="4"/>
  <c r="A340" i="4"/>
  <c r="A339" i="4"/>
  <c r="A338" i="4"/>
  <c r="A337" i="4"/>
  <c r="A336" i="4"/>
  <c r="A333" i="4"/>
  <c r="A332" i="4"/>
  <c r="A331" i="4"/>
  <c r="A330" i="4"/>
  <c r="A329" i="4"/>
  <c r="A328" i="4"/>
  <c r="A327" i="4"/>
  <c r="A326" i="4"/>
  <c r="A325" i="4"/>
  <c r="A324" i="4"/>
  <c r="A323" i="4"/>
  <c r="A322" i="4"/>
  <c r="A318" i="4"/>
  <c r="A315" i="4"/>
  <c r="A314" i="4"/>
  <c r="A313" i="4"/>
  <c r="A312" i="4"/>
  <c r="A311" i="4"/>
  <c r="A310" i="4"/>
  <c r="A309" i="4"/>
  <c r="A308" i="4"/>
  <c r="A307" i="4"/>
  <c r="A306" i="4"/>
  <c r="A305" i="4"/>
  <c r="A304" i="4"/>
  <c r="A303" i="4"/>
  <c r="A302" i="4"/>
  <c r="A301" i="4"/>
  <c r="A300" i="4"/>
  <c r="A299" i="4"/>
  <c r="A298" i="4"/>
  <c r="A297" i="4"/>
  <c r="A296" i="4"/>
  <c r="A291" i="4"/>
  <c r="A290" i="4"/>
  <c r="A289" i="4"/>
  <c r="A288" i="4"/>
  <c r="A287" i="4"/>
  <c r="A286" i="4"/>
  <c r="A285" i="4"/>
  <c r="A284" i="4"/>
  <c r="A283" i="4"/>
  <c r="A281" i="4"/>
  <c r="A280" i="4"/>
  <c r="A279" i="4"/>
  <c r="A278" i="4"/>
  <c r="A275"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5" i="4"/>
  <c r="A234" i="4"/>
  <c r="A233" i="4"/>
  <c r="A232" i="4"/>
  <c r="A231" i="4"/>
  <c r="A230" i="4"/>
  <c r="A229" i="4"/>
  <c r="A228" i="4"/>
  <c r="A227" i="4"/>
  <c r="A224" i="4"/>
  <c r="A223" i="4"/>
  <c r="A222" i="4"/>
  <c r="A221" i="4"/>
  <c r="A220" i="4"/>
  <c r="A219" i="4"/>
  <c r="A218" i="4"/>
  <c r="A217" i="4"/>
  <c r="A216" i="4"/>
  <c r="A211" i="4"/>
  <c r="A210" i="4"/>
  <c r="A209" i="4"/>
  <c r="A208" i="4"/>
  <c r="A206" i="4"/>
  <c r="A205" i="4"/>
  <c r="A204" i="4"/>
  <c r="A203" i="4"/>
  <c r="A202" i="4"/>
  <c r="A201" i="4"/>
  <c r="A200" i="4"/>
  <c r="A198" i="4"/>
  <c r="A167" i="4"/>
  <c r="A166" i="4"/>
  <c r="A165" i="4"/>
  <c r="A162" i="4"/>
  <c r="A157" i="4"/>
  <c r="A156" i="4"/>
  <c r="A155" i="4"/>
  <c r="A154" i="4"/>
  <c r="A153" i="4"/>
  <c r="A152" i="4"/>
  <c r="A151" i="4"/>
  <c r="A150" i="4"/>
  <c r="A149" i="4"/>
  <c r="A146" i="4"/>
  <c r="A145" i="4"/>
  <c r="A144" i="4"/>
  <c r="A143" i="4"/>
  <c r="A142" i="4"/>
  <c r="A141" i="4"/>
  <c r="A140" i="4"/>
  <c r="A139" i="4"/>
  <c r="A138" i="4"/>
  <c r="A137" i="4"/>
  <c r="A136" i="4"/>
  <c r="A135" i="4"/>
  <c r="A134" i="4"/>
  <c r="A133" i="4"/>
  <c r="A132" i="4"/>
  <c r="A131" i="4"/>
  <c r="A130" i="4"/>
  <c r="A127" i="4"/>
  <c r="A124" i="4"/>
  <c r="A121" i="4"/>
  <c r="A120" i="4"/>
  <c r="A119" i="4"/>
  <c r="A118" i="4"/>
  <c r="A117" i="4"/>
  <c r="A116" i="4"/>
  <c r="A115" i="4"/>
  <c r="A114" i="4"/>
  <c r="A113" i="4"/>
  <c r="A111" i="4"/>
  <c r="A110" i="4"/>
  <c r="A109" i="4"/>
  <c r="A100" i="4"/>
  <c r="A97" i="4"/>
  <c r="A96" i="4"/>
  <c r="A94" i="4"/>
  <c r="A91" i="4"/>
  <c r="A90" i="4"/>
  <c r="A89" i="4"/>
  <c r="A88" i="4"/>
  <c r="A87" i="4"/>
  <c r="A86" i="4"/>
  <c r="A85" i="4"/>
  <c r="A84" i="4"/>
  <c r="A83" i="4"/>
  <c r="A82" i="4"/>
  <c r="A81" i="4"/>
  <c r="A80" i="4"/>
  <c r="A77" i="4"/>
  <c r="A76" i="4"/>
  <c r="A75" i="4"/>
  <c r="A74" i="4"/>
  <c r="A73" i="4"/>
  <c r="A72" i="4"/>
  <c r="A71" i="4"/>
  <c r="A70" i="4"/>
  <c r="A69" i="4"/>
  <c r="A68" i="4"/>
  <c r="A67" i="4"/>
  <c r="A66" i="4"/>
  <c r="A65" i="4"/>
  <c r="A64" i="4"/>
  <c r="A61" i="4"/>
  <c r="A60" i="4"/>
  <c r="A59" i="4"/>
  <c r="A58" i="4"/>
  <c r="A57" i="4"/>
  <c r="A56" i="4"/>
  <c r="A55"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9" i="6"/>
  <c r="A548" i="6"/>
  <c r="A547" i="6"/>
  <c r="A545" i="6"/>
  <c r="A544" i="6"/>
  <c r="A542" i="6"/>
  <c r="A541" i="6"/>
  <c r="A538" i="6"/>
  <c r="A533" i="6"/>
  <c r="A530" i="6"/>
  <c r="A529" i="6"/>
  <c r="A528" i="6"/>
  <c r="A527" i="6"/>
  <c r="A526" i="6"/>
  <c r="A525" i="6"/>
  <c r="A524" i="6"/>
  <c r="A522" i="6"/>
  <c r="A521" i="6"/>
  <c r="A520" i="6"/>
  <c r="A519" i="6"/>
  <c r="A516" i="6"/>
  <c r="A513" i="6"/>
  <c r="A512" i="6"/>
  <c r="A511" i="6"/>
  <c r="A510" i="6"/>
  <c r="A509" i="6"/>
  <c r="A508" i="6"/>
  <c r="A507" i="6"/>
  <c r="A506" i="6"/>
  <c r="A505" i="6"/>
  <c r="A504" i="6"/>
  <c r="A501" i="6"/>
  <c r="A498" i="6"/>
  <c r="A497" i="6"/>
  <c r="A496" i="6"/>
  <c r="A495" i="6"/>
  <c r="A479" i="6"/>
  <c r="A478" i="6"/>
  <c r="A473" i="6"/>
  <c r="A472" i="6"/>
  <c r="A470" i="6"/>
  <c r="A469" i="6"/>
  <c r="A468" i="6"/>
  <c r="A467" i="6"/>
  <c r="A466" i="6"/>
  <c r="A465" i="6"/>
  <c r="A464" i="6"/>
  <c r="A463" i="6"/>
  <c r="A462" i="6"/>
  <c r="A461" i="6"/>
  <c r="A460" i="6"/>
  <c r="A459" i="6"/>
  <c r="A458" i="6"/>
  <c r="A457" i="6"/>
  <c r="A456" i="6"/>
  <c r="A453" i="6"/>
  <c r="A452" i="6"/>
  <c r="A451" i="6"/>
  <c r="A450" i="6"/>
  <c r="A449" i="6"/>
  <c r="A448" i="6"/>
  <c r="A447" i="6"/>
  <c r="A446" i="6"/>
  <c r="A445" i="6"/>
  <c r="A442" i="6"/>
  <c r="A441" i="6"/>
  <c r="A440" i="6"/>
  <c r="A439" i="6"/>
  <c r="A438" i="6"/>
  <c r="A437" i="6"/>
  <c r="A436" i="6"/>
  <c r="A435" i="6"/>
  <c r="A428" i="6"/>
  <c r="A427" i="6"/>
  <c r="A426" i="6"/>
  <c r="A425" i="6"/>
  <c r="A424" i="6"/>
  <c r="A423" i="6"/>
  <c r="A422" i="6"/>
  <c r="A421" i="6"/>
  <c r="A420" i="6"/>
  <c r="A419" i="6"/>
  <c r="A418" i="6"/>
  <c r="A417" i="6"/>
  <c r="A414" i="6"/>
  <c r="A413" i="6"/>
  <c r="A412" i="6"/>
  <c r="A411" i="6"/>
  <c r="A410" i="6"/>
  <c r="A409" i="6"/>
  <c r="A408" i="6"/>
  <c r="A407" i="6"/>
  <c r="A406" i="6"/>
  <c r="A405" i="6"/>
  <c r="A404" i="6"/>
  <c r="A403" i="6"/>
  <c r="A400" i="6"/>
  <c r="A399" i="6"/>
  <c r="A398" i="6"/>
  <c r="A397" i="6"/>
  <c r="A396" i="6"/>
  <c r="A395" i="6"/>
  <c r="A394" i="6"/>
  <c r="A393" i="6"/>
  <c r="A392" i="6"/>
  <c r="A391" i="6"/>
  <c r="A390" i="6"/>
  <c r="A389" i="6"/>
  <c r="A388" i="6"/>
  <c r="A387" i="6"/>
  <c r="A386" i="6"/>
  <c r="A385" i="6"/>
  <c r="A384" i="6"/>
  <c r="A379" i="6"/>
  <c r="A378" i="6"/>
  <c r="A377" i="6"/>
  <c r="A376" i="6"/>
  <c r="A375" i="6"/>
  <c r="A374" i="6"/>
  <c r="A373" i="6"/>
  <c r="A372" i="6"/>
  <c r="A371" i="6"/>
  <c r="A370" i="6"/>
  <c r="A369" i="6"/>
  <c r="A368" i="6"/>
  <c r="A367" i="6"/>
  <c r="A366" i="6"/>
  <c r="A365" i="6"/>
  <c r="A364" i="6"/>
  <c r="A363" i="6"/>
  <c r="A362" i="6"/>
  <c r="A361" i="6"/>
  <c r="A358" i="6"/>
  <c r="A357" i="6"/>
  <c r="A356" i="6"/>
  <c r="A353" i="6"/>
  <c r="A351" i="6"/>
  <c r="A350" i="6"/>
  <c r="A349" i="6"/>
  <c r="A348" i="6"/>
  <c r="A347" i="6"/>
  <c r="A346" i="6"/>
  <c r="A345" i="6"/>
  <c r="A344" i="6"/>
  <c r="A343" i="6"/>
  <c r="A342" i="6"/>
  <c r="A341" i="6"/>
  <c r="A340" i="6"/>
  <c r="A339" i="6"/>
  <c r="A338" i="6"/>
  <c r="A337" i="6"/>
  <c r="A336" i="6"/>
  <c r="A333" i="6"/>
  <c r="A332" i="6"/>
  <c r="A331" i="6"/>
  <c r="A330" i="6"/>
  <c r="A329" i="6"/>
  <c r="A328" i="6"/>
  <c r="A327" i="6"/>
  <c r="A326" i="6"/>
  <c r="A325" i="6"/>
  <c r="A324" i="6"/>
  <c r="A323" i="6"/>
  <c r="A322" i="6"/>
  <c r="A318" i="6"/>
  <c r="A315" i="6"/>
  <c r="A314" i="6"/>
  <c r="A313" i="6"/>
  <c r="A312" i="6"/>
  <c r="A311" i="6"/>
  <c r="A310" i="6"/>
  <c r="A309" i="6"/>
  <c r="A308" i="6"/>
  <c r="A307" i="6"/>
  <c r="A306" i="6"/>
  <c r="A305" i="6"/>
  <c r="A304" i="6"/>
  <c r="A303" i="6"/>
  <c r="A302" i="6"/>
  <c r="A301" i="6"/>
  <c r="A300" i="6"/>
  <c r="A299" i="6"/>
  <c r="A298" i="6"/>
  <c r="A297" i="6"/>
  <c r="A296" i="6"/>
  <c r="A291" i="6"/>
  <c r="A290" i="6"/>
  <c r="A289" i="6"/>
  <c r="A288" i="6"/>
  <c r="A287" i="6"/>
  <c r="A286" i="6"/>
  <c r="A285" i="6"/>
  <c r="A284" i="6"/>
  <c r="A283" i="6"/>
  <c r="A281" i="6"/>
  <c r="A280" i="6"/>
  <c r="A279" i="6"/>
  <c r="A278" i="6"/>
  <c r="A275"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5" i="6"/>
  <c r="A234" i="6"/>
  <c r="A233" i="6"/>
  <c r="A232" i="6"/>
  <c r="A231" i="6"/>
  <c r="A230" i="6"/>
  <c r="A229" i="6"/>
  <c r="A228" i="6"/>
  <c r="A227" i="6"/>
  <c r="A224" i="6"/>
  <c r="A223" i="6"/>
  <c r="A222" i="6"/>
  <c r="A221" i="6"/>
  <c r="A220" i="6"/>
  <c r="A219" i="6"/>
  <c r="A218" i="6"/>
  <c r="A217" i="6"/>
  <c r="A216" i="6"/>
  <c r="A211" i="6"/>
  <c r="A210" i="6"/>
  <c r="A209" i="6"/>
  <c r="A208" i="6"/>
  <c r="A206" i="6"/>
  <c r="A205" i="6"/>
  <c r="A204" i="6"/>
  <c r="A203" i="6"/>
  <c r="A202" i="6"/>
  <c r="A201" i="6"/>
  <c r="A200" i="6"/>
  <c r="A198" i="6"/>
  <c r="A167" i="6"/>
  <c r="A166" i="6"/>
  <c r="A165" i="6"/>
  <c r="A162" i="6"/>
  <c r="A157" i="6"/>
  <c r="A156" i="6"/>
  <c r="A155" i="6"/>
  <c r="A154" i="6"/>
  <c r="A153" i="6"/>
  <c r="A152" i="6"/>
  <c r="A151" i="6"/>
  <c r="A150" i="6"/>
  <c r="A149" i="6"/>
  <c r="A146" i="6"/>
  <c r="A145" i="6"/>
  <c r="A144" i="6"/>
  <c r="A143" i="6"/>
  <c r="A142" i="6"/>
  <c r="A141" i="6"/>
  <c r="A140" i="6"/>
  <c r="A139" i="6"/>
  <c r="A138" i="6"/>
  <c r="A137" i="6"/>
  <c r="A136" i="6"/>
  <c r="A135" i="6"/>
  <c r="A134" i="6"/>
  <c r="A133" i="6"/>
  <c r="A132" i="6"/>
  <c r="A131" i="6"/>
  <c r="A130" i="6"/>
  <c r="A127" i="6"/>
  <c r="A124" i="6"/>
  <c r="A121" i="6"/>
  <c r="A120" i="6"/>
  <c r="A119" i="6"/>
  <c r="A118" i="6"/>
  <c r="A117" i="6"/>
  <c r="A116" i="6"/>
  <c r="A115" i="6"/>
  <c r="A114" i="6"/>
  <c r="A113" i="6"/>
  <c r="A111" i="6"/>
  <c r="A110" i="6"/>
  <c r="A109" i="6"/>
  <c r="A100" i="6"/>
  <c r="A97" i="6"/>
  <c r="A96" i="6"/>
  <c r="A94" i="6"/>
  <c r="A91" i="6"/>
  <c r="A90" i="6"/>
  <c r="A89" i="6"/>
  <c r="A88" i="6"/>
  <c r="A87" i="6"/>
  <c r="A86" i="6"/>
  <c r="A85" i="6"/>
  <c r="A84" i="6"/>
  <c r="A83" i="6"/>
  <c r="A82" i="6"/>
  <c r="A81" i="6"/>
  <c r="A80" i="6"/>
  <c r="A77" i="6"/>
  <c r="A76" i="6"/>
  <c r="A75" i="6"/>
  <c r="A74" i="6"/>
  <c r="A73" i="6"/>
  <c r="A72" i="6"/>
  <c r="A71" i="6"/>
  <c r="A70" i="6"/>
  <c r="A69" i="6"/>
  <c r="A68" i="6"/>
  <c r="A67" i="6"/>
  <c r="A66" i="6"/>
  <c r="A65" i="6"/>
  <c r="A64" i="6"/>
  <c r="A61" i="6"/>
  <c r="A60" i="6"/>
  <c r="A59" i="6"/>
  <c r="A58" i="6"/>
  <c r="A57" i="6"/>
  <c r="A56" i="6"/>
  <c r="A55"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A549" i="3"/>
  <c r="A548" i="3"/>
  <c r="A547" i="3"/>
  <c r="A545" i="3"/>
  <c r="A544" i="3"/>
  <c r="A542" i="3"/>
  <c r="A541" i="3"/>
  <c r="A538" i="3"/>
  <c r="A533" i="3"/>
  <c r="A530" i="3"/>
  <c r="A529" i="3"/>
  <c r="A528" i="3"/>
  <c r="A527" i="3"/>
  <c r="A526" i="3"/>
  <c r="A525" i="3"/>
  <c r="A524" i="3"/>
  <c r="A522" i="3"/>
  <c r="A521" i="3"/>
  <c r="A520" i="3"/>
  <c r="A519" i="3"/>
  <c r="A516" i="3"/>
  <c r="A513" i="3"/>
  <c r="A512" i="3"/>
  <c r="A511" i="3"/>
  <c r="A510" i="3"/>
  <c r="A509" i="3"/>
  <c r="A508" i="3"/>
  <c r="A507" i="3"/>
  <c r="A506" i="3"/>
  <c r="A505" i="3"/>
  <c r="A504" i="3"/>
  <c r="A501" i="3"/>
  <c r="A498" i="3"/>
  <c r="A497" i="3"/>
  <c r="A496" i="3"/>
  <c r="A495" i="3"/>
  <c r="A479" i="3"/>
  <c r="A478" i="3"/>
  <c r="A473" i="3"/>
  <c r="A472" i="3"/>
  <c r="A470" i="3"/>
  <c r="A469" i="3"/>
  <c r="A468" i="3"/>
  <c r="A467" i="3"/>
  <c r="A466" i="3"/>
  <c r="A465" i="3"/>
  <c r="A464" i="3"/>
  <c r="A463" i="3"/>
  <c r="A462" i="3"/>
  <c r="A461" i="3"/>
  <c r="A460" i="3"/>
  <c r="A459" i="3"/>
  <c r="A458" i="3"/>
  <c r="A457" i="3"/>
  <c r="A456" i="3"/>
  <c r="A453" i="3"/>
  <c r="A452" i="3"/>
  <c r="A451" i="3"/>
  <c r="A450" i="3"/>
  <c r="A449" i="3"/>
  <c r="A448" i="3"/>
  <c r="A447" i="3"/>
  <c r="A446" i="3"/>
  <c r="A445" i="3"/>
  <c r="A442" i="3"/>
  <c r="A441" i="3"/>
  <c r="A440" i="3"/>
  <c r="A439" i="3"/>
  <c r="A438" i="3"/>
  <c r="A437" i="3"/>
  <c r="A436" i="3"/>
  <c r="A435" i="3"/>
  <c r="A428" i="3"/>
  <c r="A427" i="3"/>
  <c r="A426" i="3"/>
  <c r="A425" i="3"/>
  <c r="A424" i="3"/>
  <c r="A423" i="3"/>
  <c r="A422" i="3"/>
  <c r="A421" i="3"/>
  <c r="A420" i="3"/>
  <c r="A419" i="3"/>
  <c r="A418" i="3"/>
  <c r="A417" i="3"/>
  <c r="A414" i="3"/>
  <c r="A413" i="3"/>
  <c r="A412" i="3"/>
  <c r="A411" i="3"/>
  <c r="A410" i="3"/>
  <c r="A409" i="3"/>
  <c r="A408" i="3"/>
  <c r="A407" i="3"/>
  <c r="A406" i="3"/>
  <c r="A405" i="3"/>
  <c r="A404" i="3"/>
  <c r="A403" i="3"/>
  <c r="A400" i="3"/>
  <c r="A399" i="3"/>
  <c r="A398" i="3"/>
  <c r="A397" i="3"/>
  <c r="A396" i="3"/>
  <c r="A395" i="3"/>
  <c r="A394" i="3"/>
  <c r="A393" i="3"/>
  <c r="A392" i="3"/>
  <c r="A391" i="3"/>
  <c r="A390" i="3"/>
  <c r="A389" i="3"/>
  <c r="A388" i="3"/>
  <c r="A387" i="3"/>
  <c r="A386" i="3"/>
  <c r="A385" i="3"/>
  <c r="A384" i="3"/>
  <c r="A379" i="3"/>
  <c r="A378" i="3"/>
  <c r="A377" i="3"/>
  <c r="A376" i="3"/>
  <c r="A375" i="3"/>
  <c r="A374" i="3"/>
  <c r="A373" i="3"/>
  <c r="A372" i="3"/>
  <c r="A371" i="3"/>
  <c r="A370" i="3"/>
  <c r="A369" i="3"/>
  <c r="A368" i="3"/>
  <c r="A367" i="3"/>
  <c r="A366" i="3"/>
  <c r="A365" i="3"/>
  <c r="A364" i="3"/>
  <c r="A363" i="3"/>
  <c r="A362" i="3"/>
  <c r="A361" i="3"/>
  <c r="A358" i="3"/>
  <c r="A357" i="3"/>
  <c r="A356" i="3"/>
  <c r="A353" i="3"/>
  <c r="A351" i="3"/>
  <c r="A350" i="3"/>
  <c r="A349" i="3"/>
  <c r="A348" i="3"/>
  <c r="A347" i="3"/>
  <c r="A346" i="3"/>
  <c r="A345" i="3"/>
  <c r="A344" i="3"/>
  <c r="A343" i="3"/>
  <c r="A342" i="3"/>
  <c r="A341" i="3"/>
  <c r="A340" i="3"/>
  <c r="A339" i="3"/>
  <c r="A338" i="3"/>
  <c r="A337" i="3"/>
  <c r="A336" i="3"/>
  <c r="A333" i="3"/>
  <c r="A332" i="3"/>
  <c r="A331" i="3"/>
  <c r="A330" i="3"/>
  <c r="A329" i="3"/>
  <c r="A328" i="3"/>
  <c r="A327" i="3"/>
  <c r="A326" i="3"/>
  <c r="A325" i="3"/>
  <c r="A324" i="3"/>
  <c r="A323" i="3"/>
  <c r="A322" i="3"/>
  <c r="A318" i="3"/>
  <c r="A315" i="3"/>
  <c r="A314" i="3"/>
  <c r="A313" i="3"/>
  <c r="A312" i="3"/>
  <c r="A311" i="3"/>
  <c r="A310" i="3"/>
  <c r="A309" i="3"/>
  <c r="A308" i="3"/>
  <c r="A307" i="3"/>
  <c r="A306" i="3"/>
  <c r="A305" i="3"/>
  <c r="A304" i="3"/>
  <c r="A303" i="3"/>
  <c r="A302" i="3"/>
  <c r="A301" i="3"/>
  <c r="A300" i="3"/>
  <c r="A299" i="3"/>
  <c r="A298" i="3"/>
  <c r="A297" i="3"/>
  <c r="A296" i="3"/>
  <c r="A291" i="3"/>
  <c r="A290" i="3"/>
  <c r="A289" i="3"/>
  <c r="A288" i="3"/>
  <c r="A287" i="3"/>
  <c r="A286" i="3"/>
  <c r="A285" i="3"/>
  <c r="A284" i="3"/>
  <c r="A283" i="3"/>
  <c r="A281" i="3"/>
  <c r="A280" i="3"/>
  <c r="A279" i="3"/>
  <c r="A278" i="3"/>
  <c r="A275"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5" i="3"/>
  <c r="A234" i="3"/>
  <c r="A233" i="3"/>
  <c r="A232" i="3"/>
  <c r="A231" i="3"/>
  <c r="A230" i="3"/>
  <c r="A229" i="3"/>
  <c r="A228" i="3"/>
  <c r="A227" i="3"/>
  <c r="A224" i="3"/>
  <c r="A223" i="3"/>
  <c r="A222" i="3"/>
  <c r="A221" i="3"/>
  <c r="A220" i="3"/>
  <c r="A219" i="3"/>
  <c r="A218" i="3"/>
  <c r="A217" i="3"/>
  <c r="A216" i="3"/>
  <c r="A211" i="3"/>
  <c r="A210" i="3"/>
  <c r="A209" i="3"/>
  <c r="A208" i="3"/>
  <c r="A206" i="3"/>
  <c r="A205" i="3"/>
  <c r="A204" i="3"/>
  <c r="A203" i="3"/>
  <c r="A202" i="3"/>
  <c r="A201" i="3"/>
  <c r="A200" i="3"/>
  <c r="A198" i="3"/>
  <c r="A167" i="3"/>
  <c r="A166" i="3"/>
  <c r="A165" i="3"/>
  <c r="A162" i="3"/>
  <c r="A157" i="3"/>
  <c r="A156" i="3"/>
  <c r="A155" i="3"/>
  <c r="A154" i="3"/>
  <c r="A153" i="3"/>
  <c r="A152" i="3"/>
  <c r="A151" i="3"/>
  <c r="A150" i="3"/>
  <c r="A149" i="3"/>
  <c r="A146" i="3"/>
  <c r="A145" i="3"/>
  <c r="A144" i="3"/>
  <c r="A143" i="3"/>
  <c r="A142" i="3"/>
  <c r="A141" i="3"/>
  <c r="A140" i="3"/>
  <c r="A139" i="3"/>
  <c r="A138" i="3"/>
  <c r="A137" i="3"/>
  <c r="A136" i="3"/>
  <c r="A135" i="3"/>
  <c r="A134" i="3"/>
  <c r="A133" i="3"/>
  <c r="A132" i="3"/>
  <c r="A131" i="3"/>
  <c r="A130" i="3"/>
  <c r="A127" i="3"/>
  <c r="A124" i="3"/>
  <c r="A121" i="3"/>
  <c r="A120" i="3"/>
  <c r="A119" i="3"/>
  <c r="A118" i="3"/>
  <c r="A117" i="3"/>
  <c r="A116" i="3"/>
  <c r="A115" i="3"/>
  <c r="A114" i="3"/>
  <c r="A113" i="3"/>
  <c r="A111" i="3"/>
  <c r="A110" i="3"/>
  <c r="A109" i="3"/>
  <c r="A100" i="3"/>
  <c r="A97" i="3"/>
  <c r="A96" i="3"/>
  <c r="A94" i="3"/>
  <c r="A91" i="3"/>
  <c r="A90" i="3"/>
  <c r="A89" i="3"/>
  <c r="A88" i="3"/>
  <c r="A87" i="3"/>
  <c r="A86" i="3"/>
  <c r="A85" i="3"/>
  <c r="A84" i="3"/>
  <c r="A83" i="3"/>
  <c r="A82" i="3"/>
  <c r="A81" i="3"/>
  <c r="A80" i="3"/>
  <c r="A77" i="3"/>
  <c r="A76" i="3"/>
  <c r="A75" i="3"/>
  <c r="A74" i="3"/>
  <c r="A73" i="3"/>
  <c r="A72" i="3"/>
  <c r="A71" i="3"/>
  <c r="A70" i="3"/>
  <c r="A69" i="3"/>
  <c r="A68" i="3"/>
  <c r="A67" i="3"/>
  <c r="A66" i="3"/>
  <c r="A65" i="3"/>
  <c r="A64" i="3"/>
  <c r="A61" i="3"/>
  <c r="A60" i="3"/>
  <c r="A59" i="3"/>
  <c r="A58" i="3"/>
  <c r="A57" i="3"/>
  <c r="A56" i="3"/>
  <c r="A55" i="3"/>
  <c r="A52" i="3"/>
  <c r="A51" i="3"/>
  <c r="A50" i="3"/>
  <c r="A48" i="3"/>
  <c r="A45" i="3"/>
  <c r="A44" i="3"/>
  <c r="A43" i="3"/>
  <c r="A42" i="3"/>
  <c r="A41" i="3"/>
  <c r="A40" i="3"/>
  <c r="A39" i="3"/>
  <c r="A38" i="3"/>
  <c r="A37" i="3"/>
  <c r="A36" i="3"/>
  <c r="A33" i="3"/>
  <c r="A32" i="3"/>
  <c r="A31" i="3"/>
  <c r="A30" i="3"/>
  <c r="A29" i="3"/>
  <c r="A28" i="3"/>
  <c r="A27" i="3"/>
  <c r="A26" i="3"/>
  <c r="A23" i="3"/>
  <c r="A22" i="3"/>
  <c r="A21" i="3"/>
  <c r="A20" i="3"/>
  <c r="A19" i="3"/>
  <c r="A18" i="3"/>
  <c r="A17" i="3"/>
  <c r="A16" i="3"/>
  <c r="A15" i="3"/>
  <c r="A14" i="3"/>
  <c r="A13" i="3"/>
  <c r="A12" i="3"/>
  <c r="A11" i="3"/>
  <c r="A109" i="1"/>
  <c r="A11" i="1"/>
  <c r="A479" i="1"/>
  <c r="A478" i="1"/>
  <c r="A208" i="1"/>
  <c r="A209" i="1"/>
  <c r="A26" i="1"/>
  <c r="A27" i="1"/>
  <c r="A28" i="1"/>
  <c r="A29" i="1"/>
  <c r="A30" i="1"/>
  <c r="A31" i="1"/>
  <c r="A32" i="1"/>
  <c r="A33" i="1"/>
  <c r="A36" i="1"/>
  <c r="A37" i="1"/>
  <c r="A38" i="1"/>
  <c r="A39" i="1"/>
  <c r="A40" i="1"/>
  <c r="A41" i="1"/>
  <c r="A42" i="1"/>
  <c r="A43" i="1"/>
  <c r="A44" i="1"/>
  <c r="A45" i="1"/>
  <c r="A48" i="1"/>
  <c r="A49" i="1"/>
  <c r="A50" i="1"/>
  <c r="A51" i="1"/>
  <c r="A52" i="1"/>
  <c r="A55" i="1"/>
  <c r="A56" i="1"/>
  <c r="A57" i="1"/>
  <c r="A58" i="1"/>
  <c r="A59" i="1"/>
  <c r="A60" i="1"/>
  <c r="A61" i="1"/>
  <c r="A64" i="1"/>
  <c r="A65" i="1"/>
  <c r="A66" i="1"/>
  <c r="A67" i="1"/>
  <c r="A68" i="1"/>
  <c r="A69" i="1"/>
  <c r="A70" i="1"/>
  <c r="A71" i="1"/>
  <c r="A72" i="1"/>
  <c r="A73" i="1"/>
  <c r="A74" i="1"/>
  <c r="A75" i="1"/>
  <c r="A76" i="1"/>
  <c r="A77" i="1"/>
  <c r="A80" i="1"/>
  <c r="A81" i="1"/>
  <c r="A82" i="1"/>
  <c r="A83" i="1"/>
  <c r="A84" i="1"/>
  <c r="A85" i="1"/>
  <c r="A86" i="1"/>
  <c r="A87" i="1"/>
  <c r="A88" i="1"/>
  <c r="A89" i="1"/>
  <c r="A90" i="1"/>
  <c r="A91" i="1"/>
  <c r="A94" i="1"/>
  <c r="A96" i="1"/>
  <c r="A97" i="1"/>
  <c r="A100" i="1"/>
  <c r="A110" i="1"/>
  <c r="A111" i="1"/>
  <c r="A113" i="1"/>
  <c r="A114" i="1"/>
  <c r="A115" i="1"/>
  <c r="A116" i="1"/>
  <c r="A117" i="1"/>
  <c r="A118" i="1"/>
  <c r="A119" i="1"/>
  <c r="A120" i="1"/>
  <c r="A121" i="1"/>
  <c r="A124" i="1"/>
  <c r="A127" i="1"/>
  <c r="A130" i="1"/>
  <c r="A131" i="1"/>
  <c r="A132" i="1"/>
  <c r="A133" i="1"/>
  <c r="A134" i="1"/>
  <c r="A135" i="1"/>
  <c r="A136" i="1"/>
  <c r="A137" i="1"/>
  <c r="A138" i="1"/>
  <c r="A139" i="1"/>
  <c r="A140" i="1"/>
  <c r="A141" i="1"/>
  <c r="A142" i="1"/>
  <c r="A143" i="1"/>
  <c r="A144" i="1"/>
  <c r="A145" i="1"/>
  <c r="A146" i="1"/>
  <c r="A149" i="1"/>
  <c r="A150" i="1"/>
  <c r="A151" i="1"/>
  <c r="A152" i="1"/>
  <c r="A153" i="1"/>
  <c r="A154" i="1"/>
  <c r="A155" i="1"/>
  <c r="A156" i="1"/>
  <c r="A157" i="1"/>
  <c r="A162" i="1"/>
  <c r="A165" i="1"/>
  <c r="A166" i="1"/>
  <c r="A167" i="1"/>
  <c r="A198" i="1"/>
  <c r="A200" i="1"/>
  <c r="A201" i="1"/>
  <c r="A202" i="1"/>
  <c r="A203" i="1"/>
  <c r="A204" i="1"/>
  <c r="A205" i="1"/>
  <c r="A206" i="1"/>
  <c r="A210" i="1"/>
  <c r="A211" i="1"/>
  <c r="A216" i="1"/>
  <c r="A217" i="1"/>
  <c r="A218" i="1"/>
  <c r="A219" i="1"/>
  <c r="A220" i="1"/>
  <c r="A221" i="1"/>
  <c r="A222" i="1"/>
  <c r="A223" i="1"/>
  <c r="A224" i="1"/>
  <c r="A227" i="1"/>
  <c r="A228" i="1"/>
  <c r="A229" i="1"/>
  <c r="A230" i="1"/>
  <c r="A231" i="1"/>
  <c r="A232" i="1"/>
  <c r="A233" i="1"/>
  <c r="A234" i="1"/>
  <c r="A235"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5" i="1"/>
  <c r="A278" i="1"/>
  <c r="A279" i="1"/>
  <c r="A280" i="1"/>
  <c r="A281" i="1"/>
  <c r="A283" i="1"/>
  <c r="A284" i="1"/>
  <c r="A285" i="1"/>
  <c r="A286" i="1"/>
  <c r="A287" i="1"/>
  <c r="A288" i="1"/>
  <c r="A289" i="1"/>
  <c r="A290" i="1"/>
  <c r="A291" i="1"/>
  <c r="A296" i="1"/>
  <c r="A297" i="1"/>
  <c r="A298" i="1"/>
  <c r="A299" i="1"/>
  <c r="A300" i="1"/>
  <c r="A301" i="1"/>
  <c r="A302" i="1"/>
  <c r="A303" i="1"/>
  <c r="A304" i="1"/>
  <c r="A305" i="1"/>
  <c r="A306" i="1"/>
  <c r="A307" i="1"/>
  <c r="A308" i="1"/>
  <c r="A309" i="1"/>
  <c r="A310" i="1"/>
  <c r="A311" i="1"/>
  <c r="A312" i="1"/>
  <c r="A313" i="1"/>
  <c r="A314" i="1"/>
  <c r="A315" i="1"/>
  <c r="A318" i="1"/>
  <c r="A322" i="1"/>
  <c r="A323" i="1"/>
  <c r="A324" i="1"/>
  <c r="A325" i="1"/>
  <c r="A326" i="1"/>
  <c r="A327" i="1"/>
  <c r="A328" i="1"/>
  <c r="A329" i="1"/>
  <c r="A330" i="1"/>
  <c r="A331" i="1"/>
  <c r="A332" i="1"/>
  <c r="A333" i="1"/>
  <c r="A336" i="1"/>
  <c r="A337" i="1"/>
  <c r="A338" i="1"/>
  <c r="A339" i="1"/>
  <c r="A340" i="1"/>
  <c r="A341" i="1"/>
  <c r="A342" i="1"/>
  <c r="A343" i="1"/>
  <c r="A344" i="1"/>
  <c r="A345" i="1"/>
  <c r="A346" i="1"/>
  <c r="A347" i="1"/>
  <c r="A348" i="1"/>
  <c r="A349" i="1"/>
  <c r="A350" i="1"/>
  <c r="A351" i="1"/>
  <c r="A353" i="1"/>
  <c r="A356" i="1"/>
  <c r="A357" i="1"/>
  <c r="A358" i="1"/>
  <c r="A361" i="1"/>
  <c r="A362" i="1"/>
  <c r="A363" i="1"/>
  <c r="A364" i="1"/>
  <c r="A365" i="1"/>
  <c r="A366" i="1"/>
  <c r="A367" i="1"/>
  <c r="A368" i="1"/>
  <c r="A369" i="1"/>
  <c r="A370" i="1"/>
  <c r="A371" i="1"/>
  <c r="A372" i="1"/>
  <c r="A373" i="1"/>
  <c r="A374" i="1"/>
  <c r="A375" i="1"/>
  <c r="A376" i="1"/>
  <c r="A377" i="1"/>
  <c r="A378" i="1"/>
  <c r="A379" i="1"/>
  <c r="A384" i="1"/>
  <c r="A385" i="1"/>
  <c r="A386" i="1"/>
  <c r="A387" i="1"/>
  <c r="A388" i="1"/>
  <c r="A389" i="1"/>
  <c r="A390" i="1"/>
  <c r="A391" i="1"/>
  <c r="A392" i="1"/>
  <c r="A393" i="1"/>
  <c r="A394" i="1"/>
  <c r="A395" i="1"/>
  <c r="A396" i="1"/>
  <c r="A397" i="1"/>
  <c r="A398" i="1"/>
  <c r="A399" i="1"/>
  <c r="A400" i="1"/>
  <c r="A403" i="1"/>
  <c r="A404" i="1"/>
  <c r="A405" i="1"/>
  <c r="A406" i="1"/>
  <c r="A407" i="1"/>
  <c r="A408" i="1"/>
  <c r="A409" i="1"/>
  <c r="A410" i="1"/>
  <c r="A411" i="1"/>
  <c r="A412" i="1"/>
  <c r="A413" i="1"/>
  <c r="A414" i="1"/>
  <c r="A417" i="1"/>
  <c r="A418" i="1"/>
  <c r="A419" i="1"/>
  <c r="A420" i="1"/>
  <c r="A421" i="1"/>
  <c r="A422" i="1"/>
  <c r="A423" i="1"/>
  <c r="A424" i="1"/>
  <c r="A425" i="1"/>
  <c r="A426" i="1"/>
  <c r="A427" i="1"/>
  <c r="A428" i="1"/>
  <c r="A435" i="1"/>
  <c r="A436" i="1"/>
  <c r="A437" i="1"/>
  <c r="A438" i="1"/>
  <c r="A439" i="1"/>
  <c r="A440" i="1"/>
  <c r="A441" i="1"/>
  <c r="A442" i="1"/>
  <c r="A445" i="1"/>
  <c r="A446" i="1"/>
  <c r="A447" i="1"/>
  <c r="A448" i="1"/>
  <c r="A449" i="1"/>
  <c r="A450" i="1"/>
  <c r="A451" i="1"/>
  <c r="A452" i="1"/>
  <c r="A453" i="1"/>
  <c r="A456" i="1"/>
  <c r="A457" i="1"/>
  <c r="A458" i="1"/>
  <c r="A459" i="1"/>
  <c r="A460" i="1"/>
  <c r="A461" i="1"/>
  <c r="A462" i="1"/>
  <c r="A463" i="1"/>
  <c r="A464" i="1"/>
  <c r="A465" i="1"/>
  <c r="A466" i="1"/>
  <c r="A467" i="1"/>
  <c r="A468" i="1"/>
  <c r="A469" i="1"/>
  <c r="A470" i="1"/>
  <c r="A472" i="1"/>
  <c r="A473" i="1"/>
  <c r="A495" i="1"/>
  <c r="A496" i="1"/>
  <c r="A497" i="1"/>
  <c r="A498" i="1"/>
  <c r="A501" i="1"/>
  <c r="A504" i="1"/>
  <c r="A505" i="1"/>
  <c r="A506" i="1"/>
  <c r="A507" i="1"/>
  <c r="A508" i="1"/>
  <c r="A509" i="1"/>
  <c r="A510" i="1"/>
  <c r="A511" i="1"/>
  <c r="A512" i="1"/>
  <c r="A513" i="1"/>
  <c r="A516" i="1"/>
  <c r="A519" i="1"/>
  <c r="A520" i="1"/>
  <c r="A521" i="1"/>
  <c r="A522" i="1"/>
  <c r="A524" i="1"/>
  <c r="A525" i="1"/>
  <c r="A526" i="1"/>
  <c r="A527" i="1"/>
  <c r="A528" i="1"/>
  <c r="A529" i="1"/>
  <c r="A530" i="1"/>
  <c r="A533" i="1"/>
  <c r="A538" i="1"/>
  <c r="A541" i="1"/>
  <c r="A542" i="1"/>
  <c r="A544" i="1"/>
  <c r="A545" i="1"/>
  <c r="A547" i="1"/>
  <c r="A548" i="1"/>
  <c r="A549" i="1"/>
  <c r="A12" i="1"/>
  <c r="A13" i="1"/>
  <c r="A14" i="1"/>
  <c r="A15" i="1"/>
  <c r="A16" i="1"/>
  <c r="A17" i="1"/>
  <c r="A18" i="1"/>
  <c r="A19" i="1"/>
  <c r="A20" i="1"/>
  <c r="A21" i="1"/>
  <c r="A22" i="1"/>
  <c r="A23" i="1"/>
  <c r="D396" i="7"/>
  <c r="C545" i="5"/>
  <c r="C544" i="5"/>
  <c r="C542" i="5"/>
  <c r="C541" i="5"/>
  <c r="C538" i="5"/>
  <c r="C533" i="5"/>
  <c r="C530" i="5"/>
  <c r="C529" i="5"/>
  <c r="C528" i="5"/>
  <c r="C527" i="5"/>
  <c r="C526" i="5"/>
  <c r="C525" i="5"/>
  <c r="C524" i="5"/>
  <c r="C522" i="5"/>
  <c r="C521" i="5"/>
  <c r="C520" i="5"/>
  <c r="C519" i="5"/>
  <c r="C516" i="5"/>
  <c r="C513" i="5"/>
  <c r="C512" i="5"/>
  <c r="C511" i="5"/>
  <c r="C510" i="5"/>
  <c r="C509" i="5"/>
  <c r="C508" i="5"/>
  <c r="C507" i="5"/>
  <c r="C506" i="5"/>
  <c r="C505" i="5"/>
  <c r="C504" i="5"/>
  <c r="C501" i="5"/>
  <c r="C498" i="5"/>
  <c r="C497" i="5"/>
  <c r="C496" i="5"/>
  <c r="C495" i="5"/>
  <c r="C479" i="5"/>
  <c r="C478" i="5"/>
  <c r="C473" i="5"/>
  <c r="C472" i="5"/>
  <c r="C470" i="5"/>
  <c r="C469" i="5"/>
  <c r="C468" i="5"/>
  <c r="C467" i="5"/>
  <c r="C466" i="5"/>
  <c r="C465" i="5"/>
  <c r="C464" i="5"/>
  <c r="C463" i="5"/>
  <c r="C462" i="5"/>
  <c r="C461" i="5"/>
  <c r="C460" i="5"/>
  <c r="C459" i="5"/>
  <c r="C458" i="5"/>
  <c r="C457" i="5"/>
  <c r="C456" i="5"/>
  <c r="C453" i="5"/>
  <c r="C452" i="5"/>
  <c r="C451" i="5"/>
  <c r="C450" i="5"/>
  <c r="C449" i="5"/>
  <c r="C448" i="5"/>
  <c r="C447" i="5"/>
  <c r="C446" i="5"/>
  <c r="C445" i="5"/>
  <c r="C442" i="5"/>
  <c r="C441" i="5"/>
  <c r="C440" i="5"/>
  <c r="C439" i="5"/>
  <c r="C438" i="5"/>
  <c r="C437" i="5"/>
  <c r="C436" i="5"/>
  <c r="C435" i="5"/>
  <c r="C434" i="5"/>
  <c r="C428" i="5"/>
  <c r="C427" i="5"/>
  <c r="C426" i="5"/>
  <c r="C425" i="5"/>
  <c r="C424" i="5"/>
  <c r="C423" i="5"/>
  <c r="C422" i="5"/>
  <c r="C421" i="5"/>
  <c r="C420" i="5"/>
  <c r="C419" i="5"/>
  <c r="C418" i="5"/>
  <c r="C417" i="5"/>
  <c r="C414" i="5"/>
  <c r="C413" i="5"/>
  <c r="C412" i="5"/>
  <c r="C411" i="5"/>
  <c r="C410" i="5"/>
  <c r="C409" i="5"/>
  <c r="C408" i="5"/>
  <c r="C407" i="5"/>
  <c r="C406" i="5"/>
  <c r="C405" i="5"/>
  <c r="C404" i="5"/>
  <c r="C403" i="5"/>
  <c r="C400" i="5"/>
  <c r="C399" i="5"/>
  <c r="C398" i="5"/>
  <c r="C397" i="5"/>
  <c r="C396" i="5"/>
  <c r="C395" i="5"/>
  <c r="C394" i="5"/>
  <c r="C393" i="5"/>
  <c r="C392" i="5"/>
  <c r="C391" i="5"/>
  <c r="C390" i="5"/>
  <c r="C389" i="5"/>
  <c r="C388" i="5"/>
  <c r="C387" i="5"/>
  <c r="C386" i="5"/>
  <c r="C385" i="5"/>
  <c r="C384" i="5"/>
  <c r="C379" i="5"/>
  <c r="C378" i="5"/>
  <c r="C377" i="5"/>
  <c r="C376" i="5"/>
  <c r="C375" i="5"/>
  <c r="C374" i="5"/>
  <c r="C373" i="5"/>
  <c r="C372" i="5"/>
  <c r="C371" i="5"/>
  <c r="C370" i="5"/>
  <c r="C369" i="5"/>
  <c r="C368" i="5"/>
  <c r="C367" i="5"/>
  <c r="C366" i="5"/>
  <c r="C365" i="5"/>
  <c r="C364" i="5"/>
  <c r="C363" i="5"/>
  <c r="C362" i="5"/>
  <c r="C361" i="5"/>
  <c r="C358" i="5"/>
  <c r="C357" i="5"/>
  <c r="C356" i="5"/>
  <c r="C353" i="5"/>
  <c r="C351" i="5"/>
  <c r="C350" i="5"/>
  <c r="C349" i="5"/>
  <c r="C348" i="5"/>
  <c r="C347" i="5"/>
  <c r="C346" i="5"/>
  <c r="C345" i="5"/>
  <c r="C344" i="5"/>
  <c r="C343" i="5"/>
  <c r="C342" i="5"/>
  <c r="C341" i="5"/>
  <c r="C340" i="5"/>
  <c r="C339" i="5"/>
  <c r="C338" i="5"/>
  <c r="C337" i="5"/>
  <c r="C336" i="5"/>
  <c r="C323" i="5"/>
  <c r="C324" i="5"/>
  <c r="C325" i="5"/>
  <c r="C326" i="5"/>
  <c r="C327" i="5"/>
  <c r="C328" i="5"/>
  <c r="C329" i="5"/>
  <c r="C330" i="5"/>
  <c r="C331" i="5"/>
  <c r="C332" i="5"/>
  <c r="C333" i="5"/>
  <c r="C322" i="5"/>
  <c r="C297" i="5"/>
  <c r="C298" i="5"/>
  <c r="C299" i="5"/>
  <c r="C300" i="5"/>
  <c r="C301" i="5"/>
  <c r="C302" i="5"/>
  <c r="C303" i="5"/>
  <c r="C304" i="5"/>
  <c r="C305" i="5"/>
  <c r="C306" i="5"/>
  <c r="C307" i="5"/>
  <c r="C308" i="5"/>
  <c r="C309" i="5"/>
  <c r="C310" i="5"/>
  <c r="C311" i="5"/>
  <c r="C312" i="5"/>
  <c r="C313" i="5"/>
  <c r="C314" i="5"/>
  <c r="C315" i="5"/>
  <c r="C318" i="5"/>
  <c r="C296" i="5"/>
  <c r="C285" i="5"/>
  <c r="C286" i="5"/>
  <c r="C287" i="5"/>
  <c r="C288" i="5"/>
  <c r="C289" i="5"/>
  <c r="C290" i="5"/>
  <c r="C291" i="5"/>
  <c r="C284" i="5"/>
  <c r="C283" i="5"/>
  <c r="C281" i="5"/>
  <c r="C280" i="5"/>
  <c r="C279" i="5"/>
  <c r="C278" i="5"/>
  <c r="C275"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5" i="5"/>
  <c r="C234" i="5"/>
  <c r="C233" i="5"/>
  <c r="C232" i="5"/>
  <c r="C231" i="5"/>
  <c r="C230" i="5"/>
  <c r="C229" i="5"/>
  <c r="C228" i="5"/>
  <c r="C227" i="5"/>
  <c r="C224" i="5"/>
  <c r="C223" i="5"/>
  <c r="C222" i="5"/>
  <c r="C221" i="5"/>
  <c r="C220" i="5"/>
  <c r="C219" i="5"/>
  <c r="C218" i="5"/>
  <c r="C217" i="5"/>
  <c r="C216" i="5"/>
  <c r="C200" i="5"/>
  <c r="C201" i="5"/>
  <c r="C202" i="5"/>
  <c r="C203" i="5"/>
  <c r="C204" i="5"/>
  <c r="C205" i="5"/>
  <c r="C206" i="5"/>
  <c r="C207" i="5"/>
  <c r="C209" i="5"/>
  <c r="C210" i="5"/>
  <c r="C211" i="5"/>
  <c r="C198" i="5"/>
  <c r="C193" i="5"/>
  <c r="C192" i="5"/>
  <c r="C191" i="5"/>
  <c r="C190" i="5"/>
  <c r="C189" i="5"/>
  <c r="C188" i="5"/>
  <c r="C187" i="5"/>
  <c r="C186" i="5"/>
  <c r="C185" i="5"/>
  <c r="C184" i="5"/>
  <c r="C183" i="5"/>
  <c r="C182" i="5"/>
  <c r="C181" i="5"/>
  <c r="C180" i="5"/>
  <c r="C179" i="5"/>
  <c r="C178" i="5"/>
  <c r="C177" i="5"/>
  <c r="C176" i="5"/>
  <c r="C175" i="5"/>
  <c r="C174" i="5"/>
  <c r="C173" i="5"/>
  <c r="C172" i="5"/>
  <c r="C171" i="5"/>
  <c r="C170" i="5"/>
  <c r="C167" i="5"/>
  <c r="C166" i="5"/>
  <c r="C165" i="5"/>
  <c r="C162" i="5"/>
  <c r="C157" i="5"/>
  <c r="C156" i="5"/>
  <c r="C155" i="5"/>
  <c r="C154" i="5"/>
  <c r="C153" i="5"/>
  <c r="C152" i="5"/>
  <c r="C151" i="5"/>
  <c r="C150" i="5"/>
  <c r="C149" i="5"/>
  <c r="C141" i="5"/>
  <c r="C142" i="5"/>
  <c r="C143" i="5"/>
  <c r="C144" i="5"/>
  <c r="C145" i="5"/>
  <c r="C146" i="5"/>
  <c r="C140" i="5"/>
  <c r="C139" i="5"/>
  <c r="C138" i="5"/>
  <c r="C137" i="5"/>
  <c r="C136" i="5"/>
  <c r="C135" i="5"/>
  <c r="C134" i="5"/>
  <c r="C133" i="5"/>
  <c r="C132" i="5"/>
  <c r="C131" i="5"/>
  <c r="C130" i="5"/>
  <c r="C127" i="5"/>
  <c r="C110" i="5"/>
  <c r="C111" i="5"/>
  <c r="C113" i="5"/>
  <c r="C114" i="5"/>
  <c r="C115" i="5"/>
  <c r="C116" i="5"/>
  <c r="C117" i="5"/>
  <c r="C118" i="5"/>
  <c r="C119" i="5"/>
  <c r="C120" i="5"/>
  <c r="C121" i="5"/>
  <c r="C124" i="5"/>
  <c r="C109" i="5"/>
  <c r="C96" i="5"/>
  <c r="C97" i="5"/>
  <c r="C98" i="5"/>
  <c r="C100" i="5"/>
  <c r="C94" i="5"/>
  <c r="C81" i="5"/>
  <c r="C82" i="5"/>
  <c r="C83" i="5"/>
  <c r="C84" i="5"/>
  <c r="C85" i="5"/>
  <c r="C86" i="5"/>
  <c r="C87" i="5"/>
  <c r="C88" i="5"/>
  <c r="C89" i="5"/>
  <c r="C90" i="5"/>
  <c r="C91" i="5"/>
  <c r="C80" i="5"/>
  <c r="C65" i="5"/>
  <c r="C66" i="5"/>
  <c r="C67" i="5"/>
  <c r="C68" i="5"/>
  <c r="C69" i="5"/>
  <c r="C70" i="5"/>
  <c r="C71" i="5"/>
  <c r="C72" i="5"/>
  <c r="C73" i="5"/>
  <c r="C74" i="5"/>
  <c r="C75" i="5"/>
  <c r="C76" i="5"/>
  <c r="C77" i="5"/>
  <c r="C64" i="5"/>
  <c r="C49" i="5"/>
  <c r="C50" i="5"/>
  <c r="C51" i="5"/>
  <c r="C52" i="5"/>
  <c r="C55" i="5"/>
  <c r="C56" i="5"/>
  <c r="C57" i="5"/>
  <c r="C58" i="5"/>
  <c r="C59" i="5"/>
  <c r="C60" i="5"/>
  <c r="C61"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45" i="4"/>
  <c r="C544" i="4"/>
  <c r="C542" i="4"/>
  <c r="C541" i="4"/>
  <c r="C538" i="4"/>
  <c r="C533" i="4"/>
  <c r="C530" i="4"/>
  <c r="C529" i="4"/>
  <c r="C528" i="4"/>
  <c r="C527" i="4"/>
  <c r="C526" i="4"/>
  <c r="C525" i="4"/>
  <c r="C524" i="4"/>
  <c r="C522" i="4"/>
  <c r="C521" i="4"/>
  <c r="C520" i="4"/>
  <c r="C519" i="4"/>
  <c r="C516" i="4"/>
  <c r="C513" i="4"/>
  <c r="C512" i="4"/>
  <c r="C511" i="4"/>
  <c r="C510" i="4"/>
  <c r="C509" i="4"/>
  <c r="C508" i="4"/>
  <c r="C507" i="4"/>
  <c r="C506" i="4"/>
  <c r="C505" i="4"/>
  <c r="C504" i="4"/>
  <c r="C501" i="4"/>
  <c r="C498" i="4"/>
  <c r="C497" i="4"/>
  <c r="C496" i="4"/>
  <c r="C495" i="4"/>
  <c r="C479" i="4"/>
  <c r="C478" i="4"/>
  <c r="C473" i="4"/>
  <c r="C472" i="4"/>
  <c r="C470" i="4"/>
  <c r="C469" i="4"/>
  <c r="C468" i="4"/>
  <c r="C467" i="4"/>
  <c r="C466" i="4"/>
  <c r="C465" i="4"/>
  <c r="C464" i="4"/>
  <c r="C463" i="4"/>
  <c r="C462" i="4"/>
  <c r="C461" i="4"/>
  <c r="C460" i="4"/>
  <c r="C459" i="4"/>
  <c r="C458" i="4"/>
  <c r="C457" i="4"/>
  <c r="C456" i="4"/>
  <c r="C453" i="4"/>
  <c r="C452" i="4"/>
  <c r="C451" i="4"/>
  <c r="C450" i="4"/>
  <c r="C449" i="4"/>
  <c r="C448" i="4"/>
  <c r="C447" i="4"/>
  <c r="C446" i="4"/>
  <c r="C445" i="4"/>
  <c r="C442" i="4"/>
  <c r="C441" i="4"/>
  <c r="C440" i="4"/>
  <c r="C439" i="4"/>
  <c r="C438" i="4"/>
  <c r="C437" i="4"/>
  <c r="C436" i="4"/>
  <c r="C435" i="4"/>
  <c r="C434" i="4"/>
  <c r="C428" i="4"/>
  <c r="C427" i="4"/>
  <c r="C426" i="4"/>
  <c r="C425" i="4"/>
  <c r="C424" i="4"/>
  <c r="C423" i="4"/>
  <c r="C422" i="4"/>
  <c r="C421" i="4"/>
  <c r="C420" i="4"/>
  <c r="C419" i="4"/>
  <c r="C418" i="4"/>
  <c r="C417" i="4"/>
  <c r="C414" i="4"/>
  <c r="C413" i="4"/>
  <c r="C412" i="4"/>
  <c r="C411" i="4"/>
  <c r="C410" i="4"/>
  <c r="C409" i="4"/>
  <c r="C408" i="4"/>
  <c r="C407" i="4"/>
  <c r="C406" i="4"/>
  <c r="C405" i="4"/>
  <c r="C404" i="4"/>
  <c r="C403" i="4"/>
  <c r="C400" i="4"/>
  <c r="C399" i="4"/>
  <c r="C398" i="4"/>
  <c r="C397" i="4"/>
  <c r="C396" i="4"/>
  <c r="C395" i="4"/>
  <c r="C394" i="4"/>
  <c r="C393" i="4"/>
  <c r="C392" i="4"/>
  <c r="C391" i="4"/>
  <c r="C390" i="4"/>
  <c r="C389" i="4"/>
  <c r="C388" i="4"/>
  <c r="C387" i="4"/>
  <c r="C386" i="4"/>
  <c r="C385" i="4"/>
  <c r="C384" i="4"/>
  <c r="C379" i="4"/>
  <c r="C378" i="4"/>
  <c r="C377" i="4"/>
  <c r="C376" i="4"/>
  <c r="C375" i="4"/>
  <c r="C374" i="4"/>
  <c r="C373" i="4"/>
  <c r="C372" i="4"/>
  <c r="C371" i="4"/>
  <c r="C370" i="4"/>
  <c r="C369" i="4"/>
  <c r="C368" i="4"/>
  <c r="C367" i="4"/>
  <c r="C366" i="4"/>
  <c r="C365" i="4"/>
  <c r="C364" i="4"/>
  <c r="C363" i="4"/>
  <c r="C362" i="4"/>
  <c r="C361" i="4"/>
  <c r="C358" i="4"/>
  <c r="C357" i="4"/>
  <c r="C356" i="4"/>
  <c r="C353" i="4"/>
  <c r="C351" i="4"/>
  <c r="C350" i="4"/>
  <c r="C349" i="4"/>
  <c r="C348" i="4"/>
  <c r="C347" i="4"/>
  <c r="C346" i="4"/>
  <c r="C345" i="4"/>
  <c r="C344" i="4"/>
  <c r="C343" i="4"/>
  <c r="C342" i="4"/>
  <c r="C341" i="4"/>
  <c r="C340" i="4"/>
  <c r="C339" i="4"/>
  <c r="C338" i="4"/>
  <c r="C337" i="4"/>
  <c r="C336" i="4"/>
  <c r="C333" i="4"/>
  <c r="C332" i="4"/>
  <c r="C331" i="4"/>
  <c r="C330" i="4"/>
  <c r="C329" i="4"/>
  <c r="C328" i="4"/>
  <c r="C327" i="4"/>
  <c r="C326" i="4"/>
  <c r="C325" i="4"/>
  <c r="C324" i="4"/>
  <c r="C323" i="4"/>
  <c r="C322" i="4"/>
  <c r="C318" i="4"/>
  <c r="C315" i="4"/>
  <c r="C314" i="4"/>
  <c r="C313" i="4"/>
  <c r="C312" i="4"/>
  <c r="C311" i="4"/>
  <c r="C310" i="4"/>
  <c r="C309" i="4"/>
  <c r="C308" i="4"/>
  <c r="C307" i="4"/>
  <c r="C306" i="4"/>
  <c r="C305" i="4"/>
  <c r="C304" i="4"/>
  <c r="C303" i="4"/>
  <c r="C302" i="4"/>
  <c r="C301" i="4"/>
  <c r="C300" i="4"/>
  <c r="C299" i="4"/>
  <c r="C298" i="4"/>
  <c r="C297" i="4"/>
  <c r="C296" i="4"/>
  <c r="C291" i="4"/>
  <c r="C290" i="4"/>
  <c r="C289" i="4"/>
  <c r="C288" i="4"/>
  <c r="C287" i="4"/>
  <c r="C286" i="4"/>
  <c r="C285" i="4"/>
  <c r="C284" i="4"/>
  <c r="C283" i="4"/>
  <c r="C281" i="4"/>
  <c r="C280" i="4"/>
  <c r="C279" i="4"/>
  <c r="C278" i="4"/>
  <c r="C275"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5" i="4"/>
  <c r="C234" i="4"/>
  <c r="C233" i="4"/>
  <c r="C232" i="4"/>
  <c r="C231" i="4"/>
  <c r="C230" i="4"/>
  <c r="C229" i="4"/>
  <c r="C228" i="4"/>
  <c r="C227" i="4"/>
  <c r="C224" i="4"/>
  <c r="C223" i="4"/>
  <c r="C222" i="4"/>
  <c r="C221" i="4"/>
  <c r="C220" i="4"/>
  <c r="C219" i="4"/>
  <c r="C218" i="4"/>
  <c r="C217" i="4"/>
  <c r="C216" i="4"/>
  <c r="C211" i="4"/>
  <c r="C210" i="4"/>
  <c r="C209" i="4"/>
  <c r="C207" i="4"/>
  <c r="C206" i="4"/>
  <c r="C205" i="4"/>
  <c r="C204" i="4"/>
  <c r="C203" i="4"/>
  <c r="C202" i="4"/>
  <c r="C201" i="4"/>
  <c r="C200" i="4"/>
  <c r="C198" i="4"/>
  <c r="C188" i="4"/>
  <c r="C189" i="4"/>
  <c r="C190" i="4"/>
  <c r="C191" i="4"/>
  <c r="C192" i="4"/>
  <c r="C193" i="4"/>
  <c r="C180" i="4"/>
  <c r="C181" i="4"/>
  <c r="C182" i="4"/>
  <c r="C183" i="4"/>
  <c r="C184" i="4"/>
  <c r="C185" i="4"/>
  <c r="C186" i="4"/>
  <c r="C187" i="4"/>
  <c r="C179" i="4"/>
  <c r="C178" i="4"/>
  <c r="C177" i="4"/>
  <c r="C176" i="4"/>
  <c r="C175" i="4"/>
  <c r="C174" i="4"/>
  <c r="C173" i="4"/>
  <c r="C172" i="4"/>
  <c r="C171" i="4"/>
  <c r="C170" i="4"/>
  <c r="C167" i="4"/>
  <c r="C166" i="4"/>
  <c r="C165" i="4"/>
  <c r="C162" i="4"/>
  <c r="C157" i="4"/>
  <c r="C156" i="4"/>
  <c r="C155" i="4"/>
  <c r="C154" i="4"/>
  <c r="C153" i="4"/>
  <c r="C152" i="4"/>
  <c r="C151" i="4"/>
  <c r="C150" i="4"/>
  <c r="C149" i="4"/>
  <c r="C146" i="4"/>
  <c r="C145" i="4"/>
  <c r="C144" i="4"/>
  <c r="C143" i="4"/>
  <c r="C142" i="4"/>
  <c r="C141" i="4"/>
  <c r="C140" i="4"/>
  <c r="C139" i="4"/>
  <c r="C138" i="4"/>
  <c r="C137" i="4"/>
  <c r="C136" i="4"/>
  <c r="C135" i="4"/>
  <c r="C134" i="4"/>
  <c r="C133" i="4"/>
  <c r="C132" i="4"/>
  <c r="C131" i="4"/>
  <c r="C130" i="4"/>
  <c r="C127" i="4"/>
  <c r="C124" i="4"/>
  <c r="C121" i="4"/>
  <c r="C120" i="4"/>
  <c r="C119" i="4"/>
  <c r="C118" i="4"/>
  <c r="C117" i="4"/>
  <c r="C116" i="4"/>
  <c r="C115" i="4"/>
  <c r="C114" i="4"/>
  <c r="C113" i="4"/>
  <c r="C111" i="4"/>
  <c r="C110" i="4"/>
  <c r="C109" i="4"/>
  <c r="C100" i="4"/>
  <c r="C98" i="4"/>
  <c r="C97" i="4"/>
  <c r="C96" i="4"/>
  <c r="C94" i="4"/>
  <c r="C91" i="4"/>
  <c r="C90" i="4"/>
  <c r="C89" i="4"/>
  <c r="C88" i="4"/>
  <c r="C87" i="4"/>
  <c r="C86" i="4"/>
  <c r="C85" i="4"/>
  <c r="C84" i="4"/>
  <c r="C83" i="4"/>
  <c r="C82" i="4"/>
  <c r="C81" i="4"/>
  <c r="C80" i="4"/>
  <c r="C77" i="4"/>
  <c r="C76" i="4"/>
  <c r="C75" i="4"/>
  <c r="C74" i="4"/>
  <c r="C73" i="4"/>
  <c r="C72" i="4"/>
  <c r="C71" i="4"/>
  <c r="C70" i="4"/>
  <c r="C69" i="4"/>
  <c r="C68" i="4"/>
  <c r="C67" i="4"/>
  <c r="C66" i="4"/>
  <c r="C65" i="4"/>
  <c r="C64" i="4"/>
  <c r="C61" i="4"/>
  <c r="C60" i="4"/>
  <c r="C59" i="4"/>
  <c r="C58" i="4"/>
  <c r="C57" i="4"/>
  <c r="C56" i="4"/>
  <c r="C55"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11" i="6"/>
  <c r="C210" i="6"/>
  <c r="C209" i="6"/>
  <c r="C207" i="6"/>
  <c r="C206" i="6"/>
  <c r="C205" i="6"/>
  <c r="C204" i="6"/>
  <c r="C203" i="6"/>
  <c r="C202" i="6"/>
  <c r="C201" i="6"/>
  <c r="C200" i="6"/>
  <c r="C198" i="6"/>
  <c r="C193" i="6"/>
  <c r="C192" i="6"/>
  <c r="C191" i="6"/>
  <c r="C190" i="6"/>
  <c r="C189" i="6"/>
  <c r="C188" i="6"/>
  <c r="C187" i="6"/>
  <c r="C186" i="6"/>
  <c r="C185" i="6"/>
  <c r="C184" i="6"/>
  <c r="C183" i="6"/>
  <c r="C182" i="6"/>
  <c r="C181" i="6"/>
  <c r="C180" i="6"/>
  <c r="C179" i="6"/>
  <c r="C178" i="6"/>
  <c r="C177" i="6"/>
  <c r="C176" i="6"/>
  <c r="C175" i="6"/>
  <c r="C174" i="6"/>
  <c r="C173" i="6"/>
  <c r="C172" i="6"/>
  <c r="C171" i="6"/>
  <c r="C170" i="6"/>
  <c r="C167" i="6"/>
  <c r="C166" i="6"/>
  <c r="C165" i="6"/>
  <c r="C162" i="6"/>
  <c r="C157" i="6"/>
  <c r="C156" i="6"/>
  <c r="C155" i="6"/>
  <c r="C154" i="6"/>
  <c r="C153" i="6"/>
  <c r="C152" i="6"/>
  <c r="C151" i="6"/>
  <c r="C150" i="6"/>
  <c r="C149" i="6"/>
  <c r="C146" i="6"/>
  <c r="C145" i="6"/>
  <c r="C144" i="6"/>
  <c r="C143" i="6"/>
  <c r="C142" i="6"/>
  <c r="C141" i="6"/>
  <c r="C140" i="6"/>
  <c r="C139" i="6"/>
  <c r="C138" i="6"/>
  <c r="C137" i="6"/>
  <c r="C136" i="6"/>
  <c r="C135" i="6"/>
  <c r="C134" i="6"/>
  <c r="C133" i="6"/>
  <c r="C132" i="6"/>
  <c r="C131" i="6"/>
  <c r="C130" i="6"/>
  <c r="C127" i="6"/>
  <c r="C124" i="6"/>
  <c r="C121" i="6"/>
  <c r="C120" i="6"/>
  <c r="C119" i="6"/>
  <c r="C118" i="6"/>
  <c r="C117" i="6"/>
  <c r="C116" i="6"/>
  <c r="C115" i="6"/>
  <c r="C114" i="6"/>
  <c r="C113" i="6"/>
  <c r="C111" i="6"/>
  <c r="C110" i="6"/>
  <c r="C109" i="6"/>
  <c r="C211" i="3"/>
  <c r="C210" i="3"/>
  <c r="C209" i="3"/>
  <c r="C207" i="3"/>
  <c r="C206" i="3"/>
  <c r="C205" i="3"/>
  <c r="C204" i="3"/>
  <c r="C203" i="3"/>
  <c r="C202" i="3"/>
  <c r="C201" i="3"/>
  <c r="C200" i="3"/>
  <c r="C198" i="3"/>
  <c r="C193" i="3"/>
  <c r="C192" i="3"/>
  <c r="C191" i="3"/>
  <c r="C190" i="3"/>
  <c r="C189" i="3"/>
  <c r="C188" i="3"/>
  <c r="C187" i="3"/>
  <c r="C186" i="3"/>
  <c r="C185" i="3"/>
  <c r="C184" i="3"/>
  <c r="C183" i="3"/>
  <c r="C182" i="3"/>
  <c r="C181" i="3"/>
  <c r="C180" i="3"/>
  <c r="C179" i="3"/>
  <c r="C178" i="3"/>
  <c r="C177" i="3"/>
  <c r="C176" i="3"/>
  <c r="C175" i="3"/>
  <c r="C174" i="3"/>
  <c r="C173" i="3"/>
  <c r="C172" i="3"/>
  <c r="C171" i="3"/>
  <c r="C170" i="3"/>
  <c r="C167" i="3"/>
  <c r="C166" i="3"/>
  <c r="C165" i="3"/>
  <c r="C162" i="3"/>
  <c r="C157" i="3"/>
  <c r="C156" i="3"/>
  <c r="C155" i="3"/>
  <c r="C154" i="3"/>
  <c r="C153" i="3"/>
  <c r="C152" i="3"/>
  <c r="C151" i="3"/>
  <c r="C150" i="3"/>
  <c r="C149" i="3"/>
  <c r="C146" i="3"/>
  <c r="C145" i="3"/>
  <c r="C144" i="3"/>
  <c r="C143" i="3"/>
  <c r="C142" i="3"/>
  <c r="C141" i="3"/>
  <c r="C140" i="3"/>
  <c r="C139" i="3"/>
  <c r="C138" i="3"/>
  <c r="C137" i="3"/>
  <c r="C136" i="3"/>
  <c r="C135" i="3"/>
  <c r="C134" i="3"/>
  <c r="C133" i="3"/>
  <c r="C132" i="3"/>
  <c r="C131" i="3"/>
  <c r="C130" i="3"/>
  <c r="C127" i="3"/>
  <c r="C124" i="3"/>
  <c r="C121" i="3"/>
  <c r="C120" i="3"/>
  <c r="C119" i="3"/>
  <c r="C118" i="3"/>
  <c r="C117" i="3"/>
  <c r="C116" i="3"/>
  <c r="C115" i="3"/>
  <c r="C114" i="3"/>
  <c r="C113" i="3"/>
  <c r="C111" i="3"/>
  <c r="C110" i="3"/>
  <c r="C109" i="3"/>
  <c r="C193" i="1"/>
  <c r="C192" i="1"/>
  <c r="C191" i="1"/>
  <c r="C190" i="1"/>
  <c r="C189" i="1"/>
  <c r="C188" i="1"/>
  <c r="C187" i="1"/>
  <c r="C186" i="1"/>
  <c r="C185" i="1"/>
  <c r="C184" i="1"/>
  <c r="C183" i="1"/>
  <c r="C182" i="1"/>
  <c r="C181" i="1"/>
  <c r="C180" i="1"/>
  <c r="C179" i="1"/>
  <c r="C178" i="1"/>
  <c r="C177" i="1"/>
  <c r="C176" i="1"/>
  <c r="C175" i="1"/>
  <c r="C174" i="1"/>
  <c r="C173" i="1"/>
  <c r="C172" i="1"/>
  <c r="C171" i="1"/>
  <c r="C170" i="1"/>
  <c r="C167" i="1"/>
  <c r="C166" i="1"/>
  <c r="C165" i="1"/>
  <c r="C162" i="1"/>
  <c r="C157" i="1"/>
  <c r="C156" i="1"/>
  <c r="C155" i="1"/>
  <c r="C154" i="1"/>
  <c r="C153" i="1"/>
  <c r="C152" i="1"/>
  <c r="C151" i="1"/>
  <c r="C150" i="1"/>
  <c r="C149" i="1"/>
  <c r="C146" i="1"/>
  <c r="C145" i="1"/>
  <c r="C144" i="1"/>
  <c r="C143" i="1"/>
  <c r="C142" i="1"/>
  <c r="C141" i="1"/>
  <c r="C140" i="1"/>
  <c r="C139" i="1"/>
  <c r="C138" i="1"/>
  <c r="C137" i="1"/>
  <c r="C136" i="1"/>
  <c r="C135" i="1"/>
  <c r="C134" i="1"/>
  <c r="C133" i="1"/>
  <c r="C132" i="1"/>
  <c r="C131" i="1"/>
  <c r="C130" i="1"/>
  <c r="C127" i="1"/>
  <c r="C124" i="1"/>
  <c r="C121" i="1"/>
  <c r="C120" i="1"/>
  <c r="C119" i="1"/>
  <c r="C118" i="1"/>
  <c r="C117" i="1"/>
  <c r="C116" i="1"/>
  <c r="C114" i="1"/>
  <c r="C113" i="1"/>
  <c r="C111" i="1"/>
  <c r="C110" i="1"/>
  <c r="C109" i="1"/>
  <c r="C545" i="6"/>
  <c r="C544" i="6"/>
  <c r="C542" i="6"/>
  <c r="C541" i="6"/>
  <c r="C538" i="6"/>
  <c r="C533" i="6"/>
  <c r="C530" i="6"/>
  <c r="C529" i="6"/>
  <c r="C528" i="6"/>
  <c r="C527" i="6"/>
  <c r="C526" i="6"/>
  <c r="C525" i="6"/>
  <c r="C524" i="6"/>
  <c r="C522" i="6"/>
  <c r="C521" i="6"/>
  <c r="C520" i="6"/>
  <c r="C519" i="6"/>
  <c r="C516" i="6"/>
  <c r="C513" i="6"/>
  <c r="C512" i="6"/>
  <c r="C511" i="6"/>
  <c r="C510" i="6"/>
  <c r="C509" i="6"/>
  <c r="C508" i="6"/>
  <c r="C507" i="6"/>
  <c r="C506" i="6"/>
  <c r="C505" i="6"/>
  <c r="C504" i="6"/>
  <c r="C501" i="6"/>
  <c r="C498" i="6"/>
  <c r="C497" i="6"/>
  <c r="C496" i="6"/>
  <c r="C495" i="6"/>
  <c r="C479" i="6"/>
  <c r="C478" i="6"/>
  <c r="C473" i="6"/>
  <c r="C472" i="6"/>
  <c r="C470" i="6"/>
  <c r="C469" i="6"/>
  <c r="C468" i="6"/>
  <c r="C467" i="6"/>
  <c r="C466" i="6"/>
  <c r="C465" i="6"/>
  <c r="C464" i="6"/>
  <c r="C463" i="6"/>
  <c r="C462" i="6"/>
  <c r="C461" i="6"/>
  <c r="C460" i="6"/>
  <c r="C459" i="6"/>
  <c r="C458" i="6"/>
  <c r="C457" i="6"/>
  <c r="C456" i="6"/>
  <c r="C453" i="6"/>
  <c r="C452" i="6"/>
  <c r="C451" i="6"/>
  <c r="C450" i="6"/>
  <c r="C449" i="6"/>
  <c r="C448" i="6"/>
  <c r="C447" i="6"/>
  <c r="C446" i="6"/>
  <c r="C445" i="6"/>
  <c r="C442" i="6"/>
  <c r="C441" i="6"/>
  <c r="C440" i="6"/>
  <c r="C439" i="6"/>
  <c r="C438" i="6"/>
  <c r="C437" i="6"/>
  <c r="C436" i="6"/>
  <c r="C435" i="6"/>
  <c r="C434" i="6"/>
  <c r="C428" i="6"/>
  <c r="C427" i="6"/>
  <c r="C426" i="6"/>
  <c r="C425" i="6"/>
  <c r="C424" i="6"/>
  <c r="C423" i="6"/>
  <c r="C422" i="6"/>
  <c r="C421" i="6"/>
  <c r="C420" i="6"/>
  <c r="C419" i="6"/>
  <c r="C418" i="6"/>
  <c r="C417" i="6"/>
  <c r="C414" i="6"/>
  <c r="C413" i="6"/>
  <c r="C412" i="6"/>
  <c r="C411" i="6"/>
  <c r="C410" i="6"/>
  <c r="C409" i="6"/>
  <c r="C408" i="6"/>
  <c r="C407" i="6"/>
  <c r="C406" i="6"/>
  <c r="C405" i="6"/>
  <c r="C404" i="6"/>
  <c r="C403" i="6"/>
  <c r="C400" i="6"/>
  <c r="C399" i="6"/>
  <c r="C398" i="6"/>
  <c r="C397" i="6"/>
  <c r="C396" i="6"/>
  <c r="C395" i="6"/>
  <c r="C394" i="6"/>
  <c r="C393" i="6"/>
  <c r="C392" i="6"/>
  <c r="C391" i="6"/>
  <c r="C390" i="6"/>
  <c r="C389" i="6"/>
  <c r="C388" i="6"/>
  <c r="C387" i="6"/>
  <c r="C386" i="6"/>
  <c r="C385" i="6"/>
  <c r="C384" i="6"/>
  <c r="C379" i="6"/>
  <c r="C378" i="6"/>
  <c r="C377" i="6"/>
  <c r="C376" i="6"/>
  <c r="C375" i="6"/>
  <c r="C374" i="6"/>
  <c r="C373" i="6"/>
  <c r="C372" i="6"/>
  <c r="C371" i="6"/>
  <c r="C370" i="6"/>
  <c r="C369" i="6"/>
  <c r="C368" i="6"/>
  <c r="C367" i="6"/>
  <c r="C366" i="6"/>
  <c r="C365" i="6"/>
  <c r="C364" i="6"/>
  <c r="C363" i="6"/>
  <c r="C362" i="6"/>
  <c r="C361" i="6"/>
  <c r="C358" i="6"/>
  <c r="C357" i="6"/>
  <c r="C356" i="6"/>
  <c r="C353" i="6"/>
  <c r="C351" i="6"/>
  <c r="C350" i="6"/>
  <c r="C349" i="6"/>
  <c r="C348" i="6"/>
  <c r="C347" i="6"/>
  <c r="C346" i="6"/>
  <c r="C345" i="6"/>
  <c r="C344" i="6"/>
  <c r="C343" i="6"/>
  <c r="C342" i="6"/>
  <c r="C341" i="6"/>
  <c r="C340" i="6"/>
  <c r="C339" i="6"/>
  <c r="C338" i="6"/>
  <c r="C337" i="6"/>
  <c r="C336" i="6"/>
  <c r="C333" i="6"/>
  <c r="C332" i="6"/>
  <c r="C331" i="6"/>
  <c r="C330" i="6"/>
  <c r="C329" i="6"/>
  <c r="C328" i="6"/>
  <c r="C327" i="6"/>
  <c r="C326" i="6"/>
  <c r="C325" i="6"/>
  <c r="C324" i="6"/>
  <c r="C323" i="6"/>
  <c r="C322" i="6"/>
  <c r="C318" i="6"/>
  <c r="C315" i="6"/>
  <c r="C314" i="6"/>
  <c r="C313" i="6"/>
  <c r="C312" i="6"/>
  <c r="C311" i="6"/>
  <c r="C310" i="6"/>
  <c r="C309" i="6"/>
  <c r="C308" i="6"/>
  <c r="C307" i="6"/>
  <c r="C306" i="6"/>
  <c r="C305" i="6"/>
  <c r="C304" i="6"/>
  <c r="C303" i="6"/>
  <c r="C302" i="6"/>
  <c r="C301" i="6"/>
  <c r="C300" i="6"/>
  <c r="C299" i="6"/>
  <c r="C298" i="6"/>
  <c r="C297" i="6"/>
  <c r="C296" i="6"/>
  <c r="C291" i="6"/>
  <c r="C290" i="6"/>
  <c r="C289" i="6"/>
  <c r="C288" i="6"/>
  <c r="C287" i="6"/>
  <c r="C286" i="6"/>
  <c r="C285" i="6"/>
  <c r="C284" i="6"/>
  <c r="C283" i="6"/>
  <c r="C281" i="6"/>
  <c r="C280" i="6"/>
  <c r="C279" i="6"/>
  <c r="C278" i="6"/>
  <c r="C275"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5" i="6"/>
  <c r="C234" i="6"/>
  <c r="C233" i="6"/>
  <c r="C232" i="6"/>
  <c r="C231" i="6"/>
  <c r="C230" i="6"/>
  <c r="C229" i="6"/>
  <c r="C228" i="6"/>
  <c r="C227" i="6"/>
  <c r="C224" i="6"/>
  <c r="C223" i="6"/>
  <c r="C222" i="6"/>
  <c r="C221" i="6"/>
  <c r="C220" i="6"/>
  <c r="C219" i="6"/>
  <c r="C218" i="6"/>
  <c r="C217" i="6"/>
  <c r="C216" i="6"/>
  <c r="C100" i="6"/>
  <c r="C98" i="6"/>
  <c r="C97" i="6"/>
  <c r="C96" i="6"/>
  <c r="C94" i="6"/>
  <c r="C91" i="6"/>
  <c r="C90" i="6"/>
  <c r="C89" i="6"/>
  <c r="C88" i="6"/>
  <c r="C87" i="6"/>
  <c r="C86" i="6"/>
  <c r="C85" i="6"/>
  <c r="C84" i="6"/>
  <c r="C83" i="6"/>
  <c r="C82" i="6"/>
  <c r="C81" i="6"/>
  <c r="C80" i="6"/>
  <c r="C77" i="6"/>
  <c r="C76" i="6"/>
  <c r="C75" i="6"/>
  <c r="C74" i="6"/>
  <c r="C73" i="6"/>
  <c r="C72" i="6"/>
  <c r="C71" i="6"/>
  <c r="C70" i="6"/>
  <c r="C69" i="6"/>
  <c r="C68" i="6"/>
  <c r="C67" i="6"/>
  <c r="C66" i="6"/>
  <c r="C65" i="6"/>
  <c r="C64" i="6"/>
  <c r="C61" i="6"/>
  <c r="C60" i="6"/>
  <c r="C59" i="6"/>
  <c r="C58" i="6"/>
  <c r="C57" i="6"/>
  <c r="C56" i="6"/>
  <c r="C55"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45" i="3"/>
  <c r="C544" i="3"/>
  <c r="C542" i="3"/>
  <c r="C541" i="3"/>
  <c r="C538" i="3"/>
  <c r="C533" i="3"/>
  <c r="C530" i="3"/>
  <c r="C529" i="3"/>
  <c r="C528" i="3"/>
  <c r="C527" i="3"/>
  <c r="C526" i="3"/>
  <c r="C525" i="3"/>
  <c r="C524" i="3"/>
  <c r="C522" i="3"/>
  <c r="C521" i="3"/>
  <c r="C520" i="3"/>
  <c r="C519" i="3"/>
  <c r="C516" i="3"/>
  <c r="C513" i="3"/>
  <c r="C512" i="3"/>
  <c r="C511" i="3"/>
  <c r="C510" i="3"/>
  <c r="C509" i="3"/>
  <c r="C508" i="3"/>
  <c r="C507" i="3"/>
  <c r="C506" i="3"/>
  <c r="C505" i="3"/>
  <c r="C504" i="3"/>
  <c r="C501" i="3"/>
  <c r="C498" i="3"/>
  <c r="C497" i="3"/>
  <c r="C496" i="3"/>
  <c r="C495" i="3"/>
  <c r="C479" i="3"/>
  <c r="C478" i="3"/>
  <c r="C473" i="3"/>
  <c r="C472" i="3"/>
  <c r="C470" i="3"/>
  <c r="C469" i="3"/>
  <c r="C468" i="3"/>
  <c r="C467" i="3"/>
  <c r="C466" i="3"/>
  <c r="C465" i="3"/>
  <c r="C464" i="3"/>
  <c r="C463" i="3"/>
  <c r="C462" i="3"/>
  <c r="C461" i="3"/>
  <c r="C460" i="3"/>
  <c r="C459" i="3"/>
  <c r="C458" i="3"/>
  <c r="C457" i="3"/>
  <c r="C456" i="3"/>
  <c r="C453" i="3"/>
  <c r="C452" i="3"/>
  <c r="C451" i="3"/>
  <c r="C450" i="3"/>
  <c r="C449" i="3"/>
  <c r="C448" i="3"/>
  <c r="C447" i="3"/>
  <c r="C446" i="3"/>
  <c r="C445" i="3"/>
  <c r="C442" i="3"/>
  <c r="C441" i="3"/>
  <c r="C440" i="3"/>
  <c r="C439" i="3"/>
  <c r="C438" i="3"/>
  <c r="C437" i="3"/>
  <c r="C436" i="3"/>
  <c r="C435" i="3"/>
  <c r="C434" i="3"/>
  <c r="C428" i="3"/>
  <c r="C427" i="3"/>
  <c r="C426" i="3"/>
  <c r="C425" i="3"/>
  <c r="C424" i="3"/>
  <c r="C423" i="3"/>
  <c r="C422" i="3"/>
  <c r="C421" i="3"/>
  <c r="C420" i="3"/>
  <c r="C419" i="3"/>
  <c r="C418" i="3"/>
  <c r="C417" i="3"/>
  <c r="C414" i="3"/>
  <c r="C413" i="3"/>
  <c r="C412" i="3"/>
  <c r="C411" i="3"/>
  <c r="C410" i="3"/>
  <c r="C409" i="3"/>
  <c r="C408" i="3"/>
  <c r="C407" i="3"/>
  <c r="C406" i="3"/>
  <c r="C405" i="3"/>
  <c r="C404" i="3"/>
  <c r="C403" i="3"/>
  <c r="C400" i="3"/>
  <c r="C399" i="3"/>
  <c r="C398" i="3"/>
  <c r="C397" i="3"/>
  <c r="C396" i="3"/>
  <c r="C395" i="3"/>
  <c r="C394" i="3"/>
  <c r="C393" i="3"/>
  <c r="C392" i="3"/>
  <c r="C391" i="3"/>
  <c r="C390" i="3"/>
  <c r="C389" i="3"/>
  <c r="C388" i="3"/>
  <c r="C387" i="3"/>
  <c r="C386" i="3"/>
  <c r="C385" i="3"/>
  <c r="C384" i="3"/>
  <c r="C379" i="3"/>
  <c r="C378" i="3"/>
  <c r="C377" i="3"/>
  <c r="C376" i="3"/>
  <c r="C375" i="3"/>
  <c r="C374" i="3"/>
  <c r="C373" i="3"/>
  <c r="C372" i="3"/>
  <c r="C371" i="3"/>
  <c r="C370" i="3"/>
  <c r="C369" i="3"/>
  <c r="C368" i="3"/>
  <c r="C367" i="3"/>
  <c r="C366" i="3"/>
  <c r="C365" i="3"/>
  <c r="C364" i="3"/>
  <c r="C363" i="3"/>
  <c r="C362" i="3"/>
  <c r="C361" i="3"/>
  <c r="C358" i="3"/>
  <c r="C357" i="3"/>
  <c r="C356" i="3"/>
  <c r="C353" i="3"/>
  <c r="C351" i="3"/>
  <c r="C350" i="3"/>
  <c r="C349" i="3"/>
  <c r="C348" i="3"/>
  <c r="C347" i="3"/>
  <c r="C346" i="3"/>
  <c r="C345" i="3"/>
  <c r="C344" i="3"/>
  <c r="C343" i="3"/>
  <c r="C342" i="3"/>
  <c r="C341" i="3"/>
  <c r="C340" i="3"/>
  <c r="C339" i="3"/>
  <c r="C338" i="3"/>
  <c r="C337" i="3"/>
  <c r="C336" i="3"/>
  <c r="C333" i="3"/>
  <c r="C332" i="3"/>
  <c r="C331" i="3"/>
  <c r="C330" i="3"/>
  <c r="C329" i="3"/>
  <c r="C328" i="3"/>
  <c r="C327" i="3"/>
  <c r="C326" i="3"/>
  <c r="C325" i="3"/>
  <c r="C324" i="3"/>
  <c r="C323" i="3"/>
  <c r="C322" i="3"/>
  <c r="C318" i="3"/>
  <c r="C315" i="3"/>
  <c r="C314" i="3"/>
  <c r="C313" i="3"/>
  <c r="C312" i="3"/>
  <c r="C311" i="3"/>
  <c r="C310" i="3"/>
  <c r="C309" i="3"/>
  <c r="C308" i="3"/>
  <c r="C307" i="3"/>
  <c r="C306" i="3"/>
  <c r="C305" i="3"/>
  <c r="C304" i="3"/>
  <c r="C303" i="3"/>
  <c r="C302" i="3"/>
  <c r="C301" i="3"/>
  <c r="C300" i="3"/>
  <c r="C299" i="3"/>
  <c r="C298" i="3"/>
  <c r="C297" i="3"/>
  <c r="C296" i="3"/>
  <c r="C291" i="3"/>
  <c r="C290" i="3"/>
  <c r="C289" i="3"/>
  <c r="C288" i="3"/>
  <c r="C287" i="3"/>
  <c r="C286" i="3"/>
  <c r="C285" i="3"/>
  <c r="C284" i="3"/>
  <c r="C283" i="3"/>
  <c r="C281" i="3"/>
  <c r="C280" i="3"/>
  <c r="C279" i="3"/>
  <c r="C278" i="3"/>
  <c r="C275"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5" i="3"/>
  <c r="C234" i="3"/>
  <c r="C233" i="3"/>
  <c r="C232" i="3"/>
  <c r="C231" i="3"/>
  <c r="C230" i="3"/>
  <c r="C229" i="3"/>
  <c r="C228" i="3"/>
  <c r="C227" i="3"/>
  <c r="C224" i="3"/>
  <c r="C223" i="3"/>
  <c r="C222" i="3"/>
  <c r="C221" i="3"/>
  <c r="C220" i="3"/>
  <c r="C219" i="3"/>
  <c r="C218" i="3"/>
  <c r="C217" i="3"/>
  <c r="C216" i="3"/>
  <c r="C100" i="3"/>
  <c r="C98" i="3"/>
  <c r="C97" i="3"/>
  <c r="C96" i="3"/>
  <c r="C94" i="3"/>
  <c r="C91" i="3"/>
  <c r="C90" i="3"/>
  <c r="C89" i="3"/>
  <c r="C88" i="3"/>
  <c r="C87" i="3"/>
  <c r="C86" i="3"/>
  <c r="C85" i="3"/>
  <c r="C84" i="3"/>
  <c r="C83" i="3"/>
  <c r="C82" i="3"/>
  <c r="C81" i="3"/>
  <c r="C80" i="3"/>
  <c r="C77" i="3"/>
  <c r="C76" i="3"/>
  <c r="C75" i="3"/>
  <c r="C74" i="3"/>
  <c r="C73" i="3"/>
  <c r="C72" i="3"/>
  <c r="C71" i="3"/>
  <c r="C70" i="3"/>
  <c r="C69" i="3"/>
  <c r="C68" i="3"/>
  <c r="C67" i="3"/>
  <c r="C66" i="3"/>
  <c r="C65" i="3"/>
  <c r="C64" i="3"/>
  <c r="C61" i="3"/>
  <c r="C60" i="3"/>
  <c r="C59" i="3"/>
  <c r="C58" i="3"/>
  <c r="C57" i="3"/>
  <c r="C56" i="3"/>
  <c r="C55"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75" i="1"/>
  <c r="C235" i="1"/>
  <c r="C224" i="1"/>
  <c r="C545" i="1"/>
  <c r="C544" i="1"/>
  <c r="C542" i="1"/>
  <c r="C541" i="1"/>
  <c r="C538" i="1"/>
  <c r="C533" i="1"/>
  <c r="C530" i="1"/>
  <c r="C529" i="1"/>
  <c r="C528" i="1"/>
  <c r="C527" i="1"/>
  <c r="C526" i="1"/>
  <c r="C525" i="1"/>
  <c r="C524" i="1"/>
  <c r="C522" i="1"/>
  <c r="C521" i="1"/>
  <c r="C520" i="1"/>
  <c r="C519" i="1"/>
  <c r="C516" i="1"/>
  <c r="C513" i="1"/>
  <c r="C512" i="1"/>
  <c r="C511" i="1"/>
  <c r="C510" i="1"/>
  <c r="C509" i="1"/>
  <c r="C508" i="1"/>
  <c r="C507" i="1"/>
  <c r="C506" i="1"/>
  <c r="C505" i="1"/>
  <c r="C504" i="1"/>
  <c r="C501" i="1"/>
  <c r="C498" i="1"/>
  <c r="C497" i="1"/>
  <c r="C496" i="1"/>
  <c r="C495" i="1"/>
  <c r="C479" i="1"/>
  <c r="C478" i="1"/>
  <c r="C473" i="1"/>
  <c r="C472" i="1"/>
  <c r="C470" i="1"/>
  <c r="C469" i="1"/>
  <c r="C468" i="1"/>
  <c r="C467" i="1"/>
  <c r="C466" i="1"/>
  <c r="C465" i="1"/>
  <c r="C464" i="1"/>
  <c r="C463" i="1"/>
  <c r="C462" i="1"/>
  <c r="C461" i="1"/>
  <c r="C460" i="1"/>
  <c r="C459" i="1"/>
  <c r="C458" i="1"/>
  <c r="C457" i="1"/>
  <c r="C456" i="1"/>
  <c r="C453" i="1"/>
  <c r="C452" i="1"/>
  <c r="C451" i="1"/>
  <c r="C450" i="1"/>
  <c r="C449" i="1"/>
  <c r="C448" i="1"/>
  <c r="C447" i="1"/>
  <c r="C446" i="1"/>
  <c r="C445" i="1"/>
  <c r="C442" i="1"/>
  <c r="C441" i="1"/>
  <c r="C440" i="1"/>
  <c r="C439" i="1"/>
  <c r="C438" i="1"/>
  <c r="C437" i="1"/>
  <c r="C436" i="1"/>
  <c r="C435" i="1"/>
  <c r="C434" i="1"/>
  <c r="C428" i="1"/>
  <c r="C427" i="1"/>
  <c r="C426" i="1"/>
  <c r="C425" i="1"/>
  <c r="C424" i="1"/>
  <c r="C423" i="1"/>
  <c r="C422" i="1"/>
  <c r="C421" i="1"/>
  <c r="C420" i="1"/>
  <c r="C419" i="1"/>
  <c r="C418" i="1"/>
  <c r="C417" i="1"/>
  <c r="C414" i="1"/>
  <c r="C413" i="1"/>
  <c r="C412" i="1"/>
  <c r="C411" i="1"/>
  <c r="C410" i="1"/>
  <c r="C409" i="1"/>
  <c r="C408" i="1"/>
  <c r="C407" i="1"/>
  <c r="C406" i="1"/>
  <c r="C405" i="1"/>
  <c r="C404" i="1"/>
  <c r="C403" i="1"/>
  <c r="C400" i="1"/>
  <c r="C399" i="1"/>
  <c r="C398" i="1"/>
  <c r="C397" i="1"/>
  <c r="C396" i="1"/>
  <c r="C395" i="1"/>
  <c r="C394" i="1"/>
  <c r="C393" i="1"/>
  <c r="C392" i="1"/>
  <c r="C391" i="1"/>
  <c r="C390" i="1"/>
  <c r="C389" i="1"/>
  <c r="C388" i="1"/>
  <c r="C387" i="1"/>
  <c r="C386" i="1"/>
  <c r="C385" i="1"/>
  <c r="C384" i="1"/>
  <c r="C379" i="1"/>
  <c r="C378" i="1"/>
  <c r="C377" i="1"/>
  <c r="C376" i="1"/>
  <c r="C375" i="1"/>
  <c r="C374" i="1"/>
  <c r="C373" i="1"/>
  <c r="C372" i="1"/>
  <c r="C371" i="1"/>
  <c r="C370" i="1"/>
  <c r="C369" i="1"/>
  <c r="C368" i="1"/>
  <c r="C367" i="1"/>
  <c r="C366" i="1"/>
  <c r="C365" i="1"/>
  <c r="C364" i="1"/>
  <c r="C363" i="1"/>
  <c r="C362" i="1"/>
  <c r="C361" i="1"/>
  <c r="C358" i="1"/>
  <c r="C357" i="1"/>
  <c r="C356" i="1"/>
  <c r="C353" i="1"/>
  <c r="C351" i="1"/>
  <c r="C350" i="1"/>
  <c r="C349" i="1"/>
  <c r="C348" i="1"/>
  <c r="C347" i="1"/>
  <c r="C346" i="1"/>
  <c r="C345" i="1"/>
  <c r="C344" i="1"/>
  <c r="C343" i="1"/>
  <c r="C342" i="1"/>
  <c r="C341" i="1"/>
  <c r="C340" i="1"/>
  <c r="C339" i="1"/>
  <c r="C338" i="1"/>
  <c r="C337" i="1"/>
  <c r="C336" i="1"/>
  <c r="C333" i="1"/>
  <c r="C332" i="1"/>
  <c r="C331" i="1"/>
  <c r="C330" i="1"/>
  <c r="C329" i="1"/>
  <c r="C328" i="1"/>
  <c r="C327" i="1"/>
  <c r="C326" i="1"/>
  <c r="C325" i="1"/>
  <c r="C324" i="1"/>
  <c r="C323" i="1"/>
  <c r="C322" i="1"/>
  <c r="C318" i="1"/>
  <c r="C315" i="1"/>
  <c r="C314" i="1"/>
  <c r="C313" i="1"/>
  <c r="C312" i="1"/>
  <c r="C311" i="1"/>
  <c r="C310" i="1"/>
  <c r="C309" i="1"/>
  <c r="C308" i="1"/>
  <c r="C307" i="1"/>
  <c r="C306" i="1"/>
  <c r="C305" i="1"/>
  <c r="C304" i="1"/>
  <c r="C303" i="1"/>
  <c r="C302" i="1"/>
  <c r="C301" i="1"/>
  <c r="C300" i="1"/>
  <c r="C299" i="1"/>
  <c r="C298" i="1"/>
  <c r="C297" i="1"/>
  <c r="C296" i="1"/>
  <c r="C290" i="1"/>
  <c r="C291" i="1"/>
  <c r="C289" i="1"/>
  <c r="C288" i="1"/>
  <c r="C287" i="1"/>
  <c r="C286" i="1"/>
  <c r="C279" i="1"/>
  <c r="C280" i="1"/>
  <c r="C281" i="1"/>
  <c r="C283" i="1"/>
  <c r="C284" i="1"/>
  <c r="C285" i="1"/>
  <c r="C278"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4" i="1"/>
  <c r="C233" i="1"/>
  <c r="C232" i="1"/>
  <c r="C231" i="1"/>
  <c r="C230" i="1"/>
  <c r="C229" i="1"/>
  <c r="C228" i="1"/>
  <c r="C227" i="1"/>
  <c r="C216" i="1"/>
  <c r="C223" i="1"/>
  <c r="C222" i="1"/>
  <c r="C221" i="1"/>
  <c r="C220" i="1"/>
  <c r="C219" i="1"/>
  <c r="C218" i="1"/>
  <c r="C217" i="1"/>
  <c r="C100" i="1"/>
  <c r="C97" i="1"/>
  <c r="C96" i="1"/>
  <c r="C94" i="1"/>
  <c r="C91" i="1"/>
  <c r="C90" i="1"/>
  <c r="C89" i="1"/>
  <c r="C88" i="1"/>
  <c r="C87" i="1"/>
  <c r="C86" i="1"/>
  <c r="C85" i="1"/>
  <c r="C84" i="1"/>
  <c r="C83" i="1"/>
  <c r="C82" i="1"/>
  <c r="C81" i="1"/>
  <c r="C80" i="1"/>
  <c r="C71" i="1"/>
  <c r="C72" i="1"/>
  <c r="C73" i="1"/>
  <c r="C74" i="1"/>
  <c r="C75" i="1"/>
  <c r="C76" i="1"/>
  <c r="C77" i="1"/>
  <c r="C70" i="1"/>
  <c r="C69" i="1"/>
  <c r="C68" i="1"/>
  <c r="C67" i="1"/>
  <c r="C66" i="1"/>
  <c r="C65" i="1"/>
  <c r="C64" i="1"/>
  <c r="C60" i="1"/>
  <c r="C61" i="1"/>
  <c r="C57" i="1"/>
  <c r="C58" i="1"/>
  <c r="C59" i="1"/>
  <c r="C49" i="1"/>
  <c r="C50" i="1"/>
  <c r="C51" i="1"/>
  <c r="C52" i="1"/>
  <c r="C55" i="1"/>
  <c r="C56"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B302" i="7"/>
  <c r="I281" i="7"/>
  <c r="B280" i="7"/>
  <c r="I258" i="7"/>
  <c r="B257" i="7"/>
  <c r="I235" i="7"/>
  <c r="B234" i="7"/>
  <c r="I212" i="7"/>
  <c r="B211" i="7"/>
  <c r="B42" i="7"/>
  <c r="B188" i="7"/>
  <c r="B165" i="7"/>
  <c r="B142" i="7"/>
  <c r="B119" i="7"/>
  <c r="B93" i="7"/>
  <c r="B68" i="7"/>
  <c r="J189" i="7"/>
  <c r="J166" i="7"/>
  <c r="J143" i="7"/>
  <c r="J120" i="7"/>
  <c r="G95" i="7"/>
  <c r="F95" i="7" s="1"/>
  <c r="D95" i="7"/>
  <c r="C95" i="7"/>
  <c r="C139" i="2"/>
  <c r="E139" i="2" s="1"/>
  <c r="F139" i="2" s="1"/>
  <c r="G139" i="2" s="1"/>
  <c r="H139" i="2" s="1"/>
  <c r="D72" i="7" s="1"/>
  <c r="G72" i="7" s="1"/>
  <c r="C140" i="2"/>
  <c r="E140" i="2"/>
  <c r="C141" i="2"/>
  <c r="E141" i="2"/>
  <c r="C142" i="2"/>
  <c r="E142" i="2"/>
  <c r="F142" i="2" s="1"/>
  <c r="G142" i="2" s="1"/>
  <c r="H142" i="2" s="1"/>
  <c r="D75" i="7" s="1"/>
  <c r="G75" i="7" s="1"/>
  <c r="C143" i="2"/>
  <c r="C144" i="2"/>
  <c r="E144" i="2" s="1"/>
  <c r="C145" i="2"/>
  <c r="E145" i="2" s="1"/>
  <c r="C146" i="2"/>
  <c r="E146" i="2" s="1"/>
  <c r="C147" i="2"/>
  <c r="E147" i="2" s="1"/>
  <c r="C148" i="2"/>
  <c r="E148" i="2"/>
  <c r="C149" i="2"/>
  <c r="E149" i="2"/>
  <c r="C150" i="2"/>
  <c r="E150" i="2"/>
  <c r="C151" i="2"/>
  <c r="C152" i="2"/>
  <c r="E152" i="2" s="1"/>
  <c r="C153" i="2"/>
  <c r="E153" i="2" s="1"/>
  <c r="C154" i="2"/>
  <c r="E154" i="2" s="1"/>
  <c r="C155" i="2"/>
  <c r="E155" i="2" s="1"/>
  <c r="C138" i="2"/>
  <c r="C137" i="2"/>
  <c r="C6" i="2"/>
  <c r="C6" i="1"/>
  <c r="O114" i="3"/>
  <c r="G400" i="3"/>
  <c r="O374" i="3"/>
  <c r="E366" i="3"/>
  <c r="I346" i="3"/>
  <c r="O313" i="3"/>
  <c r="S309" i="3"/>
  <c r="G306" i="3"/>
  <c r="K302" i="3"/>
  <c r="K290" i="3"/>
  <c r="S283" i="3"/>
  <c r="E279" i="3"/>
  <c r="K246" i="3"/>
  <c r="Q249" i="3"/>
  <c r="O251" i="3"/>
  <c r="M253" i="3"/>
  <c r="K255" i="3"/>
  <c r="I257" i="3"/>
  <c r="G259" i="3"/>
  <c r="E261" i="3"/>
  <c r="K270" i="3"/>
  <c r="I272" i="3"/>
  <c r="G275" i="3"/>
  <c r="G233" i="3"/>
  <c r="K231" i="3"/>
  <c r="S224" i="3"/>
  <c r="E223" i="3"/>
  <c r="I221" i="3"/>
  <c r="E83" i="3"/>
  <c r="K90" i="3"/>
  <c r="K88" i="3"/>
  <c r="K86" i="3"/>
  <c r="K83" i="3"/>
  <c r="K81" i="3"/>
  <c r="M76" i="3"/>
  <c r="Q74" i="3"/>
  <c r="U72" i="3"/>
  <c r="E72" i="3"/>
  <c r="G71" i="3"/>
  <c r="I70" i="3"/>
  <c r="K69" i="3"/>
  <c r="M68" i="3"/>
  <c r="Q66" i="3"/>
  <c r="E49" i="3"/>
  <c r="K50" i="3"/>
  <c r="S50" i="3"/>
  <c r="I51" i="3"/>
  <c r="G52" i="3"/>
  <c r="O52" i="3"/>
  <c r="E55" i="3"/>
  <c r="M55" i="3"/>
  <c r="K56" i="3"/>
  <c r="S56" i="3"/>
  <c r="I57" i="3"/>
  <c r="G58" i="3"/>
  <c r="O58" i="3"/>
  <c r="E59" i="3"/>
  <c r="M59" i="3"/>
  <c r="K60" i="3"/>
  <c r="S60" i="3"/>
  <c r="I61" i="3"/>
  <c r="I37" i="3"/>
  <c r="I38" i="3"/>
  <c r="Q38" i="3"/>
  <c r="I39" i="3"/>
  <c r="I40" i="3"/>
  <c r="Q40" i="3"/>
  <c r="I41" i="3"/>
  <c r="I42" i="3"/>
  <c r="Q42" i="3"/>
  <c r="I43" i="3"/>
  <c r="I44" i="3"/>
  <c r="Q44" i="3"/>
  <c r="I45" i="3"/>
  <c r="E38" i="3"/>
  <c r="E42" i="3"/>
  <c r="I27" i="3"/>
  <c r="K28" i="3"/>
  <c r="O28" i="3"/>
  <c r="S28" i="3"/>
  <c r="I29" i="3"/>
  <c r="K30" i="3"/>
  <c r="O30" i="3"/>
  <c r="S30" i="3"/>
  <c r="I31" i="3"/>
  <c r="K32" i="3"/>
  <c r="O32" i="3"/>
  <c r="S32" i="3"/>
  <c r="I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B33" i="2"/>
  <c r="G227" i="3"/>
  <c r="K227" i="3"/>
  <c r="G216" i="3"/>
  <c r="K216" i="3"/>
  <c r="O216" i="3"/>
  <c r="S216" i="3"/>
  <c r="G198" i="3"/>
  <c r="K198" i="3"/>
  <c r="O198" i="3"/>
  <c r="S198" i="3"/>
  <c r="G170" i="3"/>
  <c r="K170" i="3"/>
  <c r="O170" i="3"/>
  <c r="S170" i="3"/>
  <c r="G165" i="3"/>
  <c r="K165" i="3"/>
  <c r="G149" i="3"/>
  <c r="K149" i="3"/>
  <c r="G130" i="3"/>
  <c r="K130" i="3"/>
  <c r="O130" i="3"/>
  <c r="S130" i="3"/>
  <c r="E130" i="3"/>
  <c r="G127" i="3"/>
  <c r="K127" i="3"/>
  <c r="Q109" i="3"/>
  <c r="U109" i="3"/>
  <c r="I109" i="3"/>
  <c r="M109" i="3"/>
  <c r="V522" i="1"/>
  <c r="I80" i="3"/>
  <c r="M80" i="3"/>
  <c r="Q80" i="3"/>
  <c r="U80" i="3"/>
  <c r="I64" i="3"/>
  <c r="M64" i="3"/>
  <c r="Q64" i="3"/>
  <c r="U64" i="3"/>
  <c r="I48" i="3"/>
  <c r="M48" i="3"/>
  <c r="Q48" i="3"/>
  <c r="U48" i="3"/>
  <c r="U36" i="3"/>
  <c r="O36" i="3"/>
  <c r="S36" i="3"/>
  <c r="K36" i="3"/>
  <c r="G11" i="3"/>
  <c r="I11" i="3"/>
  <c r="M11" i="3"/>
  <c r="Q11" i="3"/>
  <c r="U11" i="3"/>
  <c r="V538" i="1"/>
  <c r="V537" i="1" s="1"/>
  <c r="K537" i="1"/>
  <c r="L537" i="1"/>
  <c r="M537" i="1"/>
  <c r="N537" i="1"/>
  <c r="O537" i="3" s="1"/>
  <c r="O537" i="1"/>
  <c r="P537" i="1"/>
  <c r="Q537" i="1"/>
  <c r="R537" i="1"/>
  <c r="S537" i="3" s="1"/>
  <c r="S537" i="1"/>
  <c r="T537" i="1"/>
  <c r="U537" i="3" s="1"/>
  <c r="U537" i="1"/>
  <c r="E537" i="1"/>
  <c r="F537" i="1"/>
  <c r="G537" i="3" s="1"/>
  <c r="G537" i="1"/>
  <c r="H537" i="1"/>
  <c r="I537" i="3" s="1"/>
  <c r="I537" i="1"/>
  <c r="J537" i="1"/>
  <c r="K537" i="3" s="1"/>
  <c r="D537" i="1"/>
  <c r="E537" i="3" s="1"/>
  <c r="V533" i="1"/>
  <c r="V532" i="1" s="1"/>
  <c r="E532" i="1"/>
  <c r="F532" i="1"/>
  <c r="G532" i="3" s="1"/>
  <c r="G532" i="1"/>
  <c r="H532" i="1"/>
  <c r="I532" i="3" s="1"/>
  <c r="I532" i="1"/>
  <c r="J532" i="1"/>
  <c r="K532" i="1"/>
  <c r="L532" i="1"/>
  <c r="M532" i="3" s="1"/>
  <c r="M532" i="1"/>
  <c r="N532" i="1"/>
  <c r="O532" i="3" s="1"/>
  <c r="O532" i="1"/>
  <c r="P532" i="1"/>
  <c r="Q532" i="3" s="1"/>
  <c r="Q532" i="1"/>
  <c r="R532" i="1"/>
  <c r="S532" i="3" s="1"/>
  <c r="S532" i="1"/>
  <c r="T532" i="1"/>
  <c r="U532" i="3" s="1"/>
  <c r="U532" i="1"/>
  <c r="D532" i="1"/>
  <c r="E532" i="3" s="1"/>
  <c r="V544" i="1"/>
  <c r="V542" i="1"/>
  <c r="V498" i="1"/>
  <c r="E216" i="3"/>
  <c r="V495" i="1"/>
  <c r="V496" i="1"/>
  <c r="V497" i="1"/>
  <c r="V501" i="1"/>
  <c r="V504" i="1"/>
  <c r="V505" i="1"/>
  <c r="V506" i="1"/>
  <c r="V507" i="1"/>
  <c r="V508" i="1"/>
  <c r="V509" i="1"/>
  <c r="V510" i="1"/>
  <c r="V511" i="1"/>
  <c r="V512" i="1"/>
  <c r="V513" i="1"/>
  <c r="V516" i="1"/>
  <c r="V541" i="1"/>
  <c r="V545" i="1"/>
  <c r="V519" i="1"/>
  <c r="V520" i="1"/>
  <c r="V521" i="1"/>
  <c r="V524" i="1"/>
  <c r="V525" i="1"/>
  <c r="V526" i="1"/>
  <c r="V527" i="1"/>
  <c r="V528" i="1"/>
  <c r="V529" i="1"/>
  <c r="V530" i="1"/>
  <c r="V84" i="1"/>
  <c r="V72" i="1"/>
  <c r="V60" i="1"/>
  <c r="V144" i="1"/>
  <c r="V463" i="1"/>
  <c r="U78" i="2"/>
  <c r="U77" i="2"/>
  <c r="U76" i="2"/>
  <c r="U75" i="2"/>
  <c r="U74" i="2"/>
  <c r="U73" i="2"/>
  <c r="U72" i="2"/>
  <c r="U71" i="2"/>
  <c r="U70" i="2"/>
  <c r="U69" i="2"/>
  <c r="U68" i="2"/>
  <c r="U67" i="2"/>
  <c r="U66" i="2"/>
  <c r="U65" i="2"/>
  <c r="U64" i="2"/>
  <c r="J313" i="7"/>
  <c r="I313" i="7"/>
  <c r="H313" i="7"/>
  <c r="G313" i="7"/>
  <c r="F89" i="7"/>
  <c r="E495" i="3"/>
  <c r="I495" i="3"/>
  <c r="M495" i="3"/>
  <c r="Q495" i="3"/>
  <c r="U495" i="3"/>
  <c r="G504" i="3"/>
  <c r="K504" i="3"/>
  <c r="O504" i="3"/>
  <c r="S504" i="3"/>
  <c r="E519" i="3"/>
  <c r="I519" i="3"/>
  <c r="M519" i="3"/>
  <c r="Q519" i="3"/>
  <c r="U519" i="3"/>
  <c r="G541" i="3"/>
  <c r="K541" i="3"/>
  <c r="O541" i="3"/>
  <c r="S541" i="3"/>
  <c r="E26" i="3"/>
  <c r="E64" i="3"/>
  <c r="E109" i="3"/>
  <c r="E127" i="3"/>
  <c r="E165" i="3"/>
  <c r="E198" i="3"/>
  <c r="E239" i="3"/>
  <c r="I239" i="3"/>
  <c r="M239" i="3"/>
  <c r="Q239" i="3"/>
  <c r="G296" i="3"/>
  <c r="K296" i="3"/>
  <c r="E336" i="3"/>
  <c r="I336" i="3"/>
  <c r="M356" i="3"/>
  <c r="Q356" i="3"/>
  <c r="U356" i="3"/>
  <c r="G384" i="3"/>
  <c r="K384" i="3"/>
  <c r="O384" i="3"/>
  <c r="S384" i="3"/>
  <c r="E403" i="3"/>
  <c r="I403" i="3"/>
  <c r="E417" i="3"/>
  <c r="I417" i="3"/>
  <c r="G434" i="3"/>
  <c r="K434" i="3"/>
  <c r="G445" i="3"/>
  <c r="K445" i="3"/>
  <c r="O445" i="3"/>
  <c r="S445" i="3"/>
  <c r="E456" i="3"/>
  <c r="I456" i="3"/>
  <c r="N93" i="1"/>
  <c r="O93" i="3" s="1"/>
  <c r="N108" i="1"/>
  <c r="O108" i="3" s="1"/>
  <c r="C387" i="7" s="1"/>
  <c r="L238" i="1"/>
  <c r="L35" i="1"/>
  <c r="M35" i="3" s="1"/>
  <c r="K360" i="1"/>
  <c r="K335" i="1"/>
  <c r="K25" i="1"/>
  <c r="J197" i="1"/>
  <c r="N40" i="2" s="1"/>
  <c r="N67" i="2" s="1"/>
  <c r="J433" i="1"/>
  <c r="J238" i="1"/>
  <c r="F40" i="2" s="1"/>
  <c r="F67" i="2" s="1"/>
  <c r="J108" i="1"/>
  <c r="K108" i="3" s="1"/>
  <c r="C383" i="7" s="1"/>
  <c r="J35" i="1"/>
  <c r="K35" i="3" s="1"/>
  <c r="I444" i="1"/>
  <c r="I360" i="1"/>
  <c r="I25" i="1"/>
  <c r="H197" i="1"/>
  <c r="I197" i="3" s="1"/>
  <c r="G381" i="7" s="1"/>
  <c r="H433" i="1"/>
  <c r="I433" i="3" s="1"/>
  <c r="H238" i="1"/>
  <c r="G215" i="1"/>
  <c r="G129" i="1"/>
  <c r="F383" i="1"/>
  <c r="F295" i="1"/>
  <c r="G295" i="3" s="1"/>
  <c r="E277" i="1"/>
  <c r="D197" i="1"/>
  <c r="D433" i="1"/>
  <c r="E433" i="3" s="1"/>
  <c r="D238" i="1"/>
  <c r="D108" i="1"/>
  <c r="E108" i="3" s="1"/>
  <c r="C377" i="7" s="1"/>
  <c r="D35" i="1"/>
  <c r="E35" i="3" s="1"/>
  <c r="R540" i="1"/>
  <c r="Q518" i="1"/>
  <c r="P494" i="1"/>
  <c r="N540" i="1"/>
  <c r="F503" i="1"/>
  <c r="K402" i="1"/>
  <c r="K355" i="1"/>
  <c r="K10" i="1"/>
  <c r="K79" i="1"/>
  <c r="J416" i="1"/>
  <c r="K416" i="3" s="1"/>
  <c r="J93" i="1"/>
  <c r="K93" i="3" s="1"/>
  <c r="I402" i="1"/>
  <c r="I355" i="1"/>
  <c r="I10" i="1"/>
  <c r="I79" i="1"/>
  <c r="H416" i="1"/>
  <c r="G226" i="1"/>
  <c r="G169" i="1"/>
  <c r="G47" i="1"/>
  <c r="F321" i="1"/>
  <c r="F164" i="1"/>
  <c r="G164" i="3" s="1"/>
  <c r="F63" i="1"/>
  <c r="G63" i="3" s="1"/>
  <c r="E164" i="1"/>
  <c r="E63" i="1"/>
  <c r="D416" i="1"/>
  <c r="P540" i="1"/>
  <c r="W46" i="2" s="1"/>
  <c r="W73" i="2" s="1"/>
  <c r="O518" i="1"/>
  <c r="L503" i="1"/>
  <c r="M503" i="3" s="1"/>
  <c r="D503" i="1"/>
  <c r="P108" i="1"/>
  <c r="Q108" i="3" s="1"/>
  <c r="C389" i="7" s="1"/>
  <c r="M477" i="1"/>
  <c r="L215" i="1"/>
  <c r="M215" i="3" s="1"/>
  <c r="L25" i="1"/>
  <c r="M25" i="3" s="1"/>
  <c r="K477" i="1"/>
  <c r="L41" i="2" s="1"/>
  <c r="L68" i="2" s="1"/>
  <c r="K416" i="1"/>
  <c r="K295" i="1"/>
  <c r="K164" i="1"/>
  <c r="I477" i="1"/>
  <c r="H108" i="1"/>
  <c r="H35" i="1"/>
  <c r="I35" i="3" s="1"/>
  <c r="G277" i="1"/>
  <c r="O238" i="1"/>
  <c r="F45" i="2" s="1"/>
  <c r="F72" i="2" s="1"/>
  <c r="M321" i="1"/>
  <c r="L226" i="1"/>
  <c r="M226" i="3" s="1"/>
  <c r="L10" i="1"/>
  <c r="M10" i="3" s="1"/>
  <c r="K197" i="1"/>
  <c r="K383" i="1"/>
  <c r="K321" i="1"/>
  <c r="K238" i="1"/>
  <c r="F41" i="2" s="1"/>
  <c r="F68" i="2" s="1"/>
  <c r="K148" i="1"/>
  <c r="G416" i="1"/>
  <c r="G295" i="1"/>
  <c r="G433" i="1"/>
  <c r="G383" i="1"/>
  <c r="G321" i="1"/>
  <c r="G238" i="1"/>
  <c r="F37" i="2" s="1"/>
  <c r="F64" i="2" s="1"/>
  <c r="G108" i="1"/>
  <c r="G35" i="1"/>
  <c r="F402" i="1"/>
  <c r="G402" i="3" s="1"/>
  <c r="F360" i="1"/>
  <c r="G360" i="3" s="1"/>
  <c r="F335" i="1"/>
  <c r="G335" i="3" s="1"/>
  <c r="F277" i="1"/>
  <c r="G36" i="2" s="1"/>
  <c r="G63" i="2" s="1"/>
  <c r="F226" i="1"/>
  <c r="G226" i="3" s="1"/>
  <c r="F169" i="1"/>
  <c r="F10" i="1"/>
  <c r="G10" i="3" s="1"/>
  <c r="F47" i="1"/>
  <c r="G47" i="3" s="1"/>
  <c r="E197" i="1"/>
  <c r="E433" i="1"/>
  <c r="E383" i="1"/>
  <c r="E321" i="1"/>
  <c r="E238" i="1"/>
  <c r="E226" i="1"/>
  <c r="E169" i="1"/>
  <c r="E10" i="1"/>
  <c r="E47" i="1"/>
  <c r="D444" i="1"/>
  <c r="E444" i="3" s="1"/>
  <c r="D355" i="1"/>
  <c r="E355" i="3" s="1"/>
  <c r="D215" i="1"/>
  <c r="E215" i="3" s="1"/>
  <c r="D129" i="1"/>
  <c r="E129" i="3" s="1"/>
  <c r="P518" i="1"/>
  <c r="N518" i="1"/>
  <c r="G164" i="1"/>
  <c r="G63" i="1"/>
  <c r="F444" i="1"/>
  <c r="G444" i="3" s="1"/>
  <c r="F355" i="1"/>
  <c r="G355" i="3" s="1"/>
  <c r="F215" i="1"/>
  <c r="G215" i="3" s="1"/>
  <c r="F129" i="1"/>
  <c r="G129" i="3" s="1"/>
  <c r="F25" i="1"/>
  <c r="G25" i="3" s="1"/>
  <c r="F79" i="1"/>
  <c r="G79" i="3" s="1"/>
  <c r="E416" i="1"/>
  <c r="E295" i="1"/>
  <c r="E215" i="1"/>
  <c r="E129" i="1"/>
  <c r="E25" i="1"/>
  <c r="E79" i="1"/>
  <c r="D402" i="1"/>
  <c r="E402" i="3" s="1"/>
  <c r="D360" i="1"/>
  <c r="E360" i="3" s="1"/>
  <c r="D277" i="1"/>
  <c r="D226" i="1"/>
  <c r="E226" i="3" s="1"/>
  <c r="D169" i="1"/>
  <c r="E169" i="3" s="1"/>
  <c r="D10" i="1"/>
  <c r="Q540" i="1"/>
  <c r="W47" i="2" s="1"/>
  <c r="W74" i="2" s="1"/>
  <c r="O540" i="1"/>
  <c r="O494" i="1"/>
  <c r="R45" i="2" s="1"/>
  <c r="R72" i="2" s="1"/>
  <c r="N503" i="1"/>
  <c r="K35" i="1"/>
  <c r="J444" i="1"/>
  <c r="K444" i="3" s="1"/>
  <c r="J402" i="1"/>
  <c r="K402" i="3" s="1"/>
  <c r="J360" i="1"/>
  <c r="K360" i="3" s="1"/>
  <c r="J335" i="1"/>
  <c r="K335" i="3" s="1"/>
  <c r="J226" i="1"/>
  <c r="K226" i="3" s="1"/>
  <c r="J129" i="1"/>
  <c r="K129" i="3" s="1"/>
  <c r="J10" i="1"/>
  <c r="J47" i="1"/>
  <c r="K47" i="3" s="1"/>
  <c r="I383" i="1"/>
  <c r="I295" i="1"/>
  <c r="I238" i="1"/>
  <c r="I148" i="1"/>
  <c r="I108" i="1"/>
  <c r="I63" i="1"/>
  <c r="H355" i="1"/>
  <c r="I355" i="3" s="1"/>
  <c r="H277" i="1"/>
  <c r="H215" i="1"/>
  <c r="H169" i="1"/>
  <c r="I169" i="3" s="1"/>
  <c r="H25" i="1"/>
  <c r="I25" i="3" s="1"/>
  <c r="H79" i="1"/>
  <c r="I79" i="3" s="1"/>
  <c r="G197" i="1"/>
  <c r="N37" i="2" s="1"/>
  <c r="N64" i="2" s="1"/>
  <c r="K108" i="1"/>
  <c r="K63" i="1"/>
  <c r="J355" i="1"/>
  <c r="K355" i="3" s="1"/>
  <c r="J277" i="1"/>
  <c r="J215" i="1"/>
  <c r="K215" i="3" s="1"/>
  <c r="J169" i="1"/>
  <c r="J25" i="1"/>
  <c r="K25" i="3" s="1"/>
  <c r="J79" i="1"/>
  <c r="K79" i="3" s="1"/>
  <c r="I197" i="1"/>
  <c r="I433" i="1"/>
  <c r="I416" i="1"/>
  <c r="I321" i="1"/>
  <c r="I164" i="1"/>
  <c r="I35" i="1"/>
  <c r="H444" i="1"/>
  <c r="I444" i="3" s="1"/>
  <c r="H402" i="1"/>
  <c r="I402" i="3" s="1"/>
  <c r="H360" i="1"/>
  <c r="H226" i="1"/>
  <c r="I226" i="3" s="1"/>
  <c r="H129" i="1"/>
  <c r="I129" i="3" s="1"/>
  <c r="H10" i="1"/>
  <c r="I10" i="3" s="1"/>
  <c r="H47" i="1"/>
  <c r="D25" i="1"/>
  <c r="E25" i="3" s="1"/>
  <c r="D79" i="1"/>
  <c r="T540" i="1"/>
  <c r="W50" i="2" s="1"/>
  <c r="W77" i="2" s="1"/>
  <c r="T494" i="1"/>
  <c r="U494" i="3" s="1"/>
  <c r="S518" i="1"/>
  <c r="D47" i="1"/>
  <c r="E47" i="3" s="1"/>
  <c r="U518" i="1"/>
  <c r="Y51" i="2" s="1"/>
  <c r="Y78" i="2" s="1"/>
  <c r="M518" i="1"/>
  <c r="J540" i="1"/>
  <c r="W40" i="2" s="1"/>
  <c r="W67" i="2" s="1"/>
  <c r="I518" i="1"/>
  <c r="Y39" i="2" s="1"/>
  <c r="Y66" i="2" s="1"/>
  <c r="G503" i="1"/>
  <c r="F540" i="1"/>
  <c r="W36" i="2" s="1"/>
  <c r="W63" i="2" s="1"/>
  <c r="E518" i="1"/>
  <c r="L540" i="1"/>
  <c r="W42" i="2" s="1"/>
  <c r="W69" i="2" s="1"/>
  <c r="K518" i="1"/>
  <c r="I503" i="1"/>
  <c r="H540" i="1"/>
  <c r="G518" i="1"/>
  <c r="Y37" i="2" s="1"/>
  <c r="Y64" i="2" s="1"/>
  <c r="D540" i="1"/>
  <c r="E540" i="3" s="1"/>
  <c r="V386" i="1"/>
  <c r="V243" i="1"/>
  <c r="V188" i="1"/>
  <c r="V172" i="1"/>
  <c r="V21" i="1"/>
  <c r="V13" i="1"/>
  <c r="V26" i="1"/>
  <c r="U349" i="3"/>
  <c r="U230" i="3"/>
  <c r="U76" i="3"/>
  <c r="U68" i="3"/>
  <c r="U38" i="3"/>
  <c r="U40" i="3"/>
  <c r="U42" i="3"/>
  <c r="U44" i="3"/>
  <c r="S146" i="3"/>
  <c r="S394" i="3"/>
  <c r="S351" i="3"/>
  <c r="S326" i="3"/>
  <c r="S301" i="3"/>
  <c r="S289" i="3"/>
  <c r="S247" i="3"/>
  <c r="S406" i="3"/>
  <c r="S333" i="3"/>
  <c r="S255" i="3"/>
  <c r="S271" i="3"/>
  <c r="S220" i="3"/>
  <c r="S90" i="3"/>
  <c r="S88" i="3"/>
  <c r="S86" i="3"/>
  <c r="S84" i="3"/>
  <c r="S82" i="3"/>
  <c r="S52" i="3"/>
  <c r="S58" i="3"/>
  <c r="Q447" i="3"/>
  <c r="Q337" i="3"/>
  <c r="Q303" i="3"/>
  <c r="Q291" i="3"/>
  <c r="Q312" i="3"/>
  <c r="Q241" i="3"/>
  <c r="Q257" i="3"/>
  <c r="Q273" i="3"/>
  <c r="Q232" i="3"/>
  <c r="Q70" i="3"/>
  <c r="Q59" i="3"/>
  <c r="O339" i="3"/>
  <c r="O328" i="3"/>
  <c r="O305" i="3"/>
  <c r="O278" i="3"/>
  <c r="O396" i="3"/>
  <c r="O297" i="3"/>
  <c r="O243" i="3"/>
  <c r="O259" i="3"/>
  <c r="O222" i="3"/>
  <c r="O50" i="3"/>
  <c r="O56" i="3"/>
  <c r="O60" i="3"/>
  <c r="M341" i="3"/>
  <c r="M307" i="3"/>
  <c r="M280" i="3"/>
  <c r="M279" i="3"/>
  <c r="M299" i="3"/>
  <c r="M287" i="3"/>
  <c r="M245" i="3"/>
  <c r="M261" i="3"/>
  <c r="M234" i="3"/>
  <c r="M223" i="3"/>
  <c r="M72" i="3"/>
  <c r="M49" i="3"/>
  <c r="M51" i="3"/>
  <c r="M57" i="3"/>
  <c r="M61" i="3"/>
  <c r="M37" i="3"/>
  <c r="M38" i="3"/>
  <c r="M39" i="3"/>
  <c r="M40" i="3"/>
  <c r="M41" i="3"/>
  <c r="M42" i="3"/>
  <c r="M43" i="3"/>
  <c r="M44" i="3"/>
  <c r="M45" i="3"/>
  <c r="M27" i="3"/>
  <c r="K398" i="3"/>
  <c r="K373" i="3"/>
  <c r="K357" i="3"/>
  <c r="K343" i="3"/>
  <c r="K330" i="3"/>
  <c r="K318" i="3"/>
  <c r="K310" i="3"/>
  <c r="K309" i="3"/>
  <c r="K283" i="3"/>
  <c r="K281" i="3"/>
  <c r="K377" i="3"/>
  <c r="K358" i="3"/>
  <c r="K344" i="3"/>
  <c r="K315" i="3"/>
  <c r="K301" i="3"/>
  <c r="K289" i="3"/>
  <c r="K247" i="3"/>
  <c r="K262" i="3"/>
  <c r="K263" i="3"/>
  <c r="K235" i="3"/>
  <c r="K224" i="3"/>
  <c r="K100" i="3"/>
  <c r="K98" i="3"/>
  <c r="K97" i="3"/>
  <c r="K96" i="3"/>
  <c r="K73" i="3"/>
  <c r="K65" i="3"/>
  <c r="K52" i="3"/>
  <c r="K58" i="3"/>
  <c r="I457" i="3"/>
  <c r="I391" i="3"/>
  <c r="I361" i="3"/>
  <c r="I345" i="3"/>
  <c r="I323" i="3"/>
  <c r="I312" i="3"/>
  <c r="I311" i="3"/>
  <c r="I285" i="3"/>
  <c r="I284" i="3"/>
  <c r="I240" i="3"/>
  <c r="I241" i="3"/>
  <c r="I138" i="3"/>
  <c r="I372" i="3"/>
  <c r="I331" i="3"/>
  <c r="I303" i="3"/>
  <c r="I291" i="3"/>
  <c r="I249" i="3"/>
  <c r="I264" i="3"/>
  <c r="I265" i="3"/>
  <c r="I228" i="3"/>
  <c r="I217" i="3"/>
  <c r="I74" i="3"/>
  <c r="I66" i="3"/>
  <c r="I55" i="3"/>
  <c r="I59" i="3"/>
  <c r="G118" i="3"/>
  <c r="G437" i="3"/>
  <c r="G371" i="3"/>
  <c r="G363" i="3"/>
  <c r="G313" i="3"/>
  <c r="G298" i="3"/>
  <c r="G297" i="3"/>
  <c r="G286" i="3"/>
  <c r="G242" i="3"/>
  <c r="G243" i="3"/>
  <c r="G364" i="3"/>
  <c r="G347" i="3"/>
  <c r="G324" i="3"/>
  <c r="G305" i="3"/>
  <c r="G278" i="3"/>
  <c r="G250" i="3"/>
  <c r="G251" i="3"/>
  <c r="G266" i="3"/>
  <c r="G267" i="3"/>
  <c r="G229" i="3"/>
  <c r="G218" i="3"/>
  <c r="G75" i="3"/>
  <c r="G67" i="3"/>
  <c r="G50" i="3"/>
  <c r="G56" i="3"/>
  <c r="G60" i="3"/>
  <c r="E153" i="3"/>
  <c r="E465" i="3"/>
  <c r="E379" i="3"/>
  <c r="E376" i="3"/>
  <c r="E369" i="3"/>
  <c r="E367" i="3"/>
  <c r="E365" i="3"/>
  <c r="E348" i="3"/>
  <c r="E325" i="3"/>
  <c r="E300" i="3"/>
  <c r="E299" i="3"/>
  <c r="E288" i="3"/>
  <c r="E287" i="3"/>
  <c r="E244" i="3"/>
  <c r="E245" i="3"/>
  <c r="E368" i="3"/>
  <c r="E307" i="3"/>
  <c r="E280" i="3"/>
  <c r="E252" i="3"/>
  <c r="E253" i="3"/>
  <c r="E268" i="3"/>
  <c r="E269" i="3"/>
  <c r="E230" i="3"/>
  <c r="E219" i="3"/>
  <c r="E97" i="3"/>
  <c r="E86" i="3"/>
  <c r="E76" i="3"/>
  <c r="E68" i="3"/>
  <c r="E51" i="3"/>
  <c r="E57" i="3"/>
  <c r="E61" i="3"/>
  <c r="E40" i="3"/>
  <c r="E44" i="3"/>
  <c r="U507" i="3"/>
  <c r="U525" i="3"/>
  <c r="U140" i="3"/>
  <c r="U447" i="3"/>
  <c r="U408" i="3"/>
  <c r="U412" i="3"/>
  <c r="U376" i="3"/>
  <c r="U368" i="3"/>
  <c r="U364" i="3"/>
  <c r="U358" i="3"/>
  <c r="U351" i="3"/>
  <c r="U347" i="3"/>
  <c r="U333" i="3"/>
  <c r="U330" i="3"/>
  <c r="U322" i="3"/>
  <c r="U439" i="3"/>
  <c r="U362" i="3"/>
  <c r="U247" i="3"/>
  <c r="U263" i="3"/>
  <c r="U222" i="3"/>
  <c r="U218" i="3"/>
  <c r="U98" i="3"/>
  <c r="U96" i="3"/>
  <c r="U90" i="3"/>
  <c r="U88" i="3"/>
  <c r="U86" i="3"/>
  <c r="U84" i="3"/>
  <c r="U82" i="3"/>
  <c r="S526" i="3"/>
  <c r="S150" i="3"/>
  <c r="S162" i="3"/>
  <c r="S144" i="3"/>
  <c r="S134" i="3"/>
  <c r="S142" i="3"/>
  <c r="S114" i="3"/>
  <c r="S118" i="3"/>
  <c r="S124" i="3"/>
  <c r="S472" i="3"/>
  <c r="S463" i="3"/>
  <c r="S449" i="3"/>
  <c r="S437" i="3"/>
  <c r="S410" i="3"/>
  <c r="S508" i="3"/>
  <c r="S174" i="3"/>
  <c r="S154" i="3"/>
  <c r="S116" i="3"/>
  <c r="S478" i="3"/>
  <c r="S451" i="3"/>
  <c r="S414" i="3"/>
  <c r="S400" i="3"/>
  <c r="S396" i="3"/>
  <c r="S392" i="3"/>
  <c r="S388" i="3"/>
  <c r="S378" i="3"/>
  <c r="S374" i="3"/>
  <c r="S366" i="3"/>
  <c r="S362" i="3"/>
  <c r="S349" i="3"/>
  <c r="S345" i="3"/>
  <c r="S341" i="3"/>
  <c r="S337" i="3"/>
  <c r="S313" i="3"/>
  <c r="S120" i="3"/>
  <c r="S467" i="3"/>
  <c r="S441" i="3"/>
  <c r="S398" i="3"/>
  <c r="S390" i="3"/>
  <c r="S370" i="3"/>
  <c r="S364" i="3"/>
  <c r="S347" i="3"/>
  <c r="S339" i="3"/>
  <c r="S328" i="3"/>
  <c r="S324" i="3"/>
  <c r="S311" i="3"/>
  <c r="S307" i="3"/>
  <c r="S303" i="3"/>
  <c r="S299" i="3"/>
  <c r="S291" i="3"/>
  <c r="S287" i="3"/>
  <c r="S285" i="3"/>
  <c r="S280" i="3"/>
  <c r="S241" i="3"/>
  <c r="S245" i="3"/>
  <c r="S249" i="3"/>
  <c r="S253" i="3"/>
  <c r="S257" i="3"/>
  <c r="S261" i="3"/>
  <c r="S265" i="3"/>
  <c r="S269" i="3"/>
  <c r="S273" i="3"/>
  <c r="S234" i="3"/>
  <c r="S232" i="3"/>
  <c r="S230" i="3"/>
  <c r="S228" i="3"/>
  <c r="S76" i="3"/>
  <c r="S74" i="3"/>
  <c r="S72" i="3"/>
  <c r="S70" i="3"/>
  <c r="S68" i="3"/>
  <c r="S66" i="3"/>
  <c r="Q533" i="3"/>
  <c r="Q509" i="3"/>
  <c r="Q138" i="3"/>
  <c r="Q175" i="3"/>
  <c r="Q465" i="3"/>
  <c r="Q459" i="3"/>
  <c r="Q450" i="3"/>
  <c r="Q439" i="3"/>
  <c r="Q438" i="3"/>
  <c r="Q412" i="3"/>
  <c r="Q411" i="3"/>
  <c r="Q527" i="3"/>
  <c r="Q117" i="3"/>
  <c r="Q457" i="3"/>
  <c r="Q453" i="3"/>
  <c r="Q435" i="3"/>
  <c r="Q404" i="3"/>
  <c r="Q372" i="3"/>
  <c r="Q364" i="3"/>
  <c r="Q358" i="3"/>
  <c r="Q351" i="3"/>
  <c r="Q347" i="3"/>
  <c r="Q343" i="3"/>
  <c r="Q339" i="3"/>
  <c r="Q333" i="3"/>
  <c r="Q330" i="3"/>
  <c r="Q328" i="3"/>
  <c r="Q326" i="3"/>
  <c r="Q324" i="3"/>
  <c r="Q322" i="3"/>
  <c r="Q315" i="3"/>
  <c r="Q135" i="3"/>
  <c r="Q469" i="3"/>
  <c r="Q461" i="3"/>
  <c r="Q408" i="3"/>
  <c r="Q368" i="3"/>
  <c r="Q366" i="3"/>
  <c r="Q349" i="3"/>
  <c r="Q341" i="3"/>
  <c r="Q313" i="3"/>
  <c r="Q309" i="3"/>
  <c r="Q305" i="3"/>
  <c r="Q301" i="3"/>
  <c r="Q297" i="3"/>
  <c r="Q289" i="3"/>
  <c r="Q283" i="3"/>
  <c r="Q278" i="3"/>
  <c r="Q243" i="3"/>
  <c r="Q247" i="3"/>
  <c r="Q251" i="3"/>
  <c r="Q255" i="3"/>
  <c r="Q259" i="3"/>
  <c r="Q263" i="3"/>
  <c r="Q267" i="3"/>
  <c r="Q271" i="3"/>
  <c r="Q224" i="3"/>
  <c r="Q222" i="3"/>
  <c r="Q220" i="3"/>
  <c r="Q218" i="3"/>
  <c r="Q98" i="3"/>
  <c r="Q96" i="3"/>
  <c r="Q91" i="3"/>
  <c r="Q90" i="3"/>
  <c r="Q89" i="3"/>
  <c r="Q88" i="3"/>
  <c r="Q87" i="3"/>
  <c r="Q86" i="3"/>
  <c r="Q85" i="3"/>
  <c r="Q84" i="3"/>
  <c r="Q83" i="3"/>
  <c r="Q82" i="3"/>
  <c r="Q81" i="3"/>
  <c r="O528" i="3"/>
  <c r="O172" i="3"/>
  <c r="O152" i="3"/>
  <c r="O132" i="3"/>
  <c r="O142" i="3"/>
  <c r="O146" i="3"/>
  <c r="O510" i="3"/>
  <c r="O183" i="3"/>
  <c r="O166" i="3"/>
  <c r="O136" i="3"/>
  <c r="O144" i="3"/>
  <c r="O111" i="3"/>
  <c r="O116" i="3"/>
  <c r="O120" i="3"/>
  <c r="O478" i="3"/>
  <c r="O467" i="3"/>
  <c r="O451" i="3"/>
  <c r="O441" i="3"/>
  <c r="O414" i="3"/>
  <c r="O538" i="3"/>
  <c r="O190" i="3"/>
  <c r="O186" i="3"/>
  <c r="O182" i="3"/>
  <c r="O178" i="3"/>
  <c r="O118" i="3"/>
  <c r="O463" i="3"/>
  <c r="O437" i="3"/>
  <c r="O406" i="3"/>
  <c r="O398" i="3"/>
  <c r="O394" i="3"/>
  <c r="O390" i="3"/>
  <c r="O386" i="3"/>
  <c r="O370" i="3"/>
  <c r="O368" i="3"/>
  <c r="O366" i="3"/>
  <c r="O362" i="3"/>
  <c r="O349" i="3"/>
  <c r="O345" i="3"/>
  <c r="O341" i="3"/>
  <c r="O337" i="3"/>
  <c r="O327" i="3"/>
  <c r="O192" i="3"/>
  <c r="O184" i="3"/>
  <c r="O176" i="3"/>
  <c r="O156" i="3"/>
  <c r="O124" i="3"/>
  <c r="O472" i="3"/>
  <c r="O410" i="3"/>
  <c r="O400" i="3"/>
  <c r="O392" i="3"/>
  <c r="O378" i="3"/>
  <c r="O358" i="3"/>
  <c r="O351" i="3"/>
  <c r="O343" i="3"/>
  <c r="O333" i="3"/>
  <c r="O330" i="3"/>
  <c r="O326" i="3"/>
  <c r="O322" i="3"/>
  <c r="O315" i="3"/>
  <c r="O311" i="3"/>
  <c r="O307" i="3"/>
  <c r="O303" i="3"/>
  <c r="O299" i="3"/>
  <c r="O291" i="3"/>
  <c r="O287" i="3"/>
  <c r="O285" i="3"/>
  <c r="O280" i="3"/>
  <c r="O241" i="3"/>
  <c r="O245" i="3"/>
  <c r="O249" i="3"/>
  <c r="O253" i="3"/>
  <c r="O257" i="3"/>
  <c r="O261" i="3"/>
  <c r="O265" i="3"/>
  <c r="O269" i="3"/>
  <c r="O273" i="3"/>
  <c r="O234" i="3"/>
  <c r="O232" i="3"/>
  <c r="O230" i="3"/>
  <c r="O228" i="3"/>
  <c r="O76" i="3"/>
  <c r="O74" i="3"/>
  <c r="O72" i="3"/>
  <c r="O70" i="3"/>
  <c r="O68" i="3"/>
  <c r="O66" i="3"/>
  <c r="M511" i="3"/>
  <c r="M173" i="3"/>
  <c r="M153" i="3"/>
  <c r="M133" i="3"/>
  <c r="M140" i="3"/>
  <c r="M143" i="3"/>
  <c r="M529" i="3"/>
  <c r="M157" i="3"/>
  <c r="M145" i="3"/>
  <c r="M113" i="3"/>
  <c r="M117" i="3"/>
  <c r="M121" i="3"/>
  <c r="M469" i="3"/>
  <c r="M461" i="3"/>
  <c r="M457" i="3"/>
  <c r="M453" i="3"/>
  <c r="M447" i="3"/>
  <c r="M435" i="3"/>
  <c r="M408" i="3"/>
  <c r="M110" i="3"/>
  <c r="M119" i="3"/>
  <c r="M465" i="3"/>
  <c r="M459" i="3"/>
  <c r="M439" i="3"/>
  <c r="M399" i="3"/>
  <c r="M376" i="3"/>
  <c r="M364" i="3"/>
  <c r="M358" i="3"/>
  <c r="M351" i="3"/>
  <c r="M347" i="3"/>
  <c r="M343" i="3"/>
  <c r="M339" i="3"/>
  <c r="M333" i="3"/>
  <c r="M330" i="3"/>
  <c r="M328" i="3"/>
  <c r="M326" i="3"/>
  <c r="M324" i="3"/>
  <c r="M322" i="3"/>
  <c r="M315" i="3"/>
  <c r="M167" i="3"/>
  <c r="M141" i="3"/>
  <c r="M115" i="3"/>
  <c r="M412" i="3"/>
  <c r="M404" i="3"/>
  <c r="M393" i="3"/>
  <c r="M372" i="3"/>
  <c r="M362" i="3"/>
  <c r="M361" i="3"/>
  <c r="M345" i="3"/>
  <c r="M337" i="3"/>
  <c r="M323" i="3"/>
  <c r="M313" i="3"/>
  <c r="M310" i="3"/>
  <c r="M309" i="3"/>
  <c r="M306" i="3"/>
  <c r="M305" i="3"/>
  <c r="M302" i="3"/>
  <c r="M301" i="3"/>
  <c r="M298" i="3"/>
  <c r="M297" i="3"/>
  <c r="M290" i="3"/>
  <c r="M289" i="3"/>
  <c r="M286" i="3"/>
  <c r="M283" i="3"/>
  <c r="M281" i="3"/>
  <c r="M278" i="3"/>
  <c r="M242" i="3"/>
  <c r="M243" i="3"/>
  <c r="M246" i="3"/>
  <c r="M247" i="3"/>
  <c r="M250" i="3"/>
  <c r="M251" i="3"/>
  <c r="M254" i="3"/>
  <c r="M255" i="3"/>
  <c r="M258" i="3"/>
  <c r="M259" i="3"/>
  <c r="M262" i="3"/>
  <c r="M263" i="3"/>
  <c r="M266" i="3"/>
  <c r="M267" i="3"/>
  <c r="M270" i="3"/>
  <c r="M271" i="3"/>
  <c r="M275" i="3"/>
  <c r="M235" i="3"/>
  <c r="M233" i="3"/>
  <c r="M231" i="3"/>
  <c r="M229" i="3"/>
  <c r="M224" i="3"/>
  <c r="M222" i="3"/>
  <c r="M220" i="3"/>
  <c r="M218" i="3"/>
  <c r="M100" i="3"/>
  <c r="M98" i="3"/>
  <c r="M97" i="3"/>
  <c r="M96" i="3"/>
  <c r="M94" i="3"/>
  <c r="M91" i="3"/>
  <c r="M90" i="3"/>
  <c r="M89" i="3"/>
  <c r="M88" i="3"/>
  <c r="M87" i="3"/>
  <c r="M86" i="3"/>
  <c r="M85" i="3"/>
  <c r="M84" i="3"/>
  <c r="M83" i="3"/>
  <c r="M82" i="3"/>
  <c r="M81" i="3"/>
  <c r="M77" i="3"/>
  <c r="M75" i="3"/>
  <c r="M73" i="3"/>
  <c r="M71" i="3"/>
  <c r="M69" i="3"/>
  <c r="M67" i="3"/>
  <c r="M65" i="3"/>
  <c r="K530" i="3"/>
  <c r="K211" i="3"/>
  <c r="K174" i="3"/>
  <c r="K154" i="3"/>
  <c r="K134" i="3"/>
  <c r="K144" i="3"/>
  <c r="K521" i="3"/>
  <c r="K419" i="3"/>
  <c r="K423" i="3"/>
  <c r="K150" i="3"/>
  <c r="K137" i="3"/>
  <c r="K146" i="3"/>
  <c r="K114" i="3"/>
  <c r="K118" i="3"/>
  <c r="K124" i="3"/>
  <c r="K473" i="3"/>
  <c r="K472" i="3"/>
  <c r="K464" i="3"/>
  <c r="K463" i="3"/>
  <c r="K458" i="3"/>
  <c r="K449" i="3"/>
  <c r="K448" i="3"/>
  <c r="K437" i="3"/>
  <c r="K436" i="3"/>
  <c r="K410" i="3"/>
  <c r="K409" i="3"/>
  <c r="K142" i="3"/>
  <c r="K111" i="3"/>
  <c r="K120" i="3"/>
  <c r="K468" i="3"/>
  <c r="K467" i="3"/>
  <c r="K460" i="3"/>
  <c r="K441" i="3"/>
  <c r="K440" i="3"/>
  <c r="K400" i="3"/>
  <c r="K396" i="3"/>
  <c r="K392" i="3"/>
  <c r="K388" i="3"/>
  <c r="K378" i="3"/>
  <c r="K375" i="3"/>
  <c r="K374" i="3"/>
  <c r="K372" i="3"/>
  <c r="K370" i="3"/>
  <c r="K369" i="3"/>
  <c r="K368" i="3"/>
  <c r="K367" i="3"/>
  <c r="K366" i="3"/>
  <c r="K365" i="3"/>
  <c r="K362" i="3"/>
  <c r="K361" i="3"/>
  <c r="K349" i="3"/>
  <c r="K348" i="3"/>
  <c r="K346" i="3"/>
  <c r="K345" i="3"/>
  <c r="K342" i="3"/>
  <c r="K341" i="3"/>
  <c r="K338" i="3"/>
  <c r="K337" i="3"/>
  <c r="K332" i="3"/>
  <c r="K331" i="3"/>
  <c r="K329" i="3"/>
  <c r="K327" i="3"/>
  <c r="K325" i="3"/>
  <c r="K323" i="3"/>
  <c r="K314" i="3"/>
  <c r="K512" i="3"/>
  <c r="K478" i="3"/>
  <c r="K451" i="3"/>
  <c r="K414" i="3"/>
  <c r="K406" i="3"/>
  <c r="K405" i="3"/>
  <c r="K394" i="3"/>
  <c r="K386" i="3"/>
  <c r="K371" i="3"/>
  <c r="K364" i="3"/>
  <c r="K363" i="3"/>
  <c r="K347" i="3"/>
  <c r="K340" i="3"/>
  <c r="K339" i="3"/>
  <c r="K328" i="3"/>
  <c r="K324" i="3"/>
  <c r="K312" i="3"/>
  <c r="K311" i="3"/>
  <c r="K308" i="3"/>
  <c r="K307" i="3"/>
  <c r="K304" i="3"/>
  <c r="K303" i="3"/>
  <c r="K300" i="3"/>
  <c r="K299" i="3"/>
  <c r="K291" i="3"/>
  <c r="K288" i="3"/>
  <c r="K287" i="3"/>
  <c r="K285" i="3"/>
  <c r="K284" i="3"/>
  <c r="K280" i="3"/>
  <c r="K279" i="3"/>
  <c r="K240" i="3"/>
  <c r="K241" i="3"/>
  <c r="K244" i="3"/>
  <c r="K245" i="3"/>
  <c r="K248" i="3"/>
  <c r="K249" i="3"/>
  <c r="K252" i="3"/>
  <c r="K253" i="3"/>
  <c r="K256" i="3"/>
  <c r="K257" i="3"/>
  <c r="K260" i="3"/>
  <c r="K261" i="3"/>
  <c r="K264" i="3"/>
  <c r="K265" i="3"/>
  <c r="K268" i="3"/>
  <c r="K269" i="3"/>
  <c r="K272" i="3"/>
  <c r="K273" i="3"/>
  <c r="K234" i="3"/>
  <c r="K232" i="3"/>
  <c r="K230" i="3"/>
  <c r="K228" i="3"/>
  <c r="K223" i="3"/>
  <c r="K221" i="3"/>
  <c r="K219" i="3"/>
  <c r="K217" i="3"/>
  <c r="K76" i="3"/>
  <c r="K74" i="3"/>
  <c r="K72" i="3"/>
  <c r="K70" i="3"/>
  <c r="K68" i="3"/>
  <c r="K66" i="3"/>
  <c r="K49" i="3"/>
  <c r="I544" i="3"/>
  <c r="I522" i="3"/>
  <c r="I513" i="3"/>
  <c r="I211" i="3"/>
  <c r="I175" i="3"/>
  <c r="I155" i="3"/>
  <c r="I135" i="3"/>
  <c r="I141" i="3"/>
  <c r="I145" i="3"/>
  <c r="I419" i="3"/>
  <c r="I423" i="3"/>
  <c r="I131" i="3"/>
  <c r="I110" i="3"/>
  <c r="I115" i="3"/>
  <c r="I119" i="3"/>
  <c r="I479" i="3"/>
  <c r="I466" i="3"/>
  <c r="I465" i="3"/>
  <c r="I459" i="3"/>
  <c r="I450" i="3"/>
  <c r="I439" i="3"/>
  <c r="I438" i="3"/>
  <c r="I412" i="3"/>
  <c r="I411" i="3"/>
  <c r="I171" i="3"/>
  <c r="I151" i="3"/>
  <c r="I113" i="3"/>
  <c r="I121" i="3"/>
  <c r="I470" i="3"/>
  <c r="I469" i="3"/>
  <c r="I461" i="3"/>
  <c r="I447" i="3"/>
  <c r="I446" i="3"/>
  <c r="I442" i="3"/>
  <c r="I408" i="3"/>
  <c r="I404" i="3"/>
  <c r="I397" i="3"/>
  <c r="I393" i="3"/>
  <c r="I389" i="3"/>
  <c r="I385" i="3"/>
  <c r="I379" i="3"/>
  <c r="I373" i="3"/>
  <c r="I371" i="3"/>
  <c r="I364" i="3"/>
  <c r="I363" i="3"/>
  <c r="I358" i="3"/>
  <c r="I357" i="3"/>
  <c r="I356" i="3"/>
  <c r="I351" i="3"/>
  <c r="I350" i="3"/>
  <c r="I347" i="3"/>
  <c r="I344" i="3"/>
  <c r="I343" i="3"/>
  <c r="I340" i="3"/>
  <c r="I339" i="3"/>
  <c r="I333" i="3"/>
  <c r="I330" i="3"/>
  <c r="I328" i="3"/>
  <c r="I326" i="3"/>
  <c r="I324" i="3"/>
  <c r="I322" i="3"/>
  <c r="I318" i="3"/>
  <c r="I315" i="3"/>
  <c r="I117" i="3"/>
  <c r="I453" i="3"/>
  <c r="I407" i="3"/>
  <c r="I395" i="3"/>
  <c r="I387" i="3"/>
  <c r="I376" i="3"/>
  <c r="I374" i="3"/>
  <c r="I370" i="3"/>
  <c r="I369" i="3"/>
  <c r="I368" i="3"/>
  <c r="I367" i="3"/>
  <c r="I366" i="3"/>
  <c r="I365" i="3"/>
  <c r="I349" i="3"/>
  <c r="I348" i="3"/>
  <c r="I342" i="3"/>
  <c r="I341" i="3"/>
  <c r="I332" i="3"/>
  <c r="I329" i="3"/>
  <c r="I325" i="3"/>
  <c r="I314" i="3"/>
  <c r="I313" i="3"/>
  <c r="I310" i="3"/>
  <c r="I309" i="3"/>
  <c r="I306" i="3"/>
  <c r="I305" i="3"/>
  <c r="I302" i="3"/>
  <c r="I301" i="3"/>
  <c r="I298" i="3"/>
  <c r="I297" i="3"/>
  <c r="I290" i="3"/>
  <c r="I289" i="3"/>
  <c r="I286" i="3"/>
  <c r="I283" i="3"/>
  <c r="I281" i="3"/>
  <c r="I278" i="3"/>
  <c r="I242" i="3"/>
  <c r="I243" i="3"/>
  <c r="I246" i="3"/>
  <c r="I247" i="3"/>
  <c r="I250" i="3"/>
  <c r="I251" i="3"/>
  <c r="I254" i="3"/>
  <c r="I255" i="3"/>
  <c r="I258" i="3"/>
  <c r="I259" i="3"/>
  <c r="I262" i="3"/>
  <c r="I263" i="3"/>
  <c r="I266" i="3"/>
  <c r="I267" i="3"/>
  <c r="I270" i="3"/>
  <c r="I271" i="3"/>
  <c r="I275" i="3"/>
  <c r="I235" i="3"/>
  <c r="I233" i="3"/>
  <c r="I231" i="3"/>
  <c r="I229" i="3"/>
  <c r="I224" i="3"/>
  <c r="I222" i="3"/>
  <c r="I220" i="3"/>
  <c r="I218" i="3"/>
  <c r="I100" i="3"/>
  <c r="I98" i="3"/>
  <c r="I97" i="3"/>
  <c r="I96" i="3"/>
  <c r="I94" i="3"/>
  <c r="I91" i="3"/>
  <c r="I90" i="3"/>
  <c r="I89" i="3"/>
  <c r="I88" i="3"/>
  <c r="I87" i="3"/>
  <c r="I86" i="3"/>
  <c r="I85" i="3"/>
  <c r="I84" i="3"/>
  <c r="I83" i="3"/>
  <c r="I82" i="3"/>
  <c r="I81" i="3"/>
  <c r="I77" i="3"/>
  <c r="I75" i="3"/>
  <c r="I73" i="3"/>
  <c r="I71" i="3"/>
  <c r="I69" i="3"/>
  <c r="I67" i="3"/>
  <c r="I65" i="3"/>
  <c r="G506" i="3"/>
  <c r="G211" i="3"/>
  <c r="G193" i="3"/>
  <c r="G192" i="3"/>
  <c r="G191" i="3"/>
  <c r="G190" i="3"/>
  <c r="G189" i="3"/>
  <c r="G188" i="3"/>
  <c r="G187" i="3"/>
  <c r="G186" i="3"/>
  <c r="G185" i="3"/>
  <c r="G184" i="3"/>
  <c r="G183" i="3"/>
  <c r="G182" i="3"/>
  <c r="G181" i="3"/>
  <c r="G180" i="3"/>
  <c r="G179" i="3"/>
  <c r="G178" i="3"/>
  <c r="G177" i="3"/>
  <c r="G176" i="3"/>
  <c r="G166" i="3"/>
  <c r="G156" i="3"/>
  <c r="G136" i="3"/>
  <c r="G142" i="3"/>
  <c r="G146" i="3"/>
  <c r="G419" i="3"/>
  <c r="G423" i="3"/>
  <c r="G172" i="3"/>
  <c r="G152" i="3"/>
  <c r="G139" i="3"/>
  <c r="G111" i="3"/>
  <c r="G116" i="3"/>
  <c r="G120" i="3"/>
  <c r="G478" i="3"/>
  <c r="G468" i="3"/>
  <c r="G467" i="3"/>
  <c r="G460" i="3"/>
  <c r="G452" i="3"/>
  <c r="G451" i="3"/>
  <c r="G441" i="3"/>
  <c r="G440" i="3"/>
  <c r="G414" i="3"/>
  <c r="G413" i="3"/>
  <c r="G144" i="3"/>
  <c r="G114" i="3"/>
  <c r="G124" i="3"/>
  <c r="G473" i="3"/>
  <c r="G472" i="3"/>
  <c r="G449" i="3"/>
  <c r="G448" i="3"/>
  <c r="G410" i="3"/>
  <c r="G409" i="3"/>
  <c r="G406" i="3"/>
  <c r="G405" i="3"/>
  <c r="G398" i="3"/>
  <c r="G394" i="3"/>
  <c r="G390" i="3"/>
  <c r="G386" i="3"/>
  <c r="G377" i="3"/>
  <c r="G376" i="3"/>
  <c r="G375" i="3"/>
  <c r="G374" i="3"/>
  <c r="G372" i="3"/>
  <c r="G370" i="3"/>
  <c r="G369" i="3"/>
  <c r="G368" i="3"/>
  <c r="G367" i="3"/>
  <c r="G366" i="3"/>
  <c r="G365" i="3"/>
  <c r="G362" i="3"/>
  <c r="G361" i="3"/>
  <c r="G353" i="3"/>
  <c r="G349" i="3"/>
  <c r="G348" i="3"/>
  <c r="G346" i="3"/>
  <c r="G345" i="3"/>
  <c r="G342" i="3"/>
  <c r="G341" i="3"/>
  <c r="G338" i="3"/>
  <c r="G337" i="3"/>
  <c r="G332" i="3"/>
  <c r="G331" i="3"/>
  <c r="G329" i="3"/>
  <c r="G327" i="3"/>
  <c r="G325" i="3"/>
  <c r="G323" i="3"/>
  <c r="G314" i="3"/>
  <c r="G524" i="3"/>
  <c r="G464" i="3"/>
  <c r="G458" i="3"/>
  <c r="G436" i="3"/>
  <c r="G396" i="3"/>
  <c r="G388" i="3"/>
  <c r="G373" i="3"/>
  <c r="G358" i="3"/>
  <c r="G357" i="3"/>
  <c r="G356" i="3"/>
  <c r="G351" i="3"/>
  <c r="G350" i="3"/>
  <c r="G344" i="3"/>
  <c r="G343" i="3"/>
  <c r="G333" i="3"/>
  <c r="G330" i="3"/>
  <c r="G326" i="3"/>
  <c r="G322" i="3"/>
  <c r="G318" i="3"/>
  <c r="G315" i="3"/>
  <c r="G312" i="3"/>
  <c r="G311" i="3"/>
  <c r="G308" i="3"/>
  <c r="G307" i="3"/>
  <c r="G304" i="3"/>
  <c r="G303" i="3"/>
  <c r="G300" i="3"/>
  <c r="G299" i="3"/>
  <c r="G291" i="3"/>
  <c r="G288" i="3"/>
  <c r="G287" i="3"/>
  <c r="G285" i="3"/>
  <c r="G284" i="3"/>
  <c r="G280" i="3"/>
  <c r="G279" i="3"/>
  <c r="G240" i="3"/>
  <c r="G241" i="3"/>
  <c r="G244" i="3"/>
  <c r="G245" i="3"/>
  <c r="G248" i="3"/>
  <c r="G249" i="3"/>
  <c r="G252" i="3"/>
  <c r="G253" i="3"/>
  <c r="G256" i="3"/>
  <c r="G257" i="3"/>
  <c r="G260" i="3"/>
  <c r="G261" i="3"/>
  <c r="G264" i="3"/>
  <c r="G265" i="3"/>
  <c r="G268" i="3"/>
  <c r="G269" i="3"/>
  <c r="G272" i="3"/>
  <c r="G273" i="3"/>
  <c r="G234" i="3"/>
  <c r="G232" i="3"/>
  <c r="G230" i="3"/>
  <c r="G228" i="3"/>
  <c r="G223" i="3"/>
  <c r="G221" i="3"/>
  <c r="G219" i="3"/>
  <c r="G217" i="3"/>
  <c r="G76" i="3"/>
  <c r="G74" i="3"/>
  <c r="G72" i="3"/>
  <c r="G70" i="3"/>
  <c r="G68" i="3"/>
  <c r="G66" i="3"/>
  <c r="G49" i="3"/>
  <c r="E199" i="3"/>
  <c r="E191" i="3"/>
  <c r="E525" i="3"/>
  <c r="E211" i="3"/>
  <c r="E167" i="3"/>
  <c r="E157" i="3"/>
  <c r="E143" i="3"/>
  <c r="E110" i="3"/>
  <c r="E507" i="3"/>
  <c r="E419" i="3"/>
  <c r="E423" i="3"/>
  <c r="E133" i="3"/>
  <c r="E113" i="3"/>
  <c r="E117" i="3"/>
  <c r="E121" i="3"/>
  <c r="E470" i="3"/>
  <c r="E469" i="3"/>
  <c r="E461" i="3"/>
  <c r="E457" i="3"/>
  <c r="E453" i="3"/>
  <c r="E447" i="3"/>
  <c r="E446" i="3"/>
  <c r="E442" i="3"/>
  <c r="E435" i="3"/>
  <c r="E408" i="3"/>
  <c r="E140" i="3"/>
  <c r="E115" i="3"/>
  <c r="E479" i="3"/>
  <c r="E450" i="3"/>
  <c r="E412" i="3"/>
  <c r="E411" i="3"/>
  <c r="E407" i="3"/>
  <c r="E399" i="3"/>
  <c r="E395" i="3"/>
  <c r="E391" i="3"/>
  <c r="E387" i="3"/>
  <c r="E378" i="3"/>
  <c r="E373" i="3"/>
  <c r="E371" i="3"/>
  <c r="E364" i="3"/>
  <c r="E363" i="3"/>
  <c r="E358" i="3"/>
  <c r="E357" i="3"/>
  <c r="E351" i="3"/>
  <c r="E350" i="3"/>
  <c r="E347" i="3"/>
  <c r="E344" i="3"/>
  <c r="E343" i="3"/>
  <c r="E340" i="3"/>
  <c r="E339" i="3"/>
  <c r="E333" i="3"/>
  <c r="E330" i="3"/>
  <c r="E328" i="3"/>
  <c r="E326" i="3"/>
  <c r="E324" i="3"/>
  <c r="E318" i="3"/>
  <c r="E315" i="3"/>
  <c r="E145" i="3"/>
  <c r="E119" i="3"/>
  <c r="E466" i="3"/>
  <c r="E438" i="3"/>
  <c r="E397" i="3"/>
  <c r="E389" i="3"/>
  <c r="E377" i="3"/>
  <c r="E375" i="3"/>
  <c r="E372" i="3"/>
  <c r="E362" i="3"/>
  <c r="E361" i="3"/>
  <c r="E346" i="3"/>
  <c r="E345" i="3"/>
  <c r="E338" i="3"/>
  <c r="E337" i="3"/>
  <c r="E331" i="3"/>
  <c r="E327" i="3"/>
  <c r="E323" i="3"/>
  <c r="E313" i="3"/>
  <c r="E310" i="3"/>
  <c r="E309" i="3"/>
  <c r="E306" i="3"/>
  <c r="E305" i="3"/>
  <c r="E302" i="3"/>
  <c r="E301" i="3"/>
  <c r="E298" i="3"/>
  <c r="E297" i="3"/>
  <c r="E290" i="3"/>
  <c r="E289" i="3"/>
  <c r="E286" i="3"/>
  <c r="E283" i="3"/>
  <c r="E281" i="3"/>
  <c r="E278" i="3"/>
  <c r="E242" i="3"/>
  <c r="E243" i="3"/>
  <c r="E246" i="3"/>
  <c r="E247" i="3"/>
  <c r="E250" i="3"/>
  <c r="E251" i="3"/>
  <c r="E254" i="3"/>
  <c r="E255" i="3"/>
  <c r="E258" i="3"/>
  <c r="E259" i="3"/>
  <c r="E262" i="3"/>
  <c r="E263" i="3"/>
  <c r="E266" i="3"/>
  <c r="E267" i="3"/>
  <c r="E270" i="3"/>
  <c r="E271" i="3"/>
  <c r="E275" i="3"/>
  <c r="E235" i="3"/>
  <c r="E233" i="3"/>
  <c r="E231" i="3"/>
  <c r="E229" i="3"/>
  <c r="E224" i="3"/>
  <c r="E222" i="3"/>
  <c r="E220" i="3"/>
  <c r="E218" i="3"/>
  <c r="E100" i="3"/>
  <c r="E96" i="3"/>
  <c r="E91" i="3"/>
  <c r="E89" i="3"/>
  <c r="E87" i="3"/>
  <c r="E85" i="3"/>
  <c r="E84" i="3"/>
  <c r="E82" i="3"/>
  <c r="E77" i="3"/>
  <c r="E75" i="3"/>
  <c r="E73" i="3"/>
  <c r="E71" i="3"/>
  <c r="E69" i="3"/>
  <c r="E67" i="3"/>
  <c r="E65" i="3"/>
  <c r="E126" i="3"/>
  <c r="E377" i="7" s="1"/>
  <c r="K456" i="3"/>
  <c r="G456" i="3"/>
  <c r="U445" i="3"/>
  <c r="Q445" i="3"/>
  <c r="M445" i="3"/>
  <c r="I445" i="3"/>
  <c r="E445" i="3"/>
  <c r="I434" i="3"/>
  <c r="E434" i="3"/>
  <c r="K417" i="3"/>
  <c r="G417" i="3"/>
  <c r="K403" i="3"/>
  <c r="G403" i="3"/>
  <c r="U384" i="3"/>
  <c r="Q384" i="3"/>
  <c r="M384" i="3"/>
  <c r="I384" i="3"/>
  <c r="E384" i="3"/>
  <c r="S356" i="3"/>
  <c r="O356" i="3"/>
  <c r="E356" i="3"/>
  <c r="K336" i="3"/>
  <c r="G336" i="3"/>
  <c r="E322" i="3"/>
  <c r="I296" i="3"/>
  <c r="E296" i="3"/>
  <c r="S239" i="3"/>
  <c r="O239" i="3"/>
  <c r="K239" i="3"/>
  <c r="G239" i="3"/>
  <c r="E227" i="3"/>
  <c r="E170" i="3"/>
  <c r="E149" i="3"/>
  <c r="G126" i="3"/>
  <c r="E379" i="7" s="1"/>
  <c r="E80" i="3"/>
  <c r="E36" i="3"/>
  <c r="U541" i="3"/>
  <c r="Q541" i="3"/>
  <c r="M541" i="3"/>
  <c r="I541" i="3"/>
  <c r="E541" i="3"/>
  <c r="S519" i="3"/>
  <c r="O519" i="3"/>
  <c r="K519" i="3"/>
  <c r="G519" i="3"/>
  <c r="U504" i="3"/>
  <c r="Q504" i="3"/>
  <c r="M504" i="3"/>
  <c r="I504" i="3"/>
  <c r="E504" i="3"/>
  <c r="S495" i="3"/>
  <c r="O495" i="3"/>
  <c r="K495" i="3"/>
  <c r="G495" i="3"/>
  <c r="I126" i="3"/>
  <c r="E381" i="7" s="1"/>
  <c r="S11" i="3"/>
  <c r="O11" i="3"/>
  <c r="K11" i="3"/>
  <c r="E11" i="3"/>
  <c r="G36" i="3"/>
  <c r="I36" i="3"/>
  <c r="Q36" i="3"/>
  <c r="M36" i="3"/>
  <c r="E48" i="3"/>
  <c r="S48" i="3"/>
  <c r="O48" i="3"/>
  <c r="K48" i="3"/>
  <c r="G48" i="3"/>
  <c r="S64" i="3"/>
  <c r="O64" i="3"/>
  <c r="K64" i="3"/>
  <c r="G64" i="3"/>
  <c r="S80" i="3"/>
  <c r="O80" i="3"/>
  <c r="K80" i="3"/>
  <c r="G80" i="3"/>
  <c r="O109" i="3"/>
  <c r="K109" i="3"/>
  <c r="G109" i="3"/>
  <c r="S109" i="3"/>
  <c r="M127" i="3"/>
  <c r="I127" i="3"/>
  <c r="U130" i="3"/>
  <c r="Q130" i="3"/>
  <c r="M130" i="3"/>
  <c r="I130" i="3"/>
  <c r="M149" i="3"/>
  <c r="I149" i="3"/>
  <c r="M165" i="3"/>
  <c r="I165" i="3"/>
  <c r="U170" i="3"/>
  <c r="Q170" i="3"/>
  <c r="M170" i="3"/>
  <c r="I170" i="3"/>
  <c r="Q198" i="3"/>
  <c r="M198" i="3"/>
  <c r="I198" i="3"/>
  <c r="Q216" i="3"/>
  <c r="M216" i="3"/>
  <c r="I216" i="3"/>
  <c r="M227" i="3"/>
  <c r="I227"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Q22" i="3"/>
  <c r="K26" i="3"/>
  <c r="O26" i="3"/>
  <c r="K33" i="3"/>
  <c r="U32" i="3"/>
  <c r="Q32" i="3"/>
  <c r="M32" i="3"/>
  <c r="I32" i="3"/>
  <c r="K31" i="3"/>
  <c r="U30" i="3"/>
  <c r="Q30" i="3"/>
  <c r="M30" i="3"/>
  <c r="I30" i="3"/>
  <c r="K29" i="3"/>
  <c r="U28" i="3"/>
  <c r="Q28" i="3"/>
  <c r="M28" i="3"/>
  <c r="I28" i="3"/>
  <c r="K27" i="3"/>
  <c r="E45" i="3"/>
  <c r="E43" i="3"/>
  <c r="E41" i="3"/>
  <c r="E39" i="3"/>
  <c r="E37" i="3"/>
  <c r="K45" i="3"/>
  <c r="G45" i="3"/>
  <c r="S44" i="3"/>
  <c r="O44" i="3"/>
  <c r="K44" i="3"/>
  <c r="G44" i="3"/>
  <c r="K43" i="3"/>
  <c r="G43" i="3"/>
  <c r="S42" i="3"/>
  <c r="O42" i="3"/>
  <c r="K42" i="3"/>
  <c r="G42" i="3"/>
  <c r="K41" i="3"/>
  <c r="G41" i="3"/>
  <c r="S40" i="3"/>
  <c r="O40" i="3"/>
  <c r="K40" i="3"/>
  <c r="G40" i="3"/>
  <c r="K39" i="3"/>
  <c r="G39" i="3"/>
  <c r="S38" i="3"/>
  <c r="O38" i="3"/>
  <c r="K38" i="3"/>
  <c r="G38" i="3"/>
  <c r="K37" i="3"/>
  <c r="G37" i="3"/>
  <c r="O61" i="3"/>
  <c r="K61" i="3"/>
  <c r="G61" i="3"/>
  <c r="U60" i="3"/>
  <c r="Q60" i="3"/>
  <c r="M60" i="3"/>
  <c r="I60" i="3"/>
  <c r="E60" i="3"/>
  <c r="O59" i="3"/>
  <c r="K59" i="3"/>
  <c r="G59" i="3"/>
  <c r="U58" i="3"/>
  <c r="Q58" i="3"/>
  <c r="M58" i="3"/>
  <c r="I58" i="3"/>
  <c r="E58" i="3"/>
  <c r="S57" i="3"/>
  <c r="K57" i="3"/>
  <c r="G57" i="3"/>
  <c r="U56" i="3"/>
  <c r="Q56" i="3"/>
  <c r="M56" i="3"/>
  <c r="I56" i="3"/>
  <c r="E56" i="3"/>
  <c r="K55" i="3"/>
  <c r="G55" i="3"/>
  <c r="U52" i="3"/>
  <c r="Q52" i="3"/>
  <c r="M52" i="3"/>
  <c r="I52" i="3"/>
  <c r="E52" i="3"/>
  <c r="K51" i="3"/>
  <c r="G51" i="3"/>
  <c r="U50" i="3"/>
  <c r="Q50" i="3"/>
  <c r="M50" i="3"/>
  <c r="I50" i="3"/>
  <c r="E50" i="3"/>
  <c r="I49" i="3"/>
  <c r="G65" i="3"/>
  <c r="O65" i="3"/>
  <c r="E66" i="3"/>
  <c r="M66" i="3"/>
  <c r="U66" i="3"/>
  <c r="K67" i="3"/>
  <c r="I68" i="3"/>
  <c r="Q68" i="3"/>
  <c r="G69" i="3"/>
  <c r="O69" i="3"/>
  <c r="E70" i="3"/>
  <c r="M70" i="3"/>
  <c r="U70" i="3"/>
  <c r="K71" i="3"/>
  <c r="I72" i="3"/>
  <c r="Q72" i="3"/>
  <c r="G73" i="3"/>
  <c r="E74" i="3"/>
  <c r="M74" i="3"/>
  <c r="U74" i="3"/>
  <c r="K75" i="3"/>
  <c r="I76" i="3"/>
  <c r="Q76" i="3"/>
  <c r="G77" i="3"/>
  <c r="G81" i="3"/>
  <c r="G82" i="3"/>
  <c r="O82" i="3"/>
  <c r="G83" i="3"/>
  <c r="G84" i="3"/>
  <c r="O84" i="3"/>
  <c r="G85" i="3"/>
  <c r="G86" i="3"/>
  <c r="O86" i="3"/>
  <c r="G87" i="3"/>
  <c r="G88" i="3"/>
  <c r="O88" i="3"/>
  <c r="G89" i="3"/>
  <c r="G90" i="3"/>
  <c r="O90" i="3"/>
  <c r="G91" i="3"/>
  <c r="E81" i="3"/>
  <c r="E88" i="3"/>
  <c r="G96" i="3"/>
  <c r="O96" i="3"/>
  <c r="G97" i="3"/>
  <c r="G98" i="3"/>
  <c r="O98" i="3"/>
  <c r="G100" i="3"/>
  <c r="E217" i="3"/>
  <c r="M217" i="3"/>
  <c r="K218" i="3"/>
  <c r="S218" i="3"/>
  <c r="I219" i="3"/>
  <c r="Q219" i="3"/>
  <c r="G220" i="3"/>
  <c r="O220" i="3"/>
  <c r="E221" i="3"/>
  <c r="M221" i="3"/>
  <c r="K222" i="3"/>
  <c r="S222" i="3"/>
  <c r="I223" i="3"/>
  <c r="Q223" i="3"/>
  <c r="G224" i="3"/>
  <c r="O224" i="3"/>
  <c r="E228" i="3"/>
  <c r="M228" i="3"/>
  <c r="K229" i="3"/>
  <c r="I230" i="3"/>
  <c r="Q230" i="3"/>
  <c r="G231" i="3"/>
  <c r="O231" i="3"/>
  <c r="E232" i="3"/>
  <c r="M232" i="3"/>
  <c r="K233" i="3"/>
  <c r="I234" i="3"/>
  <c r="Q234" i="3"/>
  <c r="G235" i="3"/>
  <c r="K275" i="3"/>
  <c r="M273" i="3"/>
  <c r="E273" i="3"/>
  <c r="M272" i="3"/>
  <c r="E272" i="3"/>
  <c r="O271" i="3"/>
  <c r="G271" i="3"/>
  <c r="O270" i="3"/>
  <c r="G270" i="3"/>
  <c r="Q269" i="3"/>
  <c r="I269" i="3"/>
  <c r="I268" i="3"/>
  <c r="S267" i="3"/>
  <c r="K267" i="3"/>
  <c r="K266" i="3"/>
  <c r="M265" i="3"/>
  <c r="E265" i="3"/>
  <c r="M264" i="3"/>
  <c r="E264" i="3"/>
  <c r="O263" i="3"/>
  <c r="G263" i="3"/>
  <c r="O262" i="3"/>
  <c r="G262" i="3"/>
  <c r="Q261" i="3"/>
  <c r="I261" i="3"/>
  <c r="I260" i="3"/>
  <c r="S259" i="3"/>
  <c r="K259" i="3"/>
  <c r="K258" i="3"/>
  <c r="M257" i="3"/>
  <c r="E257" i="3"/>
  <c r="M256" i="3"/>
  <c r="E256" i="3"/>
  <c r="O255" i="3"/>
  <c r="G255" i="3"/>
  <c r="O254" i="3"/>
  <c r="G254" i="3"/>
  <c r="Q253" i="3"/>
  <c r="I253" i="3"/>
  <c r="I252" i="3"/>
  <c r="S251" i="3"/>
  <c r="K251" i="3"/>
  <c r="K250" i="3"/>
  <c r="U249" i="3"/>
  <c r="M249" i="3"/>
  <c r="E249" i="3"/>
  <c r="M248" i="3"/>
  <c r="E248" i="3"/>
  <c r="O247" i="3"/>
  <c r="G247" i="3"/>
  <c r="O246" i="3"/>
  <c r="G246" i="3"/>
  <c r="Q245" i="3"/>
  <c r="I245" i="3"/>
  <c r="Q244" i="3"/>
  <c r="I244" i="3"/>
  <c r="S243" i="3"/>
  <c r="K243" i="3"/>
  <c r="K242" i="3"/>
  <c r="U241" i="3"/>
  <c r="M241" i="3"/>
  <c r="E241" i="3"/>
  <c r="M240" i="3"/>
  <c r="E240" i="3"/>
  <c r="K278" i="3"/>
  <c r="S278" i="3"/>
  <c r="I279" i="3"/>
  <c r="I280" i="3"/>
  <c r="Q280" i="3"/>
  <c r="G281" i="3"/>
  <c r="G283" i="3"/>
  <c r="O283" i="3"/>
  <c r="E284" i="3"/>
  <c r="E285" i="3"/>
  <c r="M285" i="3"/>
  <c r="U285" i="3"/>
  <c r="K286" i="3"/>
  <c r="I287" i="3"/>
  <c r="Q287" i="3"/>
  <c r="I288" i="3"/>
  <c r="G289" i="3"/>
  <c r="O289" i="3"/>
  <c r="G290" i="3"/>
  <c r="E291" i="3"/>
  <c r="M291" i="3"/>
  <c r="M296" i="3"/>
  <c r="K297" i="3"/>
  <c r="S297" i="3"/>
  <c r="K298" i="3"/>
  <c r="I299" i="3"/>
  <c r="Q299" i="3"/>
  <c r="I300" i="3"/>
  <c r="G301" i="3"/>
  <c r="O301" i="3"/>
  <c r="G302" i="3"/>
  <c r="E303" i="3"/>
  <c r="M303" i="3"/>
  <c r="E304" i="3"/>
  <c r="K305" i="3"/>
  <c r="S305" i="3"/>
  <c r="K306" i="3"/>
  <c r="I307" i="3"/>
  <c r="Q307" i="3"/>
  <c r="I308" i="3"/>
  <c r="G309" i="3"/>
  <c r="O309" i="3"/>
  <c r="G310" i="3"/>
  <c r="O310" i="3"/>
  <c r="E311" i="3"/>
  <c r="M311" i="3"/>
  <c r="E312" i="3"/>
  <c r="M312" i="3"/>
  <c r="K313" i="3"/>
  <c r="E314" i="3"/>
  <c r="S315" i="3"/>
  <c r="S322" i="3"/>
  <c r="O324" i="3"/>
  <c r="K326" i="3"/>
  <c r="I327" i="3"/>
  <c r="G328" i="3"/>
  <c r="E329" i="3"/>
  <c r="S330" i="3"/>
  <c r="K333" i="3"/>
  <c r="I337" i="3"/>
  <c r="I338" i="3"/>
  <c r="G339" i="3"/>
  <c r="G340" i="3"/>
  <c r="E341" i="3"/>
  <c r="E342" i="3"/>
  <c r="S343" i="3"/>
  <c r="Q345" i="3"/>
  <c r="O347" i="3"/>
  <c r="M349" i="3"/>
  <c r="K350" i="3"/>
  <c r="K351" i="3"/>
  <c r="I353" i="3"/>
  <c r="K356" i="3"/>
  <c r="S358" i="3"/>
  <c r="Q362" i="3"/>
  <c r="O363" i="3"/>
  <c r="O364" i="3"/>
  <c r="M365" i="3"/>
  <c r="M366" i="3"/>
  <c r="M367" i="3"/>
  <c r="M368" i="3"/>
  <c r="M369" i="3"/>
  <c r="M370" i="3"/>
  <c r="O371" i="3"/>
  <c r="U372" i="3"/>
  <c r="E374" i="3"/>
  <c r="I375" i="3"/>
  <c r="Q376" i="3"/>
  <c r="G378" i="3"/>
  <c r="E385" i="3"/>
  <c r="S386" i="3"/>
  <c r="O388" i="3"/>
  <c r="K390" i="3"/>
  <c r="G392" i="3"/>
  <c r="I399" i="3"/>
  <c r="E404" i="3"/>
  <c r="I435" i="3"/>
  <c r="E439" i="3"/>
  <c r="O449" i="3"/>
  <c r="K452" i="3"/>
  <c r="E459" i="3"/>
  <c r="G463" i="3"/>
  <c r="Q470" i="3"/>
  <c r="K116" i="3"/>
  <c r="S111" i="3"/>
  <c r="I143" i="3"/>
  <c r="G132" i="3"/>
  <c r="E173" i="3"/>
  <c r="O188" i="3"/>
  <c r="I505" i="3"/>
  <c r="U544" i="3"/>
  <c r="U538" i="3"/>
  <c r="U521" i="3"/>
  <c r="U524" i="3"/>
  <c r="U526" i="3"/>
  <c r="U528" i="3"/>
  <c r="U530" i="3"/>
  <c r="U506" i="3"/>
  <c r="U508" i="3"/>
  <c r="U510" i="3"/>
  <c r="U512" i="3"/>
  <c r="U496" i="3"/>
  <c r="U497" i="3"/>
  <c r="U498" i="3"/>
  <c r="U501" i="3"/>
  <c r="U533" i="3"/>
  <c r="U522" i="3"/>
  <c r="U527" i="3"/>
  <c r="U505" i="3"/>
  <c r="U509" i="3"/>
  <c r="U513" i="3"/>
  <c r="U420" i="3"/>
  <c r="U424" i="3"/>
  <c r="U210" i="3"/>
  <c r="U190" i="3"/>
  <c r="U186" i="3"/>
  <c r="U182" i="3"/>
  <c r="U180" i="3"/>
  <c r="U178" i="3"/>
  <c r="U176" i="3"/>
  <c r="U174" i="3"/>
  <c r="U172" i="3"/>
  <c r="U166" i="3"/>
  <c r="U150" i="3"/>
  <c r="U152" i="3"/>
  <c r="U154" i="3"/>
  <c r="U156" i="3"/>
  <c r="U132" i="3"/>
  <c r="U134" i="3"/>
  <c r="U136" i="3"/>
  <c r="S533" i="3"/>
  <c r="S522" i="3"/>
  <c r="S525" i="3"/>
  <c r="S527" i="3"/>
  <c r="S529" i="3"/>
  <c r="S505" i="3"/>
  <c r="S507" i="3"/>
  <c r="S509" i="3"/>
  <c r="S511" i="3"/>
  <c r="S513" i="3"/>
  <c r="S516" i="3"/>
  <c r="S496" i="3"/>
  <c r="S497" i="3"/>
  <c r="S498" i="3"/>
  <c r="S542" i="3"/>
  <c r="S538" i="3"/>
  <c r="S524" i="3"/>
  <c r="S528" i="3"/>
  <c r="S506" i="3"/>
  <c r="S510" i="3"/>
  <c r="S418" i="3"/>
  <c r="S420" i="3"/>
  <c r="S422" i="3"/>
  <c r="S424" i="3"/>
  <c r="S200" i="3"/>
  <c r="S202" i="3"/>
  <c r="S204" i="3"/>
  <c r="S210" i="3"/>
  <c r="S155" i="3"/>
  <c r="S138" i="3"/>
  <c r="S140" i="3"/>
  <c r="Q523" i="3"/>
  <c r="Q208" i="3"/>
  <c r="Q538" i="3"/>
  <c r="Q521" i="3"/>
  <c r="Q524" i="3"/>
  <c r="Q526" i="3"/>
  <c r="Q528" i="3"/>
  <c r="Q530" i="3"/>
  <c r="Q506" i="3"/>
  <c r="Q508" i="3"/>
  <c r="Q510" i="3"/>
  <c r="Q512" i="3"/>
  <c r="Q496" i="3"/>
  <c r="Q497" i="3"/>
  <c r="Q498" i="3"/>
  <c r="Q544" i="3"/>
  <c r="Q525" i="3"/>
  <c r="Q529" i="3"/>
  <c r="Q507" i="3"/>
  <c r="Q511" i="3"/>
  <c r="Q418" i="3"/>
  <c r="Q420" i="3"/>
  <c r="Q422" i="3"/>
  <c r="Q424" i="3"/>
  <c r="Q200" i="3"/>
  <c r="Q202" i="3"/>
  <c r="Q204" i="3"/>
  <c r="Q210" i="3"/>
  <c r="Q192" i="3"/>
  <c r="Q190" i="3"/>
  <c r="Q188" i="3"/>
  <c r="Q186" i="3"/>
  <c r="Q184" i="3"/>
  <c r="Q182" i="3"/>
  <c r="Q180" i="3"/>
  <c r="Q178" i="3"/>
  <c r="Q176" i="3"/>
  <c r="Q174" i="3"/>
  <c r="Q172" i="3"/>
  <c r="Q166" i="3"/>
  <c r="Q150" i="3"/>
  <c r="Q152" i="3"/>
  <c r="Q154" i="3"/>
  <c r="Q156" i="3"/>
  <c r="Q132" i="3"/>
  <c r="Q134" i="3"/>
  <c r="Q136" i="3"/>
  <c r="O208" i="3"/>
  <c r="O542" i="3"/>
  <c r="O533" i="3"/>
  <c r="O522" i="3"/>
  <c r="O525" i="3"/>
  <c r="O527" i="3"/>
  <c r="O529" i="3"/>
  <c r="O505" i="3"/>
  <c r="O507" i="3"/>
  <c r="O509" i="3"/>
  <c r="O511" i="3"/>
  <c r="O513" i="3"/>
  <c r="O496" i="3"/>
  <c r="O497" i="3"/>
  <c r="O498" i="3"/>
  <c r="O501" i="3"/>
  <c r="O418" i="3"/>
  <c r="O521" i="3"/>
  <c r="O526" i="3"/>
  <c r="O530" i="3"/>
  <c r="O508" i="3"/>
  <c r="O512" i="3"/>
  <c r="O420" i="3"/>
  <c r="O422" i="3"/>
  <c r="O424" i="3"/>
  <c r="O427" i="3"/>
  <c r="O200" i="3"/>
  <c r="O202" i="3"/>
  <c r="O204" i="3"/>
  <c r="O205" i="3"/>
  <c r="O210" i="3"/>
  <c r="O173" i="3"/>
  <c r="O153" i="3"/>
  <c r="O133" i="3"/>
  <c r="O138" i="3"/>
  <c r="O140" i="3"/>
  <c r="M544" i="3"/>
  <c r="M538" i="3"/>
  <c r="M521" i="3"/>
  <c r="M524" i="3"/>
  <c r="M526" i="3"/>
  <c r="M528" i="3"/>
  <c r="M530" i="3"/>
  <c r="M506" i="3"/>
  <c r="M508" i="3"/>
  <c r="M510" i="3"/>
  <c r="M512" i="3"/>
  <c r="M496" i="3"/>
  <c r="M497" i="3"/>
  <c r="M498" i="3"/>
  <c r="M501" i="3"/>
  <c r="M418" i="3"/>
  <c r="M523" i="3"/>
  <c r="M533" i="3"/>
  <c r="M522" i="3"/>
  <c r="M527" i="3"/>
  <c r="M505" i="3"/>
  <c r="M509" i="3"/>
  <c r="M513" i="3"/>
  <c r="M420" i="3"/>
  <c r="M422" i="3"/>
  <c r="M424" i="3"/>
  <c r="M200" i="3"/>
  <c r="M202" i="3"/>
  <c r="M204" i="3"/>
  <c r="M210" i="3"/>
  <c r="M193" i="3"/>
  <c r="M192" i="3"/>
  <c r="M191" i="3"/>
  <c r="M190" i="3"/>
  <c r="M189" i="3"/>
  <c r="M188" i="3"/>
  <c r="M187" i="3"/>
  <c r="M186" i="3"/>
  <c r="M185" i="3"/>
  <c r="M184" i="3"/>
  <c r="M183" i="3"/>
  <c r="M182" i="3"/>
  <c r="M181" i="3"/>
  <c r="M180" i="3"/>
  <c r="M179" i="3"/>
  <c r="M178" i="3"/>
  <c r="M177" i="3"/>
  <c r="M176" i="3"/>
  <c r="M174" i="3"/>
  <c r="M172" i="3"/>
  <c r="M166" i="3"/>
  <c r="M150" i="3"/>
  <c r="M152" i="3"/>
  <c r="M154" i="3"/>
  <c r="M156" i="3"/>
  <c r="M162" i="3"/>
  <c r="M132" i="3"/>
  <c r="M134" i="3"/>
  <c r="M136" i="3"/>
  <c r="M137" i="3"/>
  <c r="M139" i="3"/>
  <c r="K533" i="3"/>
  <c r="K522" i="3"/>
  <c r="K525" i="3"/>
  <c r="K527" i="3"/>
  <c r="K529" i="3"/>
  <c r="K505" i="3"/>
  <c r="K507" i="3"/>
  <c r="K509" i="3"/>
  <c r="K511" i="3"/>
  <c r="K513" i="3"/>
  <c r="K496" i="3"/>
  <c r="K497" i="3"/>
  <c r="K498" i="3"/>
  <c r="K501" i="3"/>
  <c r="K418" i="3"/>
  <c r="K208" i="3"/>
  <c r="K538" i="3"/>
  <c r="K524" i="3"/>
  <c r="K528" i="3"/>
  <c r="K506" i="3"/>
  <c r="K510" i="3"/>
  <c r="K420" i="3"/>
  <c r="K422" i="3"/>
  <c r="K424" i="3"/>
  <c r="K427" i="3"/>
  <c r="K200" i="3"/>
  <c r="K202" i="3"/>
  <c r="K204" i="3"/>
  <c r="K205" i="3"/>
  <c r="K207" i="3"/>
  <c r="K210" i="3"/>
  <c r="K175" i="3"/>
  <c r="K173" i="3"/>
  <c r="K171" i="3"/>
  <c r="K167" i="3"/>
  <c r="K151" i="3"/>
  <c r="K153" i="3"/>
  <c r="K155" i="3"/>
  <c r="K157" i="3"/>
  <c r="K131" i="3"/>
  <c r="K133" i="3"/>
  <c r="K135" i="3"/>
  <c r="K138" i="3"/>
  <c r="K140" i="3"/>
  <c r="I523" i="3"/>
  <c r="I538" i="3"/>
  <c r="I521" i="3"/>
  <c r="I524" i="3"/>
  <c r="I526" i="3"/>
  <c r="I528" i="3"/>
  <c r="I530" i="3"/>
  <c r="I506" i="3"/>
  <c r="I508" i="3"/>
  <c r="I510" i="3"/>
  <c r="I512" i="3"/>
  <c r="I516" i="3"/>
  <c r="I496" i="3"/>
  <c r="I497" i="3"/>
  <c r="I498" i="3"/>
  <c r="I418" i="3"/>
  <c r="I208" i="3"/>
  <c r="I525" i="3"/>
  <c r="I529" i="3"/>
  <c r="I507" i="3"/>
  <c r="I511" i="3"/>
  <c r="I420" i="3"/>
  <c r="I422" i="3"/>
  <c r="I424" i="3"/>
  <c r="I427" i="3"/>
  <c r="I200" i="3"/>
  <c r="I202" i="3"/>
  <c r="I204" i="3"/>
  <c r="I205" i="3"/>
  <c r="I207" i="3"/>
  <c r="I210" i="3"/>
  <c r="I193" i="3"/>
  <c r="I192" i="3"/>
  <c r="I191" i="3"/>
  <c r="I190" i="3"/>
  <c r="I189" i="3"/>
  <c r="I188" i="3"/>
  <c r="I187" i="3"/>
  <c r="I186" i="3"/>
  <c r="I185" i="3"/>
  <c r="I184" i="3"/>
  <c r="I183" i="3"/>
  <c r="I182" i="3"/>
  <c r="I181" i="3"/>
  <c r="I180" i="3"/>
  <c r="I179" i="3"/>
  <c r="I178" i="3"/>
  <c r="I177" i="3"/>
  <c r="I176" i="3"/>
  <c r="I174" i="3"/>
  <c r="I172" i="3"/>
  <c r="I166" i="3"/>
  <c r="I150" i="3"/>
  <c r="I152" i="3"/>
  <c r="I154" i="3"/>
  <c r="I156" i="3"/>
  <c r="I162" i="3"/>
  <c r="I132" i="3"/>
  <c r="I134" i="3"/>
  <c r="I136" i="3"/>
  <c r="I137" i="3"/>
  <c r="I139" i="3"/>
  <c r="G199" i="3"/>
  <c r="G542" i="3"/>
  <c r="G533" i="3"/>
  <c r="G522" i="3"/>
  <c r="G525" i="3"/>
  <c r="G527" i="3"/>
  <c r="G529" i="3"/>
  <c r="G505" i="3"/>
  <c r="G507" i="3"/>
  <c r="G509" i="3"/>
  <c r="G511" i="3"/>
  <c r="G513" i="3"/>
  <c r="G496" i="3"/>
  <c r="G497" i="3"/>
  <c r="G498" i="3"/>
  <c r="G501" i="3"/>
  <c r="G418" i="3"/>
  <c r="G526" i="3"/>
  <c r="G530" i="3"/>
  <c r="G508" i="3"/>
  <c r="G512" i="3"/>
  <c r="G420" i="3"/>
  <c r="G422" i="3"/>
  <c r="G424" i="3"/>
  <c r="G427" i="3"/>
  <c r="G200" i="3"/>
  <c r="G202" i="3"/>
  <c r="G204" i="3"/>
  <c r="G205" i="3"/>
  <c r="G207" i="3"/>
  <c r="G210" i="3"/>
  <c r="G175" i="3"/>
  <c r="G173" i="3"/>
  <c r="G171" i="3"/>
  <c r="G167" i="3"/>
  <c r="G151" i="3"/>
  <c r="G153" i="3"/>
  <c r="G155" i="3"/>
  <c r="G157" i="3"/>
  <c r="G131" i="3"/>
  <c r="G133" i="3"/>
  <c r="G135" i="3"/>
  <c r="G138" i="3"/>
  <c r="G140" i="3"/>
  <c r="E177" i="3"/>
  <c r="E181" i="3"/>
  <c r="E185" i="3"/>
  <c r="E189" i="3"/>
  <c r="E193" i="3"/>
  <c r="E544" i="3"/>
  <c r="E538" i="3"/>
  <c r="E524" i="3"/>
  <c r="E526" i="3"/>
  <c r="E528" i="3"/>
  <c r="E530" i="3"/>
  <c r="E506" i="3"/>
  <c r="E508" i="3"/>
  <c r="E510" i="3"/>
  <c r="E512" i="3"/>
  <c r="E516" i="3"/>
  <c r="E496" i="3"/>
  <c r="E497" i="3"/>
  <c r="E498" i="3"/>
  <c r="E501" i="3"/>
  <c r="E418" i="3"/>
  <c r="E179" i="3"/>
  <c r="E187" i="3"/>
  <c r="E533" i="3"/>
  <c r="E522" i="3"/>
  <c r="E527" i="3"/>
  <c r="E505" i="3"/>
  <c r="E509" i="3"/>
  <c r="E513" i="3"/>
  <c r="E420" i="3"/>
  <c r="E422" i="3"/>
  <c r="E424" i="3"/>
  <c r="E427" i="3"/>
  <c r="E200" i="3"/>
  <c r="E202" i="3"/>
  <c r="E204" i="3"/>
  <c r="E205" i="3"/>
  <c r="E207" i="3"/>
  <c r="E210" i="3"/>
  <c r="E176" i="3"/>
  <c r="E174" i="3"/>
  <c r="E172" i="3"/>
  <c r="E166" i="3"/>
  <c r="E150" i="3"/>
  <c r="E152" i="3"/>
  <c r="E154" i="3"/>
  <c r="E156" i="3"/>
  <c r="E132" i="3"/>
  <c r="E134" i="3"/>
  <c r="E136" i="3"/>
  <c r="E137" i="3"/>
  <c r="E139" i="3"/>
  <c r="E141" i="3"/>
  <c r="M126" i="3"/>
  <c r="E385" i="7" s="1"/>
  <c r="U366" i="3"/>
  <c r="S368" i="3"/>
  <c r="Q370" i="3"/>
  <c r="U370" i="3"/>
  <c r="O372" i="3"/>
  <c r="S372" i="3"/>
  <c r="M374" i="3"/>
  <c r="Q374" i="3"/>
  <c r="U374" i="3"/>
  <c r="K376" i="3"/>
  <c r="O376" i="3"/>
  <c r="S376" i="3"/>
  <c r="I377" i="3"/>
  <c r="Q377" i="3"/>
  <c r="I378" i="3"/>
  <c r="M378" i="3"/>
  <c r="Q378" i="3"/>
  <c r="U378" i="3"/>
  <c r="G379" i="3"/>
  <c r="K379" i="3"/>
  <c r="G385" i="3"/>
  <c r="K385" i="3"/>
  <c r="E386" i="3"/>
  <c r="I386" i="3"/>
  <c r="M386" i="3"/>
  <c r="Q386" i="3"/>
  <c r="U386" i="3"/>
  <c r="G387" i="3"/>
  <c r="K387" i="3"/>
  <c r="E388" i="3"/>
  <c r="I388" i="3"/>
  <c r="M388" i="3"/>
  <c r="Q388" i="3"/>
  <c r="U388" i="3"/>
  <c r="G389" i="3"/>
  <c r="K389" i="3"/>
  <c r="E390" i="3"/>
  <c r="I390" i="3"/>
  <c r="M390" i="3"/>
  <c r="Q390" i="3"/>
  <c r="U390" i="3"/>
  <c r="G391" i="3"/>
  <c r="K391" i="3"/>
  <c r="E392" i="3"/>
  <c r="I392" i="3"/>
  <c r="M392" i="3"/>
  <c r="Q392" i="3"/>
  <c r="U392" i="3"/>
  <c r="G393" i="3"/>
  <c r="K393" i="3"/>
  <c r="E394" i="3"/>
  <c r="I394" i="3"/>
  <c r="M394" i="3"/>
  <c r="Q394" i="3"/>
  <c r="U394" i="3"/>
  <c r="G395" i="3"/>
  <c r="K395" i="3"/>
  <c r="E396" i="3"/>
  <c r="I396" i="3"/>
  <c r="M396" i="3"/>
  <c r="Q396" i="3"/>
  <c r="U396" i="3"/>
  <c r="G397" i="3"/>
  <c r="K397" i="3"/>
  <c r="E398" i="3"/>
  <c r="I398" i="3"/>
  <c r="M398" i="3"/>
  <c r="Q398" i="3"/>
  <c r="U398" i="3"/>
  <c r="G399" i="3"/>
  <c r="K399" i="3"/>
  <c r="E400" i="3"/>
  <c r="I400" i="3"/>
  <c r="M400" i="3"/>
  <c r="Q400" i="3"/>
  <c r="U400" i="3"/>
  <c r="G404" i="3"/>
  <c r="K404" i="3"/>
  <c r="O404" i="3"/>
  <c r="S404" i="3"/>
  <c r="E405" i="3"/>
  <c r="I405" i="3"/>
  <c r="E406" i="3"/>
  <c r="I406" i="3"/>
  <c r="M406" i="3"/>
  <c r="Q406" i="3"/>
  <c r="U406" i="3"/>
  <c r="G407" i="3"/>
  <c r="K407" i="3"/>
  <c r="G408" i="3"/>
  <c r="K408" i="3"/>
  <c r="O408" i="3"/>
  <c r="S408" i="3"/>
  <c r="E409" i="3"/>
  <c r="I409" i="3"/>
  <c r="Q409" i="3"/>
  <c r="E410" i="3"/>
  <c r="I410" i="3"/>
  <c r="M410" i="3"/>
  <c r="Q410" i="3"/>
  <c r="U410" i="3"/>
  <c r="G411" i="3"/>
  <c r="K411" i="3"/>
  <c r="O411" i="3"/>
  <c r="G412" i="3"/>
  <c r="K412" i="3"/>
  <c r="O412" i="3"/>
  <c r="S412" i="3"/>
  <c r="E413" i="3"/>
  <c r="I413" i="3"/>
  <c r="E414" i="3"/>
  <c r="I414" i="3"/>
  <c r="M414" i="3"/>
  <c r="Q414" i="3"/>
  <c r="U414" i="3"/>
  <c r="G435" i="3"/>
  <c r="K435" i="3"/>
  <c r="O435" i="3"/>
  <c r="S435" i="3"/>
  <c r="E436" i="3"/>
  <c r="I436" i="3"/>
  <c r="E437" i="3"/>
  <c r="I437" i="3"/>
  <c r="M437" i="3"/>
  <c r="Q437" i="3"/>
  <c r="G438" i="3"/>
  <c r="K438" i="3"/>
  <c r="O438" i="3"/>
  <c r="G439" i="3"/>
  <c r="K439" i="3"/>
  <c r="O439" i="3"/>
  <c r="S439" i="3"/>
  <c r="E440" i="3"/>
  <c r="I440" i="3"/>
  <c r="E441" i="3"/>
  <c r="I441" i="3"/>
  <c r="M441" i="3"/>
  <c r="Q441" i="3"/>
  <c r="G442" i="3"/>
  <c r="K442" i="3"/>
  <c r="G446" i="3"/>
  <c r="K446" i="3"/>
  <c r="O446" i="3"/>
  <c r="G447" i="3"/>
  <c r="K447" i="3"/>
  <c r="O447" i="3"/>
  <c r="S447" i="3"/>
  <c r="E448" i="3"/>
  <c r="I448" i="3"/>
  <c r="E449" i="3"/>
  <c r="I449" i="3"/>
  <c r="M449" i="3"/>
  <c r="Q449" i="3"/>
  <c r="U449" i="3"/>
  <c r="G450" i="3"/>
  <c r="K450" i="3"/>
  <c r="E451" i="3"/>
  <c r="I451" i="3"/>
  <c r="M451" i="3"/>
  <c r="Q451" i="3"/>
  <c r="E452" i="3"/>
  <c r="I452" i="3"/>
  <c r="G453" i="3"/>
  <c r="K453" i="3"/>
  <c r="O453" i="3"/>
  <c r="S453" i="3"/>
  <c r="G457" i="3"/>
  <c r="K457" i="3"/>
  <c r="O457" i="3"/>
  <c r="S457" i="3"/>
  <c r="E458" i="3"/>
  <c r="I458" i="3"/>
  <c r="G459" i="3"/>
  <c r="K459" i="3"/>
  <c r="O459" i="3"/>
  <c r="S459" i="3"/>
  <c r="E460" i="3"/>
  <c r="I460" i="3"/>
  <c r="Q460" i="3"/>
  <c r="G461" i="3"/>
  <c r="K461" i="3"/>
  <c r="O461" i="3"/>
  <c r="S461" i="3"/>
  <c r="E463" i="3"/>
  <c r="I463" i="3"/>
  <c r="M463" i="3"/>
  <c r="Q463" i="3"/>
  <c r="E464" i="3"/>
  <c r="I464" i="3"/>
  <c r="G465" i="3"/>
  <c r="K465" i="3"/>
  <c r="O465" i="3"/>
  <c r="S465" i="3"/>
  <c r="G466" i="3"/>
  <c r="K466" i="3"/>
  <c r="O466" i="3"/>
  <c r="E467" i="3"/>
  <c r="I467" i="3"/>
  <c r="M467" i="3"/>
  <c r="Q467" i="3"/>
  <c r="E468" i="3"/>
  <c r="I468" i="3"/>
  <c r="G469" i="3"/>
  <c r="K469" i="3"/>
  <c r="O469" i="3"/>
  <c r="S469" i="3"/>
  <c r="G470" i="3"/>
  <c r="K470" i="3"/>
  <c r="E472" i="3"/>
  <c r="I472" i="3"/>
  <c r="M472" i="3"/>
  <c r="Q472" i="3"/>
  <c r="E473" i="3"/>
  <c r="I473" i="3"/>
  <c r="M473" i="3"/>
  <c r="Q478" i="3"/>
  <c r="M478" i="3"/>
  <c r="I478" i="3"/>
  <c r="E478" i="3"/>
  <c r="G479" i="3"/>
  <c r="K479" i="3"/>
  <c r="U124" i="3"/>
  <c r="Q124" i="3"/>
  <c r="M124" i="3"/>
  <c r="I124" i="3"/>
  <c r="E124" i="3"/>
  <c r="K121" i="3"/>
  <c r="G121" i="3"/>
  <c r="U120" i="3"/>
  <c r="Q120" i="3"/>
  <c r="M120" i="3"/>
  <c r="I120" i="3"/>
  <c r="E120" i="3"/>
  <c r="K119" i="3"/>
  <c r="G119" i="3"/>
  <c r="U118" i="3"/>
  <c r="Q118" i="3"/>
  <c r="M118" i="3"/>
  <c r="I118" i="3"/>
  <c r="E118" i="3"/>
  <c r="K117" i="3"/>
  <c r="G117" i="3"/>
  <c r="U116" i="3"/>
  <c r="Q116" i="3"/>
  <c r="M116" i="3"/>
  <c r="I116" i="3"/>
  <c r="E116" i="3"/>
  <c r="K115" i="3"/>
  <c r="G115" i="3"/>
  <c r="U114" i="3"/>
  <c r="Q114" i="3"/>
  <c r="M114" i="3"/>
  <c r="I114" i="3"/>
  <c r="E114" i="3"/>
  <c r="K113" i="3"/>
  <c r="G113" i="3"/>
  <c r="U111" i="3"/>
  <c r="Q111" i="3"/>
  <c r="M111" i="3"/>
  <c r="I111" i="3"/>
  <c r="E111" i="3"/>
  <c r="K110" i="3"/>
  <c r="G110" i="3"/>
  <c r="U146" i="3"/>
  <c r="Q146" i="3"/>
  <c r="M146" i="3"/>
  <c r="I146" i="3"/>
  <c r="E146" i="3"/>
  <c r="K145" i="3"/>
  <c r="G145" i="3"/>
  <c r="U144" i="3"/>
  <c r="Q144" i="3"/>
  <c r="M144" i="3"/>
  <c r="I144" i="3"/>
  <c r="E144" i="3"/>
  <c r="O143" i="3"/>
  <c r="K143" i="3"/>
  <c r="G143" i="3"/>
  <c r="U142" i="3"/>
  <c r="Q142" i="3"/>
  <c r="M142" i="3"/>
  <c r="I142" i="3"/>
  <c r="E142" i="3"/>
  <c r="O141" i="3"/>
  <c r="K141" i="3"/>
  <c r="G141" i="3"/>
  <c r="Q140" i="3"/>
  <c r="I140" i="3"/>
  <c r="K139" i="3"/>
  <c r="U138" i="3"/>
  <c r="M138" i="3"/>
  <c r="E138" i="3"/>
  <c r="G137" i="3"/>
  <c r="S136" i="3"/>
  <c r="K136" i="3"/>
  <c r="M135" i="3"/>
  <c r="E135" i="3"/>
  <c r="O134" i="3"/>
  <c r="G134" i="3"/>
  <c r="I133" i="3"/>
  <c r="S132" i="3"/>
  <c r="K132" i="3"/>
  <c r="M131" i="3"/>
  <c r="E131" i="3"/>
  <c r="G162" i="3"/>
  <c r="I157" i="3"/>
  <c r="S156" i="3"/>
  <c r="K156" i="3"/>
  <c r="M155" i="3"/>
  <c r="E155" i="3"/>
  <c r="O154" i="3"/>
  <c r="G154" i="3"/>
  <c r="I153" i="3"/>
  <c r="S152" i="3"/>
  <c r="K152" i="3"/>
  <c r="M151" i="3"/>
  <c r="E151" i="3"/>
  <c r="O150" i="3"/>
  <c r="G150" i="3"/>
  <c r="I167" i="3"/>
  <c r="S166" i="3"/>
  <c r="K166" i="3"/>
  <c r="E171" i="3"/>
  <c r="M171" i="3"/>
  <c r="K172" i="3"/>
  <c r="S172" i="3"/>
  <c r="I173" i="3"/>
  <c r="G174" i="3"/>
  <c r="O174" i="3"/>
  <c r="E175" i="3"/>
  <c r="M175" i="3"/>
  <c r="K176" i="3"/>
  <c r="S176" i="3"/>
  <c r="K177" i="3"/>
  <c r="K178" i="3"/>
  <c r="S178" i="3"/>
  <c r="K179" i="3"/>
  <c r="K180" i="3"/>
  <c r="S180" i="3"/>
  <c r="K181" i="3"/>
  <c r="K182" i="3"/>
  <c r="S182" i="3"/>
  <c r="K183" i="3"/>
  <c r="K184" i="3"/>
  <c r="S184" i="3"/>
  <c r="K185" i="3"/>
  <c r="K186" i="3"/>
  <c r="S186" i="3"/>
  <c r="K187" i="3"/>
  <c r="K188" i="3"/>
  <c r="S188" i="3"/>
  <c r="K189" i="3"/>
  <c r="K190" i="3"/>
  <c r="S190" i="3"/>
  <c r="K191" i="3"/>
  <c r="K192" i="3"/>
  <c r="S192" i="3"/>
  <c r="K193" i="3"/>
  <c r="O209" i="3"/>
  <c r="K209" i="3"/>
  <c r="I209" i="3"/>
  <c r="G209" i="3"/>
  <c r="E209" i="3"/>
  <c r="S206" i="3"/>
  <c r="Q206" i="3"/>
  <c r="O206" i="3"/>
  <c r="M206" i="3"/>
  <c r="K206" i="3"/>
  <c r="I206" i="3"/>
  <c r="G206" i="3"/>
  <c r="E206" i="3"/>
  <c r="M203" i="3"/>
  <c r="K203" i="3"/>
  <c r="I203" i="3"/>
  <c r="G203" i="3"/>
  <c r="E203" i="3"/>
  <c r="K201" i="3"/>
  <c r="I201" i="3"/>
  <c r="G201" i="3"/>
  <c r="E201" i="3"/>
  <c r="U428" i="3"/>
  <c r="S428" i="3"/>
  <c r="Q428" i="3"/>
  <c r="O428" i="3"/>
  <c r="M428" i="3"/>
  <c r="K428" i="3"/>
  <c r="I428" i="3"/>
  <c r="G428" i="3"/>
  <c r="E428" i="3"/>
  <c r="S426" i="3"/>
  <c r="Q426" i="3"/>
  <c r="O426" i="3"/>
  <c r="M426" i="3"/>
  <c r="K426" i="3"/>
  <c r="I426" i="3"/>
  <c r="G426" i="3"/>
  <c r="E426" i="3"/>
  <c r="K425" i="3"/>
  <c r="I425" i="3"/>
  <c r="G425" i="3"/>
  <c r="E425" i="3"/>
  <c r="Q421" i="3"/>
  <c r="K421" i="3"/>
  <c r="I421" i="3"/>
  <c r="G421" i="3"/>
  <c r="E421" i="3"/>
  <c r="Q513" i="3"/>
  <c r="S512" i="3"/>
  <c r="U511" i="3"/>
  <c r="E511" i="3"/>
  <c r="G510" i="3"/>
  <c r="I509" i="3"/>
  <c r="K508" i="3"/>
  <c r="M507" i="3"/>
  <c r="O506" i="3"/>
  <c r="Q505" i="3"/>
  <c r="S530" i="3"/>
  <c r="U529" i="3"/>
  <c r="E529" i="3"/>
  <c r="G528" i="3"/>
  <c r="I527" i="3"/>
  <c r="K526" i="3"/>
  <c r="M525" i="3"/>
  <c r="O524" i="3"/>
  <c r="Q522" i="3"/>
  <c r="S521" i="3"/>
  <c r="I533" i="3"/>
  <c r="G538" i="3"/>
  <c r="G545" i="3"/>
  <c r="K542" i="3"/>
  <c r="E183" i="3"/>
  <c r="M208" i="3"/>
  <c r="U523" i="3"/>
  <c r="U206" i="3"/>
  <c r="U469" i="3"/>
  <c r="U453" i="3"/>
  <c r="U345" i="3"/>
  <c r="U343" i="3"/>
  <c r="U341" i="3"/>
  <c r="U339" i="3"/>
  <c r="U337" i="3"/>
  <c r="U311" i="3"/>
  <c r="U303" i="3"/>
  <c r="U291" i="3"/>
  <c r="V328" i="1"/>
  <c r="V210" i="1"/>
  <c r="U478" i="3"/>
  <c r="V426" i="1"/>
  <c r="V208" i="1"/>
  <c r="J164" i="1"/>
  <c r="K164" i="3" s="1"/>
  <c r="E138" i="2"/>
  <c r="C156" i="2"/>
  <c r="E156" i="2" s="1"/>
  <c r="F150" i="2"/>
  <c r="G150" i="2" s="1"/>
  <c r="H150" i="2" s="1"/>
  <c r="D83" i="7" s="1"/>
  <c r="G83" i="7" s="1"/>
  <c r="F149" i="2"/>
  <c r="G149" i="2" s="1"/>
  <c r="H149" i="2" s="1"/>
  <c r="D82" i="7" s="1"/>
  <c r="G82" i="7" s="1"/>
  <c r="H98" i="3"/>
  <c r="T345" i="3"/>
  <c r="R113" i="3"/>
  <c r="N182" i="3"/>
  <c r="F156" i="3"/>
  <c r="N386" i="3"/>
  <c r="J435" i="3"/>
  <c r="G36" i="7"/>
  <c r="U208" i="3"/>
  <c r="U542" i="3"/>
  <c r="U545" i="3"/>
  <c r="U520" i="3"/>
  <c r="S523" i="3"/>
  <c r="S208" i="3"/>
  <c r="S544" i="3"/>
  <c r="S545" i="3"/>
  <c r="S520" i="3"/>
  <c r="Q542" i="3"/>
  <c r="Q545" i="3"/>
  <c r="Q520" i="3"/>
  <c r="O523" i="3"/>
  <c r="O199" i="3"/>
  <c r="O544" i="3"/>
  <c r="O545" i="3"/>
  <c r="O520" i="3"/>
  <c r="M199" i="3"/>
  <c r="M542" i="3"/>
  <c r="M545" i="3"/>
  <c r="M520" i="3"/>
  <c r="K523" i="3"/>
  <c r="K199" i="3"/>
  <c r="K544" i="3"/>
  <c r="K545" i="3"/>
  <c r="K520" i="3"/>
  <c r="I199" i="3"/>
  <c r="I542" i="3"/>
  <c r="I545" i="3"/>
  <c r="I520" i="3"/>
  <c r="G523" i="3"/>
  <c r="G208" i="3"/>
  <c r="G544" i="3"/>
  <c r="G520" i="3"/>
  <c r="G521" i="3"/>
  <c r="E208" i="3"/>
  <c r="E178" i="3"/>
  <c r="E180" i="3"/>
  <c r="E182" i="3"/>
  <c r="E184" i="3"/>
  <c r="E186" i="3"/>
  <c r="E188" i="3"/>
  <c r="E190" i="3"/>
  <c r="E192" i="3"/>
  <c r="E542" i="3"/>
  <c r="E545" i="3"/>
  <c r="E520" i="3"/>
  <c r="E521" i="3"/>
  <c r="P544" i="3"/>
  <c r="P25" i="1"/>
  <c r="Q25" i="3" s="1"/>
  <c r="L518" i="1"/>
  <c r="Y42" i="2" s="1"/>
  <c r="Y69" i="2" s="1"/>
  <c r="G477" i="1"/>
  <c r="R518" i="1"/>
  <c r="V62" i="2"/>
  <c r="V52" i="2"/>
  <c r="V79" i="2" s="1"/>
  <c r="L383" i="1"/>
  <c r="M383" i="3" s="1"/>
  <c r="L295" i="1"/>
  <c r="M295" i="3" s="1"/>
  <c r="H321" i="1"/>
  <c r="I321" i="3" s="1"/>
  <c r="L321" i="1"/>
  <c r="M321" i="3" s="1"/>
  <c r="H383" i="1"/>
  <c r="I383" i="3" s="1"/>
  <c r="H295" i="1"/>
  <c r="I295" i="3" s="1"/>
  <c r="G79" i="1"/>
  <c r="F477" i="1"/>
  <c r="G477" i="3" s="1"/>
  <c r="D477" i="1"/>
  <c r="I540" i="1"/>
  <c r="O169" i="1"/>
  <c r="F416" i="1"/>
  <c r="G416" i="3" s="1"/>
  <c r="S540" i="1"/>
  <c r="W49" i="2" s="1"/>
  <c r="W76" i="2" s="1"/>
  <c r="M540" i="1"/>
  <c r="H518" i="1"/>
  <c r="I518" i="3" s="1"/>
  <c r="O215" i="1"/>
  <c r="L477" i="1"/>
  <c r="L42" i="2" s="1"/>
  <c r="L69" i="2" s="1"/>
  <c r="J477" i="1"/>
  <c r="H477" i="1"/>
  <c r="L38" i="2" s="1"/>
  <c r="L65" i="2" s="1"/>
  <c r="F433" i="1"/>
  <c r="G433" i="3" s="1"/>
  <c r="E477" i="1"/>
  <c r="L35" i="2" s="1"/>
  <c r="L62" i="2" s="1"/>
  <c r="D164" i="1"/>
  <c r="E164" i="3" s="1"/>
  <c r="Q503" i="1"/>
  <c r="S47" i="2" s="1"/>
  <c r="S74" i="2" s="1"/>
  <c r="K540" i="1"/>
  <c r="W41" i="2" s="1"/>
  <c r="W68" i="2" s="1"/>
  <c r="D552" i="4"/>
  <c r="S277" i="1"/>
  <c r="P360" i="1"/>
  <c r="O433" i="1"/>
  <c r="M215" i="1"/>
  <c r="L63" i="1"/>
  <c r="K226" i="1"/>
  <c r="K169" i="1"/>
  <c r="J383" i="1"/>
  <c r="J295" i="1"/>
  <c r="J63" i="1"/>
  <c r="K63" i="3" s="1"/>
  <c r="I455" i="1"/>
  <c r="I277" i="1"/>
  <c r="I226" i="1"/>
  <c r="I169" i="1"/>
  <c r="I47" i="1"/>
  <c r="H63" i="1"/>
  <c r="I63" i="3" s="1"/>
  <c r="G444" i="1"/>
  <c r="G360" i="1"/>
  <c r="G25" i="1"/>
  <c r="F197" i="1"/>
  <c r="E402" i="1"/>
  <c r="E355" i="1"/>
  <c r="D383" i="1"/>
  <c r="E383" i="3" s="1"/>
  <c r="D295" i="1"/>
  <c r="D63" i="1"/>
  <c r="E63" i="3" s="1"/>
  <c r="U540" i="1"/>
  <c r="W51" i="2" s="1"/>
  <c r="W78" i="2" s="1"/>
  <c r="U494" i="1"/>
  <c r="T518" i="1"/>
  <c r="Y50" i="2" s="1"/>
  <c r="Y77" i="2" s="1"/>
  <c r="I494" i="1"/>
  <c r="R39" i="2" s="1"/>
  <c r="R66" i="2" s="1"/>
  <c r="G540" i="1"/>
  <c r="W37" i="2" s="1"/>
  <c r="G494" i="1"/>
  <c r="F518" i="1"/>
  <c r="Y36" i="2" s="1"/>
  <c r="Y63" i="2" s="1"/>
  <c r="E540" i="1"/>
  <c r="Q477" i="1"/>
  <c r="Q35" i="1"/>
  <c r="O197" i="1"/>
  <c r="O416" i="1"/>
  <c r="N383" i="1"/>
  <c r="O383" i="3" s="1"/>
  <c r="N164" i="1"/>
  <c r="O164" i="3" s="1"/>
  <c r="L164" i="1"/>
  <c r="M164" i="3" s="1"/>
  <c r="K277" i="1"/>
  <c r="K215" i="1"/>
  <c r="K129" i="1"/>
  <c r="K47" i="1"/>
  <c r="J321" i="1"/>
  <c r="K321" i="3" s="1"/>
  <c r="I215" i="1"/>
  <c r="I129" i="1"/>
  <c r="H164" i="1"/>
  <c r="I164" i="3" s="1"/>
  <c r="G402" i="1"/>
  <c r="G355" i="1"/>
  <c r="G10" i="1"/>
  <c r="F238" i="1"/>
  <c r="F108" i="1"/>
  <c r="G108" i="3" s="1"/>
  <c r="C379" i="7" s="1"/>
  <c r="F35" i="1"/>
  <c r="E444" i="1"/>
  <c r="E360" i="1"/>
  <c r="E335" i="1"/>
  <c r="E108" i="1"/>
  <c r="E35" i="1"/>
  <c r="D321" i="1"/>
  <c r="E321" i="3" s="1"/>
  <c r="S494" i="1"/>
  <c r="J518" i="1"/>
  <c r="K518" i="3" s="1"/>
  <c r="D518" i="1"/>
  <c r="K462" i="3"/>
  <c r="J455" i="1"/>
  <c r="K455" i="3" s="1"/>
  <c r="I462" i="3"/>
  <c r="H455" i="1"/>
  <c r="I455" i="3" s="1"/>
  <c r="G462" i="3"/>
  <c r="F455" i="1"/>
  <c r="G455" i="3" s="1"/>
  <c r="E455" i="1"/>
  <c r="E462" i="3"/>
  <c r="D455" i="1"/>
  <c r="E455" i="3" s="1"/>
  <c r="K455" i="1"/>
  <c r="G455" i="1"/>
  <c r="K494" i="1"/>
  <c r="D305" i="7" l="1"/>
  <c r="E458" i="7"/>
  <c r="F461" i="7"/>
  <c r="V461" i="1"/>
  <c r="V439" i="1"/>
  <c r="V418" i="1"/>
  <c r="V404" i="1"/>
  <c r="V370" i="1"/>
  <c r="V347" i="1"/>
  <c r="V345" i="1"/>
  <c r="V337" i="1"/>
  <c r="V311" i="1"/>
  <c r="V291" i="1"/>
  <c r="V285" i="1"/>
  <c r="V222" i="1"/>
  <c r="V180" i="1"/>
  <c r="V120" i="1"/>
  <c r="V259" i="1"/>
  <c r="U259" i="3"/>
  <c r="V315" i="1"/>
  <c r="V313" i="1"/>
  <c r="V309" i="1"/>
  <c r="V305" i="1"/>
  <c r="V287" i="1"/>
  <c r="V283" i="1"/>
  <c r="V278" i="1"/>
  <c r="V273" i="1"/>
  <c r="V271" i="1"/>
  <c r="V263" i="1"/>
  <c r="V255" i="1"/>
  <c r="V251" i="1"/>
  <c r="V247" i="1"/>
  <c r="V232" i="1"/>
  <c r="V228" i="1"/>
  <c r="V218" i="1"/>
  <c r="V182" i="1"/>
  <c r="V178" i="1"/>
  <c r="V174" i="1"/>
  <c r="V166" i="1"/>
  <c r="V162" i="1"/>
  <c r="V156" i="1"/>
  <c r="V154" i="1"/>
  <c r="V152" i="1"/>
  <c r="V150" i="1"/>
  <c r="V140" i="1"/>
  <c r="V136" i="1"/>
  <c r="V132" i="1"/>
  <c r="V130" i="1"/>
  <c r="V116" i="1"/>
  <c r="V111" i="1"/>
  <c r="V23" i="1"/>
  <c r="V17" i="1"/>
  <c r="V32" i="1"/>
  <c r="V28" i="1"/>
  <c r="V42" i="1"/>
  <c r="V38" i="1"/>
  <c r="V58" i="1"/>
  <c r="V52" i="1"/>
  <c r="V48" i="1"/>
  <c r="V76" i="1"/>
  <c r="V74" i="1"/>
  <c r="V68" i="1"/>
  <c r="V66" i="1"/>
  <c r="V64" i="1"/>
  <c r="V90" i="1"/>
  <c r="V88" i="1"/>
  <c r="V82" i="1"/>
  <c r="V412" i="1"/>
  <c r="V394" i="1"/>
  <c r="V378" i="1"/>
  <c r="V376" i="1"/>
  <c r="V368" i="1"/>
  <c r="V364" i="1"/>
  <c r="V362" i="1"/>
  <c r="V358" i="1"/>
  <c r="V356" i="1"/>
  <c r="V351" i="1"/>
  <c r="V349" i="1"/>
  <c r="V343" i="1"/>
  <c r="V341" i="1"/>
  <c r="V339" i="1"/>
  <c r="E503" i="1"/>
  <c r="U503" i="1"/>
  <c r="V503" i="3" s="1"/>
  <c r="T503" i="1"/>
  <c r="S50" i="2" s="1"/>
  <c r="S77" i="2" s="1"/>
  <c r="S503" i="1"/>
  <c r="S49" i="2" s="1"/>
  <c r="S76" i="2" s="1"/>
  <c r="R503" i="1"/>
  <c r="S48" i="2" s="1"/>
  <c r="S75" i="2" s="1"/>
  <c r="P503" i="1"/>
  <c r="S46" i="2" s="1"/>
  <c r="S73" i="2" s="1"/>
  <c r="O503" i="1"/>
  <c r="M503" i="1"/>
  <c r="N503" i="3" s="1"/>
  <c r="K503" i="1"/>
  <c r="J503" i="1"/>
  <c r="K503" i="3" s="1"/>
  <c r="H503" i="1"/>
  <c r="V514" i="3"/>
  <c r="V515" i="3"/>
  <c r="T514" i="3"/>
  <c r="T515" i="3"/>
  <c r="R514" i="3"/>
  <c r="R515" i="3"/>
  <c r="P514" i="3"/>
  <c r="P515" i="3"/>
  <c r="N514" i="3"/>
  <c r="N515" i="3"/>
  <c r="L514" i="3"/>
  <c r="L515" i="3"/>
  <c r="J514" i="3"/>
  <c r="J515" i="3"/>
  <c r="H514" i="3"/>
  <c r="H515" i="3"/>
  <c r="F514" i="3"/>
  <c r="F515" i="3"/>
  <c r="Q503" i="3"/>
  <c r="O516" i="3"/>
  <c r="M516" i="3"/>
  <c r="G516" i="3"/>
  <c r="U515" i="3"/>
  <c r="U514" i="3"/>
  <c r="S514" i="3"/>
  <c r="S515" i="3"/>
  <c r="Q515" i="3"/>
  <c r="Q514" i="3"/>
  <c r="O514" i="3"/>
  <c r="O515" i="3"/>
  <c r="M515" i="3"/>
  <c r="M514" i="3"/>
  <c r="K514" i="3"/>
  <c r="K515" i="3"/>
  <c r="I515" i="3"/>
  <c r="I514" i="3"/>
  <c r="G514" i="3"/>
  <c r="G515" i="3"/>
  <c r="E515" i="3"/>
  <c r="E514" i="3"/>
  <c r="K516" i="3"/>
  <c r="Q516" i="3"/>
  <c r="U516" i="3"/>
  <c r="V499" i="3"/>
  <c r="V500" i="3"/>
  <c r="T499" i="3"/>
  <c r="T500" i="3"/>
  <c r="R499" i="3"/>
  <c r="R500" i="3"/>
  <c r="P499" i="3"/>
  <c r="P500" i="3"/>
  <c r="N499" i="3"/>
  <c r="N500" i="3"/>
  <c r="L499" i="3"/>
  <c r="L500" i="3"/>
  <c r="J499" i="3"/>
  <c r="J500" i="3"/>
  <c r="H499" i="3"/>
  <c r="H500" i="3"/>
  <c r="F499" i="3"/>
  <c r="F500" i="3"/>
  <c r="N38" i="2"/>
  <c r="N65" i="2" s="1"/>
  <c r="U500" i="3"/>
  <c r="U499" i="3"/>
  <c r="S499" i="3"/>
  <c r="S500" i="3"/>
  <c r="Q500" i="3"/>
  <c r="Q499" i="3"/>
  <c r="O499" i="3"/>
  <c r="O500" i="3"/>
  <c r="M500" i="3"/>
  <c r="M499" i="3"/>
  <c r="K499" i="3"/>
  <c r="K500" i="3"/>
  <c r="I500" i="3"/>
  <c r="I499" i="3"/>
  <c r="G499" i="3"/>
  <c r="G500" i="3"/>
  <c r="E500" i="3"/>
  <c r="E499" i="3"/>
  <c r="R494" i="1"/>
  <c r="S494" i="3" s="1"/>
  <c r="Q494" i="1"/>
  <c r="Q501" i="3"/>
  <c r="N494" i="1"/>
  <c r="O494" i="3" s="1"/>
  <c r="M494" i="1"/>
  <c r="R43" i="2" s="1"/>
  <c r="L494" i="1"/>
  <c r="M494" i="3" s="1"/>
  <c r="J494" i="1"/>
  <c r="R40" i="2" s="1"/>
  <c r="R67" i="2" s="1"/>
  <c r="H494" i="1"/>
  <c r="F494" i="1"/>
  <c r="R36" i="2" s="1"/>
  <c r="E494" i="1"/>
  <c r="D494" i="1"/>
  <c r="D492" i="1" s="1"/>
  <c r="I501" i="3"/>
  <c r="S501" i="3"/>
  <c r="I335" i="1"/>
  <c r="H335" i="1"/>
  <c r="I335" i="3" s="1"/>
  <c r="G335" i="1"/>
  <c r="D335" i="1"/>
  <c r="E335" i="3" s="1"/>
  <c r="V352" i="3"/>
  <c r="V471" i="3"/>
  <c r="T352" i="3"/>
  <c r="T471" i="3"/>
  <c r="R352" i="3"/>
  <c r="R471" i="3"/>
  <c r="P352" i="3"/>
  <c r="P471" i="3"/>
  <c r="N352" i="3"/>
  <c r="N471" i="3"/>
  <c r="L352" i="3"/>
  <c r="L471" i="3"/>
  <c r="J352" i="3"/>
  <c r="J471" i="3"/>
  <c r="H352" i="3"/>
  <c r="H471" i="3"/>
  <c r="F352" i="3"/>
  <c r="F471" i="3"/>
  <c r="U352" i="3"/>
  <c r="U471" i="3"/>
  <c r="S352" i="3"/>
  <c r="S471" i="3"/>
  <c r="Q352" i="3"/>
  <c r="Q471" i="3"/>
  <c r="O352" i="3"/>
  <c r="O471" i="3"/>
  <c r="M352" i="3"/>
  <c r="M471" i="3"/>
  <c r="K352" i="3"/>
  <c r="K471" i="3"/>
  <c r="I352" i="3"/>
  <c r="I471" i="3"/>
  <c r="G352" i="3"/>
  <c r="G471" i="3"/>
  <c r="E352" i="3"/>
  <c r="E471" i="3"/>
  <c r="U335" i="1"/>
  <c r="K353" i="3"/>
  <c r="E353" i="3"/>
  <c r="V316" i="3"/>
  <c r="V317" i="3"/>
  <c r="U317" i="3"/>
  <c r="U316" i="3"/>
  <c r="T316" i="3"/>
  <c r="T317" i="3"/>
  <c r="S316" i="3"/>
  <c r="S317" i="3"/>
  <c r="R316" i="3"/>
  <c r="R317" i="3"/>
  <c r="Q317" i="3"/>
  <c r="Q316" i="3"/>
  <c r="P316" i="3"/>
  <c r="P317" i="3"/>
  <c r="O316" i="3"/>
  <c r="O317" i="3"/>
  <c r="N316" i="3"/>
  <c r="N317" i="3"/>
  <c r="M317" i="3"/>
  <c r="M316" i="3"/>
  <c r="L316" i="3"/>
  <c r="L317" i="3"/>
  <c r="K316" i="3"/>
  <c r="K317" i="3"/>
  <c r="J316" i="3"/>
  <c r="J317" i="3"/>
  <c r="I317" i="3"/>
  <c r="I316" i="3"/>
  <c r="H316" i="3"/>
  <c r="H317" i="3"/>
  <c r="G316" i="3"/>
  <c r="G317" i="3"/>
  <c r="F316" i="3"/>
  <c r="F317" i="3"/>
  <c r="E317" i="3"/>
  <c r="E316" i="3"/>
  <c r="V274" i="3"/>
  <c r="V282" i="3"/>
  <c r="T274" i="3"/>
  <c r="T282" i="3"/>
  <c r="R274" i="3"/>
  <c r="R282" i="3"/>
  <c r="P274" i="3"/>
  <c r="P282" i="3"/>
  <c r="N274" i="3"/>
  <c r="N282" i="3"/>
  <c r="L274" i="3"/>
  <c r="L282" i="3"/>
  <c r="J274" i="3"/>
  <c r="J282" i="3"/>
  <c r="H274" i="3"/>
  <c r="H282" i="3"/>
  <c r="F274" i="3"/>
  <c r="F282" i="3"/>
  <c r="U274" i="3"/>
  <c r="U282" i="3"/>
  <c r="S274" i="3"/>
  <c r="S282" i="3"/>
  <c r="Q274" i="3"/>
  <c r="Q282" i="3"/>
  <c r="O274" i="3"/>
  <c r="O282" i="3"/>
  <c r="M274" i="3"/>
  <c r="M282" i="3"/>
  <c r="K274" i="3"/>
  <c r="K282" i="3"/>
  <c r="I274" i="3"/>
  <c r="I282" i="3"/>
  <c r="G274" i="3"/>
  <c r="G282" i="3"/>
  <c r="E274" i="3"/>
  <c r="E282" i="3"/>
  <c r="V123" i="3"/>
  <c r="V158" i="3"/>
  <c r="V160" i="3"/>
  <c r="V159" i="3"/>
  <c r="V161" i="3"/>
  <c r="T159" i="3"/>
  <c r="T161" i="3"/>
  <c r="T158" i="3"/>
  <c r="T160" i="3"/>
  <c r="R158" i="3"/>
  <c r="R160" i="3"/>
  <c r="R159" i="3"/>
  <c r="R161" i="3"/>
  <c r="P159" i="3"/>
  <c r="P161" i="3"/>
  <c r="P158" i="3"/>
  <c r="P160" i="3"/>
  <c r="N158" i="3"/>
  <c r="N160" i="3"/>
  <c r="N159" i="3"/>
  <c r="N161" i="3"/>
  <c r="L159" i="3"/>
  <c r="L161" i="3"/>
  <c r="L158" i="3"/>
  <c r="L160" i="3"/>
  <c r="J158" i="3"/>
  <c r="J160" i="3"/>
  <c r="J159" i="3"/>
  <c r="J161" i="3"/>
  <c r="H159" i="3"/>
  <c r="H161" i="3"/>
  <c r="H158" i="3"/>
  <c r="H160" i="3"/>
  <c r="F158" i="3"/>
  <c r="F160" i="3"/>
  <c r="F159" i="3"/>
  <c r="F161" i="3"/>
  <c r="U123" i="3"/>
  <c r="U158" i="3"/>
  <c r="U160" i="3"/>
  <c r="U159" i="3"/>
  <c r="U161" i="3"/>
  <c r="S123" i="3"/>
  <c r="S159" i="3"/>
  <c r="S161" i="3"/>
  <c r="S158" i="3"/>
  <c r="S160" i="3"/>
  <c r="Q123" i="3"/>
  <c r="Q158" i="3"/>
  <c r="Q160" i="3"/>
  <c r="Q159" i="3"/>
  <c r="Q161" i="3"/>
  <c r="O123" i="3"/>
  <c r="O159" i="3"/>
  <c r="O161" i="3"/>
  <c r="O158" i="3"/>
  <c r="O160" i="3"/>
  <c r="M123" i="3"/>
  <c r="M158" i="3"/>
  <c r="M160" i="3"/>
  <c r="M159" i="3"/>
  <c r="M161" i="3"/>
  <c r="K123" i="3"/>
  <c r="K159" i="3"/>
  <c r="K161" i="3"/>
  <c r="K158" i="3"/>
  <c r="K160" i="3"/>
  <c r="I123" i="3"/>
  <c r="I158" i="3"/>
  <c r="I160" i="3"/>
  <c r="I159" i="3"/>
  <c r="I161" i="3"/>
  <c r="G123" i="3"/>
  <c r="G159" i="3"/>
  <c r="G161" i="3"/>
  <c r="G158" i="3"/>
  <c r="G160" i="3"/>
  <c r="E123" i="3"/>
  <c r="E158" i="3"/>
  <c r="E160" i="3"/>
  <c r="E159" i="3"/>
  <c r="E161" i="3"/>
  <c r="U162" i="3"/>
  <c r="Q162" i="3"/>
  <c r="O162" i="3"/>
  <c r="L148" i="1"/>
  <c r="M148" i="3" s="1"/>
  <c r="K162" i="3"/>
  <c r="H148" i="1"/>
  <c r="I148" i="3" s="1"/>
  <c r="G148" i="1"/>
  <c r="G195" i="1" s="1"/>
  <c r="F148" i="1"/>
  <c r="E148" i="1"/>
  <c r="F148" i="3" s="1"/>
  <c r="E162" i="3"/>
  <c r="D148" i="1"/>
  <c r="D195" i="1" s="1"/>
  <c r="J148" i="1"/>
  <c r="K148" i="3" s="1"/>
  <c r="N148" i="1"/>
  <c r="O148" i="3" s="1"/>
  <c r="T122" i="3"/>
  <c r="T123" i="3"/>
  <c r="R122" i="3"/>
  <c r="R123" i="3"/>
  <c r="P122" i="3"/>
  <c r="P123" i="3"/>
  <c r="N122" i="3"/>
  <c r="N123" i="3"/>
  <c r="L122" i="3"/>
  <c r="L123" i="3"/>
  <c r="J122" i="3"/>
  <c r="J123" i="3"/>
  <c r="H122" i="3"/>
  <c r="H123" i="3"/>
  <c r="F122" i="3"/>
  <c r="F123" i="3"/>
  <c r="V112" i="3"/>
  <c r="V122" i="3"/>
  <c r="U112" i="3"/>
  <c r="U122" i="3"/>
  <c r="S112" i="3"/>
  <c r="S122" i="3"/>
  <c r="Q112" i="3"/>
  <c r="Q122" i="3"/>
  <c r="O112" i="3"/>
  <c r="O122" i="3"/>
  <c r="M112" i="3"/>
  <c r="M122" i="3"/>
  <c r="K112" i="3"/>
  <c r="K122" i="3"/>
  <c r="I112" i="3"/>
  <c r="I122" i="3"/>
  <c r="G112" i="3"/>
  <c r="G122" i="3"/>
  <c r="E112" i="3"/>
  <c r="E122" i="3"/>
  <c r="T99" i="3"/>
  <c r="T112" i="3"/>
  <c r="R99" i="3"/>
  <c r="R112" i="3"/>
  <c r="P99" i="3"/>
  <c r="P112" i="3"/>
  <c r="N99" i="3"/>
  <c r="N112" i="3"/>
  <c r="L99" i="3"/>
  <c r="L112" i="3"/>
  <c r="J99" i="3"/>
  <c r="J112" i="3"/>
  <c r="H99" i="3"/>
  <c r="H112" i="3"/>
  <c r="F99" i="3"/>
  <c r="F112" i="3"/>
  <c r="V95" i="3"/>
  <c r="V99" i="3"/>
  <c r="K492" i="1"/>
  <c r="U95" i="3"/>
  <c r="U99" i="3"/>
  <c r="S95" i="3"/>
  <c r="S99" i="3"/>
  <c r="Q95" i="3"/>
  <c r="Q99" i="3"/>
  <c r="O95" i="3"/>
  <c r="O99" i="3"/>
  <c r="M95" i="3"/>
  <c r="M99" i="3"/>
  <c r="K95" i="3"/>
  <c r="K99" i="3"/>
  <c r="I95" i="3"/>
  <c r="I99" i="3"/>
  <c r="G95" i="3"/>
  <c r="G99" i="3"/>
  <c r="E95" i="3"/>
  <c r="E99" i="3"/>
  <c r="T54" i="3"/>
  <c r="T95" i="3"/>
  <c r="R54" i="3"/>
  <c r="R95" i="3"/>
  <c r="P54" i="3"/>
  <c r="P95" i="3"/>
  <c r="N54" i="3"/>
  <c r="N95" i="3"/>
  <c r="L54" i="3"/>
  <c r="L95" i="3"/>
  <c r="J54" i="3"/>
  <c r="J95" i="3"/>
  <c r="H54" i="3"/>
  <c r="H95" i="3"/>
  <c r="F54" i="3"/>
  <c r="F95" i="3"/>
  <c r="G94" i="3"/>
  <c r="V53" i="3"/>
  <c r="V54" i="3"/>
  <c r="U53" i="3"/>
  <c r="U54" i="3"/>
  <c r="S53" i="3"/>
  <c r="S54" i="3"/>
  <c r="Q53" i="3"/>
  <c r="Q54" i="3"/>
  <c r="O53" i="3"/>
  <c r="O54" i="3"/>
  <c r="M53" i="3"/>
  <c r="M54" i="3"/>
  <c r="K53" i="3"/>
  <c r="K54" i="3"/>
  <c r="I53" i="3"/>
  <c r="I54" i="3"/>
  <c r="G53" i="3"/>
  <c r="G54" i="3"/>
  <c r="E53" i="3"/>
  <c r="E54" i="3"/>
  <c r="T15" i="3"/>
  <c r="T53" i="3"/>
  <c r="R208" i="3"/>
  <c r="R53" i="3"/>
  <c r="P53" i="3"/>
  <c r="N22" i="3"/>
  <c r="N53" i="3"/>
  <c r="L119" i="3"/>
  <c r="L53" i="3"/>
  <c r="J60" i="3"/>
  <c r="J53" i="3"/>
  <c r="H117" i="3"/>
  <c r="H53" i="3"/>
  <c r="F230" i="3"/>
  <c r="F53" i="3"/>
  <c r="G540" i="3"/>
  <c r="O492" i="1"/>
  <c r="P492" i="3" s="1"/>
  <c r="G213" i="1"/>
  <c r="E37" i="2" s="1"/>
  <c r="E64" i="2" s="1"/>
  <c r="U211" i="3"/>
  <c r="U203" i="3"/>
  <c r="T477" i="1"/>
  <c r="L50" i="2" s="1"/>
  <c r="L77" i="2" s="1"/>
  <c r="U452" i="3"/>
  <c r="U450" i="3"/>
  <c r="U446" i="3"/>
  <c r="U436" i="3"/>
  <c r="U425" i="3"/>
  <c r="U419" i="3"/>
  <c r="U407" i="3"/>
  <c r="U399" i="3"/>
  <c r="U375" i="3"/>
  <c r="U367" i="3"/>
  <c r="U342" i="3"/>
  <c r="U329" i="3"/>
  <c r="U312" i="3"/>
  <c r="U306" i="3"/>
  <c r="U284" i="3"/>
  <c r="U272" i="3"/>
  <c r="U264" i="3"/>
  <c r="U256" i="3"/>
  <c r="U248" i="3"/>
  <c r="U240" i="3"/>
  <c r="U229" i="3"/>
  <c r="U227" i="3"/>
  <c r="U221" i="3"/>
  <c r="U173" i="3"/>
  <c r="U165" i="3"/>
  <c r="U155" i="3"/>
  <c r="U149" i="3"/>
  <c r="U143" i="3"/>
  <c r="U113" i="3"/>
  <c r="U16" i="3"/>
  <c r="U45" i="3"/>
  <c r="U43" i="3"/>
  <c r="U41" i="3"/>
  <c r="U39" i="3"/>
  <c r="U37" i="3"/>
  <c r="U75" i="3"/>
  <c r="Q93" i="1"/>
  <c r="R93" i="3" s="1"/>
  <c r="K93" i="1"/>
  <c r="L93" i="3" s="1"/>
  <c r="I93" i="1"/>
  <c r="I8" i="1" s="1"/>
  <c r="F93" i="1"/>
  <c r="G93" i="3" s="1"/>
  <c r="T523" i="3"/>
  <c r="H79" i="3"/>
  <c r="P503" i="3"/>
  <c r="V335" i="3"/>
  <c r="H451" i="3"/>
  <c r="L399" i="3"/>
  <c r="F369" i="3"/>
  <c r="J190" i="3"/>
  <c r="P136" i="3"/>
  <c r="T176" i="3"/>
  <c r="T72" i="3"/>
  <c r="P126" i="3"/>
  <c r="E388" i="7" s="1"/>
  <c r="S209" i="3"/>
  <c r="S207" i="3"/>
  <c r="S201" i="3"/>
  <c r="S456" i="3"/>
  <c r="S395" i="3"/>
  <c r="S387" i="3"/>
  <c r="S357" i="3"/>
  <c r="S353" i="3"/>
  <c r="S348" i="3"/>
  <c r="S344" i="3"/>
  <c r="S331" i="3"/>
  <c r="S298" i="3"/>
  <c r="S286" i="3"/>
  <c r="S281" i="3"/>
  <c r="S266" i="3"/>
  <c r="S233" i="3"/>
  <c r="S219" i="3"/>
  <c r="S177" i="3"/>
  <c r="S175" i="3"/>
  <c r="S173" i="3"/>
  <c r="S171" i="3"/>
  <c r="S167" i="3"/>
  <c r="S157" i="3"/>
  <c r="S153" i="3"/>
  <c r="S151" i="3"/>
  <c r="S145" i="3"/>
  <c r="S143" i="3"/>
  <c r="S141" i="3"/>
  <c r="S139" i="3"/>
  <c r="S137" i="3"/>
  <c r="S135" i="3"/>
  <c r="S133" i="3"/>
  <c r="S131" i="3"/>
  <c r="S119" i="3"/>
  <c r="S117" i="3"/>
  <c r="S115" i="3"/>
  <c r="S113" i="3"/>
  <c r="S110" i="3"/>
  <c r="S20" i="3"/>
  <c r="S16" i="3"/>
  <c r="S14" i="3"/>
  <c r="S12" i="3"/>
  <c r="S33" i="3"/>
  <c r="S31" i="3"/>
  <c r="S29" i="3"/>
  <c r="S27" i="3"/>
  <c r="S45" i="3"/>
  <c r="S43" i="3"/>
  <c r="S41" i="3"/>
  <c r="S39" i="3"/>
  <c r="S61" i="3"/>
  <c r="S59" i="3"/>
  <c r="S55" i="3"/>
  <c r="S51" i="3"/>
  <c r="S49" i="3"/>
  <c r="S77" i="3"/>
  <c r="S75" i="3"/>
  <c r="S73" i="3"/>
  <c r="S71" i="3"/>
  <c r="S67" i="3"/>
  <c r="Q211" i="3"/>
  <c r="Q209" i="3"/>
  <c r="Q207" i="3"/>
  <c r="Q205" i="3"/>
  <c r="Q203" i="3"/>
  <c r="Q201" i="3"/>
  <c r="Q473" i="3"/>
  <c r="Q468" i="3"/>
  <c r="L36" i="2"/>
  <c r="L63" i="2" s="1"/>
  <c r="T440" i="3"/>
  <c r="S47" i="1"/>
  <c r="T47" i="3" s="1"/>
  <c r="R383" i="1"/>
  <c r="S383" i="3" s="1"/>
  <c r="R436" i="3"/>
  <c r="Q238" i="1"/>
  <c r="F47" i="2" s="1"/>
  <c r="F74" i="2" s="1"/>
  <c r="Q466" i="3"/>
  <c r="Q464" i="3"/>
  <c r="Q462" i="3"/>
  <c r="Q458" i="3"/>
  <c r="Q456" i="3"/>
  <c r="Q452" i="3"/>
  <c r="Q448" i="3"/>
  <c r="Q446" i="3"/>
  <c r="Q442" i="3"/>
  <c r="Q440" i="3"/>
  <c r="Q436" i="3"/>
  <c r="Q434" i="3"/>
  <c r="Q427" i="3"/>
  <c r="Q425" i="3"/>
  <c r="Q423" i="3"/>
  <c r="Q419" i="3"/>
  <c r="Q413" i="3"/>
  <c r="Q407" i="3"/>
  <c r="Q405" i="3"/>
  <c r="Q403" i="3"/>
  <c r="Q399" i="3"/>
  <c r="Q397" i="3"/>
  <c r="Q395" i="3"/>
  <c r="Q393" i="3"/>
  <c r="Q391" i="3"/>
  <c r="Q389" i="3"/>
  <c r="Q387" i="3"/>
  <c r="Q379" i="3"/>
  <c r="Q375" i="3"/>
  <c r="Q373" i="3"/>
  <c r="Q371" i="3"/>
  <c r="Q369" i="3"/>
  <c r="Q367" i="3"/>
  <c r="Q365" i="3"/>
  <c r="Q363" i="3"/>
  <c r="Q361" i="3"/>
  <c r="Q357" i="3"/>
  <c r="Q353" i="3"/>
  <c r="Q350" i="3"/>
  <c r="Q348" i="3"/>
  <c r="Q346" i="3"/>
  <c r="Q344" i="3"/>
  <c r="Q342" i="3"/>
  <c r="Q340" i="3"/>
  <c r="Q338" i="3"/>
  <c r="M540" i="3"/>
  <c r="K197" i="3"/>
  <c r="G383" i="7" s="1"/>
  <c r="L460" i="3"/>
  <c r="N441" i="3"/>
  <c r="F409" i="3"/>
  <c r="H393" i="3"/>
  <c r="J375" i="3"/>
  <c r="F361" i="3"/>
  <c r="H157" i="3"/>
  <c r="L190" i="3"/>
  <c r="P393" i="3"/>
  <c r="R376" i="3"/>
  <c r="T370" i="3"/>
  <c r="J353" i="3"/>
  <c r="F90" i="3"/>
  <c r="F532" i="3"/>
  <c r="L32" i="3"/>
  <c r="R325" i="3"/>
  <c r="K238" i="3"/>
  <c r="Q336" i="3"/>
  <c r="Q332" i="3"/>
  <c r="Q331" i="3"/>
  <c r="Q329" i="3"/>
  <c r="Q327" i="3"/>
  <c r="Q325" i="3"/>
  <c r="Q318" i="3"/>
  <c r="Q314" i="3"/>
  <c r="Q310" i="3"/>
  <c r="Q308" i="3"/>
  <c r="Q306" i="3"/>
  <c r="Q304" i="3"/>
  <c r="Q302" i="3"/>
  <c r="Q300" i="3"/>
  <c r="Q298" i="3"/>
  <c r="Q290" i="3"/>
  <c r="Q288" i="3"/>
  <c r="Q286" i="3"/>
  <c r="Q284" i="3"/>
  <c r="Q281" i="3"/>
  <c r="Q275" i="3"/>
  <c r="Q272" i="3"/>
  <c r="Q270" i="3"/>
  <c r="Q268" i="3"/>
  <c r="Q266" i="3"/>
  <c r="Q264" i="3"/>
  <c r="Q262" i="3"/>
  <c r="Q260" i="3"/>
  <c r="Q258" i="3"/>
  <c r="Q256" i="3"/>
  <c r="Q254" i="3"/>
  <c r="Q252" i="3"/>
  <c r="Q250" i="3"/>
  <c r="Q248" i="3"/>
  <c r="Q246" i="3"/>
  <c r="Q242" i="3"/>
  <c r="Q235" i="3"/>
  <c r="Q233" i="3"/>
  <c r="Q231" i="3"/>
  <c r="Q229" i="3"/>
  <c r="Q227" i="3"/>
  <c r="Q221" i="3"/>
  <c r="Q217" i="3"/>
  <c r="Q193" i="3"/>
  <c r="Q191" i="3"/>
  <c r="Q189" i="3"/>
  <c r="Q187" i="3"/>
  <c r="Q185" i="3"/>
  <c r="Q183" i="3"/>
  <c r="Q181" i="3"/>
  <c r="Q179" i="3"/>
  <c r="Q177" i="3"/>
  <c r="Q173" i="3"/>
  <c r="Q167" i="3"/>
  <c r="Q157" i="3"/>
  <c r="Q155" i="3"/>
  <c r="Q153" i="3"/>
  <c r="Q151" i="3"/>
  <c r="Q145" i="3"/>
  <c r="Q143" i="3"/>
  <c r="Q141" i="3"/>
  <c r="Q139" i="3"/>
  <c r="Q137" i="3"/>
  <c r="Q133" i="3"/>
  <c r="Q121" i="3"/>
  <c r="Q119" i="3"/>
  <c r="Q115" i="3"/>
  <c r="Q113" i="3"/>
  <c r="Q110" i="3"/>
  <c r="Q100" i="3"/>
  <c r="Q97" i="3"/>
  <c r="Q20" i="3"/>
  <c r="Q18" i="3"/>
  <c r="Q16" i="3"/>
  <c r="Q14" i="3"/>
  <c r="Q12" i="3"/>
  <c r="Q33" i="3"/>
  <c r="Q31" i="3"/>
  <c r="Q29" i="3"/>
  <c r="Q27" i="3"/>
  <c r="Q45" i="3"/>
  <c r="Q43" i="3"/>
  <c r="Q41" i="3"/>
  <c r="Q39" i="3"/>
  <c r="Q61" i="3"/>
  <c r="Q108" i="1"/>
  <c r="R108" i="3" s="1"/>
  <c r="C390" i="7" s="1"/>
  <c r="V395" i="3"/>
  <c r="S226" i="1"/>
  <c r="S129" i="1"/>
  <c r="T129" i="3" s="1"/>
  <c r="R79" i="1"/>
  <c r="Q197" i="1"/>
  <c r="N47" i="2" s="1"/>
  <c r="N74" i="2" s="1"/>
  <c r="Q433" i="1"/>
  <c r="Q416" i="1"/>
  <c r="R416" i="3" s="1"/>
  <c r="Q215" i="1"/>
  <c r="R215" i="3" s="1"/>
  <c r="M477" i="3"/>
  <c r="R25" i="1"/>
  <c r="S25" i="3" s="1"/>
  <c r="P355" i="1"/>
  <c r="Q355" i="3" s="1"/>
  <c r="R10" i="1"/>
  <c r="S10" i="3" s="1"/>
  <c r="F523" i="3"/>
  <c r="J186" i="3"/>
  <c r="J457" i="3"/>
  <c r="F448" i="3"/>
  <c r="L438" i="3"/>
  <c r="H412" i="3"/>
  <c r="N405" i="3"/>
  <c r="J396" i="3"/>
  <c r="F390" i="3"/>
  <c r="L378" i="3"/>
  <c r="H372" i="3"/>
  <c r="N365" i="3"/>
  <c r="F116" i="3"/>
  <c r="J119" i="3"/>
  <c r="N120" i="3"/>
  <c r="P314" i="3"/>
  <c r="P451" i="3"/>
  <c r="P545" i="3"/>
  <c r="R154" i="3"/>
  <c r="F342" i="3"/>
  <c r="N525" i="3"/>
  <c r="F268" i="3"/>
  <c r="J84" i="3"/>
  <c r="F39" i="3"/>
  <c r="V339" i="3"/>
  <c r="V153" i="3"/>
  <c r="T223" i="3"/>
  <c r="T170" i="3"/>
  <c r="T21" i="3"/>
  <c r="T66" i="3"/>
  <c r="T74" i="3"/>
  <c r="T208" i="3"/>
  <c r="T144" i="3"/>
  <c r="T458" i="3"/>
  <c r="T410" i="3"/>
  <c r="T388" i="3"/>
  <c r="T314" i="3"/>
  <c r="R33" i="3"/>
  <c r="R240" i="3"/>
  <c r="R57" i="3"/>
  <c r="R70" i="3"/>
  <c r="R353" i="3"/>
  <c r="R180" i="3"/>
  <c r="R176" i="3"/>
  <c r="R141" i="3"/>
  <c r="R121" i="3"/>
  <c r="R447" i="3"/>
  <c r="R408" i="3"/>
  <c r="R389" i="3"/>
  <c r="R368" i="3"/>
  <c r="P302" i="3"/>
  <c r="P94" i="3"/>
  <c r="P86" i="3"/>
  <c r="P348" i="3"/>
  <c r="P193" i="3"/>
  <c r="P166" i="3"/>
  <c r="P173" i="3"/>
  <c r="P144" i="3"/>
  <c r="P479" i="3"/>
  <c r="P440" i="3"/>
  <c r="P404" i="3"/>
  <c r="P385" i="3"/>
  <c r="P364" i="3"/>
  <c r="N307" i="3"/>
  <c r="N222" i="3"/>
  <c r="N344" i="3"/>
  <c r="N185" i="3"/>
  <c r="N152" i="3"/>
  <c r="N132" i="3"/>
  <c r="N111" i="3"/>
  <c r="N313" i="3"/>
  <c r="L313" i="3"/>
  <c r="L231" i="3"/>
  <c r="L340" i="3"/>
  <c r="L189" i="3"/>
  <c r="L151" i="3"/>
  <c r="L131" i="3"/>
  <c r="L110" i="3"/>
  <c r="L362" i="3"/>
  <c r="J417" i="3"/>
  <c r="J470" i="3"/>
  <c r="J281" i="3"/>
  <c r="J187" i="3"/>
  <c r="J151" i="3"/>
  <c r="J131" i="3"/>
  <c r="J110" i="3"/>
  <c r="J357" i="3"/>
  <c r="H332" i="3"/>
  <c r="H265" i="3"/>
  <c r="H48" i="3"/>
  <c r="H82" i="3"/>
  <c r="H91" i="3"/>
  <c r="H270" i="3"/>
  <c r="H521" i="3"/>
  <c r="H193" i="3"/>
  <c r="H167" i="3"/>
  <c r="H172" i="3"/>
  <c r="H145" i="3"/>
  <c r="F512" i="3"/>
  <c r="F254" i="3"/>
  <c r="F55" i="3"/>
  <c r="F296" i="3"/>
  <c r="F275" i="3"/>
  <c r="F266" i="3"/>
  <c r="F528" i="3"/>
  <c r="F193" i="3"/>
  <c r="F166" i="3"/>
  <c r="F173" i="3"/>
  <c r="F144" i="3"/>
  <c r="V473" i="3"/>
  <c r="F477" i="3"/>
  <c r="F402" i="3"/>
  <c r="H335" i="3"/>
  <c r="H444" i="3"/>
  <c r="J169" i="3"/>
  <c r="J277" i="3"/>
  <c r="L226" i="3"/>
  <c r="F213" i="1"/>
  <c r="J523" i="3"/>
  <c r="T542" i="3"/>
  <c r="L478" i="3"/>
  <c r="F459" i="3"/>
  <c r="N452" i="3"/>
  <c r="L449" i="3"/>
  <c r="J446" i="3"/>
  <c r="H440" i="3"/>
  <c r="F437" i="3"/>
  <c r="N413" i="3"/>
  <c r="L410" i="3"/>
  <c r="J407" i="3"/>
  <c r="H404" i="3"/>
  <c r="F398" i="3"/>
  <c r="N394" i="3"/>
  <c r="L391" i="3"/>
  <c r="J388" i="3"/>
  <c r="H385" i="3"/>
  <c r="F377" i="3"/>
  <c r="N373" i="3"/>
  <c r="L370" i="3"/>
  <c r="J367" i="3"/>
  <c r="H364" i="3"/>
  <c r="L318" i="3"/>
  <c r="F136" i="3"/>
  <c r="F533" i="3"/>
  <c r="H137" i="3"/>
  <c r="H533" i="3"/>
  <c r="J139" i="3"/>
  <c r="J192" i="3"/>
  <c r="L139" i="3"/>
  <c r="L192" i="3"/>
  <c r="N140" i="3"/>
  <c r="N188" i="3"/>
  <c r="P372" i="3"/>
  <c r="P412" i="3"/>
  <c r="P116" i="3"/>
  <c r="P156" i="3"/>
  <c r="R358" i="3"/>
  <c r="R397" i="3"/>
  <c r="R458" i="3"/>
  <c r="R133" i="3"/>
  <c r="R183" i="3"/>
  <c r="T396" i="3"/>
  <c r="T120" i="3"/>
  <c r="H347" i="3"/>
  <c r="L529" i="3"/>
  <c r="R333" i="3"/>
  <c r="V529" i="3"/>
  <c r="F272" i="3"/>
  <c r="T88" i="3"/>
  <c r="T76" i="3"/>
  <c r="T68" i="3"/>
  <c r="H13" i="3"/>
  <c r="F14" i="3"/>
  <c r="F311" i="3"/>
  <c r="H303" i="3"/>
  <c r="J244" i="3"/>
  <c r="L251" i="3"/>
  <c r="N257" i="3"/>
  <c r="P265" i="3"/>
  <c r="R285" i="3"/>
  <c r="T331" i="3"/>
  <c r="V179" i="3"/>
  <c r="T436" i="3"/>
  <c r="T246" i="3"/>
  <c r="T73" i="3"/>
  <c r="T65" i="3"/>
  <c r="R479" i="3"/>
  <c r="R440" i="3"/>
  <c r="R393" i="3"/>
  <c r="R385" i="3"/>
  <c r="R344" i="3"/>
  <c r="R314" i="3"/>
  <c r="R308" i="3"/>
  <c r="R256" i="3"/>
  <c r="R223" i="3"/>
  <c r="R191" i="3"/>
  <c r="R145" i="3"/>
  <c r="R137" i="3"/>
  <c r="R117" i="3"/>
  <c r="R100" i="3"/>
  <c r="R20" i="3"/>
  <c r="R77" i="3"/>
  <c r="R75" i="3"/>
  <c r="R71" i="3"/>
  <c r="R69" i="3"/>
  <c r="R67" i="3"/>
  <c r="R87" i="3"/>
  <c r="Q57" i="3"/>
  <c r="Q55" i="3"/>
  <c r="Q51" i="3"/>
  <c r="Q77" i="3"/>
  <c r="Q75" i="3"/>
  <c r="Q73" i="3"/>
  <c r="Q71" i="3"/>
  <c r="Q69" i="3"/>
  <c r="Q67" i="3"/>
  <c r="P79" i="1"/>
  <c r="Q79" i="3" s="1"/>
  <c r="O477" i="1"/>
  <c r="P477" i="3" s="1"/>
  <c r="P464" i="3"/>
  <c r="P458" i="3"/>
  <c r="P436" i="3"/>
  <c r="P397" i="3"/>
  <c r="P389" i="3"/>
  <c r="O355" i="1"/>
  <c r="P355" i="3" s="1"/>
  <c r="P340" i="3"/>
  <c r="P233" i="3"/>
  <c r="O226" i="1"/>
  <c r="P226" i="3" s="1"/>
  <c r="P185" i="3"/>
  <c r="O129" i="1"/>
  <c r="O93" i="1"/>
  <c r="P93" i="3" s="1"/>
  <c r="O47" i="1"/>
  <c r="O211" i="3"/>
  <c r="O207" i="3"/>
  <c r="O203" i="3"/>
  <c r="O201" i="3"/>
  <c r="N477" i="1"/>
  <c r="L44" i="2" s="1"/>
  <c r="L71" i="2" s="1"/>
  <c r="O473" i="3"/>
  <c r="O470" i="3"/>
  <c r="O468" i="3"/>
  <c r="O464" i="3"/>
  <c r="O462" i="3"/>
  <c r="O460" i="3"/>
  <c r="O458" i="3"/>
  <c r="O452" i="3"/>
  <c r="O450" i="3"/>
  <c r="O448" i="3"/>
  <c r="O442" i="3"/>
  <c r="O440" i="3"/>
  <c r="O436" i="3"/>
  <c r="O425" i="3"/>
  <c r="O423" i="3"/>
  <c r="O421" i="3"/>
  <c r="O419" i="3"/>
  <c r="O413" i="3"/>
  <c r="O409" i="3"/>
  <c r="O407" i="3"/>
  <c r="O405" i="3"/>
  <c r="O399" i="3"/>
  <c r="O397" i="3"/>
  <c r="O395" i="3"/>
  <c r="O393" i="3"/>
  <c r="O391" i="3"/>
  <c r="O389" i="3"/>
  <c r="O387" i="3"/>
  <c r="O385" i="3"/>
  <c r="O379" i="3"/>
  <c r="O377" i="3"/>
  <c r="O375" i="3"/>
  <c r="O373" i="3"/>
  <c r="O369" i="3"/>
  <c r="O367" i="3"/>
  <c r="O365" i="3"/>
  <c r="O353" i="3"/>
  <c r="O350" i="3"/>
  <c r="O348" i="3"/>
  <c r="O346" i="3"/>
  <c r="O344" i="3"/>
  <c r="O342" i="3"/>
  <c r="O340" i="3"/>
  <c r="O338" i="3"/>
  <c r="O332" i="3"/>
  <c r="O331" i="3"/>
  <c r="O329" i="3"/>
  <c r="O325" i="3"/>
  <c r="O323" i="3"/>
  <c r="O318" i="3"/>
  <c r="O314" i="3"/>
  <c r="O312" i="3"/>
  <c r="O308" i="3"/>
  <c r="O306" i="3"/>
  <c r="O304" i="3"/>
  <c r="O302" i="3"/>
  <c r="O300" i="3"/>
  <c r="O298" i="3"/>
  <c r="O296" i="3"/>
  <c r="O290" i="3"/>
  <c r="O288" i="3"/>
  <c r="O286" i="3"/>
  <c r="O284" i="3"/>
  <c r="O281" i="3"/>
  <c r="O279" i="3"/>
  <c r="O275" i="3"/>
  <c r="O272" i="3"/>
  <c r="O268" i="3"/>
  <c r="O266" i="3"/>
  <c r="O264" i="3"/>
  <c r="O260" i="3"/>
  <c r="O258" i="3"/>
  <c r="O256" i="3"/>
  <c r="O252" i="3"/>
  <c r="O248" i="3"/>
  <c r="O244" i="3"/>
  <c r="O242" i="3"/>
  <c r="O235" i="3"/>
  <c r="O233" i="3"/>
  <c r="O229" i="3"/>
  <c r="O223" i="3"/>
  <c r="O221" i="3"/>
  <c r="O219" i="3"/>
  <c r="O193" i="3"/>
  <c r="O191" i="3"/>
  <c r="O189" i="3"/>
  <c r="O187" i="3"/>
  <c r="O185" i="3"/>
  <c r="O181" i="3"/>
  <c r="O179" i="3"/>
  <c r="O177" i="3"/>
  <c r="O175" i="3"/>
  <c r="O167" i="3"/>
  <c r="O165" i="3"/>
  <c r="O157" i="3"/>
  <c r="O155" i="3"/>
  <c r="O151" i="3"/>
  <c r="O149" i="3"/>
  <c r="O145" i="3"/>
  <c r="O139" i="3"/>
  <c r="O137" i="3"/>
  <c r="O135" i="3"/>
  <c r="O121" i="3"/>
  <c r="O119" i="3"/>
  <c r="O117" i="3"/>
  <c r="O115" i="3"/>
  <c r="O113" i="3"/>
  <c r="O110" i="3"/>
  <c r="O100" i="3"/>
  <c r="O97" i="3"/>
  <c r="O94" i="3"/>
  <c r="O22" i="3"/>
  <c r="O20" i="3"/>
  <c r="O18" i="3"/>
  <c r="O16" i="3"/>
  <c r="O14" i="3"/>
  <c r="O33" i="3"/>
  <c r="O31" i="3"/>
  <c r="O29" i="3"/>
  <c r="O45" i="3"/>
  <c r="O43" i="3"/>
  <c r="O41" i="3"/>
  <c r="O39" i="3"/>
  <c r="O57" i="3"/>
  <c r="O55" i="3"/>
  <c r="O51" i="3"/>
  <c r="O77" i="3"/>
  <c r="O73" i="3"/>
  <c r="O71" i="3"/>
  <c r="O67" i="3"/>
  <c r="N63" i="1"/>
  <c r="O63" i="3" s="1"/>
  <c r="O91" i="3"/>
  <c r="O89" i="3"/>
  <c r="O87" i="3"/>
  <c r="O85" i="3"/>
  <c r="O83" i="3"/>
  <c r="N473" i="3"/>
  <c r="N448" i="3"/>
  <c r="N409" i="3"/>
  <c r="N377" i="3"/>
  <c r="N369" i="3"/>
  <c r="M355" i="1"/>
  <c r="N355" i="3" s="1"/>
  <c r="N353" i="3"/>
  <c r="N284" i="3"/>
  <c r="M277" i="1"/>
  <c r="G43" i="2" s="1"/>
  <c r="G70" i="2" s="1"/>
  <c r="M226" i="1"/>
  <c r="N226" i="3" s="1"/>
  <c r="N193" i="3"/>
  <c r="N173" i="3"/>
  <c r="M211" i="3"/>
  <c r="M209" i="3"/>
  <c r="M207" i="3"/>
  <c r="M205" i="3"/>
  <c r="M201" i="3"/>
  <c r="M479" i="3"/>
  <c r="M470" i="3"/>
  <c r="M468" i="3"/>
  <c r="M466" i="3"/>
  <c r="M464" i="3"/>
  <c r="M462" i="3"/>
  <c r="M460" i="3"/>
  <c r="M458" i="3"/>
  <c r="M452" i="3"/>
  <c r="M450" i="3"/>
  <c r="M448" i="3"/>
  <c r="M442" i="3"/>
  <c r="M440" i="3"/>
  <c r="M438" i="3"/>
  <c r="M436" i="3"/>
  <c r="M427" i="3"/>
  <c r="M425" i="3"/>
  <c r="M423" i="3"/>
  <c r="M421" i="3"/>
  <c r="M419" i="3"/>
  <c r="M417" i="3"/>
  <c r="M413" i="3"/>
  <c r="M411" i="3"/>
  <c r="M409" i="3"/>
  <c r="M407" i="3"/>
  <c r="M405" i="3"/>
  <c r="M397" i="3"/>
  <c r="M395" i="3"/>
  <c r="M391" i="3"/>
  <c r="M389" i="3"/>
  <c r="M387" i="3"/>
  <c r="M385" i="3"/>
  <c r="M379" i="3"/>
  <c r="M377" i="3"/>
  <c r="M375" i="3"/>
  <c r="M373" i="3"/>
  <c r="M371" i="3"/>
  <c r="M363" i="3"/>
  <c r="M353" i="3"/>
  <c r="M350" i="3"/>
  <c r="M348" i="3"/>
  <c r="M346" i="3"/>
  <c r="M344" i="3"/>
  <c r="M340" i="3"/>
  <c r="M338" i="3"/>
  <c r="M336" i="3"/>
  <c r="M332" i="3"/>
  <c r="M331" i="3"/>
  <c r="M329" i="3"/>
  <c r="M327" i="3"/>
  <c r="M325" i="3"/>
  <c r="M318" i="3"/>
  <c r="M314" i="3"/>
  <c r="M308" i="3"/>
  <c r="M304" i="3"/>
  <c r="M284" i="3"/>
  <c r="M268" i="3"/>
  <c r="M260" i="3"/>
  <c r="M219" i="3"/>
  <c r="L108" i="1"/>
  <c r="M108" i="3" s="1"/>
  <c r="L93" i="1"/>
  <c r="M93" i="3" s="1"/>
  <c r="M33" i="3"/>
  <c r="M31" i="3"/>
  <c r="M29" i="3"/>
  <c r="L47" i="1"/>
  <c r="M47" i="3" s="1"/>
  <c r="L79" i="1"/>
  <c r="M79" i="3" s="1"/>
  <c r="K444" i="1"/>
  <c r="L444" i="3" s="1"/>
  <c r="K433" i="1"/>
  <c r="L433" i="3" s="1"/>
  <c r="K94" i="3"/>
  <c r="H93" i="1"/>
  <c r="I93" i="3" s="1"/>
  <c r="G93" i="1"/>
  <c r="H93" i="3" s="1"/>
  <c r="E93" i="1"/>
  <c r="F93" i="3" s="1"/>
  <c r="D93" i="1"/>
  <c r="E93" i="3" s="1"/>
  <c r="E94" i="3"/>
  <c r="V399" i="3"/>
  <c r="V391" i="3"/>
  <c r="V387" i="3"/>
  <c r="V167" i="3"/>
  <c r="V157" i="3"/>
  <c r="T442" i="3"/>
  <c r="R93" i="1"/>
  <c r="S93" i="3" s="1"/>
  <c r="R332" i="3"/>
  <c r="Q164" i="1"/>
  <c r="R97" i="3"/>
  <c r="P477" i="1"/>
  <c r="L46" i="2" s="1"/>
  <c r="L73" i="2" s="1"/>
  <c r="Q479" i="3"/>
  <c r="Q417" i="3"/>
  <c r="P416" i="1"/>
  <c r="Q416" i="3" s="1"/>
  <c r="P277" i="1"/>
  <c r="G46" i="2" s="1"/>
  <c r="G73" i="2" s="1"/>
  <c r="Q279" i="3"/>
  <c r="P169" i="1"/>
  <c r="Q169" i="3" s="1"/>
  <c r="Q171" i="3"/>
  <c r="P164" i="1"/>
  <c r="Q164" i="3" s="1"/>
  <c r="Q165" i="3"/>
  <c r="P126" i="1"/>
  <c r="Q126" i="3" s="1"/>
  <c r="E389" i="7" s="1"/>
  <c r="Q127" i="3"/>
  <c r="P47" i="1"/>
  <c r="Q47" i="3" s="1"/>
  <c r="Q49" i="3"/>
  <c r="P473" i="3"/>
  <c r="O295" i="1"/>
  <c r="P295" i="3" s="1"/>
  <c r="P270" i="3"/>
  <c r="O148" i="1"/>
  <c r="P148" i="3" s="1"/>
  <c r="O10" i="1"/>
  <c r="P10" i="3" s="1"/>
  <c r="O25" i="1"/>
  <c r="P43" i="3"/>
  <c r="O35" i="1"/>
  <c r="O63" i="1"/>
  <c r="P63" i="3" s="1"/>
  <c r="P83" i="3"/>
  <c r="O79" i="1"/>
  <c r="N360" i="1"/>
  <c r="O360" i="3" s="1"/>
  <c r="O361" i="3"/>
  <c r="N335" i="1"/>
  <c r="O335" i="3" s="1"/>
  <c r="O336" i="3"/>
  <c r="N238" i="1"/>
  <c r="O240" i="3"/>
  <c r="N169" i="1"/>
  <c r="O169" i="3" s="1"/>
  <c r="O171" i="3"/>
  <c r="N126" i="1"/>
  <c r="O126" i="3" s="1"/>
  <c r="E387" i="7" s="1"/>
  <c r="O127" i="3"/>
  <c r="N47" i="1"/>
  <c r="O47" i="3" s="1"/>
  <c r="O49" i="3"/>
  <c r="N79" i="1"/>
  <c r="O79" i="3" s="1"/>
  <c r="O81" i="3"/>
  <c r="N464" i="3"/>
  <c r="M455" i="1"/>
  <c r="N455" i="3" s="1"/>
  <c r="M444" i="1"/>
  <c r="M433" i="1"/>
  <c r="M295" i="1"/>
  <c r="N295" i="3" s="1"/>
  <c r="N272" i="3"/>
  <c r="N268" i="3"/>
  <c r="N266" i="3"/>
  <c r="M238" i="1"/>
  <c r="N238" i="3" s="1"/>
  <c r="N233" i="3"/>
  <c r="M148" i="1"/>
  <c r="M129" i="1"/>
  <c r="M93" i="1"/>
  <c r="N93" i="3" s="1"/>
  <c r="N94" i="3"/>
  <c r="M10" i="1"/>
  <c r="M25" i="1"/>
  <c r="N25" i="3" s="1"/>
  <c r="N39" i="3"/>
  <c r="M35" i="1"/>
  <c r="N35" i="3" s="1"/>
  <c r="M63" i="1"/>
  <c r="N63" i="3" s="1"/>
  <c r="M79" i="1"/>
  <c r="L455" i="1"/>
  <c r="M455" i="3" s="1"/>
  <c r="M456" i="3"/>
  <c r="L444" i="1"/>
  <c r="M403" i="3"/>
  <c r="L402" i="1"/>
  <c r="L360" i="1"/>
  <c r="M360" i="3" s="1"/>
  <c r="L355" i="1"/>
  <c r="M355" i="3" s="1"/>
  <c r="M357" i="3"/>
  <c r="V507" i="3"/>
  <c r="V291" i="3"/>
  <c r="V525" i="3"/>
  <c r="V351" i="3"/>
  <c r="V343" i="3"/>
  <c r="V188" i="3"/>
  <c r="V132" i="3"/>
  <c r="V408" i="3"/>
  <c r="T420" i="3"/>
  <c r="T42" i="3"/>
  <c r="T522" i="3"/>
  <c r="T178" i="3"/>
  <c r="T337" i="3"/>
  <c r="T520" i="3"/>
  <c r="T188" i="3"/>
  <c r="T162" i="3"/>
  <c r="T132" i="3"/>
  <c r="T140" i="3"/>
  <c r="T111" i="3"/>
  <c r="R465" i="3"/>
  <c r="R303" i="3"/>
  <c r="R234" i="3"/>
  <c r="R44" i="3"/>
  <c r="R11" i="3"/>
  <c r="R537" i="3"/>
  <c r="R84" i="3"/>
  <c r="R528" i="3"/>
  <c r="P510" i="3"/>
  <c r="P307" i="3"/>
  <c r="P241" i="3"/>
  <c r="P257" i="3"/>
  <c r="P222" i="3"/>
  <c r="P58" i="3"/>
  <c r="P13" i="3"/>
  <c r="P82" i="3"/>
  <c r="P90" i="3"/>
  <c r="P273" i="3"/>
  <c r="P271" i="3"/>
  <c r="P269" i="3"/>
  <c r="P525" i="3"/>
  <c r="P333" i="3"/>
  <c r="N15" i="3"/>
  <c r="N249" i="3"/>
  <c r="N265" i="3"/>
  <c r="N28" i="3"/>
  <c r="N495" i="3"/>
  <c r="N267" i="3"/>
  <c r="N529" i="3"/>
  <c r="L200" i="3"/>
  <c r="L41" i="3"/>
  <c r="L470" i="3"/>
  <c r="L305" i="3"/>
  <c r="L243" i="3"/>
  <c r="L259" i="3"/>
  <c r="L281" i="3"/>
  <c r="L220" i="3"/>
  <c r="L60" i="3"/>
  <c r="L165" i="3"/>
  <c r="L541" i="3"/>
  <c r="L64" i="3"/>
  <c r="L170" i="3"/>
  <c r="L21" i="3"/>
  <c r="L65" i="3"/>
  <c r="L66" i="3"/>
  <c r="L68" i="3"/>
  <c r="L72" i="3"/>
  <c r="L73" i="3"/>
  <c r="L74" i="3"/>
  <c r="L76" i="3"/>
  <c r="L81" i="3"/>
  <c r="L88" i="3"/>
  <c r="L89" i="3"/>
  <c r="L525" i="3"/>
  <c r="L353" i="3"/>
  <c r="L344" i="3"/>
  <c r="L333" i="3"/>
  <c r="J516" i="3"/>
  <c r="J330" i="3"/>
  <c r="J313" i="3"/>
  <c r="J300" i="3"/>
  <c r="J252" i="3"/>
  <c r="J290" i="3"/>
  <c r="J231" i="3"/>
  <c r="J50" i="3"/>
  <c r="J32" i="3"/>
  <c r="J495" i="3"/>
  <c r="J79" i="3"/>
  <c r="J67" i="3"/>
  <c r="J69" i="3"/>
  <c r="J70" i="3"/>
  <c r="J71" i="3"/>
  <c r="J75" i="3"/>
  <c r="J77" i="3"/>
  <c r="J87" i="3"/>
  <c r="J100" i="3"/>
  <c r="J529" i="3"/>
  <c r="J348" i="3"/>
  <c r="J340" i="3"/>
  <c r="H27" i="3"/>
  <c r="H325" i="3"/>
  <c r="H308" i="3"/>
  <c r="H241" i="3"/>
  <c r="H257" i="3"/>
  <c r="H286" i="3"/>
  <c r="H224" i="3"/>
  <c r="H56" i="3"/>
  <c r="H18" i="3"/>
  <c r="H336" i="3"/>
  <c r="H86" i="3"/>
  <c r="H526" i="3"/>
  <c r="H351" i="3"/>
  <c r="H343" i="3"/>
  <c r="F15" i="3"/>
  <c r="F467" i="3"/>
  <c r="F322" i="3"/>
  <c r="F246" i="3"/>
  <c r="F262" i="3"/>
  <c r="F280" i="3"/>
  <c r="F221" i="3"/>
  <c r="F49" i="3"/>
  <c r="F59" i="3"/>
  <c r="F30" i="3"/>
  <c r="F22" i="3"/>
  <c r="F495" i="3"/>
  <c r="F29" i="3"/>
  <c r="F86" i="3"/>
  <c r="F524" i="3"/>
  <c r="F178" i="3"/>
  <c r="F346" i="3"/>
  <c r="F338" i="3"/>
  <c r="U360" i="1"/>
  <c r="V360" i="3" s="1"/>
  <c r="V304" i="3"/>
  <c r="V270" i="3"/>
  <c r="V18" i="3"/>
  <c r="T108" i="1"/>
  <c r="U108" i="3" s="1"/>
  <c r="C393" i="7" s="1"/>
  <c r="T460" i="3"/>
  <c r="T438" i="3"/>
  <c r="V434" i="1"/>
  <c r="T308" i="3"/>
  <c r="T262" i="3"/>
  <c r="S37" i="3"/>
  <c r="R35" i="1"/>
  <c r="S35" i="3" s="1"/>
  <c r="R348" i="3"/>
  <c r="R340" i="3"/>
  <c r="Q335" i="1"/>
  <c r="R335" i="3" s="1"/>
  <c r="Q277" i="1"/>
  <c r="R277" i="3" s="1"/>
  <c r="R264" i="3"/>
  <c r="R248" i="3"/>
  <c r="Q226" i="1"/>
  <c r="Q213" i="1" s="1"/>
  <c r="Q148" i="1"/>
  <c r="Q10" i="1"/>
  <c r="R10" i="3" s="1"/>
  <c r="Q25" i="1"/>
  <c r="P197" i="1"/>
  <c r="Q385" i="3"/>
  <c r="P383" i="1"/>
  <c r="Q383" i="3" s="1"/>
  <c r="P321" i="1"/>
  <c r="Q321" i="3" s="1"/>
  <c r="Q323" i="3"/>
  <c r="P295" i="1"/>
  <c r="Q295" i="3" s="1"/>
  <c r="P238" i="1"/>
  <c r="F46" i="2" s="1"/>
  <c r="F73" i="2" s="1"/>
  <c r="P148" i="1"/>
  <c r="Q148" i="3" s="1"/>
  <c r="Q149" i="3"/>
  <c r="P129" i="1"/>
  <c r="Q94" i="3"/>
  <c r="P93" i="1"/>
  <c r="Q93" i="3" s="1"/>
  <c r="P35" i="1"/>
  <c r="Q35" i="3" s="1"/>
  <c r="Q37" i="3"/>
  <c r="P63" i="1"/>
  <c r="Q63" i="3" s="1"/>
  <c r="Q65" i="3"/>
  <c r="P207" i="3"/>
  <c r="O455" i="1"/>
  <c r="O444" i="1"/>
  <c r="O402" i="1"/>
  <c r="O383" i="1"/>
  <c r="P383" i="3" s="1"/>
  <c r="O360" i="1"/>
  <c r="P353" i="3"/>
  <c r="P344" i="3"/>
  <c r="O335" i="1"/>
  <c r="P335" i="3" s="1"/>
  <c r="O321" i="1"/>
  <c r="P284" i="3"/>
  <c r="O277" i="1"/>
  <c r="G45" i="2" s="1"/>
  <c r="G72" i="2" s="1"/>
  <c r="O164" i="1"/>
  <c r="P164" i="3" s="1"/>
  <c r="O108" i="1"/>
  <c r="P22" i="3"/>
  <c r="P91" i="3"/>
  <c r="N197" i="1"/>
  <c r="O456" i="3"/>
  <c r="N455" i="1"/>
  <c r="O455" i="3" s="1"/>
  <c r="N444" i="1"/>
  <c r="O444" i="3" s="1"/>
  <c r="O434" i="3"/>
  <c r="N433" i="1"/>
  <c r="N416" i="1"/>
  <c r="O416" i="3" s="1"/>
  <c r="O417" i="3"/>
  <c r="N402" i="1"/>
  <c r="O402" i="3" s="1"/>
  <c r="N355" i="1"/>
  <c r="O355" i="3" s="1"/>
  <c r="O357" i="3"/>
  <c r="O227" i="3"/>
  <c r="N226" i="1"/>
  <c r="O226" i="3" s="1"/>
  <c r="O217" i="3"/>
  <c r="N215" i="1"/>
  <c r="N213" i="1" s="1"/>
  <c r="N129" i="1"/>
  <c r="O129" i="3" s="1"/>
  <c r="O131" i="3"/>
  <c r="N10" i="1"/>
  <c r="O10" i="3" s="1"/>
  <c r="O12" i="3"/>
  <c r="N25" i="1"/>
  <c r="O25" i="3" s="1"/>
  <c r="O27" i="3"/>
  <c r="N35" i="1"/>
  <c r="O35" i="3" s="1"/>
  <c r="O37" i="3"/>
  <c r="M197" i="1"/>
  <c r="N43" i="2" s="1"/>
  <c r="N70" i="2" s="1"/>
  <c r="M416" i="1"/>
  <c r="N416" i="3" s="1"/>
  <c r="M402" i="1"/>
  <c r="M383" i="1"/>
  <c r="M360" i="1"/>
  <c r="N348" i="3"/>
  <c r="N340" i="3"/>
  <c r="M335" i="1"/>
  <c r="N335" i="3" s="1"/>
  <c r="N302" i="3"/>
  <c r="N275" i="3"/>
  <c r="M169" i="1"/>
  <c r="M164" i="1"/>
  <c r="M108" i="1"/>
  <c r="N45" i="3"/>
  <c r="M47" i="1"/>
  <c r="L197" i="1"/>
  <c r="M197" i="3" s="1"/>
  <c r="G385" i="7" s="1"/>
  <c r="L433" i="1"/>
  <c r="M433" i="3" s="1"/>
  <c r="M434" i="3"/>
  <c r="Y38" i="2"/>
  <c r="Y65" i="2" s="1"/>
  <c r="I477" i="3"/>
  <c r="J148" i="3"/>
  <c r="T503" i="3"/>
  <c r="H518" i="3"/>
  <c r="P455" i="1"/>
  <c r="Q455" i="3" s="1"/>
  <c r="V462" i="1"/>
  <c r="F108" i="3"/>
  <c r="C378" i="7" s="1"/>
  <c r="H355" i="3"/>
  <c r="L129" i="3"/>
  <c r="N295" i="1"/>
  <c r="O295" i="3" s="1"/>
  <c r="P402" i="1"/>
  <c r="Q402" i="3" s="1"/>
  <c r="N321" i="1"/>
  <c r="O321" i="3" s="1"/>
  <c r="P335" i="1"/>
  <c r="Q335" i="3" s="1"/>
  <c r="P444" i="1"/>
  <c r="Q444" i="3" s="1"/>
  <c r="N540" i="3"/>
  <c r="P10" i="1"/>
  <c r="Q10" i="3" s="1"/>
  <c r="F545" i="3"/>
  <c r="H199" i="3"/>
  <c r="N544" i="3"/>
  <c r="R542" i="3"/>
  <c r="Q199" i="3"/>
  <c r="L479" i="3"/>
  <c r="J461" i="3"/>
  <c r="N459" i="3"/>
  <c r="H458" i="3"/>
  <c r="L453" i="3"/>
  <c r="F452" i="3"/>
  <c r="J450" i="3"/>
  <c r="H447" i="3"/>
  <c r="L442" i="3"/>
  <c r="F441" i="3"/>
  <c r="J439" i="3"/>
  <c r="N437" i="3"/>
  <c r="H436" i="3"/>
  <c r="L414" i="3"/>
  <c r="F413" i="3"/>
  <c r="J411" i="3"/>
  <c r="H408" i="3"/>
  <c r="L406" i="3"/>
  <c r="F405" i="3"/>
  <c r="J400" i="3"/>
  <c r="N398" i="3"/>
  <c r="H397" i="3"/>
  <c r="L395" i="3"/>
  <c r="F394" i="3"/>
  <c r="J392" i="3"/>
  <c r="N390" i="3"/>
  <c r="H389" i="3"/>
  <c r="L387" i="3"/>
  <c r="F386" i="3"/>
  <c r="J379" i="3"/>
  <c r="H376" i="3"/>
  <c r="L374" i="3"/>
  <c r="F373" i="3"/>
  <c r="J371" i="3"/>
  <c r="H368" i="3"/>
  <c r="L366" i="3"/>
  <c r="F365" i="3"/>
  <c r="J363" i="3"/>
  <c r="N361" i="3"/>
  <c r="H358" i="3"/>
  <c r="J356" i="3"/>
  <c r="L315" i="3"/>
  <c r="F120" i="3"/>
  <c r="F111" i="3"/>
  <c r="F140" i="3"/>
  <c r="F132" i="3"/>
  <c r="F182" i="3"/>
  <c r="F152" i="3"/>
  <c r="F184" i="3"/>
  <c r="F185" i="3"/>
  <c r="H121" i="3"/>
  <c r="H113" i="3"/>
  <c r="H141" i="3"/>
  <c r="H133" i="3"/>
  <c r="H176" i="3"/>
  <c r="H153" i="3"/>
  <c r="H180" i="3"/>
  <c r="H185" i="3"/>
  <c r="J478" i="3"/>
  <c r="J115" i="3"/>
  <c r="J143" i="3"/>
  <c r="J135" i="3"/>
  <c r="J174" i="3"/>
  <c r="J155" i="3"/>
  <c r="J177" i="3"/>
  <c r="J179" i="3"/>
  <c r="J545" i="3"/>
  <c r="L115" i="3"/>
  <c r="L143" i="3"/>
  <c r="L135" i="3"/>
  <c r="L174" i="3"/>
  <c r="L155" i="3"/>
  <c r="L177" i="3"/>
  <c r="L181" i="3"/>
  <c r="L208" i="3"/>
  <c r="N116" i="3"/>
  <c r="N144" i="3"/>
  <c r="N136" i="3"/>
  <c r="N156" i="3"/>
  <c r="N166" i="3"/>
  <c r="N538" i="3"/>
  <c r="P358" i="3"/>
  <c r="P368" i="3"/>
  <c r="P376" i="3"/>
  <c r="P408" i="3"/>
  <c r="P447" i="3"/>
  <c r="P120" i="3"/>
  <c r="P111" i="3"/>
  <c r="P140" i="3"/>
  <c r="P132" i="3"/>
  <c r="P182" i="3"/>
  <c r="P152" i="3"/>
  <c r="P188" i="3"/>
  <c r="R364" i="3"/>
  <c r="R372" i="3"/>
  <c r="R404" i="3"/>
  <c r="R412" i="3"/>
  <c r="R451" i="3"/>
  <c r="R172" i="3"/>
  <c r="R162" i="3"/>
  <c r="R150" i="3"/>
  <c r="R533" i="3"/>
  <c r="T362" i="3"/>
  <c r="T378" i="3"/>
  <c r="T392" i="3"/>
  <c r="T400" i="3"/>
  <c r="T449" i="3"/>
  <c r="T478" i="3"/>
  <c r="T116" i="3"/>
  <c r="T136" i="3"/>
  <c r="T150" i="3"/>
  <c r="V368" i="3"/>
  <c r="V461" i="3"/>
  <c r="F350" i="3"/>
  <c r="H339" i="3"/>
  <c r="H530" i="3"/>
  <c r="J344" i="3"/>
  <c r="J525" i="3"/>
  <c r="L348" i="3"/>
  <c r="N333" i="3"/>
  <c r="P529" i="3"/>
  <c r="R524" i="3"/>
  <c r="T527" i="3"/>
  <c r="V347" i="3"/>
  <c r="L537" i="3"/>
  <c r="F267" i="3"/>
  <c r="H269" i="3"/>
  <c r="H271" i="3"/>
  <c r="H273" i="3"/>
  <c r="F82" i="3"/>
  <c r="H90" i="3"/>
  <c r="L85" i="3"/>
  <c r="H83" i="3"/>
  <c r="H43" i="3"/>
  <c r="N17" i="3"/>
  <c r="F21" i="3"/>
  <c r="T64" i="3"/>
  <c r="T541" i="3"/>
  <c r="F109" i="3"/>
  <c r="F40" i="3"/>
  <c r="F217" i="3"/>
  <c r="F289" i="3"/>
  <c r="F298" i="3"/>
  <c r="F327" i="3"/>
  <c r="H42" i="3"/>
  <c r="H235" i="3"/>
  <c r="H249" i="3"/>
  <c r="H465" i="3"/>
  <c r="J165" i="3"/>
  <c r="J220" i="3"/>
  <c r="J260" i="3"/>
  <c r="J305" i="3"/>
  <c r="L504" i="3"/>
  <c r="L50" i="3"/>
  <c r="L290" i="3"/>
  <c r="L300" i="3"/>
  <c r="L330" i="3"/>
  <c r="N58" i="3"/>
  <c r="N241" i="3"/>
  <c r="P28" i="3"/>
  <c r="P249" i="3"/>
  <c r="T48" i="3"/>
  <c r="F434" i="3"/>
  <c r="L15" i="3"/>
  <c r="L507" i="3"/>
  <c r="O479" i="3"/>
  <c r="O403" i="3"/>
  <c r="M446" i="3"/>
  <c r="Q131" i="3"/>
  <c r="L335" i="1"/>
  <c r="M335" i="3" s="1"/>
  <c r="N277" i="1"/>
  <c r="G44" i="2" s="1"/>
  <c r="G71" i="2" s="1"/>
  <c r="L416" i="1"/>
  <c r="M416" i="3" s="1"/>
  <c r="P215" i="1"/>
  <c r="P226" i="1"/>
  <c r="Q226" i="3" s="1"/>
  <c r="L277" i="1"/>
  <c r="G42" i="2" s="1"/>
  <c r="G69" i="2" s="1"/>
  <c r="L169" i="1"/>
  <c r="M169" i="3" s="1"/>
  <c r="L129" i="1"/>
  <c r="V468" i="3"/>
  <c r="V464" i="3"/>
  <c r="V462" i="3"/>
  <c r="V393" i="3"/>
  <c r="V389" i="3"/>
  <c r="V385" i="3"/>
  <c r="V353" i="3"/>
  <c r="V348" i="3"/>
  <c r="V344" i="3"/>
  <c r="V340" i="3"/>
  <c r="V323" i="3"/>
  <c r="V300" i="3"/>
  <c r="U295" i="1"/>
  <c r="V295" i="3" s="1"/>
  <c r="V296" i="3"/>
  <c r="V275" i="3"/>
  <c r="T433" i="1"/>
  <c r="T355" i="1"/>
  <c r="U355" i="3" s="1"/>
  <c r="U357" i="3"/>
  <c r="T25" i="1"/>
  <c r="U25" i="3" s="1"/>
  <c r="S444" i="1"/>
  <c r="T444" i="3" s="1"/>
  <c r="T417" i="3"/>
  <c r="T399" i="3"/>
  <c r="T397" i="3"/>
  <c r="T395" i="3"/>
  <c r="T393" i="3"/>
  <c r="T391" i="3"/>
  <c r="T389" i="3"/>
  <c r="T387" i="3"/>
  <c r="S383" i="1"/>
  <c r="T383" i="3" s="1"/>
  <c r="T385" i="3"/>
  <c r="V375" i="1"/>
  <c r="V314" i="1"/>
  <c r="V516" i="3"/>
  <c r="V497" i="3"/>
  <c r="V501" i="3"/>
  <c r="V200" i="3"/>
  <c r="V496" i="3"/>
  <c r="V418" i="3"/>
  <c r="V506" i="3"/>
  <c r="V508" i="3"/>
  <c r="V510" i="3"/>
  <c r="V512" i="3"/>
  <c r="V243" i="3"/>
  <c r="V259" i="3"/>
  <c r="V283" i="3"/>
  <c r="V222" i="3"/>
  <c r="V58" i="3"/>
  <c r="V32" i="3"/>
  <c r="V26" i="3"/>
  <c r="V495" i="3"/>
  <c r="V519" i="3"/>
  <c r="V426" i="3"/>
  <c r="V505" i="3"/>
  <c r="V509" i="3"/>
  <c r="V513" i="3"/>
  <c r="V23" i="3"/>
  <c r="V309" i="3"/>
  <c r="V251" i="3"/>
  <c r="V232" i="3"/>
  <c r="V42" i="3"/>
  <c r="V48" i="3"/>
  <c r="V511" i="3"/>
  <c r="V504" i="3"/>
  <c r="V541" i="3"/>
  <c r="V66" i="3"/>
  <c r="V68" i="3"/>
  <c r="V74" i="3"/>
  <c r="V76" i="3"/>
  <c r="V82" i="3"/>
  <c r="V88" i="3"/>
  <c r="V90" i="3"/>
  <c r="V273" i="3"/>
  <c r="V271" i="3"/>
  <c r="V532" i="3"/>
  <c r="V521" i="3"/>
  <c r="V524" i="3"/>
  <c r="V526" i="3"/>
  <c r="V528" i="3"/>
  <c r="V530" i="3"/>
  <c r="V538" i="3"/>
  <c r="V520" i="3"/>
  <c r="V182" i="3"/>
  <c r="V140" i="3"/>
  <c r="V120" i="3"/>
  <c r="V451" i="3"/>
  <c r="V412" i="3"/>
  <c r="V404" i="3"/>
  <c r="V372" i="3"/>
  <c r="V364" i="3"/>
  <c r="V313" i="3"/>
  <c r="V523" i="3"/>
  <c r="V544" i="3"/>
  <c r="T496" i="3"/>
  <c r="T498" i="3"/>
  <c r="T418" i="3"/>
  <c r="T422" i="3"/>
  <c r="T426" i="3"/>
  <c r="T202" i="3"/>
  <c r="T204" i="3"/>
  <c r="T497" i="3"/>
  <c r="T424" i="3"/>
  <c r="T210" i="3"/>
  <c r="T516" i="3"/>
  <c r="T428" i="3"/>
  <c r="T200" i="3"/>
  <c r="T206" i="3"/>
  <c r="T505" i="3"/>
  <c r="T507" i="3"/>
  <c r="T509" i="3"/>
  <c r="T511" i="3"/>
  <c r="T513" i="3"/>
  <c r="T445" i="3"/>
  <c r="T96" i="3"/>
  <c r="T109" i="3"/>
  <c r="T384" i="3"/>
  <c r="T330" i="3"/>
  <c r="T328" i="3"/>
  <c r="T326" i="3"/>
  <c r="T472" i="3"/>
  <c r="T467" i="3"/>
  <c r="T463" i="3"/>
  <c r="T311" i="3"/>
  <c r="T309" i="3"/>
  <c r="T307" i="3"/>
  <c r="T305" i="3"/>
  <c r="T322" i="3"/>
  <c r="T301" i="3"/>
  <c r="T297" i="3"/>
  <c r="T241" i="3"/>
  <c r="T243" i="3"/>
  <c r="T245" i="3"/>
  <c r="T247" i="3"/>
  <c r="T249" i="3"/>
  <c r="T251" i="3"/>
  <c r="T253" i="3"/>
  <c r="T255" i="3"/>
  <c r="T257" i="3"/>
  <c r="T259" i="3"/>
  <c r="T261" i="3"/>
  <c r="T263" i="3"/>
  <c r="T265" i="3"/>
  <c r="T289" i="3"/>
  <c r="T285" i="3"/>
  <c r="T280" i="3"/>
  <c r="T234" i="3"/>
  <c r="T230" i="3"/>
  <c r="T224" i="3"/>
  <c r="T222" i="3"/>
  <c r="T220" i="3"/>
  <c r="T218" i="3"/>
  <c r="T98" i="3"/>
  <c r="T50" i="3"/>
  <c r="T56" i="3"/>
  <c r="T60" i="3"/>
  <c r="T40" i="3"/>
  <c r="T44" i="3"/>
  <c r="T501" i="3"/>
  <c r="T508" i="3"/>
  <c r="T512" i="3"/>
  <c r="T216" i="3"/>
  <c r="T19" i="3"/>
  <c r="T23" i="3"/>
  <c r="T465" i="3"/>
  <c r="T303" i="3"/>
  <c r="T287" i="3"/>
  <c r="T278" i="3"/>
  <c r="T228" i="3"/>
  <c r="T52" i="3"/>
  <c r="T38" i="3"/>
  <c r="T28" i="3"/>
  <c r="T32" i="3"/>
  <c r="T198" i="3"/>
  <c r="T80" i="3"/>
  <c r="T11" i="3"/>
  <c r="T504" i="3"/>
  <c r="T510" i="3"/>
  <c r="T356" i="3"/>
  <c r="T36" i="3"/>
  <c r="T327" i="3"/>
  <c r="T312" i="3"/>
  <c r="T324" i="3"/>
  <c r="T242" i="3"/>
  <c r="T250" i="3"/>
  <c r="T258" i="3"/>
  <c r="T291" i="3"/>
  <c r="T232" i="3"/>
  <c r="T219" i="3"/>
  <c r="T58" i="3"/>
  <c r="T30" i="3"/>
  <c r="T130" i="3"/>
  <c r="T495" i="3"/>
  <c r="T239" i="3"/>
  <c r="T537" i="3"/>
  <c r="T26" i="3"/>
  <c r="T17" i="3"/>
  <c r="T69" i="3"/>
  <c r="T70" i="3"/>
  <c r="T77" i="3"/>
  <c r="T84" i="3"/>
  <c r="T87" i="3"/>
  <c r="T267" i="3"/>
  <c r="T521" i="3"/>
  <c r="T524" i="3"/>
  <c r="T526" i="3"/>
  <c r="T528" i="3"/>
  <c r="T530" i="3"/>
  <c r="T351" i="3"/>
  <c r="T347" i="3"/>
  <c r="T343" i="3"/>
  <c r="T339" i="3"/>
  <c r="T333" i="3"/>
  <c r="T191" i="3"/>
  <c r="T181" i="3"/>
  <c r="T538" i="3"/>
  <c r="T192" i="3"/>
  <c r="T184" i="3"/>
  <c r="T166" i="3"/>
  <c r="T152" i="3"/>
  <c r="T156" i="3"/>
  <c r="T545" i="3"/>
  <c r="T182" i="3"/>
  <c r="T174" i="3"/>
  <c r="T131" i="3"/>
  <c r="T133" i="3"/>
  <c r="T135" i="3"/>
  <c r="T137" i="3"/>
  <c r="T139" i="3"/>
  <c r="T141" i="3"/>
  <c r="T143" i="3"/>
  <c r="T145" i="3"/>
  <c r="T110" i="3"/>
  <c r="T113" i="3"/>
  <c r="T115" i="3"/>
  <c r="T117" i="3"/>
  <c r="T119" i="3"/>
  <c r="T121" i="3"/>
  <c r="T186" i="3"/>
  <c r="T461" i="3"/>
  <c r="T459" i="3"/>
  <c r="T457" i="3"/>
  <c r="T451" i="3"/>
  <c r="T447" i="3"/>
  <c r="T441" i="3"/>
  <c r="T439" i="3"/>
  <c r="T437" i="3"/>
  <c r="T435" i="3"/>
  <c r="T412" i="3"/>
  <c r="T408" i="3"/>
  <c r="T404" i="3"/>
  <c r="T376" i="3"/>
  <c r="T372" i="3"/>
  <c r="T368" i="3"/>
  <c r="T364" i="3"/>
  <c r="T358" i="3"/>
  <c r="T315" i="3"/>
  <c r="T313" i="3"/>
  <c r="T544" i="3"/>
  <c r="R516" i="3"/>
  <c r="R497" i="3"/>
  <c r="R501" i="3"/>
  <c r="R420" i="3"/>
  <c r="R424" i="3"/>
  <c r="R428" i="3"/>
  <c r="R200" i="3"/>
  <c r="R498" i="3"/>
  <c r="R422" i="3"/>
  <c r="R202" i="3"/>
  <c r="R206" i="3"/>
  <c r="R496" i="3"/>
  <c r="R426" i="3"/>
  <c r="R210" i="3"/>
  <c r="R505" i="3"/>
  <c r="R507" i="3"/>
  <c r="R509" i="3"/>
  <c r="R511" i="3"/>
  <c r="R513" i="3"/>
  <c r="R27" i="3"/>
  <c r="R31" i="3"/>
  <c r="R19" i="3"/>
  <c r="R216" i="3"/>
  <c r="R445" i="3"/>
  <c r="R41" i="3"/>
  <c r="R23" i="3"/>
  <c r="R109" i="3"/>
  <c r="R384" i="3"/>
  <c r="R36" i="3"/>
  <c r="R506" i="3"/>
  <c r="R510" i="3"/>
  <c r="R29" i="3"/>
  <c r="R227" i="3"/>
  <c r="R15" i="3"/>
  <c r="R356" i="3"/>
  <c r="R330" i="3"/>
  <c r="R328" i="3"/>
  <c r="R326" i="3"/>
  <c r="R311" i="3"/>
  <c r="R309" i="3"/>
  <c r="R307" i="3"/>
  <c r="R305" i="3"/>
  <c r="R323" i="3"/>
  <c r="R304" i="3"/>
  <c r="R302" i="3"/>
  <c r="R300" i="3"/>
  <c r="R298" i="3"/>
  <c r="R296" i="3"/>
  <c r="R241" i="3"/>
  <c r="R243" i="3"/>
  <c r="R245" i="3"/>
  <c r="R247" i="3"/>
  <c r="R249" i="3"/>
  <c r="R251" i="3"/>
  <c r="R253" i="3"/>
  <c r="R255" i="3"/>
  <c r="R257" i="3"/>
  <c r="R259" i="3"/>
  <c r="R261" i="3"/>
  <c r="R263" i="3"/>
  <c r="R265" i="3"/>
  <c r="R290" i="3"/>
  <c r="R288" i="3"/>
  <c r="R286" i="3"/>
  <c r="R284" i="3"/>
  <c r="R281" i="3"/>
  <c r="R279" i="3"/>
  <c r="R235" i="3"/>
  <c r="R233" i="3"/>
  <c r="R231" i="3"/>
  <c r="R229" i="3"/>
  <c r="R224" i="3"/>
  <c r="R222" i="3"/>
  <c r="R220" i="3"/>
  <c r="R218" i="3"/>
  <c r="R98" i="3"/>
  <c r="R94" i="3"/>
  <c r="R50" i="3"/>
  <c r="R52" i="3"/>
  <c r="R56" i="3"/>
  <c r="R58" i="3"/>
  <c r="R60" i="3"/>
  <c r="R38" i="3"/>
  <c r="R42" i="3"/>
  <c r="R28" i="3"/>
  <c r="R32" i="3"/>
  <c r="R14" i="3"/>
  <c r="R18" i="3"/>
  <c r="R22" i="3"/>
  <c r="R198" i="3"/>
  <c r="R130" i="3"/>
  <c r="R48" i="3"/>
  <c r="R495" i="3"/>
  <c r="R519" i="3"/>
  <c r="R239" i="3"/>
  <c r="R418" i="3"/>
  <c r="R508" i="3"/>
  <c r="R45" i="3"/>
  <c r="R434" i="3"/>
  <c r="R96" i="3"/>
  <c r="R403" i="3"/>
  <c r="R331" i="3"/>
  <c r="R327" i="3"/>
  <c r="R472" i="3"/>
  <c r="R467" i="3"/>
  <c r="R463" i="3"/>
  <c r="R310" i="3"/>
  <c r="R306" i="3"/>
  <c r="R322" i="3"/>
  <c r="R301" i="3"/>
  <c r="R297" i="3"/>
  <c r="R242" i="3"/>
  <c r="R246" i="3"/>
  <c r="R250" i="3"/>
  <c r="R254" i="3"/>
  <c r="R258" i="3"/>
  <c r="R262" i="3"/>
  <c r="R291" i="3"/>
  <c r="R287" i="3"/>
  <c r="R283" i="3"/>
  <c r="R278" i="3"/>
  <c r="R232" i="3"/>
  <c r="R228" i="3"/>
  <c r="R221" i="3"/>
  <c r="R217" i="3"/>
  <c r="R49" i="3"/>
  <c r="R55" i="3"/>
  <c r="R59" i="3"/>
  <c r="R40" i="3"/>
  <c r="R30" i="3"/>
  <c r="R16" i="3"/>
  <c r="R26" i="3"/>
  <c r="R80" i="3"/>
  <c r="R504" i="3"/>
  <c r="R336" i="3"/>
  <c r="R541" i="3"/>
  <c r="R64" i="3"/>
  <c r="R170" i="3"/>
  <c r="R21" i="3"/>
  <c r="R13" i="3"/>
  <c r="R43" i="3"/>
  <c r="R65" i="3"/>
  <c r="R66" i="3"/>
  <c r="R68" i="3"/>
  <c r="R72" i="3"/>
  <c r="R73" i="3"/>
  <c r="R74" i="3"/>
  <c r="R76" i="3"/>
  <c r="R81" i="3"/>
  <c r="R82" i="3"/>
  <c r="R83" i="3"/>
  <c r="R85" i="3"/>
  <c r="R86" i="3"/>
  <c r="R88" i="3"/>
  <c r="R89" i="3"/>
  <c r="R90" i="3"/>
  <c r="R91" i="3"/>
  <c r="R273" i="3"/>
  <c r="R271" i="3"/>
  <c r="R270" i="3"/>
  <c r="R269" i="3"/>
  <c r="R522" i="3"/>
  <c r="R525" i="3"/>
  <c r="R527" i="3"/>
  <c r="R529" i="3"/>
  <c r="R178" i="3"/>
  <c r="R351" i="3"/>
  <c r="R349" i="3"/>
  <c r="R347" i="3"/>
  <c r="R345" i="3"/>
  <c r="R343" i="3"/>
  <c r="R341" i="3"/>
  <c r="R339" i="3"/>
  <c r="R337" i="3"/>
  <c r="R193" i="3"/>
  <c r="R189" i="3"/>
  <c r="R185" i="3"/>
  <c r="R181" i="3"/>
  <c r="R538" i="3"/>
  <c r="R192" i="3"/>
  <c r="R184" i="3"/>
  <c r="R177" i="3"/>
  <c r="R167" i="3"/>
  <c r="R151" i="3"/>
  <c r="R153" i="3"/>
  <c r="R155" i="3"/>
  <c r="R157" i="3"/>
  <c r="R520" i="3"/>
  <c r="R182" i="3"/>
  <c r="R175" i="3"/>
  <c r="R173" i="3"/>
  <c r="R171" i="3"/>
  <c r="R132" i="3"/>
  <c r="R134" i="3"/>
  <c r="R136" i="3"/>
  <c r="R138" i="3"/>
  <c r="R140" i="3"/>
  <c r="R142" i="3"/>
  <c r="R144" i="3"/>
  <c r="R146" i="3"/>
  <c r="R111" i="3"/>
  <c r="R114" i="3"/>
  <c r="R116" i="3"/>
  <c r="R118" i="3"/>
  <c r="R120" i="3"/>
  <c r="R124" i="3"/>
  <c r="R186" i="3"/>
  <c r="R461" i="3"/>
  <c r="R459" i="3"/>
  <c r="R457" i="3"/>
  <c r="R452" i="3"/>
  <c r="R450" i="3"/>
  <c r="R448" i="3"/>
  <c r="R446" i="3"/>
  <c r="R441" i="3"/>
  <c r="R439" i="3"/>
  <c r="R437" i="3"/>
  <c r="R435" i="3"/>
  <c r="R413" i="3"/>
  <c r="R411" i="3"/>
  <c r="R409" i="3"/>
  <c r="R407" i="3"/>
  <c r="R405" i="3"/>
  <c r="R400" i="3"/>
  <c r="R398" i="3"/>
  <c r="R396" i="3"/>
  <c r="R394" i="3"/>
  <c r="R392" i="3"/>
  <c r="R390" i="3"/>
  <c r="R388" i="3"/>
  <c r="R386" i="3"/>
  <c r="R379" i="3"/>
  <c r="R377" i="3"/>
  <c r="R375" i="3"/>
  <c r="R373" i="3"/>
  <c r="R371" i="3"/>
  <c r="R369" i="3"/>
  <c r="R367" i="3"/>
  <c r="R365" i="3"/>
  <c r="R363" i="3"/>
  <c r="R361" i="3"/>
  <c r="R357" i="3"/>
  <c r="R315" i="3"/>
  <c r="R313" i="3"/>
  <c r="R199" i="3"/>
  <c r="R544" i="3"/>
  <c r="P496" i="3"/>
  <c r="P498" i="3"/>
  <c r="P418" i="3"/>
  <c r="P419" i="3"/>
  <c r="P422" i="3"/>
  <c r="P423" i="3"/>
  <c r="P426" i="3"/>
  <c r="P427" i="3"/>
  <c r="P201" i="3"/>
  <c r="P202" i="3"/>
  <c r="P203" i="3"/>
  <c r="P204" i="3"/>
  <c r="P205" i="3"/>
  <c r="P516" i="3"/>
  <c r="P501" i="3"/>
  <c r="P420" i="3"/>
  <c r="P421" i="3"/>
  <c r="P428" i="3"/>
  <c r="P200" i="3"/>
  <c r="P210" i="3"/>
  <c r="P211" i="3"/>
  <c r="P497" i="3"/>
  <c r="P424" i="3"/>
  <c r="P425" i="3"/>
  <c r="P209" i="3"/>
  <c r="P505" i="3"/>
  <c r="P507" i="3"/>
  <c r="P509" i="3"/>
  <c r="P511" i="3"/>
  <c r="P513" i="3"/>
  <c r="P456" i="3"/>
  <c r="P27" i="3"/>
  <c r="P31" i="3"/>
  <c r="P26" i="3"/>
  <c r="P216" i="3"/>
  <c r="P445" i="3"/>
  <c r="P96" i="3"/>
  <c r="P19" i="3"/>
  <c r="P356" i="3"/>
  <c r="P403" i="3"/>
  <c r="P15" i="3"/>
  <c r="P37" i="3"/>
  <c r="P23" i="3"/>
  <c r="P508" i="3"/>
  <c r="P512" i="3"/>
  <c r="P25" i="3"/>
  <c r="P45" i="3"/>
  <c r="P33" i="3"/>
  <c r="P434" i="3"/>
  <c r="P149" i="3"/>
  <c r="P417" i="3"/>
  <c r="P36" i="3"/>
  <c r="P332" i="3"/>
  <c r="P331" i="3"/>
  <c r="P329" i="3"/>
  <c r="P327" i="3"/>
  <c r="P325" i="3"/>
  <c r="P472" i="3"/>
  <c r="P469" i="3"/>
  <c r="P467" i="3"/>
  <c r="P465" i="3"/>
  <c r="P463" i="3"/>
  <c r="P312" i="3"/>
  <c r="P310" i="3"/>
  <c r="P308" i="3"/>
  <c r="P306" i="3"/>
  <c r="P324" i="3"/>
  <c r="P322" i="3"/>
  <c r="P303" i="3"/>
  <c r="P301" i="3"/>
  <c r="P299" i="3"/>
  <c r="P297" i="3"/>
  <c r="P240" i="3"/>
  <c r="P242" i="3"/>
  <c r="P244" i="3"/>
  <c r="P246" i="3"/>
  <c r="P248" i="3"/>
  <c r="P250" i="3"/>
  <c r="P252" i="3"/>
  <c r="P254" i="3"/>
  <c r="P256" i="3"/>
  <c r="P258" i="3"/>
  <c r="P260" i="3"/>
  <c r="P262" i="3"/>
  <c r="P264" i="3"/>
  <c r="P291" i="3"/>
  <c r="P289" i="3"/>
  <c r="P287" i="3"/>
  <c r="P285" i="3"/>
  <c r="P283" i="3"/>
  <c r="P280" i="3"/>
  <c r="P278" i="3"/>
  <c r="P234" i="3"/>
  <c r="P232" i="3"/>
  <c r="P230" i="3"/>
  <c r="P228" i="3"/>
  <c r="P223" i="3"/>
  <c r="P221" i="3"/>
  <c r="P219" i="3"/>
  <c r="P217" i="3"/>
  <c r="P97" i="3"/>
  <c r="P49" i="3"/>
  <c r="P51" i="3"/>
  <c r="P55" i="3"/>
  <c r="P57" i="3"/>
  <c r="P59" i="3"/>
  <c r="P61" i="3"/>
  <c r="P40" i="3"/>
  <c r="P44" i="3"/>
  <c r="P30" i="3"/>
  <c r="P12" i="3"/>
  <c r="P16" i="3"/>
  <c r="P20" i="3"/>
  <c r="P198" i="3"/>
  <c r="P130" i="3"/>
  <c r="P80" i="3"/>
  <c r="P11" i="3"/>
  <c r="P495" i="3"/>
  <c r="P519" i="3"/>
  <c r="P239" i="3"/>
  <c r="P206" i="3"/>
  <c r="P506" i="3"/>
  <c r="P227" i="3"/>
  <c r="P384" i="3"/>
  <c r="P330" i="3"/>
  <c r="P326" i="3"/>
  <c r="P470" i="3"/>
  <c r="P466" i="3"/>
  <c r="P462" i="3"/>
  <c r="P309" i="3"/>
  <c r="P305" i="3"/>
  <c r="P304" i="3"/>
  <c r="P300" i="3"/>
  <c r="P296" i="3"/>
  <c r="P243" i="3"/>
  <c r="P247" i="3"/>
  <c r="P251" i="3"/>
  <c r="P255" i="3"/>
  <c r="P259" i="3"/>
  <c r="P263" i="3"/>
  <c r="P290" i="3"/>
  <c r="P286" i="3"/>
  <c r="P281" i="3"/>
  <c r="P235" i="3"/>
  <c r="P231" i="3"/>
  <c r="P224" i="3"/>
  <c r="P220" i="3"/>
  <c r="P98" i="3"/>
  <c r="P50" i="3"/>
  <c r="P56" i="3"/>
  <c r="P60" i="3"/>
  <c r="P42" i="3"/>
  <c r="P32" i="3"/>
  <c r="P18" i="3"/>
  <c r="P165" i="3"/>
  <c r="P48" i="3"/>
  <c r="P504" i="3"/>
  <c r="P336" i="3"/>
  <c r="P537" i="3"/>
  <c r="P17" i="3"/>
  <c r="P39" i="3"/>
  <c r="P67" i="3"/>
  <c r="P69" i="3"/>
  <c r="P70" i="3"/>
  <c r="P71" i="3"/>
  <c r="P75" i="3"/>
  <c r="P77" i="3"/>
  <c r="P84" i="3"/>
  <c r="P87" i="3"/>
  <c r="P100" i="3"/>
  <c r="P275" i="3"/>
  <c r="P272" i="3"/>
  <c r="P268" i="3"/>
  <c r="P267" i="3"/>
  <c r="P266" i="3"/>
  <c r="P521" i="3"/>
  <c r="P524" i="3"/>
  <c r="P526" i="3"/>
  <c r="P528" i="3"/>
  <c r="P530" i="3"/>
  <c r="P478" i="3"/>
  <c r="P351" i="3"/>
  <c r="P349" i="3"/>
  <c r="P347" i="3"/>
  <c r="P345" i="3"/>
  <c r="P343" i="3"/>
  <c r="P341" i="3"/>
  <c r="P339" i="3"/>
  <c r="P337" i="3"/>
  <c r="P520" i="3"/>
  <c r="P191" i="3"/>
  <c r="P187" i="3"/>
  <c r="P183" i="3"/>
  <c r="P179" i="3"/>
  <c r="P538" i="3"/>
  <c r="P192" i="3"/>
  <c r="P184" i="3"/>
  <c r="P177" i="3"/>
  <c r="P167" i="3"/>
  <c r="P151" i="3"/>
  <c r="P153" i="3"/>
  <c r="P155" i="3"/>
  <c r="P157" i="3"/>
  <c r="P190" i="3"/>
  <c r="P176" i="3"/>
  <c r="P174" i="3"/>
  <c r="P172" i="3"/>
  <c r="P131" i="3"/>
  <c r="P133" i="3"/>
  <c r="P135" i="3"/>
  <c r="P137" i="3"/>
  <c r="P139" i="3"/>
  <c r="P141" i="3"/>
  <c r="P143" i="3"/>
  <c r="P145" i="3"/>
  <c r="P110" i="3"/>
  <c r="P113" i="3"/>
  <c r="P115" i="3"/>
  <c r="P117" i="3"/>
  <c r="P119" i="3"/>
  <c r="P121" i="3"/>
  <c r="P186" i="3"/>
  <c r="P461" i="3"/>
  <c r="P459" i="3"/>
  <c r="P457" i="3"/>
  <c r="P452" i="3"/>
  <c r="P450" i="3"/>
  <c r="P448" i="3"/>
  <c r="P446" i="3"/>
  <c r="P441" i="3"/>
  <c r="P439" i="3"/>
  <c r="P437" i="3"/>
  <c r="P435" i="3"/>
  <c r="P413" i="3"/>
  <c r="P411" i="3"/>
  <c r="P409" i="3"/>
  <c r="P407" i="3"/>
  <c r="P405" i="3"/>
  <c r="P400" i="3"/>
  <c r="P398" i="3"/>
  <c r="P396" i="3"/>
  <c r="P394" i="3"/>
  <c r="P392" i="3"/>
  <c r="P390" i="3"/>
  <c r="P388" i="3"/>
  <c r="P386" i="3"/>
  <c r="P379" i="3"/>
  <c r="P377" i="3"/>
  <c r="P375" i="3"/>
  <c r="P373" i="3"/>
  <c r="P371" i="3"/>
  <c r="P369" i="3"/>
  <c r="P367" i="3"/>
  <c r="P365" i="3"/>
  <c r="P363" i="3"/>
  <c r="P361" i="3"/>
  <c r="P357" i="3"/>
  <c r="P315" i="3"/>
  <c r="P313" i="3"/>
  <c r="P542" i="3"/>
  <c r="P494" i="3"/>
  <c r="P523" i="3"/>
  <c r="N516" i="3"/>
  <c r="N497" i="3"/>
  <c r="N501" i="3"/>
  <c r="N420" i="3"/>
  <c r="N421" i="3"/>
  <c r="N424" i="3"/>
  <c r="N425" i="3"/>
  <c r="N428" i="3"/>
  <c r="N200" i="3"/>
  <c r="N496" i="3"/>
  <c r="N418" i="3"/>
  <c r="N419" i="3"/>
  <c r="N426" i="3"/>
  <c r="N427" i="3"/>
  <c r="N201" i="3"/>
  <c r="N204" i="3"/>
  <c r="N205" i="3"/>
  <c r="N206" i="3"/>
  <c r="N207" i="3"/>
  <c r="N209" i="3"/>
  <c r="N498" i="3"/>
  <c r="N422" i="3"/>
  <c r="N423" i="3"/>
  <c r="N506" i="3"/>
  <c r="N508" i="3"/>
  <c r="N510" i="3"/>
  <c r="N512" i="3"/>
  <c r="N27" i="3"/>
  <c r="N31" i="3"/>
  <c r="N26" i="3"/>
  <c r="N216" i="3"/>
  <c r="N445" i="3"/>
  <c r="N41" i="3"/>
  <c r="N23" i="3"/>
  <c r="N127" i="3"/>
  <c r="N384" i="3"/>
  <c r="N417" i="3"/>
  <c r="N36" i="3"/>
  <c r="N203" i="3"/>
  <c r="N210" i="3"/>
  <c r="N211" i="3"/>
  <c r="N507" i="3"/>
  <c r="N511" i="3"/>
  <c r="N29" i="3"/>
  <c r="N227" i="3"/>
  <c r="N96" i="3"/>
  <c r="N149" i="3"/>
  <c r="N403" i="3"/>
  <c r="N37" i="3"/>
  <c r="N332" i="3"/>
  <c r="N331" i="3"/>
  <c r="N329" i="3"/>
  <c r="N327" i="3"/>
  <c r="N325" i="3"/>
  <c r="N472" i="3"/>
  <c r="N469" i="3"/>
  <c r="N467" i="3"/>
  <c r="N465" i="3"/>
  <c r="N463" i="3"/>
  <c r="N312" i="3"/>
  <c r="N310" i="3"/>
  <c r="N308" i="3"/>
  <c r="N306" i="3"/>
  <c r="N324" i="3"/>
  <c r="N322" i="3"/>
  <c r="N303" i="3"/>
  <c r="N301" i="3"/>
  <c r="N299" i="3"/>
  <c r="N297" i="3"/>
  <c r="N240" i="3"/>
  <c r="N242" i="3"/>
  <c r="N244" i="3"/>
  <c r="N246" i="3"/>
  <c r="N248" i="3"/>
  <c r="N250" i="3"/>
  <c r="N252" i="3"/>
  <c r="N254" i="3"/>
  <c r="N256" i="3"/>
  <c r="N258" i="3"/>
  <c r="N260" i="3"/>
  <c r="N262" i="3"/>
  <c r="N264" i="3"/>
  <c r="N291" i="3"/>
  <c r="N289" i="3"/>
  <c r="N287" i="3"/>
  <c r="N285" i="3"/>
  <c r="N283" i="3"/>
  <c r="N280" i="3"/>
  <c r="N278" i="3"/>
  <c r="N234" i="3"/>
  <c r="N232" i="3"/>
  <c r="N230" i="3"/>
  <c r="N228" i="3"/>
  <c r="N223" i="3"/>
  <c r="N221" i="3"/>
  <c r="N219" i="3"/>
  <c r="N217" i="3"/>
  <c r="N97" i="3"/>
  <c r="N49" i="3"/>
  <c r="N51" i="3"/>
  <c r="N55" i="3"/>
  <c r="N57" i="3"/>
  <c r="N59" i="3"/>
  <c r="N61" i="3"/>
  <c r="N40" i="3"/>
  <c r="N44" i="3"/>
  <c r="N30" i="3"/>
  <c r="N12" i="3"/>
  <c r="N16" i="3"/>
  <c r="N20" i="3"/>
  <c r="N198" i="3"/>
  <c r="N130" i="3"/>
  <c r="N80" i="3"/>
  <c r="N11" i="3"/>
  <c r="N504" i="3"/>
  <c r="N239" i="3"/>
  <c r="N202" i="3"/>
  <c r="N456" i="3"/>
  <c r="N513" i="3"/>
  <c r="N33" i="3"/>
  <c r="N356" i="3"/>
  <c r="N19" i="3"/>
  <c r="N330" i="3"/>
  <c r="N326" i="3"/>
  <c r="N470" i="3"/>
  <c r="N466" i="3"/>
  <c r="N462" i="3"/>
  <c r="N309" i="3"/>
  <c r="N305" i="3"/>
  <c r="N304" i="3"/>
  <c r="N300" i="3"/>
  <c r="N296" i="3"/>
  <c r="N243" i="3"/>
  <c r="N247" i="3"/>
  <c r="N251" i="3"/>
  <c r="N255" i="3"/>
  <c r="N259" i="3"/>
  <c r="N263" i="3"/>
  <c r="N290" i="3"/>
  <c r="N286" i="3"/>
  <c r="N281" i="3"/>
  <c r="N235" i="3"/>
  <c r="N231" i="3"/>
  <c r="N224" i="3"/>
  <c r="N220" i="3"/>
  <c r="N98" i="3"/>
  <c r="N50" i="3"/>
  <c r="N56" i="3"/>
  <c r="N60" i="3"/>
  <c r="N42" i="3"/>
  <c r="N32" i="3"/>
  <c r="N18" i="3"/>
  <c r="N165" i="3"/>
  <c r="N48" i="3"/>
  <c r="N519" i="3"/>
  <c r="N541" i="3"/>
  <c r="N64" i="3"/>
  <c r="N170" i="3"/>
  <c r="N21" i="3"/>
  <c r="N13" i="3"/>
  <c r="N43" i="3"/>
  <c r="N65" i="3"/>
  <c r="N66" i="3"/>
  <c r="N68" i="3"/>
  <c r="N72" i="3"/>
  <c r="N73" i="3"/>
  <c r="N74" i="3"/>
  <c r="N76" i="3"/>
  <c r="N81" i="3"/>
  <c r="N82" i="3"/>
  <c r="N83" i="3"/>
  <c r="N85" i="3"/>
  <c r="N86" i="3"/>
  <c r="N88" i="3"/>
  <c r="N89" i="3"/>
  <c r="N90" i="3"/>
  <c r="N91" i="3"/>
  <c r="N273" i="3"/>
  <c r="N271" i="3"/>
  <c r="N270" i="3"/>
  <c r="N269" i="3"/>
  <c r="N537" i="3"/>
  <c r="N521" i="3"/>
  <c r="N524" i="3"/>
  <c r="N526" i="3"/>
  <c r="N528" i="3"/>
  <c r="N530" i="3"/>
  <c r="N178" i="3"/>
  <c r="N351" i="3"/>
  <c r="N349" i="3"/>
  <c r="N347" i="3"/>
  <c r="N345" i="3"/>
  <c r="N343" i="3"/>
  <c r="N341" i="3"/>
  <c r="N339" i="3"/>
  <c r="N337" i="3"/>
  <c r="N545" i="3"/>
  <c r="N191" i="3"/>
  <c r="N187" i="3"/>
  <c r="N183" i="3"/>
  <c r="N179" i="3"/>
  <c r="N533" i="3"/>
  <c r="N192" i="3"/>
  <c r="N184" i="3"/>
  <c r="N177" i="3"/>
  <c r="N167" i="3"/>
  <c r="N151" i="3"/>
  <c r="N153" i="3"/>
  <c r="N155" i="3"/>
  <c r="N157" i="3"/>
  <c r="N190" i="3"/>
  <c r="N176" i="3"/>
  <c r="N174" i="3"/>
  <c r="N172" i="3"/>
  <c r="N131" i="3"/>
  <c r="N133" i="3"/>
  <c r="N135" i="3"/>
  <c r="N137" i="3"/>
  <c r="N139" i="3"/>
  <c r="N141" i="3"/>
  <c r="N143" i="3"/>
  <c r="N145" i="3"/>
  <c r="N110" i="3"/>
  <c r="N113" i="3"/>
  <c r="N115" i="3"/>
  <c r="N117" i="3"/>
  <c r="N119" i="3"/>
  <c r="N121" i="3"/>
  <c r="N478" i="3"/>
  <c r="N315" i="3"/>
  <c r="N318" i="3"/>
  <c r="N358" i="3"/>
  <c r="N362" i="3"/>
  <c r="N364" i="3"/>
  <c r="N366" i="3"/>
  <c r="N368" i="3"/>
  <c r="N370" i="3"/>
  <c r="N372" i="3"/>
  <c r="N374" i="3"/>
  <c r="N376" i="3"/>
  <c r="N378" i="3"/>
  <c r="N385" i="3"/>
  <c r="N387" i="3"/>
  <c r="N389" i="3"/>
  <c r="N391" i="3"/>
  <c r="N393" i="3"/>
  <c r="N395" i="3"/>
  <c r="N397" i="3"/>
  <c r="N399" i="3"/>
  <c r="N404" i="3"/>
  <c r="N406" i="3"/>
  <c r="N408" i="3"/>
  <c r="N410" i="3"/>
  <c r="N412" i="3"/>
  <c r="N414" i="3"/>
  <c r="N436" i="3"/>
  <c r="N438" i="3"/>
  <c r="N440" i="3"/>
  <c r="N442" i="3"/>
  <c r="N447" i="3"/>
  <c r="N449" i="3"/>
  <c r="N451" i="3"/>
  <c r="N453" i="3"/>
  <c r="N458" i="3"/>
  <c r="N460" i="3"/>
  <c r="N479" i="3"/>
  <c r="N523" i="3"/>
  <c r="N542" i="3"/>
  <c r="N126" i="3"/>
  <c r="E386" i="7" s="1"/>
  <c r="L496" i="3"/>
  <c r="L498" i="3"/>
  <c r="L418" i="3"/>
  <c r="L419" i="3"/>
  <c r="L422" i="3"/>
  <c r="L423" i="3"/>
  <c r="L426" i="3"/>
  <c r="L427" i="3"/>
  <c r="L201" i="3"/>
  <c r="L202" i="3"/>
  <c r="L203" i="3"/>
  <c r="L204" i="3"/>
  <c r="L205" i="3"/>
  <c r="L497" i="3"/>
  <c r="L424" i="3"/>
  <c r="L425" i="3"/>
  <c r="L210" i="3"/>
  <c r="L211" i="3"/>
  <c r="L501" i="3"/>
  <c r="L420" i="3"/>
  <c r="L421" i="3"/>
  <c r="L206" i="3"/>
  <c r="L207" i="3"/>
  <c r="L456" i="3"/>
  <c r="L506" i="3"/>
  <c r="L508" i="3"/>
  <c r="L510" i="3"/>
  <c r="L512" i="3"/>
  <c r="L516" i="3"/>
  <c r="L27" i="3"/>
  <c r="L31" i="3"/>
  <c r="L26" i="3"/>
  <c r="L227" i="3"/>
  <c r="L434" i="3"/>
  <c r="L96" i="3"/>
  <c r="L19" i="3"/>
  <c r="L127" i="3"/>
  <c r="L403" i="3"/>
  <c r="L126" i="3"/>
  <c r="E384" i="7" s="1"/>
  <c r="L23" i="3"/>
  <c r="L37" i="3"/>
  <c r="L428" i="3"/>
  <c r="L209" i="3"/>
  <c r="L545" i="3"/>
  <c r="L509" i="3"/>
  <c r="L513" i="3"/>
  <c r="L45" i="3"/>
  <c r="L33" i="3"/>
  <c r="L216" i="3"/>
  <c r="L149" i="3"/>
  <c r="L417" i="3"/>
  <c r="L332" i="3"/>
  <c r="L331" i="3"/>
  <c r="L329" i="3"/>
  <c r="L327" i="3"/>
  <c r="L325" i="3"/>
  <c r="L472" i="3"/>
  <c r="L469" i="3"/>
  <c r="L467" i="3"/>
  <c r="L465" i="3"/>
  <c r="L463" i="3"/>
  <c r="L312" i="3"/>
  <c r="L310" i="3"/>
  <c r="L308" i="3"/>
  <c r="L306" i="3"/>
  <c r="L324" i="3"/>
  <c r="L322" i="3"/>
  <c r="L303" i="3"/>
  <c r="L301" i="3"/>
  <c r="L299" i="3"/>
  <c r="L297" i="3"/>
  <c r="L240" i="3"/>
  <c r="L242" i="3"/>
  <c r="L244" i="3"/>
  <c r="L246" i="3"/>
  <c r="L248" i="3"/>
  <c r="L250" i="3"/>
  <c r="L252" i="3"/>
  <c r="L254" i="3"/>
  <c r="L256" i="3"/>
  <c r="L258" i="3"/>
  <c r="L260" i="3"/>
  <c r="L262" i="3"/>
  <c r="L264" i="3"/>
  <c r="L291" i="3"/>
  <c r="L289" i="3"/>
  <c r="L287" i="3"/>
  <c r="L285" i="3"/>
  <c r="L283" i="3"/>
  <c r="L280" i="3"/>
  <c r="L278" i="3"/>
  <c r="L234" i="3"/>
  <c r="L232" i="3"/>
  <c r="L230" i="3"/>
  <c r="L228" i="3"/>
  <c r="L223" i="3"/>
  <c r="L221" i="3"/>
  <c r="L219" i="3"/>
  <c r="L217" i="3"/>
  <c r="L97" i="3"/>
  <c r="L49" i="3"/>
  <c r="L51" i="3"/>
  <c r="L55" i="3"/>
  <c r="L57" i="3"/>
  <c r="L59" i="3"/>
  <c r="L61" i="3"/>
  <c r="L40" i="3"/>
  <c r="L44" i="3"/>
  <c r="L30" i="3"/>
  <c r="L12" i="3"/>
  <c r="L16" i="3"/>
  <c r="L20" i="3"/>
  <c r="L198" i="3"/>
  <c r="L130" i="3"/>
  <c r="L80" i="3"/>
  <c r="L36" i="3"/>
  <c r="L495" i="3"/>
  <c r="L519" i="3"/>
  <c r="L336" i="3"/>
  <c r="L511" i="3"/>
  <c r="L29" i="3"/>
  <c r="L445" i="3"/>
  <c r="L384" i="3"/>
  <c r="L328" i="3"/>
  <c r="L473" i="3"/>
  <c r="L468" i="3"/>
  <c r="L464" i="3"/>
  <c r="L311" i="3"/>
  <c r="L307" i="3"/>
  <c r="L323" i="3"/>
  <c r="L302" i="3"/>
  <c r="L298" i="3"/>
  <c r="L241" i="3"/>
  <c r="L245" i="3"/>
  <c r="L249" i="3"/>
  <c r="L253" i="3"/>
  <c r="L257" i="3"/>
  <c r="L261" i="3"/>
  <c r="L265" i="3"/>
  <c r="L288" i="3"/>
  <c r="L284" i="3"/>
  <c r="L279" i="3"/>
  <c r="L233" i="3"/>
  <c r="L229" i="3"/>
  <c r="L222" i="3"/>
  <c r="L218" i="3"/>
  <c r="L94" i="3"/>
  <c r="L52" i="3"/>
  <c r="L58" i="3"/>
  <c r="L38" i="3"/>
  <c r="L28" i="3"/>
  <c r="L14" i="3"/>
  <c r="L22" i="3"/>
  <c r="L109" i="3"/>
  <c r="L11" i="3"/>
  <c r="L239" i="3"/>
  <c r="L79" i="3"/>
  <c r="L17" i="3"/>
  <c r="L39" i="3"/>
  <c r="L67" i="3"/>
  <c r="L69" i="3"/>
  <c r="L70" i="3"/>
  <c r="L71" i="3"/>
  <c r="L75" i="3"/>
  <c r="L77" i="3"/>
  <c r="L84" i="3"/>
  <c r="L87" i="3"/>
  <c r="L100" i="3"/>
  <c r="L275" i="3"/>
  <c r="L272" i="3"/>
  <c r="L268" i="3"/>
  <c r="L267" i="3"/>
  <c r="L266" i="3"/>
  <c r="L335" i="3"/>
  <c r="L521" i="3"/>
  <c r="L524" i="3"/>
  <c r="L526" i="3"/>
  <c r="L528" i="3"/>
  <c r="L530" i="3"/>
  <c r="L178" i="3"/>
  <c r="L351" i="3"/>
  <c r="L349" i="3"/>
  <c r="L347" i="3"/>
  <c r="L345" i="3"/>
  <c r="L343" i="3"/>
  <c r="L341" i="3"/>
  <c r="L339" i="3"/>
  <c r="L337" i="3"/>
  <c r="L520" i="3"/>
  <c r="L191" i="3"/>
  <c r="L187" i="3"/>
  <c r="L183" i="3"/>
  <c r="L179" i="3"/>
  <c r="L533" i="3"/>
  <c r="L188" i="3"/>
  <c r="L180" i="3"/>
  <c r="L166" i="3"/>
  <c r="L150" i="3"/>
  <c r="L152" i="3"/>
  <c r="L154" i="3"/>
  <c r="L156" i="3"/>
  <c r="L162" i="3"/>
  <c r="L182" i="3"/>
  <c r="L175" i="3"/>
  <c r="L173" i="3"/>
  <c r="L171" i="3"/>
  <c r="L132" i="3"/>
  <c r="L134" i="3"/>
  <c r="L136" i="3"/>
  <c r="L138" i="3"/>
  <c r="L140" i="3"/>
  <c r="L142" i="3"/>
  <c r="L144" i="3"/>
  <c r="L146" i="3"/>
  <c r="L111" i="3"/>
  <c r="L114" i="3"/>
  <c r="L116" i="3"/>
  <c r="L118" i="3"/>
  <c r="L120" i="3"/>
  <c r="L124" i="3"/>
  <c r="L314" i="3"/>
  <c r="L356" i="3"/>
  <c r="L357" i="3"/>
  <c r="L361" i="3"/>
  <c r="L363" i="3"/>
  <c r="L365" i="3"/>
  <c r="L367" i="3"/>
  <c r="L369" i="3"/>
  <c r="L371" i="3"/>
  <c r="L373" i="3"/>
  <c r="L375" i="3"/>
  <c r="L377" i="3"/>
  <c r="L379" i="3"/>
  <c r="L386" i="3"/>
  <c r="L388" i="3"/>
  <c r="L390" i="3"/>
  <c r="L392" i="3"/>
  <c r="L394" i="3"/>
  <c r="L396" i="3"/>
  <c r="L398" i="3"/>
  <c r="L400" i="3"/>
  <c r="L405" i="3"/>
  <c r="L407" i="3"/>
  <c r="L409" i="3"/>
  <c r="L411" i="3"/>
  <c r="L413" i="3"/>
  <c r="L435" i="3"/>
  <c r="L437" i="3"/>
  <c r="L439" i="3"/>
  <c r="L441" i="3"/>
  <c r="L446" i="3"/>
  <c r="L448" i="3"/>
  <c r="L450" i="3"/>
  <c r="L452" i="3"/>
  <c r="L457" i="3"/>
  <c r="L459" i="3"/>
  <c r="L461" i="3"/>
  <c r="L186" i="3"/>
  <c r="L199" i="3"/>
  <c r="L544" i="3"/>
  <c r="J497" i="3"/>
  <c r="J501" i="3"/>
  <c r="J420" i="3"/>
  <c r="J421" i="3"/>
  <c r="J424" i="3"/>
  <c r="J425" i="3"/>
  <c r="J428" i="3"/>
  <c r="J200" i="3"/>
  <c r="J498" i="3"/>
  <c r="J422" i="3"/>
  <c r="J423" i="3"/>
  <c r="J202" i="3"/>
  <c r="J203" i="3"/>
  <c r="J206" i="3"/>
  <c r="J207" i="3"/>
  <c r="J209" i="3"/>
  <c r="J418" i="3"/>
  <c r="J419" i="3"/>
  <c r="J204" i="3"/>
  <c r="J205" i="3"/>
  <c r="J210" i="3"/>
  <c r="J211" i="3"/>
  <c r="J507" i="3"/>
  <c r="J509" i="3"/>
  <c r="J511" i="3"/>
  <c r="J513" i="3"/>
  <c r="J45" i="3"/>
  <c r="J29" i="3"/>
  <c r="J33" i="3"/>
  <c r="J227" i="3"/>
  <c r="J445" i="3"/>
  <c r="J19" i="3"/>
  <c r="J41" i="3"/>
  <c r="J23" i="3"/>
  <c r="J127" i="3"/>
  <c r="J403" i="3"/>
  <c r="J434" i="3"/>
  <c r="J496" i="3"/>
  <c r="J426" i="3"/>
  <c r="J201" i="3"/>
  <c r="J508" i="3"/>
  <c r="J512" i="3"/>
  <c r="J27" i="3"/>
  <c r="J26" i="3"/>
  <c r="J456" i="3"/>
  <c r="J15" i="3"/>
  <c r="J384" i="3"/>
  <c r="J332" i="3"/>
  <c r="J331" i="3"/>
  <c r="J329" i="3"/>
  <c r="J327" i="3"/>
  <c r="J325" i="3"/>
  <c r="J472" i="3"/>
  <c r="J469" i="3"/>
  <c r="J467" i="3"/>
  <c r="J465" i="3"/>
  <c r="J463" i="3"/>
  <c r="J312" i="3"/>
  <c r="J310" i="3"/>
  <c r="J308" i="3"/>
  <c r="J306" i="3"/>
  <c r="J324" i="3"/>
  <c r="J322" i="3"/>
  <c r="J303" i="3"/>
  <c r="J301" i="3"/>
  <c r="J299" i="3"/>
  <c r="J297" i="3"/>
  <c r="J241" i="3"/>
  <c r="J243" i="3"/>
  <c r="J245" i="3"/>
  <c r="J247" i="3"/>
  <c r="J249" i="3"/>
  <c r="J251" i="3"/>
  <c r="J253" i="3"/>
  <c r="J255" i="3"/>
  <c r="J257" i="3"/>
  <c r="J259" i="3"/>
  <c r="J261" i="3"/>
  <c r="J263" i="3"/>
  <c r="J265" i="3"/>
  <c r="J291" i="3"/>
  <c r="J289" i="3"/>
  <c r="J287" i="3"/>
  <c r="J285" i="3"/>
  <c r="J283" i="3"/>
  <c r="J280" i="3"/>
  <c r="J278" i="3"/>
  <c r="J234" i="3"/>
  <c r="J232" i="3"/>
  <c r="J230" i="3"/>
  <c r="J228" i="3"/>
  <c r="J223" i="3"/>
  <c r="J221" i="3"/>
  <c r="J219" i="3"/>
  <c r="J217" i="3"/>
  <c r="J97" i="3"/>
  <c r="J49" i="3"/>
  <c r="J51" i="3"/>
  <c r="J55" i="3"/>
  <c r="J57" i="3"/>
  <c r="J59" i="3"/>
  <c r="J61" i="3"/>
  <c r="J40" i="3"/>
  <c r="J44" i="3"/>
  <c r="J30" i="3"/>
  <c r="J12" i="3"/>
  <c r="J16" i="3"/>
  <c r="J20" i="3"/>
  <c r="J198" i="3"/>
  <c r="J130" i="3"/>
  <c r="J80" i="3"/>
  <c r="J36" i="3"/>
  <c r="J126" i="3"/>
  <c r="E382" i="7" s="1"/>
  <c r="J504" i="3"/>
  <c r="J239" i="3"/>
  <c r="J336" i="3"/>
  <c r="J427" i="3"/>
  <c r="J510" i="3"/>
  <c r="J335" i="3"/>
  <c r="J216" i="3"/>
  <c r="J149" i="3"/>
  <c r="J37" i="3"/>
  <c r="J328" i="3"/>
  <c r="J473" i="3"/>
  <c r="J468" i="3"/>
  <c r="J464" i="3"/>
  <c r="J311" i="3"/>
  <c r="J307" i="3"/>
  <c r="J323" i="3"/>
  <c r="J302" i="3"/>
  <c r="J298" i="3"/>
  <c r="J242" i="3"/>
  <c r="J246" i="3"/>
  <c r="J250" i="3"/>
  <c r="J254" i="3"/>
  <c r="J258" i="3"/>
  <c r="J262" i="3"/>
  <c r="J314" i="3"/>
  <c r="J288" i="3"/>
  <c r="J284" i="3"/>
  <c r="J279" i="3"/>
  <c r="J233" i="3"/>
  <c r="J229" i="3"/>
  <c r="J222" i="3"/>
  <c r="J218" i="3"/>
  <c r="J94" i="3"/>
  <c r="J52" i="3"/>
  <c r="J58" i="3"/>
  <c r="J38" i="3"/>
  <c r="J28" i="3"/>
  <c r="J14" i="3"/>
  <c r="J22" i="3"/>
  <c r="J109" i="3"/>
  <c r="J11" i="3"/>
  <c r="J519" i="3"/>
  <c r="J541" i="3"/>
  <c r="J64" i="3"/>
  <c r="J170" i="3"/>
  <c r="J21" i="3"/>
  <c r="J13" i="3"/>
  <c r="J43" i="3"/>
  <c r="J65" i="3"/>
  <c r="J66" i="3"/>
  <c r="J68" i="3"/>
  <c r="J72" i="3"/>
  <c r="J73" i="3"/>
  <c r="J74" i="3"/>
  <c r="J76" i="3"/>
  <c r="J81" i="3"/>
  <c r="J82" i="3"/>
  <c r="J83" i="3"/>
  <c r="J85" i="3"/>
  <c r="J86" i="3"/>
  <c r="J88" i="3"/>
  <c r="J89" i="3"/>
  <c r="J90" i="3"/>
  <c r="J91" i="3"/>
  <c r="J273" i="3"/>
  <c r="J271" i="3"/>
  <c r="J270" i="3"/>
  <c r="J269" i="3"/>
  <c r="J521" i="3"/>
  <c r="J524" i="3"/>
  <c r="J526" i="3"/>
  <c r="J528" i="3"/>
  <c r="J530" i="3"/>
  <c r="J178" i="3"/>
  <c r="J351" i="3"/>
  <c r="J349" i="3"/>
  <c r="J347" i="3"/>
  <c r="J345" i="3"/>
  <c r="J343" i="3"/>
  <c r="J341" i="3"/>
  <c r="J339" i="3"/>
  <c r="J337" i="3"/>
  <c r="J193" i="3"/>
  <c r="J189" i="3"/>
  <c r="J185" i="3"/>
  <c r="J181" i="3"/>
  <c r="J208" i="3"/>
  <c r="J533" i="3"/>
  <c r="J188" i="3"/>
  <c r="J180" i="3"/>
  <c r="J166" i="3"/>
  <c r="J150" i="3"/>
  <c r="J152" i="3"/>
  <c r="J154" i="3"/>
  <c r="J156" i="3"/>
  <c r="J162" i="3"/>
  <c r="J182" i="3"/>
  <c r="J175" i="3"/>
  <c r="J173" i="3"/>
  <c r="J171" i="3"/>
  <c r="J132" i="3"/>
  <c r="J134" i="3"/>
  <c r="J136" i="3"/>
  <c r="J138" i="3"/>
  <c r="J140" i="3"/>
  <c r="J142" i="3"/>
  <c r="J144" i="3"/>
  <c r="J146" i="3"/>
  <c r="J111" i="3"/>
  <c r="J114" i="3"/>
  <c r="J116" i="3"/>
  <c r="J118" i="3"/>
  <c r="J120" i="3"/>
  <c r="J124" i="3"/>
  <c r="J462" i="3"/>
  <c r="J315" i="3"/>
  <c r="J318" i="3"/>
  <c r="J358" i="3"/>
  <c r="J362" i="3"/>
  <c r="J364" i="3"/>
  <c r="J366" i="3"/>
  <c r="J368" i="3"/>
  <c r="J370" i="3"/>
  <c r="J372" i="3"/>
  <c r="J374" i="3"/>
  <c r="J376" i="3"/>
  <c r="J378" i="3"/>
  <c r="J385" i="3"/>
  <c r="J387" i="3"/>
  <c r="J389" i="3"/>
  <c r="J391" i="3"/>
  <c r="J393" i="3"/>
  <c r="J395" i="3"/>
  <c r="J397" i="3"/>
  <c r="J399" i="3"/>
  <c r="J404" i="3"/>
  <c r="J406" i="3"/>
  <c r="J408" i="3"/>
  <c r="J410" i="3"/>
  <c r="J412" i="3"/>
  <c r="J414" i="3"/>
  <c r="J436" i="3"/>
  <c r="J438" i="3"/>
  <c r="J440" i="3"/>
  <c r="J442" i="3"/>
  <c r="J447" i="3"/>
  <c r="J449" i="3"/>
  <c r="J451" i="3"/>
  <c r="J453" i="3"/>
  <c r="J458" i="3"/>
  <c r="J460" i="3"/>
  <c r="J479" i="3"/>
  <c r="J520" i="3"/>
  <c r="J199" i="3"/>
  <c r="J544" i="3"/>
  <c r="H496" i="3"/>
  <c r="H498" i="3"/>
  <c r="H418" i="3"/>
  <c r="H419" i="3"/>
  <c r="H422" i="3"/>
  <c r="H423" i="3"/>
  <c r="H426" i="3"/>
  <c r="H427" i="3"/>
  <c r="H201" i="3"/>
  <c r="H202" i="3"/>
  <c r="H203" i="3"/>
  <c r="H204" i="3"/>
  <c r="H205" i="3"/>
  <c r="H206" i="3"/>
  <c r="H501" i="3"/>
  <c r="H420" i="3"/>
  <c r="H421" i="3"/>
  <c r="H428" i="3"/>
  <c r="H200" i="3"/>
  <c r="H210" i="3"/>
  <c r="H211" i="3"/>
  <c r="H209" i="3"/>
  <c r="H506" i="3"/>
  <c r="H508" i="3"/>
  <c r="H510" i="3"/>
  <c r="H512" i="3"/>
  <c r="H516" i="3"/>
  <c r="H45" i="3"/>
  <c r="H29" i="3"/>
  <c r="H33" i="3"/>
  <c r="H23" i="3"/>
  <c r="H216" i="3"/>
  <c r="H456" i="3"/>
  <c r="H41" i="3"/>
  <c r="H149" i="3"/>
  <c r="H384" i="3"/>
  <c r="H417" i="3"/>
  <c r="H37" i="3"/>
  <c r="H424" i="3"/>
  <c r="H207" i="3"/>
  <c r="H507" i="3"/>
  <c r="H511" i="3"/>
  <c r="H31" i="3"/>
  <c r="H227" i="3"/>
  <c r="H96" i="3"/>
  <c r="H127" i="3"/>
  <c r="H434" i="3"/>
  <c r="H15" i="3"/>
  <c r="H333" i="3"/>
  <c r="H330" i="3"/>
  <c r="H328" i="3"/>
  <c r="H326" i="3"/>
  <c r="H473" i="3"/>
  <c r="H470" i="3"/>
  <c r="H468" i="3"/>
  <c r="H466" i="3"/>
  <c r="H464" i="3"/>
  <c r="H313" i="3"/>
  <c r="H311" i="3"/>
  <c r="H309" i="3"/>
  <c r="H307" i="3"/>
  <c r="H324" i="3"/>
  <c r="H322" i="3"/>
  <c r="H304" i="3"/>
  <c r="H302" i="3"/>
  <c r="H300" i="3"/>
  <c r="H298" i="3"/>
  <c r="H240" i="3"/>
  <c r="H242" i="3"/>
  <c r="H244" i="3"/>
  <c r="H246" i="3"/>
  <c r="H248" i="3"/>
  <c r="H250" i="3"/>
  <c r="H252" i="3"/>
  <c r="H254" i="3"/>
  <c r="H256" i="3"/>
  <c r="H258" i="3"/>
  <c r="H260" i="3"/>
  <c r="H262" i="3"/>
  <c r="H264" i="3"/>
  <c r="H315" i="3"/>
  <c r="H291" i="3"/>
  <c r="H289" i="3"/>
  <c r="H287" i="3"/>
  <c r="H285" i="3"/>
  <c r="H283" i="3"/>
  <c r="H280" i="3"/>
  <c r="H278" i="3"/>
  <c r="H234" i="3"/>
  <c r="H232" i="3"/>
  <c r="H230" i="3"/>
  <c r="H228" i="3"/>
  <c r="H223" i="3"/>
  <c r="H221" i="3"/>
  <c r="H219" i="3"/>
  <c r="H217" i="3"/>
  <c r="H97" i="3"/>
  <c r="H49" i="3"/>
  <c r="H51" i="3"/>
  <c r="H55" i="3"/>
  <c r="H57" i="3"/>
  <c r="H59" i="3"/>
  <c r="H61" i="3"/>
  <c r="H40" i="3"/>
  <c r="H44" i="3"/>
  <c r="H30" i="3"/>
  <c r="H12" i="3"/>
  <c r="H16" i="3"/>
  <c r="H20" i="3"/>
  <c r="H198" i="3"/>
  <c r="H130" i="3"/>
  <c r="H80" i="3"/>
  <c r="H36" i="3"/>
  <c r="H495" i="3"/>
  <c r="H519" i="3"/>
  <c r="H296" i="3"/>
  <c r="H497" i="3"/>
  <c r="H509" i="3"/>
  <c r="H26" i="3"/>
  <c r="H19" i="3"/>
  <c r="H478" i="3"/>
  <c r="H331" i="3"/>
  <c r="H327" i="3"/>
  <c r="H472" i="3"/>
  <c r="H467" i="3"/>
  <c r="H463" i="3"/>
  <c r="H310" i="3"/>
  <c r="H306" i="3"/>
  <c r="H305" i="3"/>
  <c r="H301" i="3"/>
  <c r="H297" i="3"/>
  <c r="H243" i="3"/>
  <c r="H247" i="3"/>
  <c r="H251" i="3"/>
  <c r="H255" i="3"/>
  <c r="H259" i="3"/>
  <c r="H263" i="3"/>
  <c r="H314" i="3"/>
  <c r="H288" i="3"/>
  <c r="H284" i="3"/>
  <c r="H279" i="3"/>
  <c r="H233" i="3"/>
  <c r="H229" i="3"/>
  <c r="H222" i="3"/>
  <c r="H218" i="3"/>
  <c r="H94" i="3"/>
  <c r="H52" i="3"/>
  <c r="H58" i="3"/>
  <c r="H38" i="3"/>
  <c r="H28" i="3"/>
  <c r="H14" i="3"/>
  <c r="H22" i="3"/>
  <c r="H109" i="3"/>
  <c r="H11" i="3"/>
  <c r="H239" i="3"/>
  <c r="H47" i="3"/>
  <c r="H17" i="3"/>
  <c r="H39" i="3"/>
  <c r="H67" i="3"/>
  <c r="H69" i="3"/>
  <c r="H70" i="3"/>
  <c r="H71" i="3"/>
  <c r="H75" i="3"/>
  <c r="H77" i="3"/>
  <c r="H84" i="3"/>
  <c r="H87" i="3"/>
  <c r="H100" i="3"/>
  <c r="H275" i="3"/>
  <c r="H272" i="3"/>
  <c r="H268" i="3"/>
  <c r="H267" i="3"/>
  <c r="H266" i="3"/>
  <c r="H522" i="3"/>
  <c r="H525" i="3"/>
  <c r="H527" i="3"/>
  <c r="H529" i="3"/>
  <c r="H505" i="3"/>
  <c r="H353" i="3"/>
  <c r="H350" i="3"/>
  <c r="H348" i="3"/>
  <c r="H346" i="3"/>
  <c r="H344" i="3"/>
  <c r="H342" i="3"/>
  <c r="H340" i="3"/>
  <c r="H338" i="3"/>
  <c r="H520" i="3"/>
  <c r="H191" i="3"/>
  <c r="H187" i="3"/>
  <c r="H183" i="3"/>
  <c r="H538" i="3"/>
  <c r="H192" i="3"/>
  <c r="H184" i="3"/>
  <c r="H179" i="3"/>
  <c r="H166" i="3"/>
  <c r="H150" i="3"/>
  <c r="H152" i="3"/>
  <c r="H154" i="3"/>
  <c r="H156" i="3"/>
  <c r="H162" i="3"/>
  <c r="H182" i="3"/>
  <c r="H175" i="3"/>
  <c r="H173" i="3"/>
  <c r="H171" i="3"/>
  <c r="H132" i="3"/>
  <c r="H134" i="3"/>
  <c r="H136" i="3"/>
  <c r="H138" i="3"/>
  <c r="H140" i="3"/>
  <c r="H142" i="3"/>
  <c r="H144" i="3"/>
  <c r="H146" i="3"/>
  <c r="H111" i="3"/>
  <c r="H114" i="3"/>
  <c r="H116" i="3"/>
  <c r="H118" i="3"/>
  <c r="H120" i="3"/>
  <c r="H124" i="3"/>
  <c r="H356" i="3"/>
  <c r="H357" i="3"/>
  <c r="H361" i="3"/>
  <c r="H363" i="3"/>
  <c r="H365" i="3"/>
  <c r="H367" i="3"/>
  <c r="H369" i="3"/>
  <c r="H371" i="3"/>
  <c r="H373" i="3"/>
  <c r="H375" i="3"/>
  <c r="H377" i="3"/>
  <c r="H379" i="3"/>
  <c r="H386" i="3"/>
  <c r="H388" i="3"/>
  <c r="H390" i="3"/>
  <c r="H392" i="3"/>
  <c r="H394" i="3"/>
  <c r="H396" i="3"/>
  <c r="H398" i="3"/>
  <c r="H400" i="3"/>
  <c r="H405" i="3"/>
  <c r="H407" i="3"/>
  <c r="H409" i="3"/>
  <c r="H411" i="3"/>
  <c r="H413" i="3"/>
  <c r="H435" i="3"/>
  <c r="H437" i="3"/>
  <c r="H439" i="3"/>
  <c r="H441" i="3"/>
  <c r="H446" i="3"/>
  <c r="H448" i="3"/>
  <c r="H450" i="3"/>
  <c r="H452" i="3"/>
  <c r="H457" i="3"/>
  <c r="H459" i="3"/>
  <c r="H461" i="3"/>
  <c r="H462" i="3"/>
  <c r="H186" i="3"/>
  <c r="H542" i="3"/>
  <c r="H545" i="3"/>
  <c r="H523" i="3"/>
  <c r="F497" i="3"/>
  <c r="F501" i="3"/>
  <c r="F420" i="3"/>
  <c r="F421" i="3"/>
  <c r="F424" i="3"/>
  <c r="F425" i="3"/>
  <c r="F428" i="3"/>
  <c r="F200" i="3"/>
  <c r="F496" i="3"/>
  <c r="F418" i="3"/>
  <c r="F419" i="3"/>
  <c r="F426" i="3"/>
  <c r="F427" i="3"/>
  <c r="F201" i="3"/>
  <c r="F204" i="3"/>
  <c r="F205" i="3"/>
  <c r="F207" i="3"/>
  <c r="F209" i="3"/>
  <c r="F202" i="3"/>
  <c r="F203" i="3"/>
  <c r="F507" i="3"/>
  <c r="F509" i="3"/>
  <c r="F511" i="3"/>
  <c r="F513" i="3"/>
  <c r="F23" i="3"/>
  <c r="F445" i="3"/>
  <c r="F96" i="3"/>
  <c r="F27" i="3"/>
  <c r="F149" i="3"/>
  <c r="F384" i="3"/>
  <c r="F417" i="3"/>
  <c r="F31" i="3"/>
  <c r="F498" i="3"/>
  <c r="F422" i="3"/>
  <c r="F206" i="3"/>
  <c r="F506" i="3"/>
  <c r="F510" i="3"/>
  <c r="F516" i="3"/>
  <c r="F45" i="3"/>
  <c r="F456" i="3"/>
  <c r="F19" i="3"/>
  <c r="F403" i="3"/>
  <c r="F37" i="3"/>
  <c r="F333" i="3"/>
  <c r="F330" i="3"/>
  <c r="F328" i="3"/>
  <c r="F326" i="3"/>
  <c r="F473" i="3"/>
  <c r="F470" i="3"/>
  <c r="F468" i="3"/>
  <c r="F466" i="3"/>
  <c r="F464" i="3"/>
  <c r="F318" i="3"/>
  <c r="F312" i="3"/>
  <c r="F310" i="3"/>
  <c r="F308" i="3"/>
  <c r="F306" i="3"/>
  <c r="F323" i="3"/>
  <c r="F305" i="3"/>
  <c r="F303" i="3"/>
  <c r="F301" i="3"/>
  <c r="F299" i="3"/>
  <c r="F297" i="3"/>
  <c r="F241" i="3"/>
  <c r="F243" i="3"/>
  <c r="F245" i="3"/>
  <c r="F247" i="3"/>
  <c r="F249" i="3"/>
  <c r="F251" i="3"/>
  <c r="F253" i="3"/>
  <c r="F255" i="3"/>
  <c r="F257" i="3"/>
  <c r="F259" i="3"/>
  <c r="F261" i="3"/>
  <c r="F263" i="3"/>
  <c r="F265" i="3"/>
  <c r="F314" i="3"/>
  <c r="F290" i="3"/>
  <c r="F288" i="3"/>
  <c r="F286" i="3"/>
  <c r="F284" i="3"/>
  <c r="F281" i="3"/>
  <c r="F279" i="3"/>
  <c r="F235" i="3"/>
  <c r="F233" i="3"/>
  <c r="F231" i="3"/>
  <c r="F229" i="3"/>
  <c r="F224" i="3"/>
  <c r="F423" i="3"/>
  <c r="F210" i="3"/>
  <c r="F508" i="3"/>
  <c r="F227" i="3"/>
  <c r="F127" i="3"/>
  <c r="F332" i="3"/>
  <c r="F329" i="3"/>
  <c r="F325" i="3"/>
  <c r="F469" i="3"/>
  <c r="F465" i="3"/>
  <c r="F313" i="3"/>
  <c r="F309" i="3"/>
  <c r="F324" i="3"/>
  <c r="F304" i="3"/>
  <c r="F300" i="3"/>
  <c r="F240" i="3"/>
  <c r="F244" i="3"/>
  <c r="F248" i="3"/>
  <c r="F252" i="3"/>
  <c r="F256" i="3"/>
  <c r="F260" i="3"/>
  <c r="F264" i="3"/>
  <c r="F291" i="3"/>
  <c r="F287" i="3"/>
  <c r="F283" i="3"/>
  <c r="F278" i="3"/>
  <c r="F232" i="3"/>
  <c r="F228" i="3"/>
  <c r="F222" i="3"/>
  <c r="F220" i="3"/>
  <c r="F218" i="3"/>
  <c r="F98" i="3"/>
  <c r="F94" i="3"/>
  <c r="F50" i="3"/>
  <c r="F52" i="3"/>
  <c r="F56" i="3"/>
  <c r="F58" i="3"/>
  <c r="F60" i="3"/>
  <c r="F38" i="3"/>
  <c r="F42" i="3"/>
  <c r="F28" i="3"/>
  <c r="F32" i="3"/>
  <c r="F12" i="3"/>
  <c r="F16" i="3"/>
  <c r="F20" i="3"/>
  <c r="F198" i="3"/>
  <c r="F130" i="3"/>
  <c r="F80" i="3"/>
  <c r="F126" i="3"/>
  <c r="E378" i="7" s="1"/>
  <c r="F504" i="3"/>
  <c r="F239" i="3"/>
  <c r="F336" i="3"/>
  <c r="F541" i="3"/>
  <c r="F216" i="3"/>
  <c r="F36" i="3"/>
  <c r="F64" i="3"/>
  <c r="F170" i="3"/>
  <c r="F17" i="3"/>
  <c r="F33" i="3"/>
  <c r="F43" i="3"/>
  <c r="F65" i="3"/>
  <c r="F66" i="3"/>
  <c r="F68" i="3"/>
  <c r="F72" i="3"/>
  <c r="F73" i="3"/>
  <c r="F74" i="3"/>
  <c r="F76" i="3"/>
  <c r="F81" i="3"/>
  <c r="F83" i="3"/>
  <c r="F85" i="3"/>
  <c r="F87" i="3"/>
  <c r="F89" i="3"/>
  <c r="F91" i="3"/>
  <c r="F273" i="3"/>
  <c r="F271" i="3"/>
  <c r="F270" i="3"/>
  <c r="F269" i="3"/>
  <c r="F522" i="3"/>
  <c r="F525" i="3"/>
  <c r="F527" i="3"/>
  <c r="F529" i="3"/>
  <c r="F505" i="3"/>
  <c r="F462" i="3"/>
  <c r="F351" i="3"/>
  <c r="F349" i="3"/>
  <c r="F347" i="3"/>
  <c r="F345" i="3"/>
  <c r="F343" i="3"/>
  <c r="F341" i="3"/>
  <c r="F339" i="3"/>
  <c r="F337" i="3"/>
  <c r="F521" i="3"/>
  <c r="F191" i="3"/>
  <c r="F187" i="3"/>
  <c r="F183" i="3"/>
  <c r="F538" i="3"/>
  <c r="F520" i="3"/>
  <c r="F188" i="3"/>
  <c r="F180" i="3"/>
  <c r="F177" i="3"/>
  <c r="F167" i="3"/>
  <c r="F151" i="3"/>
  <c r="F153" i="3"/>
  <c r="F155" i="3"/>
  <c r="F157" i="3"/>
  <c r="F190" i="3"/>
  <c r="F176" i="3"/>
  <c r="F174" i="3"/>
  <c r="F172" i="3"/>
  <c r="F131" i="3"/>
  <c r="F133" i="3"/>
  <c r="F135" i="3"/>
  <c r="F137" i="3"/>
  <c r="F139" i="3"/>
  <c r="F141" i="3"/>
  <c r="F143" i="3"/>
  <c r="F145" i="3"/>
  <c r="F110" i="3"/>
  <c r="F113" i="3"/>
  <c r="F115" i="3"/>
  <c r="F117" i="3"/>
  <c r="F119" i="3"/>
  <c r="F121" i="3"/>
  <c r="F478" i="3"/>
  <c r="F358" i="3"/>
  <c r="F362" i="3"/>
  <c r="F364" i="3"/>
  <c r="F366" i="3"/>
  <c r="F368" i="3"/>
  <c r="F370" i="3"/>
  <c r="F372" i="3"/>
  <c r="F374" i="3"/>
  <c r="F376" i="3"/>
  <c r="F378" i="3"/>
  <c r="F385" i="3"/>
  <c r="F387" i="3"/>
  <c r="F389" i="3"/>
  <c r="F391" i="3"/>
  <c r="F393" i="3"/>
  <c r="F395" i="3"/>
  <c r="F397" i="3"/>
  <c r="F399" i="3"/>
  <c r="F404" i="3"/>
  <c r="F406" i="3"/>
  <c r="F408" i="3"/>
  <c r="F410" i="3"/>
  <c r="F412" i="3"/>
  <c r="F414" i="3"/>
  <c r="F436" i="3"/>
  <c r="F438" i="3"/>
  <c r="F440" i="3"/>
  <c r="F442" i="3"/>
  <c r="F447" i="3"/>
  <c r="F449" i="3"/>
  <c r="F451" i="3"/>
  <c r="F453" i="3"/>
  <c r="F458" i="3"/>
  <c r="F460" i="3"/>
  <c r="F479" i="3"/>
  <c r="F199" i="3"/>
  <c r="F544" i="3"/>
  <c r="V470" i="3"/>
  <c r="V466" i="3"/>
  <c r="V403" i="3"/>
  <c r="V397" i="3"/>
  <c r="V350" i="3"/>
  <c r="V346" i="3"/>
  <c r="V342" i="3"/>
  <c r="V338" i="3"/>
  <c r="V302" i="3"/>
  <c r="V298" i="3"/>
  <c r="V266" i="3"/>
  <c r="V187" i="3"/>
  <c r="V177" i="3"/>
  <c r="V155" i="3"/>
  <c r="V151" i="3"/>
  <c r="V94" i="3"/>
  <c r="V31" i="3"/>
  <c r="V41" i="3"/>
  <c r="V37" i="3"/>
  <c r="U296" i="3"/>
  <c r="T295" i="1"/>
  <c r="U295" i="3" s="1"/>
  <c r="T211" i="3"/>
  <c r="W43" i="2"/>
  <c r="W70" i="2" s="1"/>
  <c r="H455" i="3"/>
  <c r="F35" i="3"/>
  <c r="F335" i="3"/>
  <c r="F444" i="3"/>
  <c r="H10" i="3"/>
  <c r="H402" i="3"/>
  <c r="J129" i="3"/>
  <c r="L47" i="3"/>
  <c r="L215" i="3"/>
  <c r="P416" i="3"/>
  <c r="R35" i="3"/>
  <c r="V494" i="3"/>
  <c r="F355" i="3"/>
  <c r="H25" i="3"/>
  <c r="H360" i="3"/>
  <c r="J47" i="3"/>
  <c r="J226" i="3"/>
  <c r="L169" i="3"/>
  <c r="L462" i="3"/>
  <c r="V485" i="1"/>
  <c r="D543" i="3" s="1"/>
  <c r="F494" i="3"/>
  <c r="R503" i="3"/>
  <c r="P215" i="3"/>
  <c r="L523" i="3"/>
  <c r="H238" i="3"/>
  <c r="R540" i="3"/>
  <c r="H126" i="3"/>
  <c r="E380" i="7" s="1"/>
  <c r="F542" i="3"/>
  <c r="H544" i="3"/>
  <c r="J542" i="3"/>
  <c r="L542" i="3"/>
  <c r="N199" i="3"/>
  <c r="P199" i="3"/>
  <c r="R523" i="3"/>
  <c r="V542" i="3"/>
  <c r="N186" i="3"/>
  <c r="F186" i="3"/>
  <c r="H479" i="3"/>
  <c r="N461" i="3"/>
  <c r="F461" i="3"/>
  <c r="H460" i="3"/>
  <c r="J459" i="3"/>
  <c r="L458" i="3"/>
  <c r="N457" i="3"/>
  <c r="F457" i="3"/>
  <c r="H453" i="3"/>
  <c r="J452" i="3"/>
  <c r="L451" i="3"/>
  <c r="N450" i="3"/>
  <c r="F450" i="3"/>
  <c r="H449" i="3"/>
  <c r="J448" i="3"/>
  <c r="L447" i="3"/>
  <c r="N446" i="3"/>
  <c r="F446" i="3"/>
  <c r="H442" i="3"/>
  <c r="J441" i="3"/>
  <c r="L440" i="3"/>
  <c r="N439" i="3"/>
  <c r="F439" i="3"/>
  <c r="H438" i="3"/>
  <c r="J437" i="3"/>
  <c r="L436" i="3"/>
  <c r="N435" i="3"/>
  <c r="F435" i="3"/>
  <c r="H414" i="3"/>
  <c r="J413" i="3"/>
  <c r="L412" i="3"/>
  <c r="N411" i="3"/>
  <c r="F411" i="3"/>
  <c r="H410" i="3"/>
  <c r="J409" i="3"/>
  <c r="L408" i="3"/>
  <c r="N407" i="3"/>
  <c r="F407" i="3"/>
  <c r="H406" i="3"/>
  <c r="J405" i="3"/>
  <c r="L404" i="3"/>
  <c r="N400" i="3"/>
  <c r="F400" i="3"/>
  <c r="H399" i="3"/>
  <c r="J398" i="3"/>
  <c r="L397" i="3"/>
  <c r="N396" i="3"/>
  <c r="F396" i="3"/>
  <c r="H395" i="3"/>
  <c r="J394" i="3"/>
  <c r="L393" i="3"/>
  <c r="N392" i="3"/>
  <c r="F392" i="3"/>
  <c r="H391" i="3"/>
  <c r="J390" i="3"/>
  <c r="L389" i="3"/>
  <c r="N388" i="3"/>
  <c r="F388" i="3"/>
  <c r="H387" i="3"/>
  <c r="J386" i="3"/>
  <c r="L385" i="3"/>
  <c r="N379" i="3"/>
  <c r="F379" i="3"/>
  <c r="H378" i="3"/>
  <c r="J377" i="3"/>
  <c r="L376" i="3"/>
  <c r="N375" i="3"/>
  <c r="F375" i="3"/>
  <c r="H374" i="3"/>
  <c r="J373" i="3"/>
  <c r="L372" i="3"/>
  <c r="N371" i="3"/>
  <c r="F371" i="3"/>
  <c r="H370" i="3"/>
  <c r="J369" i="3"/>
  <c r="L368" i="3"/>
  <c r="N367" i="3"/>
  <c r="F367" i="3"/>
  <c r="H366" i="3"/>
  <c r="J365" i="3"/>
  <c r="L364" i="3"/>
  <c r="N363" i="3"/>
  <c r="F363" i="3"/>
  <c r="H362" i="3"/>
  <c r="J361" i="3"/>
  <c r="L358" i="3"/>
  <c r="N357" i="3"/>
  <c r="F357" i="3"/>
  <c r="F356" i="3"/>
  <c r="H318" i="3"/>
  <c r="N314" i="3"/>
  <c r="F124" i="3"/>
  <c r="F118" i="3"/>
  <c r="F114" i="3"/>
  <c r="F146" i="3"/>
  <c r="F142" i="3"/>
  <c r="F138" i="3"/>
  <c r="F134" i="3"/>
  <c r="F171" i="3"/>
  <c r="F175" i="3"/>
  <c r="F162" i="3"/>
  <c r="F154" i="3"/>
  <c r="F150" i="3"/>
  <c r="F179" i="3"/>
  <c r="F192" i="3"/>
  <c r="F181" i="3"/>
  <c r="F189" i="3"/>
  <c r="F208" i="3"/>
  <c r="H119" i="3"/>
  <c r="H115" i="3"/>
  <c r="H110" i="3"/>
  <c r="H143" i="3"/>
  <c r="H139" i="3"/>
  <c r="H135" i="3"/>
  <c r="H131" i="3"/>
  <c r="H174" i="3"/>
  <c r="H190" i="3"/>
  <c r="H155" i="3"/>
  <c r="H151" i="3"/>
  <c r="H177" i="3"/>
  <c r="H188" i="3"/>
  <c r="H181" i="3"/>
  <c r="H189" i="3"/>
  <c r="H208" i="3"/>
  <c r="J121" i="3"/>
  <c r="J117" i="3"/>
  <c r="J113" i="3"/>
  <c r="J145" i="3"/>
  <c r="J141" i="3"/>
  <c r="J137" i="3"/>
  <c r="J133" i="3"/>
  <c r="J172" i="3"/>
  <c r="J176" i="3"/>
  <c r="J157" i="3"/>
  <c r="J153" i="3"/>
  <c r="J167" i="3"/>
  <c r="J184" i="3"/>
  <c r="J538" i="3"/>
  <c r="J183" i="3"/>
  <c r="J191" i="3"/>
  <c r="L121" i="3"/>
  <c r="L117" i="3"/>
  <c r="L113" i="3"/>
  <c r="L145" i="3"/>
  <c r="L141" i="3"/>
  <c r="L137" i="3"/>
  <c r="L133" i="3"/>
  <c r="L172" i="3"/>
  <c r="L176" i="3"/>
  <c r="L157" i="3"/>
  <c r="L153" i="3"/>
  <c r="L167" i="3"/>
  <c r="L184" i="3"/>
  <c r="L538" i="3"/>
  <c r="L185" i="3"/>
  <c r="L193" i="3"/>
  <c r="N124" i="3"/>
  <c r="N118" i="3"/>
  <c r="N114" i="3"/>
  <c r="N146" i="3"/>
  <c r="N142" i="3"/>
  <c r="N138" i="3"/>
  <c r="N134" i="3"/>
  <c r="N171" i="3"/>
  <c r="N175" i="3"/>
  <c r="N162" i="3"/>
  <c r="N154" i="3"/>
  <c r="N150" i="3"/>
  <c r="N180" i="3"/>
  <c r="N520" i="3"/>
  <c r="N181" i="3"/>
  <c r="N189" i="3"/>
  <c r="N208" i="3"/>
  <c r="P318" i="3"/>
  <c r="P362" i="3"/>
  <c r="P366" i="3"/>
  <c r="P370" i="3"/>
  <c r="P374" i="3"/>
  <c r="P378" i="3"/>
  <c r="P387" i="3"/>
  <c r="P391" i="3"/>
  <c r="P395" i="3"/>
  <c r="P399" i="3"/>
  <c r="P406" i="3"/>
  <c r="P410" i="3"/>
  <c r="P414" i="3"/>
  <c r="P438" i="3"/>
  <c r="P442" i="3"/>
  <c r="P449" i="3"/>
  <c r="P453" i="3"/>
  <c r="P460" i="3"/>
  <c r="P124" i="3"/>
  <c r="P118" i="3"/>
  <c r="P114" i="3"/>
  <c r="P146" i="3"/>
  <c r="P142" i="3"/>
  <c r="P138" i="3"/>
  <c r="P134" i="3"/>
  <c r="P171" i="3"/>
  <c r="P175" i="3"/>
  <c r="P162" i="3"/>
  <c r="P154" i="3"/>
  <c r="P150" i="3"/>
  <c r="P180" i="3"/>
  <c r="P533" i="3"/>
  <c r="P181" i="3"/>
  <c r="P189" i="3"/>
  <c r="P208" i="3"/>
  <c r="R318" i="3"/>
  <c r="R362" i="3"/>
  <c r="R366" i="3"/>
  <c r="R370" i="3"/>
  <c r="R374" i="3"/>
  <c r="R378" i="3"/>
  <c r="R387" i="3"/>
  <c r="R391" i="3"/>
  <c r="R395" i="3"/>
  <c r="R399" i="3"/>
  <c r="R406" i="3"/>
  <c r="R410" i="3"/>
  <c r="R414" i="3"/>
  <c r="R438" i="3"/>
  <c r="R442" i="3"/>
  <c r="R449" i="3"/>
  <c r="R453" i="3"/>
  <c r="R460" i="3"/>
  <c r="R478" i="3"/>
  <c r="R119" i="3"/>
  <c r="R115" i="3"/>
  <c r="R110" i="3"/>
  <c r="R143" i="3"/>
  <c r="R139" i="3"/>
  <c r="R135" i="3"/>
  <c r="R131" i="3"/>
  <c r="R174" i="3"/>
  <c r="R190" i="3"/>
  <c r="R156" i="3"/>
  <c r="R152" i="3"/>
  <c r="R166" i="3"/>
  <c r="R188" i="3"/>
  <c r="R179" i="3"/>
  <c r="R187" i="3"/>
  <c r="R545" i="3"/>
  <c r="T318" i="3"/>
  <c r="T366" i="3"/>
  <c r="T374" i="3"/>
  <c r="T386" i="3"/>
  <c r="T390" i="3"/>
  <c r="T394" i="3"/>
  <c r="T398" i="3"/>
  <c r="T406" i="3"/>
  <c r="T414" i="3"/>
  <c r="T453" i="3"/>
  <c r="T124" i="3"/>
  <c r="T118" i="3"/>
  <c r="T114" i="3"/>
  <c r="T146" i="3"/>
  <c r="T142" i="3"/>
  <c r="T138" i="3"/>
  <c r="T134" i="3"/>
  <c r="T172" i="3"/>
  <c r="T190" i="3"/>
  <c r="T154" i="3"/>
  <c r="T180" i="3"/>
  <c r="T533" i="3"/>
  <c r="T185" i="3"/>
  <c r="V358" i="3"/>
  <c r="V376" i="3"/>
  <c r="V439" i="3"/>
  <c r="V111" i="3"/>
  <c r="V533" i="3"/>
  <c r="V545" i="3"/>
  <c r="F340" i="3"/>
  <c r="F344" i="3"/>
  <c r="F348" i="3"/>
  <c r="F353" i="3"/>
  <c r="F530" i="3"/>
  <c r="F526" i="3"/>
  <c r="H337" i="3"/>
  <c r="H341" i="3"/>
  <c r="H345" i="3"/>
  <c r="H349" i="3"/>
  <c r="H178" i="3"/>
  <c r="H528" i="3"/>
  <c r="H524" i="3"/>
  <c r="J338" i="3"/>
  <c r="J342" i="3"/>
  <c r="J346" i="3"/>
  <c r="J350" i="3"/>
  <c r="J505" i="3"/>
  <c r="J527" i="3"/>
  <c r="J522" i="3"/>
  <c r="L338" i="3"/>
  <c r="L342" i="3"/>
  <c r="L346" i="3"/>
  <c r="L350" i="3"/>
  <c r="L505" i="3"/>
  <c r="L527" i="3"/>
  <c r="L522" i="3"/>
  <c r="N338" i="3"/>
  <c r="N342" i="3"/>
  <c r="N346" i="3"/>
  <c r="N350" i="3"/>
  <c r="N505" i="3"/>
  <c r="N527" i="3"/>
  <c r="N522" i="3"/>
  <c r="P338" i="3"/>
  <c r="P342" i="3"/>
  <c r="P346" i="3"/>
  <c r="P350" i="3"/>
  <c r="P178" i="3"/>
  <c r="P527" i="3"/>
  <c r="P522" i="3"/>
  <c r="R338" i="3"/>
  <c r="R342" i="3"/>
  <c r="R346" i="3"/>
  <c r="R350" i="3"/>
  <c r="R530" i="3"/>
  <c r="R526" i="3"/>
  <c r="R521" i="3"/>
  <c r="T341" i="3"/>
  <c r="T349" i="3"/>
  <c r="T529" i="3"/>
  <c r="T525" i="3"/>
  <c r="V337" i="3"/>
  <c r="V341" i="3"/>
  <c r="V345" i="3"/>
  <c r="V349" i="3"/>
  <c r="V178" i="3"/>
  <c r="V527" i="3"/>
  <c r="V522" i="3"/>
  <c r="J532" i="3"/>
  <c r="J266" i="3"/>
  <c r="R266" i="3"/>
  <c r="J267" i="3"/>
  <c r="R267" i="3"/>
  <c r="J268" i="3"/>
  <c r="R268" i="3"/>
  <c r="L269" i="3"/>
  <c r="T269" i="3"/>
  <c r="L270" i="3"/>
  <c r="L271" i="3"/>
  <c r="T271" i="3"/>
  <c r="J272" i="3"/>
  <c r="R272" i="3"/>
  <c r="L273" i="3"/>
  <c r="T273" i="3"/>
  <c r="J275" i="3"/>
  <c r="R275" i="3"/>
  <c r="N100" i="3"/>
  <c r="F100" i="3"/>
  <c r="F88" i="3"/>
  <c r="F84" i="3"/>
  <c r="T91" i="3"/>
  <c r="L91" i="3"/>
  <c r="T90" i="3"/>
  <c r="L90" i="3"/>
  <c r="P89" i="3"/>
  <c r="H89" i="3"/>
  <c r="P88" i="3"/>
  <c r="H88" i="3"/>
  <c r="N87" i="3"/>
  <c r="T86" i="3"/>
  <c r="L86" i="3"/>
  <c r="P85" i="3"/>
  <c r="H85" i="3"/>
  <c r="N84" i="3"/>
  <c r="T83" i="3"/>
  <c r="L83" i="3"/>
  <c r="T82" i="3"/>
  <c r="L82" i="3"/>
  <c r="P81" i="3"/>
  <c r="H81" i="3"/>
  <c r="N77" i="3"/>
  <c r="F77" i="3"/>
  <c r="P76" i="3"/>
  <c r="H76" i="3"/>
  <c r="N75" i="3"/>
  <c r="F75" i="3"/>
  <c r="P74" i="3"/>
  <c r="H74" i="3"/>
  <c r="P73" i="3"/>
  <c r="H73" i="3"/>
  <c r="P72" i="3"/>
  <c r="H72" i="3"/>
  <c r="N71" i="3"/>
  <c r="F71" i="3"/>
  <c r="N70" i="3"/>
  <c r="F70" i="3"/>
  <c r="N69" i="3"/>
  <c r="F69" i="3"/>
  <c r="P68" i="3"/>
  <c r="H68" i="3"/>
  <c r="N67" i="3"/>
  <c r="F67" i="3"/>
  <c r="P66" i="3"/>
  <c r="H66" i="3"/>
  <c r="P65" i="3"/>
  <c r="H65" i="3"/>
  <c r="J39" i="3"/>
  <c r="R39" i="3"/>
  <c r="L43" i="3"/>
  <c r="T13" i="3"/>
  <c r="R17" i="3"/>
  <c r="P21" i="3"/>
  <c r="L13" i="3"/>
  <c r="J17" i="3"/>
  <c r="H21" i="3"/>
  <c r="F13" i="3"/>
  <c r="H170" i="3"/>
  <c r="P170" i="3"/>
  <c r="H64" i="3"/>
  <c r="P64" i="3"/>
  <c r="F11" i="3"/>
  <c r="V537" i="3"/>
  <c r="H541" i="3"/>
  <c r="P541" i="3"/>
  <c r="R126" i="3"/>
  <c r="E390" i="7" s="1"/>
  <c r="H295" i="3"/>
  <c r="F519" i="3"/>
  <c r="F48" i="3"/>
  <c r="F165" i="3"/>
  <c r="F18" i="3"/>
  <c r="F26" i="3"/>
  <c r="F44" i="3"/>
  <c r="F61" i="3"/>
  <c r="F57" i="3"/>
  <c r="F51" i="3"/>
  <c r="F97" i="3"/>
  <c r="F219" i="3"/>
  <c r="F223" i="3"/>
  <c r="F234" i="3"/>
  <c r="F285" i="3"/>
  <c r="F315" i="3"/>
  <c r="F258" i="3"/>
  <c r="F250" i="3"/>
  <c r="F242" i="3"/>
  <c r="F302" i="3"/>
  <c r="F307" i="3"/>
  <c r="F463" i="3"/>
  <c r="F472" i="3"/>
  <c r="F331" i="3"/>
  <c r="H504" i="3"/>
  <c r="H165" i="3"/>
  <c r="H32" i="3"/>
  <c r="H60" i="3"/>
  <c r="H50" i="3"/>
  <c r="H220" i="3"/>
  <c r="H231" i="3"/>
  <c r="H281" i="3"/>
  <c r="H290" i="3"/>
  <c r="H261" i="3"/>
  <c r="H253" i="3"/>
  <c r="H245" i="3"/>
  <c r="H299" i="3"/>
  <c r="H323" i="3"/>
  <c r="H312" i="3"/>
  <c r="H469" i="3"/>
  <c r="H329" i="3"/>
  <c r="J296" i="3"/>
  <c r="J48" i="3"/>
  <c r="J18" i="3"/>
  <c r="J42" i="3"/>
  <c r="J56" i="3"/>
  <c r="J98" i="3"/>
  <c r="J224" i="3"/>
  <c r="J235" i="3"/>
  <c r="J286" i="3"/>
  <c r="J264" i="3"/>
  <c r="J256" i="3"/>
  <c r="J248" i="3"/>
  <c r="J240" i="3"/>
  <c r="J304" i="3"/>
  <c r="J309" i="3"/>
  <c r="J466" i="3"/>
  <c r="J326" i="3"/>
  <c r="J333" i="3"/>
  <c r="L48" i="3"/>
  <c r="L18" i="3"/>
  <c r="L42" i="3"/>
  <c r="L56" i="3"/>
  <c r="L98" i="3"/>
  <c r="L224" i="3"/>
  <c r="L235" i="3"/>
  <c r="L286" i="3"/>
  <c r="L263" i="3"/>
  <c r="L255" i="3"/>
  <c r="L247" i="3"/>
  <c r="L296" i="3"/>
  <c r="L304" i="3"/>
  <c r="L309" i="3"/>
  <c r="L466" i="3"/>
  <c r="L326" i="3"/>
  <c r="N336" i="3"/>
  <c r="N109" i="3"/>
  <c r="N14" i="3"/>
  <c r="N38" i="3"/>
  <c r="N52" i="3"/>
  <c r="N218" i="3"/>
  <c r="N229" i="3"/>
  <c r="N279" i="3"/>
  <c r="N288" i="3"/>
  <c r="N261" i="3"/>
  <c r="N253" i="3"/>
  <c r="N245" i="3"/>
  <c r="N298" i="3"/>
  <c r="N323" i="3"/>
  <c r="N311" i="3"/>
  <c r="N468" i="3"/>
  <c r="N328" i="3"/>
  <c r="P127" i="3"/>
  <c r="P109" i="3"/>
  <c r="P14" i="3"/>
  <c r="P38" i="3"/>
  <c r="P52" i="3"/>
  <c r="P218" i="3"/>
  <c r="P229" i="3"/>
  <c r="P279" i="3"/>
  <c r="P288" i="3"/>
  <c r="P261" i="3"/>
  <c r="P253" i="3"/>
  <c r="P245" i="3"/>
  <c r="P298" i="3"/>
  <c r="P323" i="3"/>
  <c r="P311" i="3"/>
  <c r="P468" i="3"/>
  <c r="P328" i="3"/>
  <c r="R127" i="3"/>
  <c r="R165" i="3"/>
  <c r="R12" i="3"/>
  <c r="R61" i="3"/>
  <c r="R51" i="3"/>
  <c r="R219" i="3"/>
  <c r="R230" i="3"/>
  <c r="R280" i="3"/>
  <c r="R289" i="3"/>
  <c r="R260" i="3"/>
  <c r="R252" i="3"/>
  <c r="R244" i="3"/>
  <c r="R299" i="3"/>
  <c r="R324" i="3"/>
  <c r="R312" i="3"/>
  <c r="R469" i="3"/>
  <c r="R329" i="3"/>
  <c r="T519" i="3"/>
  <c r="T16" i="3"/>
  <c r="T97" i="3"/>
  <c r="T283" i="3"/>
  <c r="T254" i="3"/>
  <c r="T299" i="3"/>
  <c r="T469" i="3"/>
  <c r="R37" i="3"/>
  <c r="H403" i="3"/>
  <c r="J96" i="3"/>
  <c r="R149" i="3"/>
  <c r="F41" i="3"/>
  <c r="P41" i="3"/>
  <c r="H445" i="3"/>
  <c r="J31" i="3"/>
  <c r="N434" i="3"/>
  <c r="P29" i="3"/>
  <c r="V445" i="3"/>
  <c r="R456" i="3"/>
  <c r="H513" i="3"/>
  <c r="J506" i="3"/>
  <c r="N509" i="3"/>
  <c r="R512" i="3"/>
  <c r="T506" i="3"/>
  <c r="J35" i="3"/>
  <c r="J321" i="3"/>
  <c r="J433" i="3"/>
  <c r="L108" i="3"/>
  <c r="C384" i="7" s="1"/>
  <c r="J63" i="3"/>
  <c r="J108" i="3"/>
  <c r="C382" i="7" s="1"/>
  <c r="J383" i="3"/>
  <c r="P360" i="3"/>
  <c r="P455" i="3"/>
  <c r="N10" i="3"/>
  <c r="P79" i="3"/>
  <c r="P321" i="3"/>
  <c r="F211" i="3"/>
  <c r="R204" i="3"/>
  <c r="H425" i="3"/>
  <c r="V498" i="3"/>
  <c r="T336" i="3"/>
  <c r="T332" i="3"/>
  <c r="T329" i="3"/>
  <c r="T325" i="3"/>
  <c r="T310" i="3"/>
  <c r="T306" i="3"/>
  <c r="T264" i="3"/>
  <c r="T260" i="3"/>
  <c r="T256" i="3"/>
  <c r="T252" i="3"/>
  <c r="T248" i="3"/>
  <c r="T244" i="3"/>
  <c r="T240" i="3"/>
  <c r="T221" i="3"/>
  <c r="T217" i="3"/>
  <c r="T127" i="3"/>
  <c r="T29" i="3"/>
  <c r="S79" i="1"/>
  <c r="T79" i="3" s="1"/>
  <c r="R444" i="1"/>
  <c r="S444" i="3" s="1"/>
  <c r="V284" i="1"/>
  <c r="V275" i="1"/>
  <c r="V270" i="1"/>
  <c r="R215" i="1"/>
  <c r="S215" i="3" s="1"/>
  <c r="R148" i="1"/>
  <c r="S148" i="3" s="1"/>
  <c r="C391" i="7" s="1"/>
  <c r="V121" i="1"/>
  <c r="S121" i="3"/>
  <c r="R209" i="3"/>
  <c r="V205" i="1"/>
  <c r="V473" i="1"/>
  <c r="R473" i="3"/>
  <c r="R470" i="3"/>
  <c r="R468" i="3"/>
  <c r="R466" i="3"/>
  <c r="R464" i="3"/>
  <c r="R462" i="3"/>
  <c r="Q455" i="1"/>
  <c r="R455" i="3" s="1"/>
  <c r="V452" i="1"/>
  <c r="D452" i="3" s="1"/>
  <c r="Q444" i="1"/>
  <c r="R427" i="3"/>
  <c r="R425" i="3"/>
  <c r="R423" i="3"/>
  <c r="R421" i="3"/>
  <c r="V421" i="1"/>
  <c r="D421" i="3" s="1"/>
  <c r="R419" i="3"/>
  <c r="R417" i="3"/>
  <c r="V405" i="1"/>
  <c r="Q402" i="1"/>
  <c r="R402" i="3" s="1"/>
  <c r="V397" i="1"/>
  <c r="Q383" i="1"/>
  <c r="R383" i="3" s="1"/>
  <c r="V367" i="1"/>
  <c r="Q360" i="1"/>
  <c r="R360" i="3" s="1"/>
  <c r="Q355" i="1"/>
  <c r="R355" i="3" s="1"/>
  <c r="V357" i="1"/>
  <c r="V355" i="1" s="1"/>
  <c r="D355" i="3" s="1"/>
  <c r="V340" i="1"/>
  <c r="V181" i="1"/>
  <c r="R164" i="3"/>
  <c r="R25" i="3"/>
  <c r="T540" i="3"/>
  <c r="P169" i="3"/>
  <c r="J540" i="3"/>
  <c r="F79" i="3"/>
  <c r="F129" i="3"/>
  <c r="F295" i="3"/>
  <c r="H63" i="3"/>
  <c r="H164" i="3"/>
  <c r="F10" i="3"/>
  <c r="F226" i="3"/>
  <c r="F321" i="3"/>
  <c r="F433" i="3"/>
  <c r="H433" i="3"/>
  <c r="L148" i="3"/>
  <c r="L321" i="3"/>
  <c r="N108" i="3"/>
  <c r="C386" i="7" s="1"/>
  <c r="P35" i="3"/>
  <c r="F63" i="3"/>
  <c r="H169" i="3"/>
  <c r="L10" i="3"/>
  <c r="L402" i="3"/>
  <c r="F34" i="2"/>
  <c r="F61" i="2" s="1"/>
  <c r="E238" i="3"/>
  <c r="J444" i="3"/>
  <c r="L25" i="3"/>
  <c r="L360" i="3"/>
  <c r="N47" i="3"/>
  <c r="N444" i="3"/>
  <c r="R148" i="3"/>
  <c r="Q321" i="1"/>
  <c r="R321" i="3" s="1"/>
  <c r="Q295" i="1"/>
  <c r="R295" i="3" s="1"/>
  <c r="V235" i="1"/>
  <c r="D235" i="3" s="1"/>
  <c r="N235" i="4" s="1"/>
  <c r="N235" i="5" s="1"/>
  <c r="Q169" i="1"/>
  <c r="R169" i="3" s="1"/>
  <c r="Q129" i="1"/>
  <c r="R129" i="3" s="1"/>
  <c r="V16" i="1"/>
  <c r="Q47" i="1"/>
  <c r="R47" i="3" s="1"/>
  <c r="Q63" i="1"/>
  <c r="R63" i="3" s="1"/>
  <c r="Q79" i="1"/>
  <c r="R79" i="3" s="1"/>
  <c r="P433" i="1"/>
  <c r="Q433" i="3" s="1"/>
  <c r="V296" i="1"/>
  <c r="D296" i="3" s="1"/>
  <c r="J164" i="3"/>
  <c r="J416" i="3"/>
  <c r="J295" i="3"/>
  <c r="L35" i="3"/>
  <c r="F25" i="3"/>
  <c r="F416" i="3"/>
  <c r="F47" i="3"/>
  <c r="F169" i="3"/>
  <c r="H108" i="3"/>
  <c r="C380" i="7" s="1"/>
  <c r="H383" i="3"/>
  <c r="N148" i="3"/>
  <c r="N321" i="3"/>
  <c r="N433" i="3"/>
  <c r="P108" i="3"/>
  <c r="C388" i="7" s="1"/>
  <c r="P444" i="3"/>
  <c r="L164" i="3"/>
  <c r="L416" i="3"/>
  <c r="N164" i="3"/>
  <c r="P402" i="3"/>
  <c r="H226" i="3"/>
  <c r="J355" i="3"/>
  <c r="L355" i="3"/>
  <c r="H215" i="3"/>
  <c r="J25" i="3"/>
  <c r="N79" i="3"/>
  <c r="N169" i="3"/>
  <c r="N360" i="3"/>
  <c r="T532" i="3"/>
  <c r="R532" i="3"/>
  <c r="N532" i="3"/>
  <c r="L532" i="3"/>
  <c r="H532" i="3"/>
  <c r="J537" i="3"/>
  <c r="H537" i="3"/>
  <c r="V211" i="3"/>
  <c r="V209" i="3"/>
  <c r="V207" i="3"/>
  <c r="V205" i="3"/>
  <c r="V203" i="3"/>
  <c r="V201" i="3"/>
  <c r="V479" i="3"/>
  <c r="V460" i="3"/>
  <c r="V458" i="3"/>
  <c r="V456" i="3"/>
  <c r="V452" i="3"/>
  <c r="V450" i="3"/>
  <c r="V448" i="3"/>
  <c r="V446" i="3"/>
  <c r="V442" i="3"/>
  <c r="V440" i="3"/>
  <c r="V438" i="3"/>
  <c r="V436" i="3"/>
  <c r="V434" i="3"/>
  <c r="V427" i="3"/>
  <c r="V425" i="3"/>
  <c r="V423" i="3"/>
  <c r="V421" i="3"/>
  <c r="V419" i="3"/>
  <c r="V413" i="3"/>
  <c r="V411" i="3"/>
  <c r="V409" i="3"/>
  <c r="V407" i="3"/>
  <c r="V405" i="3"/>
  <c r="V379" i="3"/>
  <c r="V377" i="3"/>
  <c r="V375" i="3"/>
  <c r="V373" i="3"/>
  <c r="V371" i="3"/>
  <c r="V369" i="3"/>
  <c r="V367" i="3"/>
  <c r="V365" i="3"/>
  <c r="V363" i="3"/>
  <c r="V361" i="3"/>
  <c r="V357" i="3"/>
  <c r="V336" i="3"/>
  <c r="V332" i="3"/>
  <c r="V331" i="3"/>
  <c r="V329" i="3"/>
  <c r="V327" i="3"/>
  <c r="V325" i="3"/>
  <c r="V318" i="3"/>
  <c r="V314" i="3"/>
  <c r="V312" i="3"/>
  <c r="V310" i="3"/>
  <c r="V308" i="3"/>
  <c r="V306" i="3"/>
  <c r="V290" i="3"/>
  <c r="V288" i="3"/>
  <c r="V286" i="3"/>
  <c r="V284" i="3"/>
  <c r="V281" i="3"/>
  <c r="V272" i="3"/>
  <c r="V268" i="3"/>
  <c r="V264" i="3"/>
  <c r="V262" i="3"/>
  <c r="V260" i="3"/>
  <c r="V258" i="3"/>
  <c r="V256" i="3"/>
  <c r="V254" i="3"/>
  <c r="V252" i="3"/>
  <c r="V250" i="3"/>
  <c r="V248" i="3"/>
  <c r="V246" i="3"/>
  <c r="V244" i="3"/>
  <c r="V242" i="3"/>
  <c r="V240" i="3"/>
  <c r="V235" i="3"/>
  <c r="V233" i="3"/>
  <c r="V231" i="3"/>
  <c r="V229" i="3"/>
  <c r="V223" i="3"/>
  <c r="V221" i="3"/>
  <c r="V219" i="3"/>
  <c r="V217" i="3"/>
  <c r="V193" i="3"/>
  <c r="V191" i="3"/>
  <c r="V189" i="3"/>
  <c r="V185" i="3"/>
  <c r="V183" i="3"/>
  <c r="V181" i="3"/>
  <c r="V175" i="3"/>
  <c r="V173" i="3"/>
  <c r="V171" i="3"/>
  <c r="V145" i="3"/>
  <c r="V143" i="3"/>
  <c r="V141" i="3"/>
  <c r="V139" i="3"/>
  <c r="V137" i="3"/>
  <c r="V135" i="3"/>
  <c r="V133" i="3"/>
  <c r="V121" i="3"/>
  <c r="V119" i="3"/>
  <c r="V117" i="3"/>
  <c r="V115" i="3"/>
  <c r="V113" i="3"/>
  <c r="V100" i="3"/>
  <c r="V97" i="3"/>
  <c r="V22" i="3"/>
  <c r="V20" i="3"/>
  <c r="V16" i="3"/>
  <c r="V14" i="3"/>
  <c r="V12" i="3"/>
  <c r="V33" i="3"/>
  <c r="V29" i="3"/>
  <c r="V27" i="3"/>
  <c r="V45" i="3"/>
  <c r="V43" i="3"/>
  <c r="V39" i="3"/>
  <c r="V61" i="3"/>
  <c r="V59" i="3"/>
  <c r="V57" i="3"/>
  <c r="V55" i="3"/>
  <c r="V51" i="3"/>
  <c r="V77" i="3"/>
  <c r="V75" i="3"/>
  <c r="V73" i="3"/>
  <c r="V71" i="3"/>
  <c r="V69" i="3"/>
  <c r="V67" i="3"/>
  <c r="V65" i="3"/>
  <c r="V91" i="3"/>
  <c r="V89" i="3"/>
  <c r="V87" i="3"/>
  <c r="V85" i="3"/>
  <c r="V83" i="3"/>
  <c r="V81" i="3"/>
  <c r="U209" i="3"/>
  <c r="U207" i="3"/>
  <c r="U205" i="3"/>
  <c r="U201" i="3"/>
  <c r="U199" i="3"/>
  <c r="U479" i="3"/>
  <c r="U473" i="3"/>
  <c r="U470" i="3"/>
  <c r="U468" i="3"/>
  <c r="U466" i="3"/>
  <c r="U464" i="3"/>
  <c r="H540" i="3"/>
  <c r="V210" i="3"/>
  <c r="V208" i="3"/>
  <c r="V206" i="3"/>
  <c r="V204" i="3"/>
  <c r="V202" i="3"/>
  <c r="V198" i="3"/>
  <c r="V478" i="3"/>
  <c r="V472" i="3"/>
  <c r="V469" i="3"/>
  <c r="V467" i="3"/>
  <c r="V465" i="3"/>
  <c r="V463" i="3"/>
  <c r="V459" i="3"/>
  <c r="V457" i="3"/>
  <c r="V453" i="3"/>
  <c r="V449" i="3"/>
  <c r="V447" i="3"/>
  <c r="V441" i="3"/>
  <c r="V437" i="3"/>
  <c r="U433" i="1"/>
  <c r="V433" i="3" s="1"/>
  <c r="V428" i="3"/>
  <c r="V424" i="3"/>
  <c r="V422" i="3"/>
  <c r="V420" i="3"/>
  <c r="V414" i="3"/>
  <c r="V410" i="3"/>
  <c r="V406" i="3"/>
  <c r="V400" i="3"/>
  <c r="V398" i="3"/>
  <c r="V396" i="3"/>
  <c r="V392" i="3"/>
  <c r="V390" i="3"/>
  <c r="V388" i="3"/>
  <c r="V386" i="3"/>
  <c r="V384" i="3"/>
  <c r="V374" i="3"/>
  <c r="V370" i="3"/>
  <c r="V366" i="3"/>
  <c r="V333" i="3"/>
  <c r="V330" i="3"/>
  <c r="V328" i="3"/>
  <c r="V311" i="3"/>
  <c r="V303" i="3"/>
  <c r="V289" i="3"/>
  <c r="V285" i="3"/>
  <c r="U462" i="3"/>
  <c r="U460" i="3"/>
  <c r="U458" i="3"/>
  <c r="U456" i="3"/>
  <c r="U448" i="3"/>
  <c r="U442" i="3"/>
  <c r="U440" i="3"/>
  <c r="U438" i="3"/>
  <c r="U434" i="3"/>
  <c r="U427" i="3"/>
  <c r="U423" i="3"/>
  <c r="U421" i="3"/>
  <c r="U417" i="3"/>
  <c r="U413" i="3"/>
  <c r="U411" i="3"/>
  <c r="U409" i="3"/>
  <c r="U405" i="3"/>
  <c r="U403" i="3"/>
  <c r="U397" i="3"/>
  <c r="U395" i="3"/>
  <c r="U393" i="3"/>
  <c r="U391" i="3"/>
  <c r="U389" i="3"/>
  <c r="U387" i="3"/>
  <c r="U379" i="3"/>
  <c r="U377" i="3"/>
  <c r="U373" i="3"/>
  <c r="U371" i="3"/>
  <c r="U369" i="3"/>
  <c r="U365" i="3"/>
  <c r="U363" i="3"/>
  <c r="U353" i="3"/>
  <c r="U350" i="3"/>
  <c r="U348" i="3"/>
  <c r="U346" i="3"/>
  <c r="U344" i="3"/>
  <c r="U340" i="3"/>
  <c r="U338" i="3"/>
  <c r="U332" i="3"/>
  <c r="U331" i="3"/>
  <c r="U327" i="3"/>
  <c r="U325" i="3"/>
  <c r="U318" i="3"/>
  <c r="U314" i="3"/>
  <c r="U310" i="3"/>
  <c r="U308" i="3"/>
  <c r="U304" i="3"/>
  <c r="U302" i="3"/>
  <c r="U300" i="3"/>
  <c r="U298" i="3"/>
  <c r="U290" i="3"/>
  <c r="U288" i="3"/>
  <c r="U286" i="3"/>
  <c r="U281" i="3"/>
  <c r="U275" i="3"/>
  <c r="U270" i="3"/>
  <c r="U268" i="3"/>
  <c r="U266" i="3"/>
  <c r="U262" i="3"/>
  <c r="U260" i="3"/>
  <c r="U258" i="3"/>
  <c r="U254" i="3"/>
  <c r="U252" i="3"/>
  <c r="U250" i="3"/>
  <c r="U246" i="3"/>
  <c r="U244" i="3"/>
  <c r="U242" i="3"/>
  <c r="U235" i="3"/>
  <c r="U233" i="3"/>
  <c r="U231" i="3"/>
  <c r="U219" i="3"/>
  <c r="U193" i="3"/>
  <c r="U191" i="3"/>
  <c r="U189" i="3"/>
  <c r="U187" i="3"/>
  <c r="U185" i="3"/>
  <c r="U183" i="3"/>
  <c r="U181" i="3"/>
  <c r="U179" i="3"/>
  <c r="U177" i="3"/>
  <c r="U175" i="3"/>
  <c r="U167" i="3"/>
  <c r="U157" i="3"/>
  <c r="U153" i="3"/>
  <c r="U151" i="3"/>
  <c r="U145" i="3"/>
  <c r="U141" i="3"/>
  <c r="U139" i="3"/>
  <c r="U137" i="3"/>
  <c r="U135" i="3"/>
  <c r="U133" i="3"/>
  <c r="U121" i="3"/>
  <c r="U119" i="3"/>
  <c r="U117" i="3"/>
  <c r="U115" i="3"/>
  <c r="U110" i="3"/>
  <c r="U100" i="3"/>
  <c r="U97" i="3"/>
  <c r="U94" i="3"/>
  <c r="U22" i="3"/>
  <c r="U20" i="3"/>
  <c r="U18" i="3"/>
  <c r="U14" i="3"/>
  <c r="U33" i="3"/>
  <c r="U31" i="3"/>
  <c r="U29" i="3"/>
  <c r="U27" i="3"/>
  <c r="U61" i="3"/>
  <c r="U59" i="3"/>
  <c r="U57" i="3"/>
  <c r="U55" i="3"/>
  <c r="U51" i="3"/>
  <c r="U77" i="3"/>
  <c r="U73" i="3"/>
  <c r="U71" i="3"/>
  <c r="U69" i="3"/>
  <c r="U67" i="3"/>
  <c r="U91" i="3"/>
  <c r="U89" i="3"/>
  <c r="U87" i="3"/>
  <c r="U85" i="3"/>
  <c r="U83" i="3"/>
  <c r="T209" i="3"/>
  <c r="T207" i="3"/>
  <c r="T205" i="3"/>
  <c r="T203" i="3"/>
  <c r="T201" i="3"/>
  <c r="T473" i="3"/>
  <c r="T470" i="3"/>
  <c r="T468" i="3"/>
  <c r="T466" i="3"/>
  <c r="T464" i="3"/>
  <c r="T462" i="3"/>
  <c r="T452" i="3"/>
  <c r="T450" i="3"/>
  <c r="T448" i="3"/>
  <c r="T446" i="3"/>
  <c r="T427" i="3"/>
  <c r="T425" i="3"/>
  <c r="T423" i="3"/>
  <c r="T421" i="3"/>
  <c r="T419" i="3"/>
  <c r="T413" i="3"/>
  <c r="T411" i="3"/>
  <c r="T409" i="3"/>
  <c r="T407" i="3"/>
  <c r="T405" i="3"/>
  <c r="T379" i="3"/>
  <c r="T377" i="3"/>
  <c r="T375" i="3"/>
  <c r="T373" i="3"/>
  <c r="T371" i="3"/>
  <c r="T369" i="3"/>
  <c r="T367" i="3"/>
  <c r="T365" i="3"/>
  <c r="T363" i="3"/>
  <c r="T353" i="3"/>
  <c r="T350" i="3"/>
  <c r="T348" i="3"/>
  <c r="T346" i="3"/>
  <c r="T344" i="3"/>
  <c r="T342" i="3"/>
  <c r="T340" i="3"/>
  <c r="T338" i="3"/>
  <c r="T304" i="3"/>
  <c r="T302" i="3"/>
  <c r="T300" i="3"/>
  <c r="T298" i="3"/>
  <c r="T290" i="3"/>
  <c r="T288" i="3"/>
  <c r="V267" i="3"/>
  <c r="V192" i="3"/>
  <c r="V184" i="3"/>
  <c r="V180" i="3"/>
  <c r="V176" i="3"/>
  <c r="V172" i="3"/>
  <c r="V144" i="3"/>
  <c r="V134" i="3"/>
  <c r="V96" i="3"/>
  <c r="V21" i="3"/>
  <c r="V13" i="3"/>
  <c r="V30" i="3"/>
  <c r="V60" i="3"/>
  <c r="V50" i="3"/>
  <c r="V72" i="3"/>
  <c r="V84" i="3"/>
  <c r="U79" i="1"/>
  <c r="V79" i="3" s="1"/>
  <c r="U204" i="3"/>
  <c r="U200" i="3"/>
  <c r="T197" i="1"/>
  <c r="N50" i="2" s="1"/>
  <c r="N77" i="2" s="1"/>
  <c r="U472" i="3"/>
  <c r="U465" i="3"/>
  <c r="U463" i="3"/>
  <c r="U461" i="3"/>
  <c r="V449" i="1"/>
  <c r="U426" i="3"/>
  <c r="U422" i="3"/>
  <c r="U418" i="3"/>
  <c r="U404" i="3"/>
  <c r="T286" i="3"/>
  <c r="T284" i="3"/>
  <c r="T281" i="3"/>
  <c r="T279" i="3"/>
  <c r="T275" i="3"/>
  <c r="T272" i="3"/>
  <c r="T270" i="3"/>
  <c r="T268" i="3"/>
  <c r="T266" i="3"/>
  <c r="T235" i="3"/>
  <c r="T233" i="3"/>
  <c r="T231" i="3"/>
  <c r="T229" i="3"/>
  <c r="T227" i="3"/>
  <c r="T193" i="3"/>
  <c r="T189" i="3"/>
  <c r="T187" i="3"/>
  <c r="T183" i="3"/>
  <c r="T179" i="3"/>
  <c r="T177" i="3"/>
  <c r="T175" i="3"/>
  <c r="T173" i="3"/>
  <c r="T171" i="3"/>
  <c r="T167" i="3"/>
  <c r="T157" i="3"/>
  <c r="T155" i="3"/>
  <c r="T153" i="3"/>
  <c r="T151" i="3"/>
  <c r="T22" i="3"/>
  <c r="T20" i="3"/>
  <c r="T18" i="3"/>
  <c r="T14" i="3"/>
  <c r="T31" i="3"/>
  <c r="T45" i="3"/>
  <c r="T43" i="3"/>
  <c r="T41" i="3"/>
  <c r="T39" i="3"/>
  <c r="T61" i="3"/>
  <c r="T59" i="3"/>
  <c r="T57" i="3"/>
  <c r="T55" i="3"/>
  <c r="T51" i="3"/>
  <c r="T49" i="3"/>
  <c r="T75" i="3"/>
  <c r="T71" i="3"/>
  <c r="T67" i="3"/>
  <c r="T89" i="3"/>
  <c r="T85" i="3"/>
  <c r="T81" i="3"/>
  <c r="S211" i="3"/>
  <c r="S205" i="3"/>
  <c r="S479" i="3"/>
  <c r="S473" i="3"/>
  <c r="S470" i="3"/>
  <c r="S464" i="3"/>
  <c r="S462" i="3"/>
  <c r="S452" i="3"/>
  <c r="S442" i="3"/>
  <c r="S421" i="3"/>
  <c r="S407" i="3"/>
  <c r="S405" i="3"/>
  <c r="S397" i="3"/>
  <c r="S389" i="3"/>
  <c r="S375" i="3"/>
  <c r="S371" i="3"/>
  <c r="S367" i="3"/>
  <c r="S363" i="3"/>
  <c r="S350" i="3"/>
  <c r="S340" i="3"/>
  <c r="S327" i="3"/>
  <c r="S314" i="3"/>
  <c r="S304" i="3"/>
  <c r="S296" i="3"/>
  <c r="S284" i="3"/>
  <c r="S275" i="3"/>
  <c r="S270" i="3"/>
  <c r="S254" i="3"/>
  <c r="S181" i="3"/>
  <c r="S100" i="3"/>
  <c r="S94" i="3"/>
  <c r="R211" i="3"/>
  <c r="R207" i="3"/>
  <c r="R205" i="3"/>
  <c r="R203" i="3"/>
  <c r="R201" i="3"/>
  <c r="V324" i="1"/>
  <c r="V324" i="3"/>
  <c r="V301" i="1"/>
  <c r="V301" i="3"/>
  <c r="V297" i="1"/>
  <c r="V297" i="3"/>
  <c r="V280" i="1"/>
  <c r="V280" i="3"/>
  <c r="V269" i="1"/>
  <c r="V269" i="3"/>
  <c r="V241" i="1"/>
  <c r="V241" i="3"/>
  <c r="V234" i="1"/>
  <c r="V234" i="3"/>
  <c r="V224" i="1"/>
  <c r="V224" i="3"/>
  <c r="V220" i="1"/>
  <c r="V220" i="3"/>
  <c r="V216" i="1"/>
  <c r="V216" i="3"/>
  <c r="V190" i="1"/>
  <c r="V190" i="3"/>
  <c r="V186" i="1"/>
  <c r="V186" i="3"/>
  <c r="V170" i="1"/>
  <c r="V170" i="3"/>
  <c r="V124" i="1"/>
  <c r="V124" i="3"/>
  <c r="V118" i="1"/>
  <c r="V118" i="3"/>
  <c r="V114" i="1"/>
  <c r="V114" i="3"/>
  <c r="V11" i="1"/>
  <c r="V11" i="3"/>
  <c r="V36" i="1"/>
  <c r="U35" i="1"/>
  <c r="V35" i="3" s="1"/>
  <c r="V36" i="3"/>
  <c r="V70" i="1"/>
  <c r="D70" i="3" s="1"/>
  <c r="I70" i="6" s="1"/>
  <c r="V70" i="3"/>
  <c r="V86" i="1"/>
  <c r="D86" i="3" s="1"/>
  <c r="M86" i="6" s="1"/>
  <c r="V86" i="3"/>
  <c r="V478" i="1"/>
  <c r="D478" i="3" s="1"/>
  <c r="L478" i="6" s="1"/>
  <c r="V469" i="1"/>
  <c r="V467" i="1"/>
  <c r="D467" i="3" s="1"/>
  <c r="U467" i="3"/>
  <c r="U355" i="1"/>
  <c r="V355" i="3" s="1"/>
  <c r="V315" i="3"/>
  <c r="V362" i="3"/>
  <c r="V378" i="3"/>
  <c r="V394" i="3"/>
  <c r="V435" i="3"/>
  <c r="V116" i="3"/>
  <c r="V136" i="3"/>
  <c r="V174" i="3"/>
  <c r="V162" i="3"/>
  <c r="V156" i="3"/>
  <c r="V154" i="3"/>
  <c r="V152" i="3"/>
  <c r="V150" i="3"/>
  <c r="V166" i="3"/>
  <c r="V17" i="3"/>
  <c r="V64" i="3"/>
  <c r="V130" i="3"/>
  <c r="V28" i="3"/>
  <c r="V38" i="3"/>
  <c r="V52" i="3"/>
  <c r="V218" i="3"/>
  <c r="V228" i="3"/>
  <c r="V278" i="3"/>
  <c r="V287" i="3"/>
  <c r="V263" i="3"/>
  <c r="V255" i="3"/>
  <c r="V247" i="3"/>
  <c r="V305" i="3"/>
  <c r="V356" i="3"/>
  <c r="V422" i="1"/>
  <c r="D422" i="3" s="1"/>
  <c r="F422" i="6" s="1"/>
  <c r="V289" i="1"/>
  <c r="V333" i="1"/>
  <c r="D333" i="3" s="1"/>
  <c r="V30" i="1"/>
  <c r="V96" i="1"/>
  <c r="D96" i="3" s="1"/>
  <c r="V176" i="1"/>
  <c r="V184" i="1"/>
  <c r="D184" i="3" s="1"/>
  <c r="V192" i="1"/>
  <c r="V267" i="1"/>
  <c r="D267" i="3" s="1"/>
  <c r="Y45" i="2"/>
  <c r="Y72" i="2" s="1"/>
  <c r="P518" i="3"/>
  <c r="S36" i="2"/>
  <c r="S63" i="2" s="1"/>
  <c r="G503" i="3"/>
  <c r="Y47" i="2"/>
  <c r="Y74" i="2" s="1"/>
  <c r="R518" i="3"/>
  <c r="G35" i="2"/>
  <c r="G62" i="2" s="1"/>
  <c r="F277" i="3"/>
  <c r="U169" i="1"/>
  <c r="V169" i="3" s="1"/>
  <c r="V472" i="1"/>
  <c r="V303" i="1"/>
  <c r="V204" i="1"/>
  <c r="V134" i="1"/>
  <c r="V50" i="1"/>
  <c r="V330" i="1"/>
  <c r="D330" i="3" s="1"/>
  <c r="Q330" i="6" s="1"/>
  <c r="V326" i="1"/>
  <c r="V326" i="3"/>
  <c r="V322" i="1"/>
  <c r="V322" i="3"/>
  <c r="V307" i="1"/>
  <c r="V307" i="3"/>
  <c r="V299" i="1"/>
  <c r="V299" i="3"/>
  <c r="V265" i="1"/>
  <c r="V265" i="3"/>
  <c r="V261" i="1"/>
  <c r="V261" i="3"/>
  <c r="V257" i="1"/>
  <c r="V257" i="3"/>
  <c r="V253" i="1"/>
  <c r="V253" i="3"/>
  <c r="V249" i="1"/>
  <c r="V249" i="3"/>
  <c r="V245" i="1"/>
  <c r="V245" i="3"/>
  <c r="V239" i="1"/>
  <c r="V239" i="3"/>
  <c r="V230" i="1"/>
  <c r="V230" i="3"/>
  <c r="V146" i="1"/>
  <c r="V146" i="3"/>
  <c r="V142" i="1"/>
  <c r="V142" i="3"/>
  <c r="V138" i="1"/>
  <c r="V138" i="3"/>
  <c r="V109" i="1"/>
  <c r="V109" i="3"/>
  <c r="V98" i="1"/>
  <c r="V98" i="3"/>
  <c r="V19" i="1"/>
  <c r="V19" i="3"/>
  <c r="V15" i="1"/>
  <c r="V15" i="3"/>
  <c r="V44" i="1"/>
  <c r="V44" i="3"/>
  <c r="V40" i="1"/>
  <c r="V40" i="3"/>
  <c r="V56" i="1"/>
  <c r="V56" i="3"/>
  <c r="V80" i="1"/>
  <c r="V80" i="3"/>
  <c r="V206" i="1"/>
  <c r="V202" i="1"/>
  <c r="U202" i="3"/>
  <c r="V200" i="1"/>
  <c r="U198" i="3"/>
  <c r="V198" i="1"/>
  <c r="V465" i="1"/>
  <c r="V459" i="1"/>
  <c r="U459" i="3"/>
  <c r="U457" i="3"/>
  <c r="V457" i="1"/>
  <c r="V453" i="1"/>
  <c r="U451" i="3"/>
  <c r="V451" i="1"/>
  <c r="V447" i="1"/>
  <c r="V445" i="1"/>
  <c r="V441" i="1"/>
  <c r="U441" i="3"/>
  <c r="V437" i="1"/>
  <c r="U437" i="3"/>
  <c r="V435" i="1"/>
  <c r="U435" i="3"/>
  <c r="V428" i="1"/>
  <c r="V424" i="1"/>
  <c r="D424" i="3" s="1"/>
  <c r="P424" i="4" s="1"/>
  <c r="P424" i="5" s="1"/>
  <c r="V420" i="1"/>
  <c r="V408" i="1"/>
  <c r="V398" i="1"/>
  <c r="V390" i="1"/>
  <c r="V414" i="1"/>
  <c r="V410" i="1"/>
  <c r="V406" i="1"/>
  <c r="V400" i="1"/>
  <c r="V396" i="1"/>
  <c r="V392" i="1"/>
  <c r="V388" i="1"/>
  <c r="V384" i="1"/>
  <c r="V374" i="1"/>
  <c r="V372" i="1"/>
  <c r="V366" i="1"/>
  <c r="U402" i="1"/>
  <c r="V402" i="3" s="1"/>
  <c r="T238" i="1"/>
  <c r="U238" i="3" s="1"/>
  <c r="T226" i="1"/>
  <c r="U226" i="3" s="1"/>
  <c r="T35" i="1"/>
  <c r="U35" i="3" s="1"/>
  <c r="S477" i="1"/>
  <c r="L49" i="2" s="1"/>
  <c r="L76" i="2" s="1"/>
  <c r="S455" i="1"/>
  <c r="T455" i="3" s="1"/>
  <c r="S416" i="1"/>
  <c r="T416" i="3" s="1"/>
  <c r="S355" i="1"/>
  <c r="T355" i="3" s="1"/>
  <c r="S215" i="1"/>
  <c r="T215" i="3" s="1"/>
  <c r="V113" i="1"/>
  <c r="S108" i="1"/>
  <c r="T108" i="3" s="1"/>
  <c r="V33" i="1"/>
  <c r="V201" i="1"/>
  <c r="R197" i="1"/>
  <c r="V446" i="1"/>
  <c r="R355" i="1"/>
  <c r="S355" i="3" s="1"/>
  <c r="V281" i="1"/>
  <c r="D281" i="3" s="1"/>
  <c r="U197" i="1"/>
  <c r="V197" i="3" s="1"/>
  <c r="U416" i="1"/>
  <c r="V416" i="3" s="1"/>
  <c r="V417" i="3"/>
  <c r="U277" i="1"/>
  <c r="V277" i="3" s="1"/>
  <c r="U226" i="1"/>
  <c r="U164" i="1"/>
  <c r="V164" i="3" s="1"/>
  <c r="V165" i="3"/>
  <c r="U126" i="1"/>
  <c r="V126" i="3" s="1"/>
  <c r="V127" i="3"/>
  <c r="U108" i="1"/>
  <c r="V108" i="3" s="1"/>
  <c r="C394" i="7" s="1"/>
  <c r="U47" i="1"/>
  <c r="V47" i="3" s="1"/>
  <c r="V49" i="3"/>
  <c r="T444" i="1"/>
  <c r="T277" i="1"/>
  <c r="U277" i="3" s="1"/>
  <c r="T169" i="1"/>
  <c r="U169" i="3" s="1"/>
  <c r="T164" i="1"/>
  <c r="U164" i="3" s="1"/>
  <c r="T126" i="1"/>
  <c r="U127" i="3"/>
  <c r="T10" i="1"/>
  <c r="U10" i="3" s="1"/>
  <c r="T63" i="1"/>
  <c r="U63" i="3" s="1"/>
  <c r="U65" i="3"/>
  <c r="T79" i="1"/>
  <c r="U79" i="3" s="1"/>
  <c r="U81" i="3"/>
  <c r="S295" i="1"/>
  <c r="T295" i="3" s="1"/>
  <c r="T296" i="3"/>
  <c r="S148" i="1"/>
  <c r="T148" i="3" s="1"/>
  <c r="C392" i="7" s="1"/>
  <c r="T149" i="3"/>
  <c r="V117" i="1"/>
  <c r="V100" i="1"/>
  <c r="S93" i="1"/>
  <c r="T93" i="3" s="1"/>
  <c r="T94" i="3"/>
  <c r="S10" i="1"/>
  <c r="T10" i="3" s="1"/>
  <c r="S25" i="1"/>
  <c r="T25" i="3" s="1"/>
  <c r="T27" i="3"/>
  <c r="S35" i="1"/>
  <c r="T35" i="3" s="1"/>
  <c r="T37" i="3"/>
  <c r="S63" i="1"/>
  <c r="V466" i="1"/>
  <c r="D466" i="3" s="1"/>
  <c r="S466" i="3"/>
  <c r="S458" i="3"/>
  <c r="V458" i="1"/>
  <c r="S448" i="3"/>
  <c r="V448" i="1"/>
  <c r="V440" i="1"/>
  <c r="S440" i="3"/>
  <c r="V436" i="1"/>
  <c r="S436" i="3"/>
  <c r="V427" i="1"/>
  <c r="D427" i="3" s="1"/>
  <c r="S427" i="3"/>
  <c r="S423" i="3"/>
  <c r="V423" i="1"/>
  <c r="V419" i="1"/>
  <c r="D419" i="3" s="1"/>
  <c r="V413" i="1"/>
  <c r="V409" i="1"/>
  <c r="S409" i="3"/>
  <c r="V399" i="1"/>
  <c r="S393" i="3"/>
  <c r="V393" i="1"/>
  <c r="D393" i="3" s="1"/>
  <c r="H393" i="6" s="1"/>
  <c r="S385" i="3"/>
  <c r="V385" i="1"/>
  <c r="S377" i="3"/>
  <c r="V377" i="1"/>
  <c r="S373" i="3"/>
  <c r="V373" i="1"/>
  <c r="S369" i="3"/>
  <c r="V369" i="1"/>
  <c r="D369" i="3" s="1"/>
  <c r="S365" i="3"/>
  <c r="V365" i="1"/>
  <c r="D365" i="3" s="1"/>
  <c r="S361" i="3"/>
  <c r="R360" i="1"/>
  <c r="S360" i="3" s="1"/>
  <c r="V361" i="1"/>
  <c r="V353" i="1"/>
  <c r="V348" i="1"/>
  <c r="V344" i="1"/>
  <c r="R335" i="1"/>
  <c r="V336" i="1"/>
  <c r="S336" i="3"/>
  <c r="V331" i="1"/>
  <c r="D331" i="3" s="1"/>
  <c r="H331" i="4" s="1"/>
  <c r="H331" i="5" s="1"/>
  <c r="V323" i="1"/>
  <c r="D323" i="3" s="1"/>
  <c r="V318" i="1"/>
  <c r="S318" i="3"/>
  <c r="S312" i="3"/>
  <c r="V312" i="1"/>
  <c r="V308" i="1"/>
  <c r="D308" i="3" s="1"/>
  <c r="S308" i="3"/>
  <c r="V300" i="1"/>
  <c r="D300" i="3" s="1"/>
  <c r="S300" i="3"/>
  <c r="V288" i="1"/>
  <c r="D288" i="3" s="1"/>
  <c r="G288" i="4" s="1"/>
  <c r="G288" i="5" s="1"/>
  <c r="S288" i="3"/>
  <c r="V286" i="1"/>
  <c r="V268" i="1"/>
  <c r="S268" i="3"/>
  <c r="V266" i="1"/>
  <c r="V264" i="1"/>
  <c r="D264" i="3" s="1"/>
  <c r="S264" i="3"/>
  <c r="V260" i="1"/>
  <c r="D260" i="3" s="1"/>
  <c r="I260" i="4" s="1"/>
  <c r="I260" i="5" s="1"/>
  <c r="S260" i="3"/>
  <c r="V258" i="1"/>
  <c r="S258" i="3"/>
  <c r="V256" i="1"/>
  <c r="S256" i="3"/>
  <c r="V252" i="1"/>
  <c r="S252" i="3"/>
  <c r="V250" i="1"/>
  <c r="V248" i="1"/>
  <c r="S248" i="3"/>
  <c r="V246" i="1"/>
  <c r="S246" i="3"/>
  <c r="V244" i="1"/>
  <c r="S244" i="3"/>
  <c r="V242" i="1"/>
  <c r="S242" i="3"/>
  <c r="V240" i="1"/>
  <c r="R238" i="1"/>
  <c r="S238" i="3" s="1"/>
  <c r="S240" i="3"/>
  <c r="V233" i="1"/>
  <c r="D233" i="3" s="1"/>
  <c r="V231" i="1"/>
  <c r="S231" i="3"/>
  <c r="V229" i="1"/>
  <c r="S229" i="3"/>
  <c r="R226" i="1"/>
  <c r="S227" i="3"/>
  <c r="V227" i="1"/>
  <c r="V223" i="1"/>
  <c r="S223" i="3"/>
  <c r="V221" i="1"/>
  <c r="D221" i="3" s="1"/>
  <c r="J221" i="6" s="1"/>
  <c r="S221" i="3"/>
  <c r="V219" i="1"/>
  <c r="V217" i="1"/>
  <c r="S217" i="3"/>
  <c r="V193" i="1"/>
  <c r="V189" i="1"/>
  <c r="V173" i="1"/>
  <c r="U383" i="1"/>
  <c r="U321" i="1"/>
  <c r="U148" i="1"/>
  <c r="V148" i="3" s="1"/>
  <c r="V149" i="3"/>
  <c r="U129" i="1"/>
  <c r="V129" i="3" s="1"/>
  <c r="E394" i="7" s="1"/>
  <c r="U93" i="1"/>
  <c r="V93" i="3" s="1"/>
  <c r="T383" i="1"/>
  <c r="U383" i="3" s="1"/>
  <c r="U385" i="3"/>
  <c r="T360" i="1"/>
  <c r="U360" i="3" s="1"/>
  <c r="U361" i="3"/>
  <c r="T335" i="1"/>
  <c r="U335" i="3" s="1"/>
  <c r="T321" i="1"/>
  <c r="U321" i="3" s="1"/>
  <c r="U323" i="3"/>
  <c r="T215" i="1"/>
  <c r="U217" i="3"/>
  <c r="T148" i="1"/>
  <c r="T129" i="1"/>
  <c r="U129" i="3" s="1"/>
  <c r="U131" i="3"/>
  <c r="U49" i="3"/>
  <c r="T47" i="1"/>
  <c r="U47" i="3" s="1"/>
  <c r="S197" i="1"/>
  <c r="N49" i="2" s="1"/>
  <c r="N76" i="2" s="1"/>
  <c r="S433" i="1"/>
  <c r="S431" i="1" s="1"/>
  <c r="T434" i="3"/>
  <c r="S402" i="1"/>
  <c r="T402" i="3" s="1"/>
  <c r="T403" i="3"/>
  <c r="S360" i="1"/>
  <c r="T360" i="3" s="1"/>
  <c r="S335" i="1"/>
  <c r="T335" i="3" s="1"/>
  <c r="S321" i="1"/>
  <c r="T323" i="3"/>
  <c r="S238" i="1"/>
  <c r="F49" i="2" s="1"/>
  <c r="F76" i="2" s="1"/>
  <c r="S164" i="1"/>
  <c r="T164" i="3" s="1"/>
  <c r="T165" i="3"/>
  <c r="S126" i="1"/>
  <c r="T126" i="3" s="1"/>
  <c r="V127" i="1"/>
  <c r="V207" i="1"/>
  <c r="S203" i="3"/>
  <c r="V203" i="1"/>
  <c r="V468" i="1"/>
  <c r="D468" i="3" s="1"/>
  <c r="V460" i="1"/>
  <c r="S460" i="3"/>
  <c r="R455" i="1"/>
  <c r="S455" i="3" s="1"/>
  <c r="V456" i="1"/>
  <c r="D456" i="3" s="1"/>
  <c r="V450" i="1"/>
  <c r="D450" i="3" s="1"/>
  <c r="S450" i="3"/>
  <c r="S438" i="3"/>
  <c r="V438" i="1"/>
  <c r="D438" i="3" s="1"/>
  <c r="R433" i="1"/>
  <c r="S425" i="3"/>
  <c r="V425" i="1"/>
  <c r="R416" i="1"/>
  <c r="S416" i="3" s="1"/>
  <c r="S417" i="3"/>
  <c r="S411" i="3"/>
  <c r="V411" i="1"/>
  <c r="D411" i="3" s="1"/>
  <c r="R402" i="1"/>
  <c r="S403" i="3"/>
  <c r="V403" i="1"/>
  <c r="D403" i="3" s="1"/>
  <c r="V395" i="1"/>
  <c r="V391" i="1"/>
  <c r="D391" i="3" s="1"/>
  <c r="V387" i="1"/>
  <c r="V379" i="1"/>
  <c r="D379" i="3" s="1"/>
  <c r="S379" i="3"/>
  <c r="S346" i="3"/>
  <c r="V346" i="1"/>
  <c r="V342" i="1"/>
  <c r="D342" i="3" s="1"/>
  <c r="S342" i="3"/>
  <c r="V338" i="1"/>
  <c r="D338" i="3" s="1"/>
  <c r="S338" i="3"/>
  <c r="V332" i="1"/>
  <c r="D332" i="3" s="1"/>
  <c r="R332" i="6" s="1"/>
  <c r="S332" i="3"/>
  <c r="V329" i="1"/>
  <c r="D329" i="3" s="1"/>
  <c r="N329" i="4" s="1"/>
  <c r="N329" i="5" s="1"/>
  <c r="S329" i="3"/>
  <c r="V325" i="1"/>
  <c r="D325" i="3" s="1"/>
  <c r="S325" i="3"/>
  <c r="V310" i="1"/>
  <c r="D310" i="3" s="1"/>
  <c r="S310" i="3"/>
  <c r="V306" i="1"/>
  <c r="D306" i="3" s="1"/>
  <c r="S306" i="3"/>
  <c r="V302" i="1"/>
  <c r="D302" i="3" s="1"/>
  <c r="S302" i="3"/>
  <c r="V298" i="1"/>
  <c r="D298" i="3" s="1"/>
  <c r="V290" i="1"/>
  <c r="D290" i="3" s="1"/>
  <c r="G290" i="6" s="1"/>
  <c r="S290" i="3"/>
  <c r="S279" i="3"/>
  <c r="V279" i="1"/>
  <c r="D279" i="3" s="1"/>
  <c r="S272" i="3"/>
  <c r="V272" i="1"/>
  <c r="D272" i="3" s="1"/>
  <c r="S262" i="3"/>
  <c r="V262" i="1"/>
  <c r="D262" i="3" s="1"/>
  <c r="L540" i="3"/>
  <c r="S45" i="2"/>
  <c r="W39" i="2"/>
  <c r="W66" i="2" s="1"/>
  <c r="M518" i="3"/>
  <c r="R477" i="1"/>
  <c r="S169" i="1"/>
  <c r="U10" i="1"/>
  <c r="V10" i="3" s="1"/>
  <c r="R321" i="1"/>
  <c r="S321" i="3" s="1"/>
  <c r="T93" i="1"/>
  <c r="U93" i="3" s="1"/>
  <c r="R295" i="1"/>
  <c r="S295" i="3" s="1"/>
  <c r="T416" i="1"/>
  <c r="U416" i="3" s="1"/>
  <c r="U25" i="1"/>
  <c r="V25" i="3" s="1"/>
  <c r="U444" i="1"/>
  <c r="V444" i="3" s="1"/>
  <c r="U477" i="1"/>
  <c r="L51" i="2" s="1"/>
  <c r="L78" i="2" s="1"/>
  <c r="V199" i="3"/>
  <c r="U455" i="1"/>
  <c r="V455" i="3" s="1"/>
  <c r="V199" i="1"/>
  <c r="D199" i="3" s="1"/>
  <c r="T199" i="3"/>
  <c r="T357" i="3"/>
  <c r="T361" i="3"/>
  <c r="T479" i="3"/>
  <c r="V110" i="3"/>
  <c r="V131" i="3"/>
  <c r="T100" i="3"/>
  <c r="T12" i="3"/>
  <c r="V279" i="3"/>
  <c r="T33" i="3"/>
  <c r="V227" i="3"/>
  <c r="T456" i="3"/>
  <c r="V350" i="1"/>
  <c r="V363" i="1"/>
  <c r="D363" i="3" s="1"/>
  <c r="V371" i="1"/>
  <c r="V407" i="1"/>
  <c r="D407" i="3" s="1"/>
  <c r="V442" i="1"/>
  <c r="U238" i="1"/>
  <c r="F51" i="2" s="1"/>
  <c r="F78" i="2" s="1"/>
  <c r="T402" i="1"/>
  <c r="U402" i="3" s="1"/>
  <c r="U63" i="1"/>
  <c r="V63" i="3" s="1"/>
  <c r="U215" i="1"/>
  <c r="V215" i="3" s="1"/>
  <c r="V389" i="1"/>
  <c r="D389" i="3" s="1"/>
  <c r="V417" i="1"/>
  <c r="U279" i="3"/>
  <c r="U171" i="3"/>
  <c r="S446" i="3"/>
  <c r="S399" i="3"/>
  <c r="S391" i="3"/>
  <c r="S250" i="3"/>
  <c r="U12" i="3"/>
  <c r="S323" i="3"/>
  <c r="S413" i="3"/>
  <c r="S419" i="3"/>
  <c r="V304" i="1"/>
  <c r="D304" i="3" s="1"/>
  <c r="K304" i="4" s="1"/>
  <c r="K304" i="5" s="1"/>
  <c r="V327" i="1"/>
  <c r="D327" i="3" s="1"/>
  <c r="V464" i="1"/>
  <c r="D464" i="3" s="1"/>
  <c r="T455" i="1"/>
  <c r="U455" i="3" s="1"/>
  <c r="R277" i="1"/>
  <c r="S434" i="3"/>
  <c r="U336" i="3"/>
  <c r="V254" i="1"/>
  <c r="V211" i="1"/>
  <c r="D211" i="3" s="1"/>
  <c r="V191" i="1"/>
  <c r="D191" i="3" s="1"/>
  <c r="V187" i="1"/>
  <c r="D187" i="3" s="1"/>
  <c r="V185" i="1"/>
  <c r="V183" i="1"/>
  <c r="D183" i="3" s="1"/>
  <c r="V179" i="1"/>
  <c r="V177" i="1"/>
  <c r="D177" i="3" s="1"/>
  <c r="V175" i="1"/>
  <c r="V171" i="1"/>
  <c r="V167" i="1"/>
  <c r="V165" i="1"/>
  <c r="R164" i="1"/>
  <c r="V157" i="1"/>
  <c r="D157" i="3" s="1"/>
  <c r="V155" i="1"/>
  <c r="V153" i="1"/>
  <c r="D153" i="3" s="1"/>
  <c r="V151" i="1"/>
  <c r="V149" i="1"/>
  <c r="D149" i="3" s="1"/>
  <c r="E149" i="4" s="1"/>
  <c r="E149" i="5" s="1"/>
  <c r="V145" i="1"/>
  <c r="V143" i="1"/>
  <c r="D143" i="3" s="1"/>
  <c r="V141" i="1"/>
  <c r="V139" i="1"/>
  <c r="D139" i="3" s="1"/>
  <c r="V137" i="1"/>
  <c r="V135" i="1"/>
  <c r="D135" i="3" s="1"/>
  <c r="V133" i="1"/>
  <c r="V131" i="1"/>
  <c r="D131" i="3" s="1"/>
  <c r="R126" i="1"/>
  <c r="S127" i="3"/>
  <c r="V119" i="1"/>
  <c r="D119" i="3" s="1"/>
  <c r="V115" i="1"/>
  <c r="D115" i="3" s="1"/>
  <c r="R108" i="1"/>
  <c r="S108" i="3" s="1"/>
  <c r="V110" i="1"/>
  <c r="D110" i="3" s="1"/>
  <c r="V97" i="1"/>
  <c r="S97" i="3"/>
  <c r="V22" i="1"/>
  <c r="S22" i="3"/>
  <c r="V20" i="1"/>
  <c r="V18" i="1"/>
  <c r="D18" i="3" s="1"/>
  <c r="S18" i="3"/>
  <c r="V14" i="1"/>
  <c r="D14" i="3" s="1"/>
  <c r="V12" i="1"/>
  <c r="V31" i="1"/>
  <c r="D31" i="3" s="1"/>
  <c r="V29" i="1"/>
  <c r="D29" i="3" s="1"/>
  <c r="V27" i="1"/>
  <c r="D27" i="3" s="1"/>
  <c r="V45" i="1"/>
  <c r="V43" i="1"/>
  <c r="D43" i="3" s="1"/>
  <c r="M43" i="4" s="1"/>
  <c r="M43" i="5" s="1"/>
  <c r="V41" i="1"/>
  <c r="V39" i="1"/>
  <c r="D39" i="3" s="1"/>
  <c r="V37" i="1"/>
  <c r="V61" i="1"/>
  <c r="D61" i="3" s="1"/>
  <c r="V59" i="1"/>
  <c r="V57" i="1"/>
  <c r="D57" i="3" s="1"/>
  <c r="V55" i="1"/>
  <c r="V51" i="1"/>
  <c r="D51" i="3" s="1"/>
  <c r="V49" i="1"/>
  <c r="R47" i="1"/>
  <c r="S47" i="3" s="1"/>
  <c r="V77" i="1"/>
  <c r="V75" i="1"/>
  <c r="D75" i="3" s="1"/>
  <c r="V73" i="1"/>
  <c r="V71" i="1"/>
  <c r="D71" i="3" s="1"/>
  <c r="V69" i="1"/>
  <c r="D69" i="3" s="1"/>
  <c r="S69" i="3"/>
  <c r="V67" i="1"/>
  <c r="D67" i="3" s="1"/>
  <c r="V479" i="1"/>
  <c r="D479" i="3" s="1"/>
  <c r="V470" i="1"/>
  <c r="S193" i="3"/>
  <c r="S191" i="3"/>
  <c r="S189" i="3"/>
  <c r="S187" i="3"/>
  <c r="S185" i="3"/>
  <c r="S183" i="3"/>
  <c r="S179" i="3"/>
  <c r="R169" i="1"/>
  <c r="S169" i="3" s="1"/>
  <c r="R129" i="1"/>
  <c r="V94" i="1"/>
  <c r="S149" i="3"/>
  <c r="S149" i="6" s="1"/>
  <c r="S165" i="3"/>
  <c r="S65" i="3"/>
  <c r="V65" i="1"/>
  <c r="V91" i="1"/>
  <c r="D91" i="3" s="1"/>
  <c r="V89" i="1"/>
  <c r="V87" i="1"/>
  <c r="D87" i="3" s="1"/>
  <c r="V85" i="1"/>
  <c r="V83" i="1"/>
  <c r="D83" i="3" s="1"/>
  <c r="V81" i="1"/>
  <c r="V209" i="1"/>
  <c r="D209" i="3" s="1"/>
  <c r="S81" i="3"/>
  <c r="S83" i="3"/>
  <c r="S85" i="3"/>
  <c r="S87" i="3"/>
  <c r="S89" i="3"/>
  <c r="S91" i="3"/>
  <c r="R63" i="1"/>
  <c r="S63" i="3" s="1"/>
  <c r="G277" i="3"/>
  <c r="J518" i="3"/>
  <c r="V540" i="3"/>
  <c r="O381" i="1"/>
  <c r="F431" i="1"/>
  <c r="U518" i="3"/>
  <c r="G518" i="3"/>
  <c r="R238" i="3"/>
  <c r="P277" i="3"/>
  <c r="Y40" i="2"/>
  <c r="Y67" i="2" s="1"/>
  <c r="K540" i="3"/>
  <c r="W34" i="2"/>
  <c r="W61" i="2" s="1"/>
  <c r="L238" i="3"/>
  <c r="P238" i="3"/>
  <c r="H197" i="3"/>
  <c r="G380" i="7" s="1"/>
  <c r="J455" i="3"/>
  <c r="I431" i="1"/>
  <c r="K39" i="2" s="1"/>
  <c r="K66" i="2" s="1"/>
  <c r="P433" i="3"/>
  <c r="T277" i="3"/>
  <c r="G49" i="2"/>
  <c r="G76" i="2" s="1"/>
  <c r="D378" i="3"/>
  <c r="D508" i="3"/>
  <c r="D132" i="3"/>
  <c r="D516" i="3"/>
  <c r="D116" i="3"/>
  <c r="D528" i="3"/>
  <c r="D533" i="3"/>
  <c r="D26" i="3"/>
  <c r="D522" i="3"/>
  <c r="D278" i="3"/>
  <c r="D140" i="3"/>
  <c r="D271" i="3"/>
  <c r="M271" i="6" s="1"/>
  <c r="D313" i="3"/>
  <c r="D154" i="3"/>
  <c r="D337" i="3"/>
  <c r="D88" i="3"/>
  <c r="K88" i="4" s="1"/>
  <c r="K88" i="5" s="1"/>
  <c r="D328" i="3"/>
  <c r="M328" i="4" s="1"/>
  <c r="M328" i="5" s="1"/>
  <c r="D90" i="3"/>
  <c r="J90" i="6" s="1"/>
  <c r="D218" i="3"/>
  <c r="S218" i="4" s="1"/>
  <c r="S218" i="5" s="1"/>
  <c r="D418" i="3"/>
  <c r="D461" i="3"/>
  <c r="D285" i="3"/>
  <c r="D174" i="3"/>
  <c r="D111" i="3"/>
  <c r="D524" i="3"/>
  <c r="D538" i="3"/>
  <c r="D362" i="3"/>
  <c r="D23" i="3"/>
  <c r="I23" i="6" s="1"/>
  <c r="D376" i="3"/>
  <c r="D76" i="3"/>
  <c r="D343" i="3"/>
  <c r="D58" i="3"/>
  <c r="U58" i="6" s="1"/>
  <c r="D370" i="3"/>
  <c r="D498" i="3"/>
  <c r="D21" i="3"/>
  <c r="D188" i="3"/>
  <c r="O188" i="6" s="1"/>
  <c r="D368" i="3"/>
  <c r="K368" i="4" s="1"/>
  <c r="K368" i="5" s="1"/>
  <c r="D512" i="3"/>
  <c r="D339" i="3"/>
  <c r="D412" i="3"/>
  <c r="R412" i="4" s="1"/>
  <c r="R412" i="5" s="1"/>
  <c r="D311" i="3"/>
  <c r="D497" i="3"/>
  <c r="D545" i="3"/>
  <c r="D68" i="3"/>
  <c r="M68" i="4" s="1"/>
  <c r="M68" i="5" s="1"/>
  <c r="D121" i="3"/>
  <c r="D439" i="3"/>
  <c r="K439" i="6" s="1"/>
  <c r="D243" i="3"/>
  <c r="O243" i="6" s="1"/>
  <c r="D386" i="3"/>
  <c r="F386" i="6" s="1"/>
  <c r="D82" i="3"/>
  <c r="D162" i="3"/>
  <c r="D275" i="3"/>
  <c r="D120" i="3"/>
  <c r="D473" i="3"/>
  <c r="P473" i="4" s="1"/>
  <c r="P473" i="5" s="1"/>
  <c r="D74" i="3"/>
  <c r="D357" i="3"/>
  <c r="D84" i="3"/>
  <c r="D305" i="3"/>
  <c r="D228" i="3"/>
  <c r="G228" i="6" s="1"/>
  <c r="D523" i="3"/>
  <c r="D232" i="3"/>
  <c r="F232" i="6" s="1"/>
  <c r="D60" i="3"/>
  <c r="D172" i="3"/>
  <c r="D210" i="3"/>
  <c r="H210" i="4" s="1"/>
  <c r="H210" i="5" s="1"/>
  <c r="D426" i="3"/>
  <c r="R426" i="6" s="1"/>
  <c r="U433" i="3"/>
  <c r="D341" i="3"/>
  <c r="D364" i="3"/>
  <c r="S41" i="2"/>
  <c r="S68" i="2" s="1"/>
  <c r="L503" i="3"/>
  <c r="R44" i="2"/>
  <c r="R71" i="2" s="1"/>
  <c r="N492" i="1"/>
  <c r="G47" i="2"/>
  <c r="G74" i="2" s="1"/>
  <c r="M277" i="3"/>
  <c r="U503" i="3"/>
  <c r="N197" i="3"/>
  <c r="G386" i="7" s="1"/>
  <c r="S503" i="3"/>
  <c r="R433" i="3"/>
  <c r="G39" i="2"/>
  <c r="G66" i="2" s="1"/>
  <c r="G452" i="6"/>
  <c r="N452" i="4"/>
  <c r="N452" i="5" s="1"/>
  <c r="Y34" i="2"/>
  <c r="Y61" i="2" s="1"/>
  <c r="E518" i="3"/>
  <c r="N277" i="3"/>
  <c r="R42" i="2"/>
  <c r="R69" i="2" s="1"/>
  <c r="E79" i="3"/>
  <c r="D208" i="3"/>
  <c r="D205" i="3"/>
  <c r="N205" i="4" s="1"/>
  <c r="N205" i="5" s="1"/>
  <c r="D345" i="3"/>
  <c r="D136" i="3"/>
  <c r="S136" i="4" s="1"/>
  <c r="S136" i="5" s="1"/>
  <c r="E461" i="7"/>
  <c r="F152" i="2"/>
  <c r="G152" i="2" s="1"/>
  <c r="H152" i="2" s="1"/>
  <c r="D85" i="7" s="1"/>
  <c r="G85" i="7" s="1"/>
  <c r="F148" i="2"/>
  <c r="G148" i="2" s="1"/>
  <c r="H148" i="2" s="1"/>
  <c r="D81" i="7" s="1"/>
  <c r="G81" i="7" s="1"/>
  <c r="F145" i="2"/>
  <c r="G145" i="2" s="1"/>
  <c r="H145" i="2" s="1"/>
  <c r="D78" i="7" s="1"/>
  <c r="G78" i="7" s="1"/>
  <c r="F147" i="2"/>
  <c r="G147" i="2" s="1"/>
  <c r="H147" i="2" s="1"/>
  <c r="D80" i="7" s="1"/>
  <c r="G80" i="7" s="1"/>
  <c r="F154" i="2"/>
  <c r="G154" i="2" s="1"/>
  <c r="H154" i="2" s="1"/>
  <c r="D87" i="7" s="1"/>
  <c r="G87" i="7" s="1"/>
  <c r="F143" i="2"/>
  <c r="G143" i="2" s="1"/>
  <c r="H143" i="2" s="1"/>
  <c r="D76" i="7" s="1"/>
  <c r="G76" i="7" s="1"/>
  <c r="F141" i="2"/>
  <c r="G141" i="2" s="1"/>
  <c r="H141" i="2" s="1"/>
  <c r="D74" i="7" s="1"/>
  <c r="G74" i="7" s="1"/>
  <c r="F155" i="2"/>
  <c r="G155" i="2" s="1"/>
  <c r="H155" i="2" s="1"/>
  <c r="D88" i="7" s="1"/>
  <c r="G88" i="7" s="1"/>
  <c r="F146" i="2"/>
  <c r="G146" i="2" s="1"/>
  <c r="H146" i="2" s="1"/>
  <c r="D79" i="7" s="1"/>
  <c r="G79" i="7" s="1"/>
  <c r="F156" i="2"/>
  <c r="F138" i="2"/>
  <c r="G138" i="2" s="1"/>
  <c r="F151" i="2"/>
  <c r="G151" i="2" s="1"/>
  <c r="H151" i="2" s="1"/>
  <c r="D84" i="7" s="1"/>
  <c r="G84" i="7" s="1"/>
  <c r="F153" i="2"/>
  <c r="G153" i="2" s="1"/>
  <c r="H153" i="2" s="1"/>
  <c r="D86" i="7" s="1"/>
  <c r="G86" i="7" s="1"/>
  <c r="F144" i="2"/>
  <c r="G144" i="2" s="1"/>
  <c r="H144" i="2" s="1"/>
  <c r="D77" i="7" s="1"/>
  <c r="G77" i="7" s="1"/>
  <c r="F140" i="2"/>
  <c r="G140" i="2" s="1"/>
  <c r="H140" i="2" s="1"/>
  <c r="D73" i="7" s="1"/>
  <c r="G73" i="7" s="1"/>
  <c r="F458" i="7"/>
  <c r="D32" i="3"/>
  <c r="K32" i="4" s="1"/>
  <c r="K32" i="5" s="1"/>
  <c r="D166" i="3"/>
  <c r="D180" i="3"/>
  <c r="D222" i="3"/>
  <c r="R222" i="4" s="1"/>
  <c r="R222" i="5" s="1"/>
  <c r="D247" i="3"/>
  <c r="D251" i="3"/>
  <c r="D255" i="3"/>
  <c r="D259" i="3"/>
  <c r="D263" i="3"/>
  <c r="D314" i="3"/>
  <c r="H314" i="6" s="1"/>
  <c r="D347" i="3"/>
  <c r="D394" i="3"/>
  <c r="D532" i="3"/>
  <c r="E532" i="6" s="1"/>
  <c r="D529" i="3"/>
  <c r="V529" i="6" s="1"/>
  <c r="D527" i="3"/>
  <c r="D525" i="3"/>
  <c r="R525" i="4" s="1"/>
  <c r="R525" i="5" s="1"/>
  <c r="D521" i="3"/>
  <c r="D513" i="3"/>
  <c r="D513" i="4" s="1"/>
  <c r="D513" i="5" s="1"/>
  <c r="D511" i="3"/>
  <c r="I511" i="4" s="1"/>
  <c r="I511" i="5" s="1"/>
  <c r="D509" i="3"/>
  <c r="U509" i="4" s="1"/>
  <c r="U509" i="5" s="1"/>
  <c r="D507" i="3"/>
  <c r="D501" i="3"/>
  <c r="F501" i="4" s="1"/>
  <c r="F501" i="5" s="1"/>
  <c r="D496" i="3"/>
  <c r="D542" i="3"/>
  <c r="E542" i="6" s="1"/>
  <c r="D537" i="3"/>
  <c r="J537" i="4" s="1"/>
  <c r="J537" i="5" s="1"/>
  <c r="U280" i="3"/>
  <c r="U261" i="3"/>
  <c r="U223" i="3"/>
  <c r="S199" i="3"/>
  <c r="S468" i="3"/>
  <c r="S263" i="3"/>
  <c r="S235" i="3"/>
  <c r="S98" i="3"/>
  <c r="S96" i="3"/>
  <c r="Q311" i="3"/>
  <c r="Q296" i="3"/>
  <c r="Q285" i="3"/>
  <c r="Q240" i="3"/>
  <c r="Q265" i="3"/>
  <c r="Q228" i="3"/>
  <c r="O180" i="3"/>
  <c r="O250" i="3"/>
  <c r="O267" i="3"/>
  <c r="O218" i="3"/>
  <c r="O75" i="3"/>
  <c r="M342" i="3"/>
  <c r="M300" i="3"/>
  <c r="M288" i="3"/>
  <c r="M244" i="3"/>
  <c r="M252" i="3"/>
  <c r="M269" i="3"/>
  <c r="M230" i="3"/>
  <c r="K413" i="3"/>
  <c r="K322" i="3"/>
  <c r="K254" i="3"/>
  <c r="K271" i="3"/>
  <c r="K220" i="3"/>
  <c r="K91" i="3"/>
  <c r="K89" i="3"/>
  <c r="K87" i="3"/>
  <c r="K85" i="3"/>
  <c r="K84" i="3"/>
  <c r="K82" i="3"/>
  <c r="K77" i="3"/>
  <c r="I362" i="3"/>
  <c r="I304" i="3"/>
  <c r="I248" i="3"/>
  <c r="I256" i="3"/>
  <c r="I273" i="3"/>
  <c r="I232" i="3"/>
  <c r="G258" i="3"/>
  <c r="G222" i="3"/>
  <c r="E393" i="3"/>
  <c r="E370" i="3"/>
  <c r="E349" i="3"/>
  <c r="E332" i="3"/>
  <c r="E308" i="3"/>
  <c r="E260" i="3"/>
  <c r="E234" i="3"/>
  <c r="E98" i="3"/>
  <c r="E90" i="3"/>
  <c r="K126" i="3"/>
  <c r="K535" i="1"/>
  <c r="L492" i="3"/>
  <c r="K549" i="1"/>
  <c r="L549" i="3" s="1"/>
  <c r="M63" i="3"/>
  <c r="K213" i="1"/>
  <c r="L455" i="3"/>
  <c r="E431" i="1"/>
  <c r="F455" i="3"/>
  <c r="R49" i="2"/>
  <c r="R76" i="2" s="1"/>
  <c r="T494" i="3"/>
  <c r="F36" i="2"/>
  <c r="F63" i="2" s="1"/>
  <c r="G238" i="3"/>
  <c r="G41" i="2"/>
  <c r="G68" i="2" s="1"/>
  <c r="L277" i="3"/>
  <c r="P47" i="3"/>
  <c r="E295" i="3"/>
  <c r="J381" i="1"/>
  <c r="K383" i="3"/>
  <c r="R197" i="3"/>
  <c r="G390" i="7" s="1"/>
  <c r="U540" i="3"/>
  <c r="V518" i="3"/>
  <c r="L43" i="2"/>
  <c r="L70" i="2" s="1"/>
  <c r="N477" i="3"/>
  <c r="S34" i="2"/>
  <c r="S61" i="2" s="1"/>
  <c r="E503" i="3"/>
  <c r="F48" i="2"/>
  <c r="F75" i="2" s="1"/>
  <c r="W45" i="2"/>
  <c r="W72" i="2" s="1"/>
  <c r="P540" i="3"/>
  <c r="S518" i="3"/>
  <c r="Y48" i="2"/>
  <c r="Y75" i="2" s="1"/>
  <c r="H213" i="3"/>
  <c r="S39" i="2"/>
  <c r="J503" i="3"/>
  <c r="M492" i="1"/>
  <c r="M535" i="1" s="1"/>
  <c r="I360" i="3"/>
  <c r="L63" i="3"/>
  <c r="G38" i="2"/>
  <c r="G65" i="2" s="1"/>
  <c r="I277" i="3"/>
  <c r="F39" i="2"/>
  <c r="F66" i="2" s="1"/>
  <c r="J238" i="3"/>
  <c r="K10" i="3"/>
  <c r="J8" i="1"/>
  <c r="L494" i="3"/>
  <c r="R41" i="2"/>
  <c r="F360" i="3"/>
  <c r="E293" i="1"/>
  <c r="T226" i="3"/>
  <c r="U477" i="3"/>
  <c r="W35" i="2"/>
  <c r="W62" i="2" s="1"/>
  <c r="F540" i="3"/>
  <c r="N36" i="2"/>
  <c r="N63" i="2" s="1"/>
  <c r="G197" i="3"/>
  <c r="G379" i="7" s="1"/>
  <c r="Q452" i="4"/>
  <c r="Q452" i="5" s="1"/>
  <c r="H431" i="1"/>
  <c r="R35" i="2"/>
  <c r="R62" i="2" s="1"/>
  <c r="E492" i="1"/>
  <c r="E549" i="1" s="1"/>
  <c r="F549" i="3" s="1"/>
  <c r="L213" i="1"/>
  <c r="L477" i="3"/>
  <c r="Q540" i="3"/>
  <c r="G50" i="2"/>
  <c r="G77" i="2" s="1"/>
  <c r="E213" i="1"/>
  <c r="F215" i="3"/>
  <c r="Q518" i="3"/>
  <c r="Y46" i="2"/>
  <c r="Y73" i="2" s="1"/>
  <c r="M402" i="3"/>
  <c r="O277" i="3"/>
  <c r="L39" i="2"/>
  <c r="L66" i="2" s="1"/>
  <c r="J477" i="3"/>
  <c r="L295" i="3"/>
  <c r="K293" i="1"/>
  <c r="S42" i="2"/>
  <c r="S69" i="2" s="1"/>
  <c r="L492" i="1"/>
  <c r="L549" i="1" s="1"/>
  <c r="M549" i="3" s="1"/>
  <c r="Q494" i="3"/>
  <c r="R46" i="2"/>
  <c r="P492" i="1"/>
  <c r="P549" i="1" s="1"/>
  <c r="Q549" i="3" s="1"/>
  <c r="W48" i="2"/>
  <c r="W75" i="2" s="1"/>
  <c r="S540" i="3"/>
  <c r="G383" i="3"/>
  <c r="F381" i="1"/>
  <c r="J360" i="3"/>
  <c r="I293" i="1"/>
  <c r="Q277" i="3"/>
  <c r="N195" i="1"/>
  <c r="Y41" i="2"/>
  <c r="Y68" i="2" s="1"/>
  <c r="L518" i="3"/>
  <c r="Y35" i="2"/>
  <c r="Y62" i="2" s="1"/>
  <c r="F518" i="3"/>
  <c r="I215" i="3"/>
  <c r="H213" i="1"/>
  <c r="S44" i="2"/>
  <c r="S71" i="2" s="1"/>
  <c r="O503" i="3"/>
  <c r="F43" i="2"/>
  <c r="F70" i="2" s="1"/>
  <c r="G37" i="2"/>
  <c r="G64" i="2" s="1"/>
  <c r="H277" i="3"/>
  <c r="D431" i="1"/>
  <c r="K195" i="1"/>
  <c r="I195" i="1"/>
  <c r="J213" i="1"/>
  <c r="D213" i="1"/>
  <c r="V104" i="2"/>
  <c r="V129" i="2" s="1"/>
  <c r="V88" i="2"/>
  <c r="V98" i="2"/>
  <c r="V103" i="2"/>
  <c r="V86" i="2"/>
  <c r="V101" i="2"/>
  <c r="V92" i="2"/>
  <c r="V94" i="2"/>
  <c r="V99" i="2"/>
  <c r="V100" i="2"/>
  <c r="V96" i="2"/>
  <c r="V102" i="2"/>
  <c r="V91" i="2"/>
  <c r="V93" i="2"/>
  <c r="V95" i="2"/>
  <c r="V90" i="2"/>
  <c r="V97" i="2"/>
  <c r="V87" i="2"/>
  <c r="V89" i="2"/>
  <c r="I47" i="3"/>
  <c r="G40" i="2"/>
  <c r="G67" i="2" s="1"/>
  <c r="K277" i="3"/>
  <c r="E10" i="3"/>
  <c r="F35" i="2"/>
  <c r="F238" i="3"/>
  <c r="F197" i="3"/>
  <c r="N35" i="2"/>
  <c r="N62" i="2" s="1"/>
  <c r="G169" i="3"/>
  <c r="H321" i="3"/>
  <c r="G293" i="1"/>
  <c r="H416" i="3"/>
  <c r="G381" i="1"/>
  <c r="N8" i="1"/>
  <c r="I503" i="3"/>
  <c r="S38" i="2"/>
  <c r="S65" i="2" s="1"/>
  <c r="E416" i="3"/>
  <c r="D381" i="1"/>
  <c r="G321" i="3"/>
  <c r="F293" i="1"/>
  <c r="I416" i="3"/>
  <c r="H381" i="1"/>
  <c r="J402" i="3"/>
  <c r="I381" i="1"/>
  <c r="N34" i="2"/>
  <c r="E197" i="3"/>
  <c r="G148" i="3"/>
  <c r="F195" i="1"/>
  <c r="F38" i="2"/>
  <c r="F65" i="2" s="1"/>
  <c r="I238" i="3"/>
  <c r="F42" i="2"/>
  <c r="F69" i="2" s="1"/>
  <c r="M238" i="3"/>
  <c r="O433" i="3"/>
  <c r="N129" i="3"/>
  <c r="V518" i="1"/>
  <c r="D518" i="3" s="1"/>
  <c r="D519" i="3"/>
  <c r="D283" i="3"/>
  <c r="F537" i="3"/>
  <c r="M537" i="3"/>
  <c r="G431" i="1"/>
  <c r="E494" i="3"/>
  <c r="Y43" i="2"/>
  <c r="N518" i="3"/>
  <c r="T518" i="3"/>
  <c r="Y49" i="2"/>
  <c r="Y76" i="2" s="1"/>
  <c r="N39" i="2"/>
  <c r="N66" i="2" s="1"/>
  <c r="J197" i="3"/>
  <c r="J195" i="1"/>
  <c r="K169" i="3"/>
  <c r="R47" i="2"/>
  <c r="R494" i="3"/>
  <c r="Q492" i="1"/>
  <c r="G34" i="2"/>
  <c r="E277" i="3"/>
  <c r="F383" i="3"/>
  <c r="E381" i="1"/>
  <c r="H35" i="3"/>
  <c r="I108" i="3"/>
  <c r="H195" i="1"/>
  <c r="M129" i="3"/>
  <c r="M444" i="3"/>
  <c r="O215" i="3"/>
  <c r="R492" i="1"/>
  <c r="F164" i="3"/>
  <c r="J10" i="3"/>
  <c r="O540" i="3"/>
  <c r="W44" i="2"/>
  <c r="W71" i="2" s="1"/>
  <c r="H129" i="3"/>
  <c r="K433" i="3"/>
  <c r="J431" i="1"/>
  <c r="C385" i="7"/>
  <c r="Q129" i="3"/>
  <c r="N402" i="3"/>
  <c r="V540" i="1"/>
  <c r="D540" i="3" s="1"/>
  <c r="D541" i="3"/>
  <c r="V503" i="1"/>
  <c r="D503" i="3" s="1"/>
  <c r="D505" i="3"/>
  <c r="V494" i="1"/>
  <c r="P532" i="3"/>
  <c r="O535" i="1"/>
  <c r="K532" i="3"/>
  <c r="Q537" i="3"/>
  <c r="H421" i="4"/>
  <c r="H421" i="5" s="1"/>
  <c r="W64" i="2"/>
  <c r="G35" i="3"/>
  <c r="F8" i="1"/>
  <c r="I213" i="1"/>
  <c r="J215" i="3"/>
  <c r="S79" i="3"/>
  <c r="R37" i="2"/>
  <c r="G492" i="1"/>
  <c r="H494" i="3"/>
  <c r="J494" i="3"/>
  <c r="I492" i="1"/>
  <c r="R51" i="2"/>
  <c r="J293" i="1"/>
  <c r="K295" i="3"/>
  <c r="N215" i="3"/>
  <c r="Q360" i="3"/>
  <c r="P293" i="1"/>
  <c r="L40" i="2"/>
  <c r="L67" i="2" s="1"/>
  <c r="K477" i="3"/>
  <c r="P129" i="3"/>
  <c r="O213" i="1"/>
  <c r="D28" i="3"/>
  <c r="D358" i="3"/>
  <c r="D404" i="3"/>
  <c r="E148" i="3"/>
  <c r="N45" i="2"/>
  <c r="N72" i="2" s="1"/>
  <c r="P197" i="3"/>
  <c r="L47" i="2"/>
  <c r="L74" i="2" s="1"/>
  <c r="R477" i="3"/>
  <c r="L34" i="2"/>
  <c r="E477" i="3"/>
  <c r="R38" i="2"/>
  <c r="H492" i="1"/>
  <c r="I494" i="3"/>
  <c r="G494" i="3"/>
  <c r="S37" i="2"/>
  <c r="S64" i="2" s="1"/>
  <c r="H503" i="3"/>
  <c r="L37" i="2"/>
  <c r="L64" i="2" s="1"/>
  <c r="H477" i="3"/>
  <c r="S35" i="2"/>
  <c r="F503" i="3"/>
  <c r="I540" i="3"/>
  <c r="W38" i="2"/>
  <c r="W65" i="2" s="1"/>
  <c r="R50" i="2"/>
  <c r="T492" i="1"/>
  <c r="Y44" i="2"/>
  <c r="Y71" i="2" s="1"/>
  <c r="O518" i="3"/>
  <c r="L383" i="3"/>
  <c r="K381" i="1"/>
  <c r="N41" i="2"/>
  <c r="N68" i="2" s="1"/>
  <c r="L197" i="3"/>
  <c r="U62" i="2"/>
  <c r="U52" i="2"/>
  <c r="U79" i="2" s="1"/>
  <c r="E460" i="7" l="1"/>
  <c r="F460" i="7"/>
  <c r="O221" i="6"/>
  <c r="D136" i="4"/>
  <c r="D136" i="5" s="1"/>
  <c r="P76" i="4"/>
  <c r="P76" i="5" s="1"/>
  <c r="M381" i="1"/>
  <c r="M431" i="1"/>
  <c r="K43" i="2" s="1"/>
  <c r="K70" i="2" s="1"/>
  <c r="T197" i="3"/>
  <c r="G392" i="7" s="1"/>
  <c r="S452" i="6"/>
  <c r="V452" i="4"/>
  <c r="V452" i="5" s="1"/>
  <c r="J427" i="6"/>
  <c r="L421" i="4"/>
  <c r="L421" i="5" s="1"/>
  <c r="L381" i="1"/>
  <c r="L431" i="1"/>
  <c r="O195" i="1"/>
  <c r="N452" i="6"/>
  <c r="U492" i="1"/>
  <c r="E195" i="1"/>
  <c r="R48" i="2"/>
  <c r="S51" i="2"/>
  <c r="S78" i="2" s="1"/>
  <c r="R34" i="2"/>
  <c r="L421" i="6"/>
  <c r="N381" i="1"/>
  <c r="N431" i="1"/>
  <c r="F404" i="7"/>
  <c r="G396" i="7" s="1"/>
  <c r="H8" i="1"/>
  <c r="S40" i="2"/>
  <c r="S67" i="2" s="1"/>
  <c r="J492" i="1"/>
  <c r="K492" i="3" s="1"/>
  <c r="S43" i="2"/>
  <c r="S70" i="2" s="1"/>
  <c r="D293" i="1"/>
  <c r="E293" i="3" s="1"/>
  <c r="L496" i="4"/>
  <c r="L496" i="5" s="1"/>
  <c r="V521" i="4"/>
  <c r="V521" i="5" s="1"/>
  <c r="P381" i="1"/>
  <c r="N494" i="3"/>
  <c r="H305" i="4"/>
  <c r="H305" i="5" s="1"/>
  <c r="U197" i="3"/>
  <c r="G393" i="7" s="1"/>
  <c r="O71" i="4"/>
  <c r="O71" i="5" s="1"/>
  <c r="F221" i="4"/>
  <c r="F221" i="5" s="1"/>
  <c r="F233" i="4"/>
  <c r="F233" i="5" s="1"/>
  <c r="J93" i="3"/>
  <c r="N383" i="3"/>
  <c r="H148" i="3"/>
  <c r="R226" i="3"/>
  <c r="H421" i="6"/>
  <c r="U452" i="4"/>
  <c r="U452" i="5" s="1"/>
  <c r="L368" i="6"/>
  <c r="D543" i="6"/>
  <c r="D543" i="4"/>
  <c r="D543" i="5" s="1"/>
  <c r="P421" i="6"/>
  <c r="M195" i="1"/>
  <c r="Q452" i="6"/>
  <c r="E543" i="6"/>
  <c r="G543" i="4"/>
  <c r="G543" i="5" s="1"/>
  <c r="I543" i="4"/>
  <c r="I543" i="5" s="1"/>
  <c r="K543" i="4"/>
  <c r="K543" i="5" s="1"/>
  <c r="M543" i="4"/>
  <c r="M543" i="5" s="1"/>
  <c r="O543" i="4"/>
  <c r="O543" i="5" s="1"/>
  <c r="Q543" i="4"/>
  <c r="Q543" i="5" s="1"/>
  <c r="S543" i="4"/>
  <c r="S543" i="5" s="1"/>
  <c r="U543" i="4"/>
  <c r="U543" i="5" s="1"/>
  <c r="F543" i="4"/>
  <c r="F543" i="5" s="1"/>
  <c r="H543" i="4"/>
  <c r="H543" i="5" s="1"/>
  <c r="J543" i="4"/>
  <c r="J543" i="5" s="1"/>
  <c r="L543" i="4"/>
  <c r="L543" i="5" s="1"/>
  <c r="N543" i="4"/>
  <c r="N543" i="5" s="1"/>
  <c r="P543" i="4"/>
  <c r="P543" i="5" s="1"/>
  <c r="R543" i="4"/>
  <c r="R543" i="5" s="1"/>
  <c r="T543" i="4"/>
  <c r="T543" i="5" s="1"/>
  <c r="V543" i="4"/>
  <c r="V543" i="5" s="1"/>
  <c r="D462" i="3"/>
  <c r="G462" i="6" s="1"/>
  <c r="E543" i="4"/>
  <c r="E543" i="5" s="1"/>
  <c r="G543" i="6"/>
  <c r="I543" i="6"/>
  <c r="K543" i="6"/>
  <c r="M543" i="6"/>
  <c r="O543" i="6"/>
  <c r="Q543" i="6"/>
  <c r="S543" i="6"/>
  <c r="U543" i="6"/>
  <c r="F543" i="6"/>
  <c r="H543" i="6"/>
  <c r="J543" i="6"/>
  <c r="L543" i="6"/>
  <c r="N543" i="6"/>
  <c r="P543" i="6"/>
  <c r="R543" i="6"/>
  <c r="T543" i="6"/>
  <c r="V543" i="6"/>
  <c r="F492" i="1"/>
  <c r="M213" i="1"/>
  <c r="F86" i="4"/>
  <c r="F86" i="5" s="1"/>
  <c r="P195" i="1"/>
  <c r="L195" i="1"/>
  <c r="G8" i="1"/>
  <c r="P393" i="6"/>
  <c r="P421" i="4"/>
  <c r="P421" i="5" s="1"/>
  <c r="T477" i="3"/>
  <c r="G51" i="2"/>
  <c r="G78" i="2" s="1"/>
  <c r="M478" i="6"/>
  <c r="H293" i="1"/>
  <c r="K494" i="3"/>
  <c r="S492" i="1"/>
  <c r="S535" i="1" s="1"/>
  <c r="K431" i="1"/>
  <c r="L45" i="2"/>
  <c r="L72" i="2" s="1"/>
  <c r="P507" i="4"/>
  <c r="P507" i="5" s="1"/>
  <c r="L527" i="4"/>
  <c r="L527" i="5" s="1"/>
  <c r="H247" i="6"/>
  <c r="L452" i="6"/>
  <c r="V452" i="6"/>
  <c r="S452" i="4"/>
  <c r="S452" i="5" s="1"/>
  <c r="Q477" i="3"/>
  <c r="H497" i="4"/>
  <c r="H497" i="5" s="1"/>
  <c r="F498" i="4"/>
  <c r="F498" i="5" s="1"/>
  <c r="P376" i="4"/>
  <c r="P376" i="5" s="1"/>
  <c r="Q238" i="3"/>
  <c r="Q381" i="1"/>
  <c r="F61" i="4"/>
  <c r="F61" i="5" s="1"/>
  <c r="O139" i="6"/>
  <c r="O477" i="3"/>
  <c r="J302" i="6"/>
  <c r="R325" i="4"/>
  <c r="R325" i="5" s="1"/>
  <c r="L342" i="6"/>
  <c r="N42" i="2"/>
  <c r="N69" i="2" s="1"/>
  <c r="K136" i="6"/>
  <c r="P136" i="6"/>
  <c r="N136" i="4"/>
  <c r="N136" i="5" s="1"/>
  <c r="D515" i="3"/>
  <c r="G515" i="4" s="1"/>
  <c r="G515" i="5" s="1"/>
  <c r="D514" i="3"/>
  <c r="S514" i="6" s="1"/>
  <c r="E515" i="6"/>
  <c r="G514" i="6"/>
  <c r="I515" i="6"/>
  <c r="K514" i="6"/>
  <c r="M515" i="6"/>
  <c r="O514" i="6"/>
  <c r="Q515" i="4"/>
  <c r="Q515" i="5" s="1"/>
  <c r="S514" i="4"/>
  <c r="S514" i="5" s="1"/>
  <c r="U515" i="4"/>
  <c r="U515" i="5" s="1"/>
  <c r="F514" i="4"/>
  <c r="F514" i="5" s="1"/>
  <c r="D500" i="3"/>
  <c r="E500" i="4" s="1"/>
  <c r="E500" i="5" s="1"/>
  <c r="D499" i="3"/>
  <c r="G499" i="4" s="1"/>
  <c r="G499" i="5" s="1"/>
  <c r="E500" i="6"/>
  <c r="O500" i="6"/>
  <c r="S500" i="6"/>
  <c r="O549" i="1"/>
  <c r="P549" i="3" s="1"/>
  <c r="D352" i="3"/>
  <c r="V352" i="6" s="1"/>
  <c r="D471" i="3"/>
  <c r="E471" i="6" s="1"/>
  <c r="P431" i="1"/>
  <c r="M352" i="6"/>
  <c r="M293" i="1"/>
  <c r="L293" i="1"/>
  <c r="D317" i="3"/>
  <c r="E317" i="4" s="1"/>
  <c r="E317" i="5" s="1"/>
  <c r="D316" i="3"/>
  <c r="E316" i="4" s="1"/>
  <c r="E316" i="5" s="1"/>
  <c r="E317" i="6"/>
  <c r="G316" i="4"/>
  <c r="G316" i="5" s="1"/>
  <c r="O316" i="4"/>
  <c r="O316" i="5" s="1"/>
  <c r="O293" i="1"/>
  <c r="D274" i="3"/>
  <c r="V274" i="4" s="1"/>
  <c r="V274" i="5" s="1"/>
  <c r="D282" i="3"/>
  <c r="N293" i="1"/>
  <c r="H44" i="2" s="1"/>
  <c r="H71" i="2" s="1"/>
  <c r="D123" i="3"/>
  <c r="O123" i="4" s="1"/>
  <c r="O123" i="5" s="1"/>
  <c r="D161" i="3"/>
  <c r="E161" i="4" s="1"/>
  <c r="E161" i="5" s="1"/>
  <c r="D159" i="3"/>
  <c r="M159" i="6" s="1"/>
  <c r="D160" i="3"/>
  <c r="E160" i="4" s="1"/>
  <c r="E160" i="5" s="1"/>
  <c r="D158" i="3"/>
  <c r="E158" i="4" s="1"/>
  <c r="E158" i="5" s="1"/>
  <c r="L328" i="4"/>
  <c r="L328" i="5" s="1"/>
  <c r="L218" i="6"/>
  <c r="F228" i="4"/>
  <c r="F228" i="5" s="1"/>
  <c r="D386" i="4"/>
  <c r="D386" i="5" s="1"/>
  <c r="J218" i="4"/>
  <c r="J218" i="5" s="1"/>
  <c r="E328" i="4"/>
  <c r="E328" i="5" s="1"/>
  <c r="E328" i="6"/>
  <c r="F218" i="6"/>
  <c r="M218" i="6"/>
  <c r="O412" i="6"/>
  <c r="U218" i="4"/>
  <c r="U218" i="5" s="1"/>
  <c r="N51" i="2"/>
  <c r="N78" i="2" s="1"/>
  <c r="R139" i="4"/>
  <c r="R139" i="5" s="1"/>
  <c r="P497" i="4"/>
  <c r="P497" i="5" s="1"/>
  <c r="J149" i="6"/>
  <c r="P328" i="4"/>
  <c r="P328" i="5" s="1"/>
  <c r="O328" i="6"/>
  <c r="G328" i="6"/>
  <c r="D328" i="6"/>
  <c r="O498" i="6"/>
  <c r="R218" i="4"/>
  <c r="R218" i="5" s="1"/>
  <c r="H218" i="6"/>
  <c r="K218" i="6"/>
  <c r="Q218" i="6"/>
  <c r="L497" i="6"/>
  <c r="O529" i="4"/>
  <c r="O529" i="5" s="1"/>
  <c r="V412" i="6"/>
  <c r="O412" i="4"/>
  <c r="O412" i="5" s="1"/>
  <c r="V238" i="1"/>
  <c r="D238" i="3" s="1"/>
  <c r="V123" i="6"/>
  <c r="U195" i="1"/>
  <c r="S86" i="6"/>
  <c r="P86" i="4"/>
  <c r="P86" i="5" s="1"/>
  <c r="E86" i="4"/>
  <c r="E86" i="5" s="1"/>
  <c r="T497" i="6"/>
  <c r="E537" i="4"/>
  <c r="E537" i="5" s="1"/>
  <c r="R290" i="4"/>
  <c r="R290" i="5" s="1"/>
  <c r="Q509" i="4"/>
  <c r="Q509" i="5" s="1"/>
  <c r="O498" i="4"/>
  <c r="O498" i="5" s="1"/>
  <c r="G513" i="6"/>
  <c r="S213" i="1"/>
  <c r="E49" i="2" s="1"/>
  <c r="E76" i="2" s="1"/>
  <c r="R222" i="6"/>
  <c r="N412" i="6"/>
  <c r="O88" i="4"/>
  <c r="O88" i="5" s="1"/>
  <c r="S96" i="6"/>
  <c r="T439" i="6"/>
  <c r="V61" i="6"/>
  <c r="D173" i="3"/>
  <c r="I173" i="4" s="1"/>
  <c r="I173" i="5" s="1"/>
  <c r="D193" i="3"/>
  <c r="D217" i="3"/>
  <c r="D229" i="3"/>
  <c r="D231" i="3"/>
  <c r="U231" i="6" s="1"/>
  <c r="D240" i="3"/>
  <c r="D242" i="3"/>
  <c r="S242" i="6" s="1"/>
  <c r="D244" i="3"/>
  <c r="D246" i="3"/>
  <c r="D248" i="3"/>
  <c r="D266" i="3"/>
  <c r="D268" i="3"/>
  <c r="Q268" i="6" s="1"/>
  <c r="D312" i="3"/>
  <c r="O312" i="6" s="1"/>
  <c r="D348" i="3"/>
  <c r="J348" i="4" s="1"/>
  <c r="J348" i="5" s="1"/>
  <c r="D361" i="3"/>
  <c r="D413" i="3"/>
  <c r="D423" i="3"/>
  <c r="N423" i="4" s="1"/>
  <c r="N423" i="5" s="1"/>
  <c r="D448" i="3"/>
  <c r="O448" i="6" s="1"/>
  <c r="D458" i="3"/>
  <c r="D100" i="3"/>
  <c r="O100" i="6" s="1"/>
  <c r="D33" i="3"/>
  <c r="F33" i="6" s="1"/>
  <c r="D113" i="3"/>
  <c r="D113" i="6" s="1"/>
  <c r="D366" i="3"/>
  <c r="D374" i="3"/>
  <c r="G374" i="4" s="1"/>
  <c r="G374" i="5" s="1"/>
  <c r="D388" i="3"/>
  <c r="D396" i="3"/>
  <c r="D406" i="3"/>
  <c r="D414" i="3"/>
  <c r="D398" i="3"/>
  <c r="D420" i="3"/>
  <c r="V420" i="4" s="1"/>
  <c r="V420" i="5" s="1"/>
  <c r="D428" i="3"/>
  <c r="M428" i="4" s="1"/>
  <c r="M428" i="5" s="1"/>
  <c r="D435" i="3"/>
  <c r="U435" i="4" s="1"/>
  <c r="U435" i="5" s="1"/>
  <c r="D437" i="3"/>
  <c r="D441" i="3"/>
  <c r="D457" i="3"/>
  <c r="D465" i="3"/>
  <c r="D206" i="3"/>
  <c r="F206" i="4" s="1"/>
  <c r="F206" i="5" s="1"/>
  <c r="D56" i="3"/>
  <c r="D40" i="3"/>
  <c r="R40" i="6" s="1"/>
  <c r="D44" i="3"/>
  <c r="D15" i="3"/>
  <c r="D19" i="3"/>
  <c r="D98" i="3"/>
  <c r="J98" i="4" s="1"/>
  <c r="J98" i="5" s="1"/>
  <c r="D109" i="3"/>
  <c r="D138" i="3"/>
  <c r="V138" i="6" s="1"/>
  <c r="D142" i="3"/>
  <c r="D146" i="3"/>
  <c r="D230" i="3"/>
  <c r="D239" i="3"/>
  <c r="K239" i="4" s="1"/>
  <c r="K239" i="5" s="1"/>
  <c r="D245" i="3"/>
  <c r="Q245" i="4" s="1"/>
  <c r="Q245" i="5" s="1"/>
  <c r="D249" i="3"/>
  <c r="I249" i="4" s="1"/>
  <c r="I249" i="5" s="1"/>
  <c r="D253" i="3"/>
  <c r="H253" i="6" s="1"/>
  <c r="D257" i="3"/>
  <c r="D261" i="3"/>
  <c r="D265" i="3"/>
  <c r="Q265" i="4" s="1"/>
  <c r="Q265" i="5" s="1"/>
  <c r="D299" i="3"/>
  <c r="D307" i="3"/>
  <c r="D322" i="3"/>
  <c r="D326" i="3"/>
  <c r="D50" i="3"/>
  <c r="D204" i="3"/>
  <c r="T204" i="6" s="1"/>
  <c r="D472" i="3"/>
  <c r="D176" i="3"/>
  <c r="D30" i="3"/>
  <c r="D36" i="3"/>
  <c r="S36" i="4" s="1"/>
  <c r="S36" i="5" s="1"/>
  <c r="D124" i="3"/>
  <c r="I124" i="6" s="1"/>
  <c r="D190" i="3"/>
  <c r="D449" i="3"/>
  <c r="T449" i="4" s="1"/>
  <c r="T449" i="5" s="1"/>
  <c r="D16" i="3"/>
  <c r="E16" i="6" s="1"/>
  <c r="D181" i="3"/>
  <c r="D340" i="3"/>
  <c r="D367" i="3"/>
  <c r="D405" i="3"/>
  <c r="D270" i="3"/>
  <c r="D284" i="3"/>
  <c r="F284" i="4" s="1"/>
  <c r="F284" i="5" s="1"/>
  <c r="D112" i="3"/>
  <c r="V112" i="4" s="1"/>
  <c r="V112" i="5" s="1"/>
  <c r="D122" i="3"/>
  <c r="E122" i="6" s="1"/>
  <c r="E112" i="4"/>
  <c r="E112" i="5" s="1"/>
  <c r="G462" i="4"/>
  <c r="G462" i="5" s="1"/>
  <c r="L304" i="4"/>
  <c r="L304" i="5" s="1"/>
  <c r="H136" i="6"/>
  <c r="L136" i="6"/>
  <c r="N136" i="6"/>
  <c r="Q136" i="6"/>
  <c r="I328" i="6"/>
  <c r="V328" i="6"/>
  <c r="O328" i="4"/>
  <c r="O328" i="5" s="1"/>
  <c r="L328" i="6"/>
  <c r="R328" i="4"/>
  <c r="R328" i="5" s="1"/>
  <c r="K328" i="6"/>
  <c r="T328" i="6"/>
  <c r="J328" i="4"/>
  <c r="J328" i="5" s="1"/>
  <c r="T218" i="6"/>
  <c r="E218" i="4"/>
  <c r="E218" i="5" s="1"/>
  <c r="H218" i="4"/>
  <c r="H218" i="5" s="1"/>
  <c r="R218" i="6"/>
  <c r="I218" i="4"/>
  <c r="I218" i="5" s="1"/>
  <c r="D218" i="4"/>
  <c r="D218" i="5" s="1"/>
  <c r="F218" i="4"/>
  <c r="F218" i="5" s="1"/>
  <c r="U511" i="6"/>
  <c r="O368" i="6"/>
  <c r="I362" i="4"/>
  <c r="I362" i="5" s="1"/>
  <c r="S139" i="4"/>
  <c r="S139" i="5" s="1"/>
  <c r="O304" i="4"/>
  <c r="O304" i="5" s="1"/>
  <c r="L509" i="6"/>
  <c r="F328" i="4"/>
  <c r="F328" i="5" s="1"/>
  <c r="K328" i="4"/>
  <c r="K328" i="5" s="1"/>
  <c r="N328" i="4"/>
  <c r="N328" i="5" s="1"/>
  <c r="R328" i="6"/>
  <c r="G328" i="4"/>
  <c r="G328" i="5" s="1"/>
  <c r="I328" i="4"/>
  <c r="I328" i="5" s="1"/>
  <c r="M328" i="6"/>
  <c r="T328" i="4"/>
  <c r="T328" i="5" s="1"/>
  <c r="D328" i="4"/>
  <c r="D328" i="5" s="1"/>
  <c r="N328" i="6"/>
  <c r="S328" i="6"/>
  <c r="Q328" i="4"/>
  <c r="Q328" i="5" s="1"/>
  <c r="U328" i="6"/>
  <c r="J328" i="6"/>
  <c r="F328" i="6"/>
  <c r="E218" i="6"/>
  <c r="T218" i="4"/>
  <c r="T218" i="5" s="1"/>
  <c r="G218" i="6"/>
  <c r="U218" i="6"/>
  <c r="S218" i="6"/>
  <c r="Q218" i="4"/>
  <c r="Q218" i="5" s="1"/>
  <c r="K218" i="4"/>
  <c r="K218" i="5" s="1"/>
  <c r="D218" i="6"/>
  <c r="L218" i="4"/>
  <c r="L218" i="5" s="1"/>
  <c r="M218" i="4"/>
  <c r="M218" i="5" s="1"/>
  <c r="I218" i="6"/>
  <c r="N218" i="4"/>
  <c r="N218" i="5" s="1"/>
  <c r="J218" i="6"/>
  <c r="N218" i="6"/>
  <c r="P218" i="4"/>
  <c r="P218" i="5" s="1"/>
  <c r="P218" i="6"/>
  <c r="V525" i="4"/>
  <c r="V525" i="5" s="1"/>
  <c r="P501" i="6"/>
  <c r="N525" i="4"/>
  <c r="N525" i="5" s="1"/>
  <c r="H61" i="6"/>
  <c r="J368" i="6"/>
  <c r="P58" i="6"/>
  <c r="H58" i="4"/>
  <c r="H58" i="5" s="1"/>
  <c r="G218" i="4"/>
  <c r="G218" i="5" s="1"/>
  <c r="J431" i="3"/>
  <c r="O218" i="4"/>
  <c r="O218" i="5" s="1"/>
  <c r="Q58" i="6"/>
  <c r="F50" i="2"/>
  <c r="F77" i="2" s="1"/>
  <c r="D95" i="3"/>
  <c r="I95" i="4" s="1"/>
  <c r="I95" i="5" s="1"/>
  <c r="D99" i="3"/>
  <c r="E99" i="6" s="1"/>
  <c r="O8" i="1"/>
  <c r="E99" i="4"/>
  <c r="E99" i="5" s="1"/>
  <c r="Q8" i="1"/>
  <c r="D8" i="1"/>
  <c r="C34" i="2" s="1"/>
  <c r="L8" i="1"/>
  <c r="M8" i="3" s="1"/>
  <c r="U419" i="4"/>
  <c r="U419" i="5" s="1"/>
  <c r="H419" i="4"/>
  <c r="H419" i="5" s="1"/>
  <c r="V281" i="6"/>
  <c r="V281" i="4"/>
  <c r="V281" i="5" s="1"/>
  <c r="T424" i="6"/>
  <c r="Q290" i="4"/>
  <c r="Q290" i="5" s="1"/>
  <c r="F509" i="4"/>
  <c r="F509" i="5" s="1"/>
  <c r="D290" i="4"/>
  <c r="D290" i="5" s="1"/>
  <c r="P439" i="4"/>
  <c r="P439" i="5" s="1"/>
  <c r="Q439" i="6"/>
  <c r="E8" i="1"/>
  <c r="K8" i="1"/>
  <c r="C41" i="2" s="1"/>
  <c r="C68" i="2" s="1"/>
  <c r="O136" i="6"/>
  <c r="I419" i="6"/>
  <c r="S329" i="6"/>
  <c r="J498" i="4"/>
  <c r="J498" i="5" s="1"/>
  <c r="H136" i="4"/>
  <c r="H136" i="5" s="1"/>
  <c r="G136" i="6"/>
  <c r="T136" i="4"/>
  <c r="T136" i="5" s="1"/>
  <c r="I136" i="6"/>
  <c r="R136" i="6"/>
  <c r="J136" i="6"/>
  <c r="E136" i="4"/>
  <c r="E136" i="5" s="1"/>
  <c r="L136" i="4"/>
  <c r="L136" i="5" s="1"/>
  <c r="D136" i="6"/>
  <c r="F527" i="4"/>
  <c r="F527" i="5" s="1"/>
  <c r="K235" i="6"/>
  <c r="P498" i="6"/>
  <c r="N521" i="4"/>
  <c r="N521" i="5" s="1"/>
  <c r="G542" i="4"/>
  <c r="G542" i="5" s="1"/>
  <c r="E507" i="6"/>
  <c r="D542" i="4"/>
  <c r="D542" i="5" s="1"/>
  <c r="Q23" i="6"/>
  <c r="V88" i="6"/>
  <c r="H88" i="4"/>
  <c r="H88" i="5" s="1"/>
  <c r="L188" i="6"/>
  <c r="D53" i="3"/>
  <c r="V53" i="4" s="1"/>
  <c r="V53" i="5" s="1"/>
  <c r="D54" i="3"/>
  <c r="V218" i="4"/>
  <c r="V218" i="5" s="1"/>
  <c r="O431" i="1"/>
  <c r="E53" i="6"/>
  <c r="P521" i="4"/>
  <c r="P521" i="5" s="1"/>
  <c r="K496" i="6"/>
  <c r="P8" i="1"/>
  <c r="Q8" i="3" s="1"/>
  <c r="V197" i="1"/>
  <c r="D197" i="3" s="1"/>
  <c r="O136" i="4"/>
  <c r="O136" i="5" s="1"/>
  <c r="E419" i="4"/>
  <c r="E419" i="5" s="1"/>
  <c r="N419" i="4"/>
  <c r="N419" i="5" s="1"/>
  <c r="K23" i="4"/>
  <c r="K23" i="5" s="1"/>
  <c r="S136" i="6"/>
  <c r="U136" i="6"/>
  <c r="K136" i="4"/>
  <c r="K136" i="5" s="1"/>
  <c r="F136" i="6"/>
  <c r="T136" i="6"/>
  <c r="G136" i="4"/>
  <c r="G136" i="5" s="1"/>
  <c r="M136" i="4"/>
  <c r="M136" i="5" s="1"/>
  <c r="F136" i="4"/>
  <c r="F136" i="5" s="1"/>
  <c r="R136" i="4"/>
  <c r="R136" i="5" s="1"/>
  <c r="J136" i="4"/>
  <c r="J136" i="5" s="1"/>
  <c r="P136" i="4"/>
  <c r="P136" i="5" s="1"/>
  <c r="E136" i="6"/>
  <c r="U136" i="4"/>
  <c r="U136" i="5" s="1"/>
  <c r="Q136" i="4"/>
  <c r="Q136" i="5" s="1"/>
  <c r="M136" i="6"/>
  <c r="I136" i="4"/>
  <c r="I136" i="5" s="1"/>
  <c r="H521" i="6"/>
  <c r="D498" i="6"/>
  <c r="E498" i="6"/>
  <c r="E498" i="4"/>
  <c r="E498" i="5" s="1"/>
  <c r="M90" i="6"/>
  <c r="N496" i="6"/>
  <c r="U542" i="6"/>
  <c r="J507" i="4"/>
  <c r="J507" i="5" s="1"/>
  <c r="T511" i="4"/>
  <c r="T511" i="5" s="1"/>
  <c r="F88" i="6"/>
  <c r="I88" i="4"/>
  <c r="I88" i="5" s="1"/>
  <c r="K82" i="6"/>
  <c r="J549" i="1"/>
  <c r="K549" i="3" s="1"/>
  <c r="H34" i="2"/>
  <c r="G527" i="4"/>
  <c r="G527" i="5" s="1"/>
  <c r="T507" i="6"/>
  <c r="N549" i="1"/>
  <c r="O549" i="3" s="1"/>
  <c r="N535" i="1"/>
  <c r="O535" i="3" s="1"/>
  <c r="P60" i="6"/>
  <c r="H60" i="4"/>
  <c r="H60" i="5" s="1"/>
  <c r="T60" i="6"/>
  <c r="I243" i="6"/>
  <c r="J243" i="4"/>
  <c r="J243" i="5" s="1"/>
  <c r="D243" i="4"/>
  <c r="D243" i="5" s="1"/>
  <c r="J243" i="6"/>
  <c r="S188" i="4"/>
  <c r="S188" i="5" s="1"/>
  <c r="F188" i="6"/>
  <c r="J188" i="4"/>
  <c r="J188" i="5" s="1"/>
  <c r="L498" i="4"/>
  <c r="L498" i="5" s="1"/>
  <c r="S498" i="6"/>
  <c r="V498" i="4"/>
  <c r="V498" i="5" s="1"/>
  <c r="N498" i="6"/>
  <c r="F498" i="6"/>
  <c r="R498" i="6"/>
  <c r="T498" i="6"/>
  <c r="U498" i="4"/>
  <c r="U498" i="5" s="1"/>
  <c r="G498" i="4"/>
  <c r="G498" i="5" s="1"/>
  <c r="K498" i="4"/>
  <c r="K498" i="5" s="1"/>
  <c r="M498" i="4"/>
  <c r="M498" i="5" s="1"/>
  <c r="Q498" i="4"/>
  <c r="Q498" i="5" s="1"/>
  <c r="U498" i="6"/>
  <c r="S498" i="4"/>
  <c r="S498" i="5" s="1"/>
  <c r="I498" i="6"/>
  <c r="H498" i="4"/>
  <c r="H498" i="5" s="1"/>
  <c r="D498" i="4"/>
  <c r="D498" i="5" s="1"/>
  <c r="M498" i="6"/>
  <c r="G88" i="6"/>
  <c r="D88" i="4"/>
  <c r="D88" i="5" s="1"/>
  <c r="J88" i="4"/>
  <c r="J88" i="5" s="1"/>
  <c r="S88" i="4"/>
  <c r="S88" i="5" s="1"/>
  <c r="E88" i="4"/>
  <c r="E88" i="5" s="1"/>
  <c r="Q88" i="4"/>
  <c r="Q88" i="5" s="1"/>
  <c r="K88" i="6"/>
  <c r="E88" i="6"/>
  <c r="T88" i="4"/>
  <c r="T88" i="5" s="1"/>
  <c r="N88" i="4"/>
  <c r="N88" i="5" s="1"/>
  <c r="L88" i="6"/>
  <c r="L535" i="3"/>
  <c r="K548" i="1"/>
  <c r="L548" i="3" s="1"/>
  <c r="M300" i="4"/>
  <c r="M300" i="5" s="1"/>
  <c r="M300" i="6"/>
  <c r="G537" i="4"/>
  <c r="G537" i="5" s="1"/>
  <c r="U537" i="4"/>
  <c r="U537" i="5" s="1"/>
  <c r="K537" i="6"/>
  <c r="T501" i="4"/>
  <c r="T501" i="5" s="1"/>
  <c r="V501" i="6"/>
  <c r="V501" i="4"/>
  <c r="V501" i="5" s="1"/>
  <c r="I501" i="6"/>
  <c r="R509" i="6"/>
  <c r="T509" i="6"/>
  <c r="H513" i="4"/>
  <c r="H513" i="5" s="1"/>
  <c r="N513" i="4"/>
  <c r="N513" i="5" s="1"/>
  <c r="I513" i="4"/>
  <c r="I513" i="5" s="1"/>
  <c r="H513" i="6"/>
  <c r="I525" i="6"/>
  <c r="E525" i="4"/>
  <c r="E525" i="5" s="1"/>
  <c r="G525" i="6"/>
  <c r="V525" i="6"/>
  <c r="R529" i="6"/>
  <c r="Q529" i="6"/>
  <c r="P529" i="6"/>
  <c r="E529" i="4"/>
  <c r="E529" i="5" s="1"/>
  <c r="F300" i="4"/>
  <c r="F300" i="5" s="1"/>
  <c r="P300" i="4"/>
  <c r="P300" i="5" s="1"/>
  <c r="G419" i="4"/>
  <c r="G419" i="5" s="1"/>
  <c r="R419" i="6"/>
  <c r="P516" i="4"/>
  <c r="P516" i="5" s="1"/>
  <c r="T516" i="4"/>
  <c r="T516" i="5" s="1"/>
  <c r="S197" i="3"/>
  <c r="G391" i="7" s="1"/>
  <c r="J498" i="7" a="1"/>
  <c r="J498" i="7" s="1"/>
  <c r="O419" i="6"/>
  <c r="K419" i="6"/>
  <c r="T419" i="6"/>
  <c r="P419" i="4"/>
  <c r="P419" i="5" s="1"/>
  <c r="J498" i="6"/>
  <c r="F419" i="6"/>
  <c r="T424" i="4"/>
  <c r="T424" i="5" s="1"/>
  <c r="R537" i="6"/>
  <c r="D537" i="6"/>
  <c r="S537" i="6"/>
  <c r="O290" i="4"/>
  <c r="O290" i="5" s="1"/>
  <c r="K290" i="4"/>
  <c r="K290" i="5" s="1"/>
  <c r="D509" i="4"/>
  <c r="D509" i="5" s="1"/>
  <c r="G509" i="4"/>
  <c r="G509" i="5" s="1"/>
  <c r="G498" i="6"/>
  <c r="K498" i="6"/>
  <c r="H498" i="6"/>
  <c r="I498" i="4"/>
  <c r="I498" i="5" s="1"/>
  <c r="Q498" i="6"/>
  <c r="L498" i="6"/>
  <c r="V513" i="6"/>
  <c r="K82" i="4"/>
  <c r="K82" i="5" s="1"/>
  <c r="D501" i="4"/>
  <c r="D501" i="5" s="1"/>
  <c r="S529" i="4"/>
  <c r="S529" i="5" s="1"/>
  <c r="P516" i="6"/>
  <c r="N498" i="4"/>
  <c r="N498" i="5" s="1"/>
  <c r="L204" i="6"/>
  <c r="U501" i="6"/>
  <c r="U513" i="6"/>
  <c r="Q525" i="6"/>
  <c r="S525" i="6"/>
  <c r="H529" i="4"/>
  <c r="H529" i="5" s="1"/>
  <c r="R498" i="4"/>
  <c r="R498" i="5" s="1"/>
  <c r="J290" i="4"/>
  <c r="J290" i="5" s="1"/>
  <c r="T188" i="6"/>
  <c r="Q419" i="4"/>
  <c r="Q419" i="5" s="1"/>
  <c r="K462" i="6"/>
  <c r="I462" i="4"/>
  <c r="I462" i="5" s="1"/>
  <c r="T243" i="6"/>
  <c r="H243" i="6"/>
  <c r="F300" i="6"/>
  <c r="R88" i="6"/>
  <c r="P88" i="6"/>
  <c r="P88" i="4"/>
  <c r="P88" i="5" s="1"/>
  <c r="U88" i="4"/>
  <c r="U88" i="5" s="1"/>
  <c r="Q88" i="6"/>
  <c r="O243" i="4"/>
  <c r="O243" i="5" s="1"/>
  <c r="M376" i="4"/>
  <c r="M376" i="5" s="1"/>
  <c r="S518" i="4"/>
  <c r="S518" i="5" s="1"/>
  <c r="G222" i="6"/>
  <c r="O180" i="4"/>
  <c r="O180" i="5" s="1"/>
  <c r="L542" i="4"/>
  <c r="L542" i="5" s="1"/>
  <c r="D542" i="6"/>
  <c r="Q542" i="4"/>
  <c r="Q542" i="5" s="1"/>
  <c r="I542" i="6"/>
  <c r="F542" i="4"/>
  <c r="F542" i="5" s="1"/>
  <c r="S542" i="6"/>
  <c r="S542" i="4"/>
  <c r="S542" i="5" s="1"/>
  <c r="Q542" i="6"/>
  <c r="T496" i="6"/>
  <c r="K496" i="4"/>
  <c r="K496" i="5" s="1"/>
  <c r="G496" i="6"/>
  <c r="P496" i="4"/>
  <c r="P496" i="5" s="1"/>
  <c r="H496" i="4"/>
  <c r="H496" i="5" s="1"/>
  <c r="F496" i="4"/>
  <c r="F496" i="5" s="1"/>
  <c r="V496" i="6"/>
  <c r="J496" i="4"/>
  <c r="J496" i="5" s="1"/>
  <c r="H507" i="4"/>
  <c r="H507" i="5" s="1"/>
  <c r="K507" i="4"/>
  <c r="K507" i="5" s="1"/>
  <c r="T507" i="4"/>
  <c r="T507" i="5" s="1"/>
  <c r="G507" i="4"/>
  <c r="G507" i="5" s="1"/>
  <c r="J507" i="6"/>
  <c r="M507" i="6"/>
  <c r="U507" i="4"/>
  <c r="U507" i="5" s="1"/>
  <c r="T511" i="6"/>
  <c r="O511" i="6"/>
  <c r="H511" i="4"/>
  <c r="H511" i="5" s="1"/>
  <c r="P511" i="6"/>
  <c r="M511" i="6"/>
  <c r="V521" i="6"/>
  <c r="T521" i="4"/>
  <c r="T521" i="5" s="1"/>
  <c r="R521" i="4"/>
  <c r="R521" i="5" s="1"/>
  <c r="M521" i="6"/>
  <c r="U521" i="6"/>
  <c r="N521" i="6"/>
  <c r="K521" i="4"/>
  <c r="K521" i="5" s="1"/>
  <c r="L521" i="6"/>
  <c r="U527" i="6"/>
  <c r="I527" i="6"/>
  <c r="F527" i="6"/>
  <c r="R527" i="6"/>
  <c r="P527" i="6"/>
  <c r="M527" i="6"/>
  <c r="U532" i="4"/>
  <c r="U532" i="5" s="1"/>
  <c r="D532" i="6"/>
  <c r="F221" i="6"/>
  <c r="I221" i="4"/>
  <c r="I221" i="5" s="1"/>
  <c r="G221" i="6"/>
  <c r="K221" i="6"/>
  <c r="R496" i="6"/>
  <c r="I532" i="4"/>
  <c r="I532" i="5" s="1"/>
  <c r="S532" i="4"/>
  <c r="S532" i="5" s="1"/>
  <c r="I521" i="6"/>
  <c r="F521" i="6"/>
  <c r="M521" i="4"/>
  <c r="M521" i="5" s="1"/>
  <c r="P521" i="6"/>
  <c r="Q527" i="4"/>
  <c r="Q527" i="5" s="1"/>
  <c r="S527" i="4"/>
  <c r="S527" i="5" s="1"/>
  <c r="J532" i="6"/>
  <c r="R507" i="6"/>
  <c r="T527" i="6"/>
  <c r="S527" i="6"/>
  <c r="U542" i="4"/>
  <c r="U542" i="5" s="1"/>
  <c r="V542" i="4"/>
  <c r="V542" i="5" s="1"/>
  <c r="P542" i="6"/>
  <c r="T542" i="4"/>
  <c r="T542" i="5" s="1"/>
  <c r="Q507" i="6"/>
  <c r="I507" i="4"/>
  <c r="I507" i="5" s="1"/>
  <c r="L507" i="4"/>
  <c r="L507" i="5" s="1"/>
  <c r="H507" i="6"/>
  <c r="D496" i="6"/>
  <c r="O496" i="6"/>
  <c r="U496" i="4"/>
  <c r="U496" i="5" s="1"/>
  <c r="N511" i="4"/>
  <c r="N511" i="5" s="1"/>
  <c r="H511" i="6"/>
  <c r="N527" i="6"/>
  <c r="Q532" i="6"/>
  <c r="T49" i="2"/>
  <c r="X49" i="2" s="1"/>
  <c r="X76" i="2" s="1"/>
  <c r="O439" i="4"/>
  <c r="O439" i="5" s="1"/>
  <c r="O439" i="6"/>
  <c r="Q311" i="6"/>
  <c r="V93" i="1"/>
  <c r="D93" i="3" s="1"/>
  <c r="O93" i="6" s="1"/>
  <c r="G498" i="7" a="1"/>
  <c r="V416" i="1"/>
  <c r="D416" i="3" s="1"/>
  <c r="U456" i="6"/>
  <c r="V218" i="6"/>
  <c r="V86" i="4"/>
  <c r="V86" i="5" s="1"/>
  <c r="U71" i="6"/>
  <c r="U183" i="6"/>
  <c r="U304" i="4"/>
  <c r="U304" i="5" s="1"/>
  <c r="V424" i="4"/>
  <c r="V424" i="5" s="1"/>
  <c r="V264" i="4"/>
  <c r="V264" i="5" s="1"/>
  <c r="V419" i="4"/>
  <c r="V419" i="5" s="1"/>
  <c r="V498" i="6"/>
  <c r="P328" i="6"/>
  <c r="V537" i="4"/>
  <c r="V537" i="5" s="1"/>
  <c r="O29" i="4"/>
  <c r="O29" i="5" s="1"/>
  <c r="N29" i="4"/>
  <c r="N29" i="5" s="1"/>
  <c r="R29" i="6"/>
  <c r="M29" i="4"/>
  <c r="M29" i="5" s="1"/>
  <c r="J29" i="4"/>
  <c r="J29" i="5" s="1"/>
  <c r="U29" i="6"/>
  <c r="D29" i="4"/>
  <c r="D29" i="5" s="1"/>
  <c r="U232" i="4"/>
  <c r="U232" i="5" s="1"/>
  <c r="H232" i="6"/>
  <c r="V232" i="4"/>
  <c r="V232" i="5" s="1"/>
  <c r="E232" i="6"/>
  <c r="R232" i="4"/>
  <c r="R232" i="5" s="1"/>
  <c r="E232" i="4"/>
  <c r="E232" i="5" s="1"/>
  <c r="G84" i="4"/>
  <c r="G84" i="5" s="1"/>
  <c r="J84" i="6"/>
  <c r="G275" i="6"/>
  <c r="E275" i="6"/>
  <c r="D275" i="6"/>
  <c r="I275" i="6"/>
  <c r="J393" i="6"/>
  <c r="E393" i="6"/>
  <c r="R393" i="4"/>
  <c r="R393" i="5" s="1"/>
  <c r="V393" i="4"/>
  <c r="V393" i="5" s="1"/>
  <c r="P393" i="4"/>
  <c r="P393" i="5" s="1"/>
  <c r="K386" i="6"/>
  <c r="M386" i="6"/>
  <c r="I386" i="4"/>
  <c r="I386" i="5" s="1"/>
  <c r="N386" i="4"/>
  <c r="N386" i="5" s="1"/>
  <c r="F386" i="4"/>
  <c r="F386" i="5" s="1"/>
  <c r="H235" i="6"/>
  <c r="F235" i="6"/>
  <c r="D235" i="4"/>
  <c r="D235" i="5" s="1"/>
  <c r="G376" i="6"/>
  <c r="O376" i="4"/>
  <c r="O376" i="5" s="1"/>
  <c r="Q376" i="4"/>
  <c r="Q376" i="5" s="1"/>
  <c r="F376" i="6"/>
  <c r="L376" i="6"/>
  <c r="E376" i="6"/>
  <c r="T376" i="4"/>
  <c r="T376" i="5" s="1"/>
  <c r="G418" i="6"/>
  <c r="R418" i="4"/>
  <c r="R418" i="5" s="1"/>
  <c r="H90" i="4"/>
  <c r="H90" i="5" s="1"/>
  <c r="E90" i="4"/>
  <c r="E90" i="5" s="1"/>
  <c r="D90" i="6"/>
  <c r="I90" i="6"/>
  <c r="N90" i="4"/>
  <c r="N90" i="5" s="1"/>
  <c r="T90" i="6"/>
  <c r="E403" i="7"/>
  <c r="E395" i="7" s="1"/>
  <c r="H327" i="6"/>
  <c r="H327" i="4"/>
  <c r="H327" i="5" s="1"/>
  <c r="M242" i="6"/>
  <c r="E33" i="6"/>
  <c r="K33" i="4"/>
  <c r="K33" i="5" s="1"/>
  <c r="T265" i="4"/>
  <c r="T265" i="5" s="1"/>
  <c r="U275" i="4"/>
  <c r="U275" i="5" s="1"/>
  <c r="L228" i="4"/>
  <c r="L228" i="5" s="1"/>
  <c r="V228" i="4"/>
  <c r="V228" i="5" s="1"/>
  <c r="U228" i="6"/>
  <c r="D228" i="4"/>
  <c r="D228" i="5" s="1"/>
  <c r="K368" i="6"/>
  <c r="S368" i="4"/>
  <c r="S368" i="5" s="1"/>
  <c r="I368" i="4"/>
  <c r="I368" i="5" s="1"/>
  <c r="P368" i="4"/>
  <c r="P368" i="5" s="1"/>
  <c r="D368" i="6"/>
  <c r="U368" i="4"/>
  <c r="U368" i="5" s="1"/>
  <c r="M368" i="6"/>
  <c r="N368" i="4"/>
  <c r="N368" i="5" s="1"/>
  <c r="P368" i="6"/>
  <c r="N368" i="6"/>
  <c r="H368" i="6"/>
  <c r="T368" i="4"/>
  <c r="T368" i="5" s="1"/>
  <c r="V368" i="6"/>
  <c r="E368" i="4"/>
  <c r="E368" i="5" s="1"/>
  <c r="U368" i="6"/>
  <c r="V368" i="4"/>
  <c r="V368" i="5" s="1"/>
  <c r="M23" i="4"/>
  <c r="M23" i="5" s="1"/>
  <c r="S23" i="4"/>
  <c r="S23" i="5" s="1"/>
  <c r="I23" i="4"/>
  <c r="I23" i="5" s="1"/>
  <c r="U23" i="6"/>
  <c r="S23" i="6"/>
  <c r="Q23" i="4"/>
  <c r="Q23" i="5" s="1"/>
  <c r="K23" i="6"/>
  <c r="O23" i="4"/>
  <c r="O23" i="5" s="1"/>
  <c r="T285" i="4"/>
  <c r="T285" i="5" s="1"/>
  <c r="H285" i="4"/>
  <c r="H285" i="5" s="1"/>
  <c r="H285" i="6"/>
  <c r="P285" i="6"/>
  <c r="Q285" i="4"/>
  <c r="Q285" i="5" s="1"/>
  <c r="N337" i="6"/>
  <c r="H337" i="4"/>
  <c r="H337" i="5" s="1"/>
  <c r="D313" i="4"/>
  <c r="D313" i="5" s="1"/>
  <c r="O313" i="6"/>
  <c r="N427" i="4"/>
  <c r="N427" i="5" s="1"/>
  <c r="N427" i="6"/>
  <c r="R427" i="6"/>
  <c r="N338" i="4"/>
  <c r="N338" i="5" s="1"/>
  <c r="H338" i="4"/>
  <c r="H338" i="5" s="1"/>
  <c r="J231" i="4"/>
  <c r="J231" i="5" s="1"/>
  <c r="T312" i="4"/>
  <c r="T312" i="5" s="1"/>
  <c r="F465" i="6"/>
  <c r="N98" i="4"/>
  <c r="N98" i="5" s="1"/>
  <c r="O138" i="4"/>
  <c r="O138" i="5" s="1"/>
  <c r="D249" i="6"/>
  <c r="O249" i="4"/>
  <c r="O249" i="5" s="1"/>
  <c r="V136" i="6"/>
  <c r="V136" i="4"/>
  <c r="V136" i="5" s="1"/>
  <c r="V402" i="1"/>
  <c r="D402" i="3" s="1"/>
  <c r="G402" i="4" s="1"/>
  <c r="G402" i="5" s="1"/>
  <c r="G221" i="4"/>
  <c r="G221" i="5" s="1"/>
  <c r="U431" i="1"/>
  <c r="K51" i="2" s="1"/>
  <c r="K78" i="2" s="1"/>
  <c r="C404" i="7"/>
  <c r="C396" i="7" s="1"/>
  <c r="C498" i="7" a="1"/>
  <c r="C506" i="7" s="1"/>
  <c r="H221" i="4"/>
  <c r="H221" i="5" s="1"/>
  <c r="J221" i="4"/>
  <c r="J221" i="5" s="1"/>
  <c r="H221" i="6"/>
  <c r="E221" i="6"/>
  <c r="R173" i="6"/>
  <c r="S329" i="4"/>
  <c r="S329" i="5" s="1"/>
  <c r="J418" i="4"/>
  <c r="J418" i="5" s="1"/>
  <c r="O23" i="6"/>
  <c r="H138" i="6"/>
  <c r="G228" i="4"/>
  <c r="G228" i="5" s="1"/>
  <c r="R228" i="4"/>
  <c r="R228" i="5" s="1"/>
  <c r="G235" i="6"/>
  <c r="Q235" i="6"/>
  <c r="O386" i="4"/>
  <c r="O386" i="5" s="1"/>
  <c r="Q386" i="6"/>
  <c r="U90" i="4"/>
  <c r="U90" i="5" s="1"/>
  <c r="O90" i="4"/>
  <c r="O90" i="5" s="1"/>
  <c r="M393" i="6"/>
  <c r="M393" i="4"/>
  <c r="M393" i="5" s="1"/>
  <c r="U23" i="4"/>
  <c r="U23" i="5" s="1"/>
  <c r="M23" i="6"/>
  <c r="F418" i="4"/>
  <c r="F418" i="5" s="1"/>
  <c r="F427" i="6"/>
  <c r="T293" i="1"/>
  <c r="V275" i="4"/>
  <c r="V275" i="5" s="1"/>
  <c r="J368" i="4"/>
  <c r="J368" i="5" s="1"/>
  <c r="G368" i="6"/>
  <c r="F456" i="6"/>
  <c r="I338" i="4"/>
  <c r="I338" i="5" s="1"/>
  <c r="I260" i="6"/>
  <c r="T288" i="4"/>
  <c r="T288" i="5" s="1"/>
  <c r="M235" i="6"/>
  <c r="G368" i="4"/>
  <c r="G368" i="5" s="1"/>
  <c r="M342" i="4"/>
  <c r="M342" i="5" s="1"/>
  <c r="P542" i="4"/>
  <c r="P542" i="5" s="1"/>
  <c r="H542" i="4"/>
  <c r="H542" i="5" s="1"/>
  <c r="T542" i="6"/>
  <c r="J542" i="6"/>
  <c r="V542" i="6"/>
  <c r="O542" i="6"/>
  <c r="M542" i="6"/>
  <c r="L542" i="6"/>
  <c r="N542" i="4"/>
  <c r="N542" i="5" s="1"/>
  <c r="H542" i="6"/>
  <c r="K542" i="6"/>
  <c r="M542" i="4"/>
  <c r="M542" i="5" s="1"/>
  <c r="K542" i="4"/>
  <c r="K542" i="5" s="1"/>
  <c r="G542" i="6"/>
  <c r="R542" i="4"/>
  <c r="R542" i="5" s="1"/>
  <c r="H496" i="6"/>
  <c r="I496" i="4"/>
  <c r="I496" i="5" s="1"/>
  <c r="S496" i="6"/>
  <c r="E496" i="4"/>
  <c r="E496" i="5" s="1"/>
  <c r="U496" i="6"/>
  <c r="Q496" i="6"/>
  <c r="T496" i="4"/>
  <c r="T496" i="5" s="1"/>
  <c r="D496" i="4"/>
  <c r="D496" i="5" s="1"/>
  <c r="M496" i="6"/>
  <c r="M496" i="4"/>
  <c r="M496" i="5" s="1"/>
  <c r="P496" i="6"/>
  <c r="I496" i="6"/>
  <c r="L496" i="6"/>
  <c r="S496" i="4"/>
  <c r="S496" i="5" s="1"/>
  <c r="O496" i="4"/>
  <c r="O496" i="5" s="1"/>
  <c r="G496" i="4"/>
  <c r="G496" i="5" s="1"/>
  <c r="N496" i="4"/>
  <c r="N496" i="5" s="1"/>
  <c r="Q496" i="4"/>
  <c r="Q496" i="5" s="1"/>
  <c r="E496" i="6"/>
  <c r="F496" i="6"/>
  <c r="V496" i="4"/>
  <c r="V496" i="5" s="1"/>
  <c r="R496" i="4"/>
  <c r="R496" i="5" s="1"/>
  <c r="J496" i="6"/>
  <c r="N507" i="6"/>
  <c r="F507" i="6"/>
  <c r="D507" i="4"/>
  <c r="D507" i="5" s="1"/>
  <c r="S507" i="4"/>
  <c r="S507" i="5" s="1"/>
  <c r="R507" i="4"/>
  <c r="R507" i="5" s="1"/>
  <c r="N507" i="4"/>
  <c r="N507" i="5" s="1"/>
  <c r="V507" i="4"/>
  <c r="V507" i="5" s="1"/>
  <c r="O507" i="4"/>
  <c r="O507" i="5" s="1"/>
  <c r="Q507" i="4"/>
  <c r="Q507" i="5" s="1"/>
  <c r="G507" i="6"/>
  <c r="O507" i="6"/>
  <c r="F507" i="4"/>
  <c r="F507" i="5" s="1"/>
  <c r="I507" i="6"/>
  <c r="K507" i="6"/>
  <c r="E507" i="4"/>
  <c r="E507" i="5" s="1"/>
  <c r="U507" i="6"/>
  <c r="L507" i="6"/>
  <c r="D511" i="6"/>
  <c r="G511" i="6"/>
  <c r="S511" i="6"/>
  <c r="G511" i="4"/>
  <c r="G511" i="5" s="1"/>
  <c r="F511" i="6"/>
  <c r="O511" i="4"/>
  <c r="O511" i="5" s="1"/>
  <c r="F511" i="4"/>
  <c r="F511" i="5" s="1"/>
  <c r="Q511" i="6"/>
  <c r="L511" i="4"/>
  <c r="L511" i="5" s="1"/>
  <c r="K511" i="6"/>
  <c r="N511" i="6"/>
  <c r="D511" i="4"/>
  <c r="D511" i="5" s="1"/>
  <c r="J511" i="6"/>
  <c r="V511" i="4"/>
  <c r="V511" i="5" s="1"/>
  <c r="E511" i="6"/>
  <c r="V511" i="6"/>
  <c r="K511" i="4"/>
  <c r="K511" i="5" s="1"/>
  <c r="R511" i="6"/>
  <c r="S511" i="4"/>
  <c r="S511" i="5" s="1"/>
  <c r="I511" i="6"/>
  <c r="L511" i="6"/>
  <c r="M511" i="4"/>
  <c r="M511" i="5" s="1"/>
  <c r="J511" i="4"/>
  <c r="J511" i="5" s="1"/>
  <c r="R511" i="4"/>
  <c r="R511" i="5" s="1"/>
  <c r="E511" i="4"/>
  <c r="E511" i="5" s="1"/>
  <c r="U511" i="4"/>
  <c r="U511" i="5" s="1"/>
  <c r="Q511" i="4"/>
  <c r="Q511" i="5" s="1"/>
  <c r="P511" i="4"/>
  <c r="P511" i="5" s="1"/>
  <c r="S521" i="6"/>
  <c r="F521" i="4"/>
  <c r="F521" i="5" s="1"/>
  <c r="R521" i="6"/>
  <c r="T521" i="6"/>
  <c r="J521" i="6"/>
  <c r="O521" i="6"/>
  <c r="Q521" i="4"/>
  <c r="Q521" i="5" s="1"/>
  <c r="E521" i="6"/>
  <c r="K521" i="6"/>
  <c r="L521" i="4"/>
  <c r="L521" i="5" s="1"/>
  <c r="O521" i="4"/>
  <c r="O521" i="5" s="1"/>
  <c r="D521" i="6"/>
  <c r="J521" i="4"/>
  <c r="J521" i="5" s="1"/>
  <c r="Q521" i="6"/>
  <c r="I521" i="4"/>
  <c r="I521" i="5" s="1"/>
  <c r="O527" i="6"/>
  <c r="O527" i="4"/>
  <c r="O527" i="5" s="1"/>
  <c r="H527" i="6"/>
  <c r="J527" i="4"/>
  <c r="J527" i="5" s="1"/>
  <c r="R527" i="4"/>
  <c r="R527" i="5" s="1"/>
  <c r="V527" i="6"/>
  <c r="D527" i="6"/>
  <c r="I527" i="4"/>
  <c r="I527" i="5" s="1"/>
  <c r="V527" i="4"/>
  <c r="V527" i="5" s="1"/>
  <c r="L527" i="6"/>
  <c r="Q527" i="6"/>
  <c r="M527" i="4"/>
  <c r="M527" i="5" s="1"/>
  <c r="G527" i="6"/>
  <c r="K527" i="6"/>
  <c r="G532" i="4"/>
  <c r="G532" i="5" s="1"/>
  <c r="M532" i="6"/>
  <c r="L532" i="6"/>
  <c r="O532" i="6"/>
  <c r="S532" i="6"/>
  <c r="I532" i="6"/>
  <c r="P263" i="4"/>
  <c r="P263" i="5" s="1"/>
  <c r="T263" i="6"/>
  <c r="T255" i="6"/>
  <c r="T255" i="4"/>
  <c r="T255" i="5" s="1"/>
  <c r="S32" i="6"/>
  <c r="H32" i="4"/>
  <c r="H32" i="5" s="1"/>
  <c r="E32" i="4"/>
  <c r="E32" i="5" s="1"/>
  <c r="S32" i="4"/>
  <c r="S32" i="5" s="1"/>
  <c r="I228" i="6"/>
  <c r="D330" i="4"/>
  <c r="D330" i="5" s="1"/>
  <c r="H330" i="6"/>
  <c r="G330" i="4"/>
  <c r="G330" i="5" s="1"/>
  <c r="F330" i="6"/>
  <c r="J376" i="4"/>
  <c r="J376" i="5" s="1"/>
  <c r="V313" i="4"/>
  <c r="V313" i="5" s="1"/>
  <c r="H532" i="4"/>
  <c r="H532" i="5" s="1"/>
  <c r="T221" i="4"/>
  <c r="T221" i="5" s="1"/>
  <c r="R275" i="4"/>
  <c r="R275" i="5" s="1"/>
  <c r="J342" i="6"/>
  <c r="P138" i="4"/>
  <c r="P138" i="5" s="1"/>
  <c r="F542" i="6"/>
  <c r="Q285" i="6"/>
  <c r="Q311" i="4"/>
  <c r="Q311" i="5" s="1"/>
  <c r="I367" i="6"/>
  <c r="U367" i="4"/>
  <c r="U367" i="5" s="1"/>
  <c r="D367" i="4"/>
  <c r="D367" i="5" s="1"/>
  <c r="H367" i="4"/>
  <c r="H367" i="5" s="1"/>
  <c r="I367" i="4"/>
  <c r="I367" i="5" s="1"/>
  <c r="K367" i="6"/>
  <c r="E367" i="4"/>
  <c r="E367" i="5" s="1"/>
  <c r="P367" i="4"/>
  <c r="P367" i="5" s="1"/>
  <c r="H367" i="6"/>
  <c r="Q367" i="4"/>
  <c r="Q367" i="5" s="1"/>
  <c r="G367" i="4"/>
  <c r="G367" i="5" s="1"/>
  <c r="J367" i="4"/>
  <c r="J367" i="5" s="1"/>
  <c r="O367" i="4"/>
  <c r="O367" i="5" s="1"/>
  <c r="F367" i="4"/>
  <c r="F367" i="5" s="1"/>
  <c r="J367" i="6"/>
  <c r="K367" i="4"/>
  <c r="K367" i="5" s="1"/>
  <c r="F367" i="6"/>
  <c r="N367" i="4"/>
  <c r="N367" i="5" s="1"/>
  <c r="K243" i="6"/>
  <c r="D243" i="6"/>
  <c r="K243" i="4"/>
  <c r="K243" i="5" s="1"/>
  <c r="L243" i="6"/>
  <c r="S243" i="6"/>
  <c r="S243" i="4"/>
  <c r="S243" i="5" s="1"/>
  <c r="G243" i="6"/>
  <c r="I243" i="4"/>
  <c r="I243" i="5" s="1"/>
  <c r="U243" i="6"/>
  <c r="E243" i="6"/>
  <c r="G243" i="4"/>
  <c r="G243" i="5" s="1"/>
  <c r="F243" i="6"/>
  <c r="F243" i="4"/>
  <c r="F243" i="5" s="1"/>
  <c r="R243" i="4"/>
  <c r="R243" i="5" s="1"/>
  <c r="K313" i="6"/>
  <c r="K313" i="4"/>
  <c r="K313" i="5" s="1"/>
  <c r="Q313" i="4"/>
  <c r="Q313" i="5" s="1"/>
  <c r="N313" i="4"/>
  <c r="N313" i="5" s="1"/>
  <c r="R313" i="4"/>
  <c r="R313" i="5" s="1"/>
  <c r="L313" i="6"/>
  <c r="F313" i="6"/>
  <c r="R444" i="3"/>
  <c r="Q431" i="1"/>
  <c r="H32" i="6"/>
  <c r="T44" i="2"/>
  <c r="T71" i="2" s="1"/>
  <c r="I428" i="4"/>
  <c r="I428" i="5" s="1"/>
  <c r="D428" i="4"/>
  <c r="D428" i="5" s="1"/>
  <c r="F329" i="6"/>
  <c r="Q329" i="6"/>
  <c r="F423" i="4"/>
  <c r="F423" i="5" s="1"/>
  <c r="J427" i="4"/>
  <c r="J427" i="5" s="1"/>
  <c r="R427" i="4"/>
  <c r="R427" i="5" s="1"/>
  <c r="R205" i="6"/>
  <c r="S56" i="4"/>
  <c r="S56" i="5" s="1"/>
  <c r="K32" i="6"/>
  <c r="M33" i="6"/>
  <c r="V537" i="6"/>
  <c r="T98" i="4"/>
  <c r="T98" i="5" s="1"/>
  <c r="V98" i="6"/>
  <c r="V138" i="4"/>
  <c r="V138" i="5" s="1"/>
  <c r="K249" i="6"/>
  <c r="L249" i="6"/>
  <c r="H33" i="6"/>
  <c r="F427" i="4"/>
  <c r="F427" i="5" s="1"/>
  <c r="F205" i="4"/>
  <c r="F205" i="5" s="1"/>
  <c r="T330" i="4"/>
  <c r="T330" i="5" s="1"/>
  <c r="S330" i="6"/>
  <c r="V277" i="1"/>
  <c r="D277" i="3" s="1"/>
  <c r="E277" i="4" s="1"/>
  <c r="E277" i="5" s="1"/>
  <c r="Q195" i="1"/>
  <c r="Q106" i="1" s="1"/>
  <c r="O492" i="3"/>
  <c r="N29" i="6"/>
  <c r="J29" i="6"/>
  <c r="T29" i="6"/>
  <c r="K60" i="6"/>
  <c r="T381" i="1"/>
  <c r="J50" i="2" s="1"/>
  <c r="J77" i="2" s="1"/>
  <c r="Q293" i="1"/>
  <c r="T433" i="3"/>
  <c r="T243" i="4"/>
  <c r="T243" i="5" s="1"/>
  <c r="P302" i="6"/>
  <c r="P243" i="4"/>
  <c r="P243" i="5" s="1"/>
  <c r="H243" i="4"/>
  <c r="H243" i="5" s="1"/>
  <c r="O338" i="4"/>
  <c r="O338" i="5" s="1"/>
  <c r="H60" i="6"/>
  <c r="T473" i="4"/>
  <c r="T473" i="5" s="1"/>
  <c r="V243" i="4"/>
  <c r="V243" i="5" s="1"/>
  <c r="R243" i="6"/>
  <c r="M243" i="6"/>
  <c r="Q243" i="4"/>
  <c r="Q243" i="5" s="1"/>
  <c r="O180" i="6"/>
  <c r="S98" i="6"/>
  <c r="S199" i="4"/>
  <c r="S199" i="5" s="1"/>
  <c r="T439" i="4"/>
  <c r="T439" i="5" s="1"/>
  <c r="R439" i="4"/>
  <c r="R439" i="5" s="1"/>
  <c r="L439" i="4"/>
  <c r="L439" i="5" s="1"/>
  <c r="E243" i="4"/>
  <c r="E243" i="5" s="1"/>
  <c r="L243" i="4"/>
  <c r="L243" i="5" s="1"/>
  <c r="M243" i="4"/>
  <c r="M243" i="5" s="1"/>
  <c r="S337" i="6"/>
  <c r="F313" i="4"/>
  <c r="F313" i="5" s="1"/>
  <c r="U313" i="6"/>
  <c r="M368" i="4"/>
  <c r="M368" i="5" s="1"/>
  <c r="L368" i="4"/>
  <c r="L368" i="5" s="1"/>
  <c r="F368" i="6"/>
  <c r="S368" i="6"/>
  <c r="Q368" i="6"/>
  <c r="E368" i="6"/>
  <c r="F368" i="4"/>
  <c r="F368" i="5" s="1"/>
  <c r="R368" i="6"/>
  <c r="H368" i="4"/>
  <c r="H368" i="5" s="1"/>
  <c r="R264" i="4"/>
  <c r="R264" i="5" s="1"/>
  <c r="F264" i="6"/>
  <c r="K376" i="4"/>
  <c r="K376" i="5" s="1"/>
  <c r="Q376" i="6"/>
  <c r="K376" i="6"/>
  <c r="S376" i="4"/>
  <c r="S376" i="5" s="1"/>
  <c r="U376" i="6"/>
  <c r="S376" i="6"/>
  <c r="T376" i="6"/>
  <c r="H376" i="6"/>
  <c r="V376" i="6"/>
  <c r="N376" i="4"/>
  <c r="N376" i="5" s="1"/>
  <c r="H255" i="4"/>
  <c r="H255" i="5" s="1"/>
  <c r="P255" i="6"/>
  <c r="M439" i="6"/>
  <c r="G439" i="6"/>
  <c r="D439" i="4"/>
  <c r="D439" i="5" s="1"/>
  <c r="J439" i="4"/>
  <c r="J439" i="5" s="1"/>
  <c r="Q439" i="4"/>
  <c r="Q439" i="5" s="1"/>
  <c r="E439" i="4"/>
  <c r="E439" i="5" s="1"/>
  <c r="N439" i="6"/>
  <c r="S439" i="6"/>
  <c r="U337" i="6"/>
  <c r="U337" i="4"/>
  <c r="U337" i="5" s="1"/>
  <c r="D337" i="6"/>
  <c r="V310" i="6"/>
  <c r="V456" i="4"/>
  <c r="V456" i="5" s="1"/>
  <c r="F307" i="6"/>
  <c r="V337" i="6"/>
  <c r="F439" i="6"/>
  <c r="O218" i="6"/>
  <c r="I362" i="6"/>
  <c r="T456" i="4"/>
  <c r="T456" i="5" s="1"/>
  <c r="T33" i="6"/>
  <c r="O267" i="4"/>
  <c r="O267" i="5" s="1"/>
  <c r="N243" i="6"/>
  <c r="P439" i="6"/>
  <c r="P32" i="6"/>
  <c r="P243" i="6"/>
  <c r="P300" i="6"/>
  <c r="P305" i="4"/>
  <c r="P305" i="5" s="1"/>
  <c r="P285" i="4"/>
  <c r="P285" i="5" s="1"/>
  <c r="R327" i="4"/>
  <c r="R327" i="5" s="1"/>
  <c r="T305" i="4"/>
  <c r="T305" i="5" s="1"/>
  <c r="D375" i="3"/>
  <c r="T8" i="1"/>
  <c r="C50" i="2" s="1"/>
  <c r="G355" i="6"/>
  <c r="Q355" i="4"/>
  <c r="Q355" i="5" s="1"/>
  <c r="K29" i="6"/>
  <c r="E29" i="4"/>
  <c r="E29" i="5" s="1"/>
  <c r="I29" i="4"/>
  <c r="I29" i="5" s="1"/>
  <c r="I29" i="6"/>
  <c r="G29" i="4"/>
  <c r="G29" i="5" s="1"/>
  <c r="S29" i="4"/>
  <c r="S29" i="5" s="1"/>
  <c r="D29" i="6"/>
  <c r="E29" i="6"/>
  <c r="L29" i="4"/>
  <c r="L29" i="5" s="1"/>
  <c r="R29" i="4"/>
  <c r="R29" i="5" s="1"/>
  <c r="Q29" i="6"/>
  <c r="T29" i="4"/>
  <c r="T29" i="5" s="1"/>
  <c r="G29" i="6"/>
  <c r="F29" i="6"/>
  <c r="O29" i="6"/>
  <c r="U29" i="4"/>
  <c r="U29" i="5" s="1"/>
  <c r="N426" i="6"/>
  <c r="R426" i="4"/>
  <c r="R426" i="5" s="1"/>
  <c r="F426" i="4"/>
  <c r="F426" i="5" s="1"/>
  <c r="J426" i="6"/>
  <c r="E228" i="4"/>
  <c r="E228" i="5" s="1"/>
  <c r="Q228" i="6"/>
  <c r="Q228" i="4"/>
  <c r="Q228" i="5" s="1"/>
  <c r="J228" i="4"/>
  <c r="J228" i="5" s="1"/>
  <c r="T228" i="4"/>
  <c r="T228" i="5" s="1"/>
  <c r="H228" i="6"/>
  <c r="H228" i="4"/>
  <c r="H228" i="5" s="1"/>
  <c r="P228" i="6"/>
  <c r="N228" i="4"/>
  <c r="N228" i="5" s="1"/>
  <c r="M228" i="6"/>
  <c r="U228" i="4"/>
  <c r="U228" i="5" s="1"/>
  <c r="T228" i="6"/>
  <c r="S228" i="6"/>
  <c r="N228" i="6"/>
  <c r="M228" i="4"/>
  <c r="M228" i="5" s="1"/>
  <c r="I228" i="4"/>
  <c r="I228" i="5" s="1"/>
  <c r="K228" i="4"/>
  <c r="K228" i="5" s="1"/>
  <c r="J228" i="6"/>
  <c r="S228" i="4"/>
  <c r="S228" i="5" s="1"/>
  <c r="O228" i="4"/>
  <c r="O228" i="5" s="1"/>
  <c r="N275" i="6"/>
  <c r="M275" i="4"/>
  <c r="M275" i="5" s="1"/>
  <c r="S275" i="6"/>
  <c r="M275" i="6"/>
  <c r="Q275" i="6"/>
  <c r="I275" i="4"/>
  <c r="I275" i="5" s="1"/>
  <c r="K275" i="4"/>
  <c r="K275" i="5" s="1"/>
  <c r="O275" i="4"/>
  <c r="O275" i="5" s="1"/>
  <c r="F275" i="4"/>
  <c r="F275" i="5" s="1"/>
  <c r="P275" i="4"/>
  <c r="P275" i="5" s="1"/>
  <c r="H275" i="6"/>
  <c r="J275" i="6"/>
  <c r="E275" i="4"/>
  <c r="E275" i="5" s="1"/>
  <c r="J275" i="4"/>
  <c r="J275" i="5" s="1"/>
  <c r="F275" i="6"/>
  <c r="L275" i="6"/>
  <c r="H275" i="4"/>
  <c r="H275" i="5" s="1"/>
  <c r="D393" i="6"/>
  <c r="K393" i="4"/>
  <c r="K393" i="5" s="1"/>
  <c r="K393" i="6"/>
  <c r="G393" i="4"/>
  <c r="G393" i="5" s="1"/>
  <c r="I393" i="6"/>
  <c r="H393" i="4"/>
  <c r="H393" i="5" s="1"/>
  <c r="L393" i="4"/>
  <c r="L393" i="5" s="1"/>
  <c r="R393" i="6"/>
  <c r="F393" i="6"/>
  <c r="T393" i="6"/>
  <c r="V393" i="6"/>
  <c r="D393" i="4"/>
  <c r="D393" i="5" s="1"/>
  <c r="T393" i="4"/>
  <c r="T393" i="5" s="1"/>
  <c r="O393" i="6"/>
  <c r="Q393" i="6"/>
  <c r="N393" i="6"/>
  <c r="O386" i="6"/>
  <c r="K386" i="4"/>
  <c r="K386" i="5" s="1"/>
  <c r="G386" i="6"/>
  <c r="U386" i="4"/>
  <c r="U386" i="5" s="1"/>
  <c r="M386" i="4"/>
  <c r="M386" i="5" s="1"/>
  <c r="E386" i="4"/>
  <c r="E386" i="5" s="1"/>
  <c r="R386" i="4"/>
  <c r="R386" i="5" s="1"/>
  <c r="J386" i="4"/>
  <c r="J386" i="5" s="1"/>
  <c r="J386" i="6"/>
  <c r="N386" i="6"/>
  <c r="E386" i="6"/>
  <c r="I386" i="6"/>
  <c r="H386" i="6"/>
  <c r="R386" i="6"/>
  <c r="U386" i="6"/>
  <c r="P386" i="4"/>
  <c r="P386" i="5" s="1"/>
  <c r="T288" i="6"/>
  <c r="O288" i="6"/>
  <c r="F288" i="6"/>
  <c r="U288" i="4"/>
  <c r="U288" i="5" s="1"/>
  <c r="N288" i="6"/>
  <c r="D288" i="4"/>
  <c r="D288" i="5" s="1"/>
  <c r="I288" i="6"/>
  <c r="E288" i="4"/>
  <c r="E288" i="5" s="1"/>
  <c r="H288" i="4"/>
  <c r="H288" i="5" s="1"/>
  <c r="D288" i="6"/>
  <c r="O288" i="4"/>
  <c r="O288" i="5" s="1"/>
  <c r="F288" i="4"/>
  <c r="F288" i="5" s="1"/>
  <c r="N288" i="4"/>
  <c r="N288" i="5" s="1"/>
  <c r="H497" i="6"/>
  <c r="L497" i="4"/>
  <c r="L497" i="5" s="1"/>
  <c r="Q188" i="6"/>
  <c r="I188" i="4"/>
  <c r="I188" i="5" s="1"/>
  <c r="N188" i="6"/>
  <c r="D188" i="6"/>
  <c r="T188" i="4"/>
  <c r="T188" i="5" s="1"/>
  <c r="E188" i="4"/>
  <c r="E188" i="5" s="1"/>
  <c r="U188" i="4"/>
  <c r="U188" i="5" s="1"/>
  <c r="R188" i="4"/>
  <c r="R188" i="5" s="1"/>
  <c r="L188" i="4"/>
  <c r="L188" i="5" s="1"/>
  <c r="G188" i="6"/>
  <c r="O188" i="4"/>
  <c r="O188" i="5" s="1"/>
  <c r="S188" i="6"/>
  <c r="E188" i="6"/>
  <c r="F188" i="4"/>
  <c r="F188" i="5" s="1"/>
  <c r="R188" i="6"/>
  <c r="V188" i="4"/>
  <c r="V188" i="5" s="1"/>
  <c r="D188" i="4"/>
  <c r="D188" i="5" s="1"/>
  <c r="U188" i="6"/>
  <c r="G188" i="4"/>
  <c r="G188" i="5" s="1"/>
  <c r="O308" i="4"/>
  <c r="O308" i="5" s="1"/>
  <c r="H308" i="4"/>
  <c r="H308" i="5" s="1"/>
  <c r="I308" i="6"/>
  <c r="Q76" i="6"/>
  <c r="O76" i="6"/>
  <c r="I76" i="6"/>
  <c r="J76" i="4"/>
  <c r="J76" i="5" s="1"/>
  <c r="U76" i="4"/>
  <c r="U76" i="5" s="1"/>
  <c r="J76" i="6"/>
  <c r="D76" i="6"/>
  <c r="N76" i="6"/>
  <c r="E76" i="4"/>
  <c r="E76" i="5" s="1"/>
  <c r="L90" i="4"/>
  <c r="L90" i="5" s="1"/>
  <c r="S90" i="6"/>
  <c r="U90" i="6"/>
  <c r="D90" i="4"/>
  <c r="D90" i="5" s="1"/>
  <c r="P90" i="4"/>
  <c r="P90" i="5" s="1"/>
  <c r="K90" i="6"/>
  <c r="G90" i="4"/>
  <c r="G90" i="5" s="1"/>
  <c r="Q90" i="4"/>
  <c r="Q90" i="5" s="1"/>
  <c r="M90" i="4"/>
  <c r="M90" i="5" s="1"/>
  <c r="V90" i="6"/>
  <c r="V90" i="4"/>
  <c r="V90" i="5" s="1"/>
  <c r="R90" i="4"/>
  <c r="R90" i="5" s="1"/>
  <c r="H90" i="6"/>
  <c r="F90" i="4"/>
  <c r="F90" i="5" s="1"/>
  <c r="O90" i="6"/>
  <c r="I90" i="4"/>
  <c r="I90" i="5" s="1"/>
  <c r="J90" i="4"/>
  <c r="J90" i="5" s="1"/>
  <c r="P90" i="6"/>
  <c r="G90" i="6"/>
  <c r="L90" i="6"/>
  <c r="J405" i="4"/>
  <c r="J405" i="5" s="1"/>
  <c r="E405" i="6"/>
  <c r="I405" i="6"/>
  <c r="V71" i="4"/>
  <c r="V71" i="5" s="1"/>
  <c r="M71" i="4"/>
  <c r="M71" i="5" s="1"/>
  <c r="N71" i="4"/>
  <c r="N71" i="5" s="1"/>
  <c r="V164" i="1"/>
  <c r="D164" i="3" s="1"/>
  <c r="D165" i="3"/>
  <c r="D171" i="3"/>
  <c r="V169" i="1"/>
  <c r="G183" i="6"/>
  <c r="V183" i="4"/>
  <c r="V183" i="5" s="1"/>
  <c r="D478" i="4"/>
  <c r="D478" i="5" s="1"/>
  <c r="U478" i="4"/>
  <c r="U478" i="5" s="1"/>
  <c r="T290" i="4"/>
  <c r="T290" i="5" s="1"/>
  <c r="T290" i="6"/>
  <c r="T304" i="6"/>
  <c r="T421" i="4"/>
  <c r="T421" i="5" s="1"/>
  <c r="T421" i="6"/>
  <c r="U275" i="6"/>
  <c r="V330" i="6"/>
  <c r="V29" i="6"/>
  <c r="H537" i="4"/>
  <c r="H537" i="5" s="1"/>
  <c r="P29" i="6"/>
  <c r="R260" i="6"/>
  <c r="F18" i="6"/>
  <c r="N84" i="6"/>
  <c r="F84" i="6"/>
  <c r="N232" i="6"/>
  <c r="P478" i="6"/>
  <c r="R405" i="6"/>
  <c r="R233" i="6"/>
  <c r="J330" i="6"/>
  <c r="P330" i="4"/>
  <c r="P330" i="5" s="1"/>
  <c r="H330" i="4"/>
  <c r="H330" i="5" s="1"/>
  <c r="U330" i="4"/>
  <c r="U330" i="5" s="1"/>
  <c r="S330" i="4"/>
  <c r="S330" i="5" s="1"/>
  <c r="O330" i="6"/>
  <c r="M330" i="4"/>
  <c r="M330" i="5" s="1"/>
  <c r="Q330" i="4"/>
  <c r="Q330" i="5" s="1"/>
  <c r="D330" i="6"/>
  <c r="F330" i="4"/>
  <c r="F330" i="5" s="1"/>
  <c r="L330" i="6"/>
  <c r="K330" i="6"/>
  <c r="M330" i="6"/>
  <c r="E330" i="6"/>
  <c r="N330" i="6"/>
  <c r="R330" i="6"/>
  <c r="J205" i="4"/>
  <c r="J205" i="5" s="1"/>
  <c r="F205" i="6"/>
  <c r="T210" i="4"/>
  <c r="T210" i="5" s="1"/>
  <c r="L210" i="4"/>
  <c r="L210" i="5" s="1"/>
  <c r="P210" i="6"/>
  <c r="L210" i="6"/>
  <c r="J232" i="4"/>
  <c r="J232" i="5" s="1"/>
  <c r="M232" i="6"/>
  <c r="K232" i="6"/>
  <c r="O232" i="6"/>
  <c r="D232" i="6"/>
  <c r="G232" i="4"/>
  <c r="G232" i="5" s="1"/>
  <c r="P232" i="6"/>
  <c r="T232" i="6"/>
  <c r="L232" i="6"/>
  <c r="V232" i="6"/>
  <c r="L232" i="4"/>
  <c r="L232" i="5" s="1"/>
  <c r="S232" i="6"/>
  <c r="M232" i="4"/>
  <c r="M232" i="5" s="1"/>
  <c r="Q232" i="6"/>
  <c r="U232" i="6"/>
  <c r="S232" i="4"/>
  <c r="S232" i="5" s="1"/>
  <c r="I84" i="6"/>
  <c r="G84" i="6"/>
  <c r="P84" i="6"/>
  <c r="O84" i="4"/>
  <c r="O84" i="5" s="1"/>
  <c r="S84" i="4"/>
  <c r="S84" i="5" s="1"/>
  <c r="V84" i="6"/>
  <c r="E84" i="6"/>
  <c r="H84" i="4"/>
  <c r="H84" i="5" s="1"/>
  <c r="S84" i="6"/>
  <c r="Q84" i="4"/>
  <c r="Q84" i="5" s="1"/>
  <c r="L412" i="4"/>
  <c r="L412" i="5" s="1"/>
  <c r="J412" i="4"/>
  <c r="J412" i="5" s="1"/>
  <c r="G412" i="6"/>
  <c r="S412" i="4"/>
  <c r="S412" i="5" s="1"/>
  <c r="M412" i="4"/>
  <c r="M412" i="5" s="1"/>
  <c r="Q412" i="6"/>
  <c r="P412" i="4"/>
  <c r="P412" i="5" s="1"/>
  <c r="E412" i="4"/>
  <c r="E412" i="5" s="1"/>
  <c r="I412" i="6"/>
  <c r="D412" i="4"/>
  <c r="D412" i="5" s="1"/>
  <c r="E412" i="6"/>
  <c r="H412" i="6"/>
  <c r="F412" i="6"/>
  <c r="F412" i="4"/>
  <c r="F412" i="5" s="1"/>
  <c r="N412" i="4"/>
  <c r="N412" i="5" s="1"/>
  <c r="R412" i="6"/>
  <c r="K419" i="4"/>
  <c r="K419" i="5" s="1"/>
  <c r="L419" i="4"/>
  <c r="L419" i="5" s="1"/>
  <c r="I419" i="4"/>
  <c r="I419" i="5" s="1"/>
  <c r="G419" i="6"/>
  <c r="M419" i="4"/>
  <c r="M419" i="5" s="1"/>
  <c r="E419" i="6"/>
  <c r="U419" i="6"/>
  <c r="D419" i="4"/>
  <c r="D419" i="5" s="1"/>
  <c r="O419" i="4"/>
  <c r="O419" i="5" s="1"/>
  <c r="S419" i="4"/>
  <c r="S419" i="5" s="1"/>
  <c r="R419" i="4"/>
  <c r="R419" i="5" s="1"/>
  <c r="J419" i="6"/>
  <c r="Q235" i="4"/>
  <c r="Q235" i="5" s="1"/>
  <c r="F235" i="4"/>
  <c r="F235" i="5" s="1"/>
  <c r="R235" i="6"/>
  <c r="P235" i="6"/>
  <c r="V235" i="6"/>
  <c r="I235" i="6"/>
  <c r="K235" i="4"/>
  <c r="K235" i="5" s="1"/>
  <c r="N235" i="6"/>
  <c r="O235" i="6"/>
  <c r="J235" i="6"/>
  <c r="L235" i="4"/>
  <c r="L235" i="5" s="1"/>
  <c r="P235" i="4"/>
  <c r="P235" i="5" s="1"/>
  <c r="M235" i="4"/>
  <c r="M235" i="5" s="1"/>
  <c r="I235" i="4"/>
  <c r="I235" i="5" s="1"/>
  <c r="G235" i="4"/>
  <c r="G235" i="5" s="1"/>
  <c r="V235" i="4"/>
  <c r="V235" i="5" s="1"/>
  <c r="H235" i="4"/>
  <c r="H235" i="5" s="1"/>
  <c r="E235" i="4"/>
  <c r="E235" i="5" s="1"/>
  <c r="I58" i="6"/>
  <c r="V58" i="6"/>
  <c r="M58" i="4"/>
  <c r="M58" i="5" s="1"/>
  <c r="E58" i="6"/>
  <c r="N58" i="4"/>
  <c r="N58" i="5" s="1"/>
  <c r="I58" i="4"/>
  <c r="I58" i="5" s="1"/>
  <c r="O58" i="4"/>
  <c r="O58" i="5" s="1"/>
  <c r="E58" i="4"/>
  <c r="E58" i="5" s="1"/>
  <c r="T58" i="6"/>
  <c r="F58" i="6"/>
  <c r="K58" i="6"/>
  <c r="K58" i="4"/>
  <c r="K58" i="5" s="1"/>
  <c r="G58" i="6"/>
  <c r="H58" i="6"/>
  <c r="P58" i="4"/>
  <c r="P58" i="5" s="1"/>
  <c r="P418" i="6"/>
  <c r="R418" i="6"/>
  <c r="N418" i="4"/>
  <c r="N418" i="5" s="1"/>
  <c r="F418" i="6"/>
  <c r="Q260" i="6"/>
  <c r="F260" i="6"/>
  <c r="D260" i="4"/>
  <c r="D260" i="5" s="1"/>
  <c r="Q260" i="4"/>
  <c r="Q260" i="5" s="1"/>
  <c r="K260" i="6"/>
  <c r="J260" i="6"/>
  <c r="N260" i="4"/>
  <c r="N260" i="5" s="1"/>
  <c r="T260" i="6"/>
  <c r="M260" i="4"/>
  <c r="M260" i="5" s="1"/>
  <c r="J260" i="4"/>
  <c r="J260" i="5" s="1"/>
  <c r="F260" i="4"/>
  <c r="F260" i="5" s="1"/>
  <c r="H260" i="6"/>
  <c r="K260" i="4"/>
  <c r="K260" i="5" s="1"/>
  <c r="N260" i="6"/>
  <c r="G260" i="6"/>
  <c r="L260" i="4"/>
  <c r="L260" i="5" s="1"/>
  <c r="U260" i="6"/>
  <c r="U271" i="4"/>
  <c r="U271" i="5" s="1"/>
  <c r="E271" i="4"/>
  <c r="E271" i="5" s="1"/>
  <c r="G271" i="4"/>
  <c r="G271" i="5" s="1"/>
  <c r="H271" i="4"/>
  <c r="H271" i="5" s="1"/>
  <c r="J271" i="6"/>
  <c r="D271" i="6"/>
  <c r="D271" i="4"/>
  <c r="D271" i="5" s="1"/>
  <c r="L271" i="4"/>
  <c r="L271" i="5" s="1"/>
  <c r="H278" i="6"/>
  <c r="P278" i="4"/>
  <c r="P278" i="5" s="1"/>
  <c r="T278" i="6"/>
  <c r="P278" i="6"/>
  <c r="J61" i="6"/>
  <c r="S61" i="4"/>
  <c r="S61" i="5" s="1"/>
  <c r="H149" i="6"/>
  <c r="N149" i="4"/>
  <c r="N149" i="5" s="1"/>
  <c r="G149" i="6"/>
  <c r="H149" i="4"/>
  <c r="H149" i="5" s="1"/>
  <c r="V228" i="6"/>
  <c r="U183" i="4"/>
  <c r="U183" i="5" s="1"/>
  <c r="V260" i="4"/>
  <c r="V260" i="5" s="1"/>
  <c r="V288" i="6"/>
  <c r="V419" i="6"/>
  <c r="V427" i="4"/>
  <c r="V427" i="5" s="1"/>
  <c r="V427" i="6"/>
  <c r="V477" i="1"/>
  <c r="D477" i="3" s="1"/>
  <c r="V10" i="1"/>
  <c r="D10" i="3" s="1"/>
  <c r="G10" i="4" s="1"/>
  <c r="G10" i="5" s="1"/>
  <c r="V25" i="1"/>
  <c r="D25" i="3" s="1"/>
  <c r="K25" i="4" s="1"/>
  <c r="K25" i="5" s="1"/>
  <c r="Q419" i="6"/>
  <c r="V477" i="3"/>
  <c r="P419" i="6"/>
  <c r="H419" i="6"/>
  <c r="L419" i="6"/>
  <c r="M86" i="4"/>
  <c r="M86" i="5" s="1"/>
  <c r="R86" i="4"/>
  <c r="R86" i="5" s="1"/>
  <c r="L86" i="4"/>
  <c r="L86" i="5" s="1"/>
  <c r="H139" i="6"/>
  <c r="P139" i="4"/>
  <c r="P139" i="5" s="1"/>
  <c r="F304" i="4"/>
  <c r="F304" i="5" s="1"/>
  <c r="P497" i="6"/>
  <c r="T497" i="4"/>
  <c r="T497" i="5" s="1"/>
  <c r="J418" i="6"/>
  <c r="F419" i="4"/>
  <c r="F419" i="5" s="1"/>
  <c r="N419" i="6"/>
  <c r="R205" i="4"/>
  <c r="R205" i="5" s="1"/>
  <c r="E308" i="4"/>
  <c r="E308" i="5" s="1"/>
  <c r="I232" i="4"/>
  <c r="I232" i="5" s="1"/>
  <c r="K84" i="6"/>
  <c r="M29" i="6"/>
  <c r="I71" i="4"/>
  <c r="I71" i="5" s="1"/>
  <c r="L71" i="4"/>
  <c r="L71" i="5" s="1"/>
  <c r="M149" i="6"/>
  <c r="D149" i="6"/>
  <c r="R228" i="6"/>
  <c r="E228" i="6"/>
  <c r="O228" i="6"/>
  <c r="L228" i="6"/>
  <c r="K228" i="6"/>
  <c r="P228" i="4"/>
  <c r="P228" i="5" s="1"/>
  <c r="F228" i="6"/>
  <c r="D228" i="6"/>
  <c r="E235" i="6"/>
  <c r="D235" i="6"/>
  <c r="U235" i="4"/>
  <c r="U235" i="5" s="1"/>
  <c r="R235" i="4"/>
  <c r="R235" i="5" s="1"/>
  <c r="L235" i="6"/>
  <c r="O235" i="4"/>
  <c r="O235" i="5" s="1"/>
  <c r="U235" i="6"/>
  <c r="T386" i="6"/>
  <c r="L386" i="4"/>
  <c r="L386" i="5" s="1"/>
  <c r="T386" i="4"/>
  <c r="T386" i="5" s="1"/>
  <c r="D386" i="6"/>
  <c r="H386" i="4"/>
  <c r="H386" i="5" s="1"/>
  <c r="P386" i="6"/>
  <c r="Q386" i="4"/>
  <c r="Q386" i="5" s="1"/>
  <c r="S386" i="4"/>
  <c r="S386" i="5" s="1"/>
  <c r="S386" i="6"/>
  <c r="R90" i="6"/>
  <c r="S90" i="4"/>
  <c r="S90" i="5" s="1"/>
  <c r="N90" i="6"/>
  <c r="T90" i="4"/>
  <c r="T90" i="5" s="1"/>
  <c r="F90" i="6"/>
  <c r="Q90" i="6"/>
  <c r="K90" i="4"/>
  <c r="K90" i="5" s="1"/>
  <c r="I393" i="4"/>
  <c r="I393" i="5" s="1"/>
  <c r="Q393" i="4"/>
  <c r="Q393" i="5" s="1"/>
  <c r="N393" i="4"/>
  <c r="N393" i="5" s="1"/>
  <c r="F393" i="4"/>
  <c r="F393" i="5" s="1"/>
  <c r="J393" i="4"/>
  <c r="J393" i="5" s="1"/>
  <c r="O393" i="4"/>
  <c r="O393" i="5" s="1"/>
  <c r="L330" i="4"/>
  <c r="L330" i="5" s="1"/>
  <c r="I330" i="4"/>
  <c r="I330" i="5" s="1"/>
  <c r="N426" i="4"/>
  <c r="N426" i="5" s="1"/>
  <c r="H210" i="6"/>
  <c r="N418" i="6"/>
  <c r="J419" i="4"/>
  <c r="J419" i="5" s="1"/>
  <c r="F426" i="6"/>
  <c r="E260" i="4"/>
  <c r="E260" i="5" s="1"/>
  <c r="M68" i="6"/>
  <c r="O330" i="4"/>
  <c r="O330" i="5" s="1"/>
  <c r="R330" i="4"/>
  <c r="R330" i="5" s="1"/>
  <c r="U330" i="6"/>
  <c r="G330" i="6"/>
  <c r="E330" i="4"/>
  <c r="E330" i="5" s="1"/>
  <c r="T330" i="6"/>
  <c r="P330" i="6"/>
  <c r="S29" i="6"/>
  <c r="L29" i="6"/>
  <c r="H29" i="4"/>
  <c r="H29" i="5" s="1"/>
  <c r="P29" i="4"/>
  <c r="P29" i="5" s="1"/>
  <c r="F29" i="4"/>
  <c r="F29" i="5" s="1"/>
  <c r="K29" i="4"/>
  <c r="K29" i="5" s="1"/>
  <c r="H29" i="6"/>
  <c r="Q29" i="4"/>
  <c r="Q29" i="5" s="1"/>
  <c r="J426" i="4"/>
  <c r="J426" i="5" s="1"/>
  <c r="P210" i="4"/>
  <c r="P210" i="5" s="1"/>
  <c r="O61" i="4"/>
  <c r="O61" i="5" s="1"/>
  <c r="M188" i="6"/>
  <c r="K188" i="6"/>
  <c r="H188" i="6"/>
  <c r="P188" i="6"/>
  <c r="Q232" i="4"/>
  <c r="Q232" i="5" s="1"/>
  <c r="O232" i="4"/>
  <c r="O232" i="5" s="1"/>
  <c r="F232" i="4"/>
  <c r="F232" i="5" s="1"/>
  <c r="J232" i="6"/>
  <c r="P275" i="6"/>
  <c r="T275" i="6"/>
  <c r="D275" i="4"/>
  <c r="D275" i="5" s="1"/>
  <c r="N275" i="4"/>
  <c r="N275" i="5" s="1"/>
  <c r="G275" i="4"/>
  <c r="G275" i="5" s="1"/>
  <c r="S275" i="4"/>
  <c r="S275" i="5" s="1"/>
  <c r="S419" i="6"/>
  <c r="I405" i="4"/>
  <c r="I405" i="5" s="1"/>
  <c r="U260" i="4"/>
  <c r="U260" i="5" s="1"/>
  <c r="V308" i="4"/>
  <c r="V308" i="5" s="1"/>
  <c r="T232" i="4"/>
  <c r="T232" i="5" s="1"/>
  <c r="R260" i="4"/>
  <c r="R260" i="5" s="1"/>
  <c r="P232" i="4"/>
  <c r="P232" i="5" s="1"/>
  <c r="V412" i="4"/>
  <c r="V412" i="5" s="1"/>
  <c r="T412" i="4"/>
  <c r="T412" i="5" s="1"/>
  <c r="S412" i="6"/>
  <c r="M260" i="6"/>
  <c r="D260" i="6"/>
  <c r="G260" i="4"/>
  <c r="G260" i="5" s="1"/>
  <c r="H232" i="4"/>
  <c r="H232" i="5" s="1"/>
  <c r="U412" i="4"/>
  <c r="U412" i="5" s="1"/>
  <c r="P412" i="6"/>
  <c r="J288" i="4"/>
  <c r="J288" i="5" s="1"/>
  <c r="P288" i="6"/>
  <c r="P288" i="4"/>
  <c r="P288" i="5" s="1"/>
  <c r="M188" i="4"/>
  <c r="M188" i="5" s="1"/>
  <c r="K232" i="4"/>
  <c r="K232" i="5" s="1"/>
  <c r="L275" i="4"/>
  <c r="L275" i="5" s="1"/>
  <c r="D419" i="6"/>
  <c r="I308" i="4"/>
  <c r="I308" i="5" s="1"/>
  <c r="E90" i="6"/>
  <c r="E393" i="4"/>
  <c r="E393" i="5" s="1"/>
  <c r="O267" i="6"/>
  <c r="S263" i="6"/>
  <c r="S263" i="4"/>
  <c r="S263" i="5" s="1"/>
  <c r="O537" i="4"/>
  <c r="O537" i="5" s="1"/>
  <c r="N537" i="6"/>
  <c r="U537" i="6"/>
  <c r="K537" i="4"/>
  <c r="K537" i="5" s="1"/>
  <c r="S537" i="4"/>
  <c r="S537" i="5" s="1"/>
  <c r="H537" i="6"/>
  <c r="E537" i="6"/>
  <c r="L537" i="6"/>
  <c r="N537" i="4"/>
  <c r="N537" i="5" s="1"/>
  <c r="S290" i="6"/>
  <c r="H290" i="4"/>
  <c r="H290" i="5" s="1"/>
  <c r="D290" i="6"/>
  <c r="M290" i="6"/>
  <c r="E290" i="6"/>
  <c r="I290" i="6"/>
  <c r="H501" i="6"/>
  <c r="S501" i="4"/>
  <c r="S501" i="5" s="1"/>
  <c r="N501" i="4"/>
  <c r="N501" i="5" s="1"/>
  <c r="Q501" i="6"/>
  <c r="I501" i="4"/>
  <c r="I501" i="5" s="1"/>
  <c r="E509" i="4"/>
  <c r="E509" i="5" s="1"/>
  <c r="V509" i="4"/>
  <c r="V509" i="5" s="1"/>
  <c r="H509" i="4"/>
  <c r="H509" i="5" s="1"/>
  <c r="G509" i="6"/>
  <c r="K509" i="6"/>
  <c r="J509" i="6"/>
  <c r="M509" i="4"/>
  <c r="M509" i="5" s="1"/>
  <c r="K509" i="4"/>
  <c r="K509" i="5" s="1"/>
  <c r="R513" i="6"/>
  <c r="E513" i="6"/>
  <c r="I513" i="6"/>
  <c r="L513" i="6"/>
  <c r="P513" i="4"/>
  <c r="P513" i="5" s="1"/>
  <c r="M513" i="6"/>
  <c r="E513" i="4"/>
  <c r="E513" i="5" s="1"/>
  <c r="S513" i="4"/>
  <c r="S513" i="5" s="1"/>
  <c r="L525" i="6"/>
  <c r="O525" i="6"/>
  <c r="M525" i="6"/>
  <c r="U525" i="4"/>
  <c r="U525" i="5" s="1"/>
  <c r="R525" i="6"/>
  <c r="L525" i="4"/>
  <c r="L525" i="5" s="1"/>
  <c r="T525" i="6"/>
  <c r="H525" i="4"/>
  <c r="H525" i="5" s="1"/>
  <c r="H525" i="6"/>
  <c r="T529" i="6"/>
  <c r="L529" i="4"/>
  <c r="L529" i="5" s="1"/>
  <c r="R529" i="4"/>
  <c r="R529" i="5" s="1"/>
  <c r="N529" i="4"/>
  <c r="N529" i="5" s="1"/>
  <c r="M529" i="6"/>
  <c r="L529" i="6"/>
  <c r="U529" i="4"/>
  <c r="U529" i="5" s="1"/>
  <c r="L424" i="4"/>
  <c r="L424" i="5" s="1"/>
  <c r="L424" i="6"/>
  <c r="N61" i="4"/>
  <c r="N61" i="5" s="1"/>
  <c r="K275" i="6"/>
  <c r="T84" i="4"/>
  <c r="T84" i="5" s="1"/>
  <c r="R84" i="4"/>
  <c r="R84" i="5" s="1"/>
  <c r="Q84" i="6"/>
  <c r="O76" i="4"/>
  <c r="O76" i="5" s="1"/>
  <c r="L58" i="4"/>
  <c r="L58" i="5" s="1"/>
  <c r="J58" i="6"/>
  <c r="N271" i="6"/>
  <c r="J235" i="4"/>
  <c r="J235" i="5" s="1"/>
  <c r="R275" i="6"/>
  <c r="P260" i="6"/>
  <c r="P260" i="4"/>
  <c r="P260" i="5" s="1"/>
  <c r="R153" i="6"/>
  <c r="R58" i="4"/>
  <c r="R58" i="5" s="1"/>
  <c r="T84" i="6"/>
  <c r="F375" i="4"/>
  <c r="F375" i="5" s="1"/>
  <c r="V275" i="6"/>
  <c r="S518" i="6"/>
  <c r="N232" i="4"/>
  <c r="N232" i="5" s="1"/>
  <c r="K375" i="6"/>
  <c r="Q197" i="3"/>
  <c r="G389" i="7" s="1"/>
  <c r="N46" i="2"/>
  <c r="N73" i="2" s="1"/>
  <c r="G213" i="3"/>
  <c r="E36" i="2"/>
  <c r="E63" i="2" s="1"/>
  <c r="E260" i="6"/>
  <c r="I232" i="6"/>
  <c r="K84" i="4"/>
  <c r="K84" i="5" s="1"/>
  <c r="T32" i="6"/>
  <c r="P337" i="4"/>
  <c r="P337" i="5" s="1"/>
  <c r="M518" i="4"/>
  <c r="M518" i="5" s="1"/>
  <c r="S290" i="4"/>
  <c r="S290" i="5" s="1"/>
  <c r="S221" i="6"/>
  <c r="S260" i="4"/>
  <c r="S260" i="5" s="1"/>
  <c r="S288" i="6"/>
  <c r="S308" i="6"/>
  <c r="S393" i="4"/>
  <c r="S393" i="5" s="1"/>
  <c r="T149" i="6"/>
  <c r="V433" i="1"/>
  <c r="D130" i="3"/>
  <c r="F130" i="4" s="1"/>
  <c r="F130" i="5" s="1"/>
  <c r="D397" i="3"/>
  <c r="D504" i="3"/>
  <c r="T504" i="4" s="1"/>
  <c r="T504" i="5" s="1"/>
  <c r="D66" i="3"/>
  <c r="D495" i="3"/>
  <c r="V495" i="6" s="1"/>
  <c r="D520" i="3"/>
  <c r="D42" i="3"/>
  <c r="D178" i="3"/>
  <c r="D64" i="3"/>
  <c r="D349" i="3"/>
  <c r="E349" i="4" s="1"/>
  <c r="E349" i="5" s="1"/>
  <c r="D510" i="3"/>
  <c r="D315" i="3"/>
  <c r="D150" i="3"/>
  <c r="D434" i="3"/>
  <c r="D72" i="3"/>
  <c r="D17" i="3"/>
  <c r="D544" i="3"/>
  <c r="D254" i="3"/>
  <c r="V254" i="6" s="1"/>
  <c r="D301" i="3"/>
  <c r="D351" i="3"/>
  <c r="D182" i="3"/>
  <c r="D530" i="3"/>
  <c r="D38" i="3"/>
  <c r="R38" i="6" s="1"/>
  <c r="D273" i="3"/>
  <c r="D506" i="3"/>
  <c r="D48" i="3"/>
  <c r="D280" i="3"/>
  <c r="V280" i="6" s="1"/>
  <c r="D152" i="3"/>
  <c r="O152" i="6" s="1"/>
  <c r="D459" i="3"/>
  <c r="D526" i="3"/>
  <c r="D287" i="3"/>
  <c r="D356" i="3"/>
  <c r="D156" i="3"/>
  <c r="D445" i="3"/>
  <c r="D12" i="3"/>
  <c r="D52" i="3"/>
  <c r="D144" i="3"/>
  <c r="D309" i="3"/>
  <c r="D291" i="3"/>
  <c r="D463" i="3"/>
  <c r="D13" i="3"/>
  <c r="V13" i="6" s="1"/>
  <c r="D81" i="3"/>
  <c r="D85" i="3"/>
  <c r="T85" i="6" s="1"/>
  <c r="D89" i="3"/>
  <c r="K89" i="6" s="1"/>
  <c r="D65" i="3"/>
  <c r="D94" i="3"/>
  <c r="D470" i="3"/>
  <c r="D73" i="3"/>
  <c r="D77" i="3"/>
  <c r="D49" i="3"/>
  <c r="D55" i="3"/>
  <c r="U55" i="6" s="1"/>
  <c r="D59" i="3"/>
  <c r="V59" i="6" s="1"/>
  <c r="D37" i="3"/>
  <c r="D41" i="3"/>
  <c r="D45" i="3"/>
  <c r="T45" i="4" s="1"/>
  <c r="T45" i="5" s="1"/>
  <c r="D20" i="3"/>
  <c r="D22" i="3"/>
  <c r="D97" i="3"/>
  <c r="D133" i="3"/>
  <c r="D137" i="3"/>
  <c r="D141" i="3"/>
  <c r="D145" i="3"/>
  <c r="D151" i="3"/>
  <c r="D155" i="3"/>
  <c r="D403" i="7"/>
  <c r="D395" i="7" s="1"/>
  <c r="D167" i="3"/>
  <c r="D175" i="3"/>
  <c r="D179" i="3"/>
  <c r="D185" i="3"/>
  <c r="D417" i="3"/>
  <c r="D442" i="3"/>
  <c r="D371" i="3"/>
  <c r="D350" i="3"/>
  <c r="D346" i="3"/>
  <c r="D387" i="3"/>
  <c r="D395" i="3"/>
  <c r="D425" i="3"/>
  <c r="D460" i="3"/>
  <c r="D203" i="3"/>
  <c r="D207" i="3"/>
  <c r="D189" i="3"/>
  <c r="D219" i="3"/>
  <c r="D223" i="3"/>
  <c r="D250" i="3"/>
  <c r="D252" i="3"/>
  <c r="D256" i="3"/>
  <c r="D258" i="3"/>
  <c r="D286" i="3"/>
  <c r="D318" i="3"/>
  <c r="S318" i="6" s="1"/>
  <c r="D336" i="3"/>
  <c r="D344" i="3"/>
  <c r="D353" i="3"/>
  <c r="D373" i="3"/>
  <c r="U373" i="4" s="1"/>
  <c r="U373" i="5" s="1"/>
  <c r="D377" i="3"/>
  <c r="D385" i="3"/>
  <c r="D399" i="3"/>
  <c r="D409" i="3"/>
  <c r="D436" i="3"/>
  <c r="D440" i="3"/>
  <c r="D117" i="3"/>
  <c r="D446" i="3"/>
  <c r="D201" i="3"/>
  <c r="D372" i="3"/>
  <c r="D384" i="3"/>
  <c r="D392" i="3"/>
  <c r="D400" i="3"/>
  <c r="D410" i="3"/>
  <c r="D390" i="3"/>
  <c r="D408" i="3"/>
  <c r="D451" i="3"/>
  <c r="D453" i="3"/>
  <c r="D198" i="3"/>
  <c r="D200" i="3"/>
  <c r="D202" i="3"/>
  <c r="D134" i="3"/>
  <c r="D303" i="3"/>
  <c r="D192" i="3"/>
  <c r="D289" i="3"/>
  <c r="D469" i="3"/>
  <c r="D11" i="3"/>
  <c r="D114" i="3"/>
  <c r="D118" i="3"/>
  <c r="D170" i="3"/>
  <c r="D186" i="3"/>
  <c r="T186" i="4" s="1"/>
  <c r="T186" i="5" s="1"/>
  <c r="D216" i="3"/>
  <c r="D220" i="3"/>
  <c r="V220" i="4" s="1"/>
  <c r="V220" i="5" s="1"/>
  <c r="D224" i="3"/>
  <c r="D234" i="3"/>
  <c r="E234" i="4" s="1"/>
  <c r="E234" i="5" s="1"/>
  <c r="D241" i="3"/>
  <c r="D269" i="3"/>
  <c r="M269" i="4" s="1"/>
  <c r="M269" i="5" s="1"/>
  <c r="D297" i="3"/>
  <c r="D324" i="3"/>
  <c r="M8" i="1"/>
  <c r="N8" i="3" s="1"/>
  <c r="F94" i="6"/>
  <c r="J57" i="6"/>
  <c r="N57" i="4"/>
  <c r="N57" i="5" s="1"/>
  <c r="E57" i="6"/>
  <c r="U57" i="6"/>
  <c r="Q57" i="4"/>
  <c r="Q57" i="5" s="1"/>
  <c r="P57" i="4"/>
  <c r="P57" i="5" s="1"/>
  <c r="P57" i="6"/>
  <c r="F57" i="6"/>
  <c r="N57" i="6"/>
  <c r="M57" i="6"/>
  <c r="S57" i="6"/>
  <c r="D57" i="6"/>
  <c r="G57" i="6"/>
  <c r="J57" i="4"/>
  <c r="J57" i="5" s="1"/>
  <c r="I57" i="4"/>
  <c r="I57" i="5" s="1"/>
  <c r="K57" i="4"/>
  <c r="K57" i="5" s="1"/>
  <c r="Q57" i="6"/>
  <c r="K57" i="6"/>
  <c r="S57" i="4"/>
  <c r="S57" i="5" s="1"/>
  <c r="R57" i="4"/>
  <c r="R57" i="5" s="1"/>
  <c r="H57" i="4"/>
  <c r="H57" i="5" s="1"/>
  <c r="H57" i="6"/>
  <c r="E57" i="4"/>
  <c r="E57" i="5" s="1"/>
  <c r="I57" i="6"/>
  <c r="D57" i="4"/>
  <c r="D57" i="5" s="1"/>
  <c r="U57" i="4"/>
  <c r="U57" i="5" s="1"/>
  <c r="G57" i="4"/>
  <c r="G57" i="5" s="1"/>
  <c r="R57" i="6"/>
  <c r="V57" i="6"/>
  <c r="O57" i="4"/>
  <c r="O57" i="5" s="1"/>
  <c r="P298" i="6"/>
  <c r="F298" i="4"/>
  <c r="F298" i="5" s="1"/>
  <c r="P298" i="4"/>
  <c r="P298" i="5" s="1"/>
  <c r="R379" i="6"/>
  <c r="J379" i="4"/>
  <c r="J379" i="5" s="1"/>
  <c r="N379" i="4"/>
  <c r="N379" i="5" s="1"/>
  <c r="Q379" i="4"/>
  <c r="Q379" i="5" s="1"/>
  <c r="O379" i="4"/>
  <c r="O379" i="5" s="1"/>
  <c r="K379" i="6"/>
  <c r="G379" i="6"/>
  <c r="S379" i="6"/>
  <c r="M379" i="6"/>
  <c r="J379" i="6"/>
  <c r="F379" i="6"/>
  <c r="L379" i="6"/>
  <c r="H379" i="4"/>
  <c r="H379" i="5" s="1"/>
  <c r="I379" i="6"/>
  <c r="F379" i="4"/>
  <c r="F379" i="5" s="1"/>
  <c r="E379" i="4"/>
  <c r="E379" i="5" s="1"/>
  <c r="T379" i="6"/>
  <c r="P379" i="6"/>
  <c r="N379" i="6"/>
  <c r="K379" i="4"/>
  <c r="K379" i="5" s="1"/>
  <c r="H379" i="6"/>
  <c r="S468" i="4"/>
  <c r="S468" i="5" s="1"/>
  <c r="S468" i="6"/>
  <c r="S165" i="6"/>
  <c r="S165" i="4"/>
  <c r="S165" i="5" s="1"/>
  <c r="F467" i="6"/>
  <c r="H467" i="6"/>
  <c r="R467" i="4"/>
  <c r="R467" i="5" s="1"/>
  <c r="J47" i="2"/>
  <c r="J74" i="2" s="1"/>
  <c r="R381" i="3"/>
  <c r="S129" i="3"/>
  <c r="R195" i="1"/>
  <c r="E498" i="7" a="1"/>
  <c r="F71" i="6"/>
  <c r="H71" i="6"/>
  <c r="T71" i="6"/>
  <c r="S71" i="4"/>
  <c r="S71" i="5" s="1"/>
  <c r="M71" i="6"/>
  <c r="G71" i="6"/>
  <c r="D71" i="4"/>
  <c r="D71" i="5" s="1"/>
  <c r="V71" i="6"/>
  <c r="L71" i="6"/>
  <c r="P71" i="4"/>
  <c r="P71" i="5" s="1"/>
  <c r="E71" i="4"/>
  <c r="E71" i="5" s="1"/>
  <c r="G71" i="4"/>
  <c r="G71" i="5" s="1"/>
  <c r="F71" i="4"/>
  <c r="F71" i="5" s="1"/>
  <c r="J71" i="4"/>
  <c r="J71" i="5" s="1"/>
  <c r="D71" i="6"/>
  <c r="K71" i="6"/>
  <c r="K71" i="4"/>
  <c r="K71" i="5" s="1"/>
  <c r="R71" i="6"/>
  <c r="P61" i="6"/>
  <c r="K61" i="4"/>
  <c r="K61" i="5" s="1"/>
  <c r="P61" i="4"/>
  <c r="P61" i="5" s="1"/>
  <c r="L61" i="4"/>
  <c r="L61" i="5" s="1"/>
  <c r="Q61" i="4"/>
  <c r="Q61" i="5" s="1"/>
  <c r="U61" i="4"/>
  <c r="U61" i="5" s="1"/>
  <c r="M61" i="6"/>
  <c r="E61" i="6"/>
  <c r="F61" i="6"/>
  <c r="R61" i="4"/>
  <c r="R61" i="5" s="1"/>
  <c r="V61" i="4"/>
  <c r="V61" i="5" s="1"/>
  <c r="L61" i="6"/>
  <c r="J61" i="4"/>
  <c r="J61" i="5" s="1"/>
  <c r="G61" i="6"/>
  <c r="Q61" i="6"/>
  <c r="S61" i="6"/>
  <c r="U61" i="6"/>
  <c r="M61" i="4"/>
  <c r="M61" i="5" s="1"/>
  <c r="E61" i="4"/>
  <c r="E61" i="5" s="1"/>
  <c r="I61" i="6"/>
  <c r="Q43" i="6"/>
  <c r="M43" i="6"/>
  <c r="N43" i="4"/>
  <c r="N43" i="5" s="1"/>
  <c r="P43" i="4"/>
  <c r="P43" i="5" s="1"/>
  <c r="F43" i="6"/>
  <c r="L43" i="6"/>
  <c r="L43" i="4"/>
  <c r="L43" i="5" s="1"/>
  <c r="E43" i="6"/>
  <c r="K43" i="6"/>
  <c r="G43" i="6"/>
  <c r="S43" i="4"/>
  <c r="S43" i="5" s="1"/>
  <c r="N43" i="6"/>
  <c r="V43" i="4"/>
  <c r="V43" i="5" s="1"/>
  <c r="G43" i="4"/>
  <c r="G43" i="5" s="1"/>
  <c r="S43" i="6"/>
  <c r="V43" i="6"/>
  <c r="R43" i="6"/>
  <c r="I43" i="4"/>
  <c r="I43" i="5" s="1"/>
  <c r="H18" i="4"/>
  <c r="H18" i="5" s="1"/>
  <c r="P18" i="6"/>
  <c r="F18" i="4"/>
  <c r="F18" i="5" s="1"/>
  <c r="P18" i="4"/>
  <c r="P18" i="5" s="1"/>
  <c r="T18" i="4"/>
  <c r="T18" i="5" s="1"/>
  <c r="G139" i="6"/>
  <c r="U139" i="4"/>
  <c r="U139" i="5" s="1"/>
  <c r="G139" i="4"/>
  <c r="G139" i="5" s="1"/>
  <c r="M139" i="6"/>
  <c r="Q139" i="6"/>
  <c r="Q139" i="4"/>
  <c r="Q139" i="5" s="1"/>
  <c r="D139" i="6"/>
  <c r="I139" i="6"/>
  <c r="S139" i="6"/>
  <c r="J139" i="4"/>
  <c r="J139" i="5" s="1"/>
  <c r="V139" i="4"/>
  <c r="V139" i="5" s="1"/>
  <c r="K139" i="4"/>
  <c r="K139" i="5" s="1"/>
  <c r="R139" i="6"/>
  <c r="H139" i="4"/>
  <c r="H139" i="5" s="1"/>
  <c r="I149" i="6"/>
  <c r="P149" i="6"/>
  <c r="F149" i="4"/>
  <c r="F149" i="5" s="1"/>
  <c r="K149" i="6"/>
  <c r="I149" i="4"/>
  <c r="I149" i="5" s="1"/>
  <c r="O149" i="4"/>
  <c r="O149" i="5" s="1"/>
  <c r="L149" i="6"/>
  <c r="K149" i="4"/>
  <c r="K149" i="5" s="1"/>
  <c r="D149" i="4"/>
  <c r="D149" i="5" s="1"/>
  <c r="U149" i="6"/>
  <c r="N149" i="6"/>
  <c r="E149" i="6"/>
  <c r="R149" i="4"/>
  <c r="R149" i="5" s="1"/>
  <c r="L149" i="4"/>
  <c r="L149" i="5" s="1"/>
  <c r="G149" i="4"/>
  <c r="G149" i="5" s="1"/>
  <c r="O149" i="6"/>
  <c r="M149" i="4"/>
  <c r="M149" i="5" s="1"/>
  <c r="Q149" i="4"/>
  <c r="Q149" i="5" s="1"/>
  <c r="J149" i="4"/>
  <c r="J149" i="5" s="1"/>
  <c r="K153" i="4"/>
  <c r="K153" i="5" s="1"/>
  <c r="E153" i="6"/>
  <c r="I153" i="6"/>
  <c r="N153" i="6"/>
  <c r="R153" i="4"/>
  <c r="R153" i="5" s="1"/>
  <c r="V153" i="6"/>
  <c r="H153" i="4"/>
  <c r="H153" i="5" s="1"/>
  <c r="O153" i="6"/>
  <c r="N153" i="4"/>
  <c r="N153" i="5" s="1"/>
  <c r="P153" i="6"/>
  <c r="T171" i="4"/>
  <c r="T171" i="5" s="1"/>
  <c r="Q171" i="4"/>
  <c r="Q171" i="5" s="1"/>
  <c r="K183" i="6"/>
  <c r="H183" i="6"/>
  <c r="I183" i="4"/>
  <c r="I183" i="5" s="1"/>
  <c r="M183" i="4"/>
  <c r="M183" i="5" s="1"/>
  <c r="K183" i="4"/>
  <c r="K183" i="5" s="1"/>
  <c r="R183" i="4"/>
  <c r="R183" i="5" s="1"/>
  <c r="E183" i="4"/>
  <c r="E183" i="5" s="1"/>
  <c r="L183" i="6"/>
  <c r="J183" i="6"/>
  <c r="H183" i="4"/>
  <c r="H183" i="5" s="1"/>
  <c r="N183" i="4"/>
  <c r="N183" i="5" s="1"/>
  <c r="J183" i="4"/>
  <c r="J183" i="5" s="1"/>
  <c r="M183" i="6"/>
  <c r="F183" i="4"/>
  <c r="F183" i="5" s="1"/>
  <c r="D183" i="4"/>
  <c r="D183" i="5" s="1"/>
  <c r="N183" i="6"/>
  <c r="Q183" i="6"/>
  <c r="E183" i="6"/>
  <c r="O183" i="4"/>
  <c r="O183" i="5" s="1"/>
  <c r="P183" i="4"/>
  <c r="P183" i="5" s="1"/>
  <c r="L183" i="4"/>
  <c r="L183" i="5" s="1"/>
  <c r="G183" i="4"/>
  <c r="G183" i="5" s="1"/>
  <c r="P183" i="6"/>
  <c r="S183" i="6"/>
  <c r="G48" i="2"/>
  <c r="G75" i="2" s="1"/>
  <c r="S277" i="3"/>
  <c r="O304" i="6"/>
  <c r="E304" i="4"/>
  <c r="E304" i="5" s="1"/>
  <c r="P304" i="4"/>
  <c r="P304" i="5" s="1"/>
  <c r="V304" i="6"/>
  <c r="Q304" i="4"/>
  <c r="Q304" i="5" s="1"/>
  <c r="G304" i="4"/>
  <c r="G304" i="5" s="1"/>
  <c r="G304" i="6"/>
  <c r="H304" i="4"/>
  <c r="H304" i="5" s="1"/>
  <c r="F304" i="6"/>
  <c r="V304" i="4"/>
  <c r="V304" i="5" s="1"/>
  <c r="N304" i="4"/>
  <c r="N304" i="5" s="1"/>
  <c r="M304" i="4"/>
  <c r="M304" i="5" s="1"/>
  <c r="Q304" i="6"/>
  <c r="S446" i="4"/>
  <c r="S446" i="5" s="1"/>
  <c r="T169" i="3"/>
  <c r="E392" i="7" s="1"/>
  <c r="H498" i="7" a="1"/>
  <c r="S72" i="2"/>
  <c r="T45" i="2"/>
  <c r="I272" i="6"/>
  <c r="D272" i="6"/>
  <c r="N272" i="4"/>
  <c r="N272" i="5" s="1"/>
  <c r="F272" i="6"/>
  <c r="G272" i="4"/>
  <c r="G272" i="5" s="1"/>
  <c r="H272" i="6"/>
  <c r="U272" i="4"/>
  <c r="U272" i="5" s="1"/>
  <c r="R272" i="6"/>
  <c r="Q302" i="4"/>
  <c r="Q302" i="5" s="1"/>
  <c r="E302" i="4"/>
  <c r="E302" i="5" s="1"/>
  <c r="G302" i="4"/>
  <c r="G302" i="5" s="1"/>
  <c r="I302" i="4"/>
  <c r="I302" i="5" s="1"/>
  <c r="K302" i="4"/>
  <c r="K302" i="5" s="1"/>
  <c r="L302" i="6"/>
  <c r="V302" i="6"/>
  <c r="H302" i="6"/>
  <c r="U302" i="4"/>
  <c r="U302" i="5" s="1"/>
  <c r="Q302" i="6"/>
  <c r="R302" i="6"/>
  <c r="R302" i="4"/>
  <c r="R302" i="5" s="1"/>
  <c r="D302" i="4"/>
  <c r="D302" i="5" s="1"/>
  <c r="K302" i="6"/>
  <c r="F302" i="4"/>
  <c r="F302" i="5" s="1"/>
  <c r="P302" i="4"/>
  <c r="P302" i="5" s="1"/>
  <c r="T302" i="6"/>
  <c r="R306" i="6"/>
  <c r="H306" i="4"/>
  <c r="H306" i="5" s="1"/>
  <c r="R306" i="4"/>
  <c r="R306" i="5" s="1"/>
  <c r="R310" i="6"/>
  <c r="R310" i="4"/>
  <c r="R310" i="5" s="1"/>
  <c r="H310" i="4"/>
  <c r="H310" i="5" s="1"/>
  <c r="N325" i="4"/>
  <c r="N325" i="5" s="1"/>
  <c r="M325" i="4"/>
  <c r="M325" i="5" s="1"/>
  <c r="P325" i="4"/>
  <c r="P325" i="5" s="1"/>
  <c r="F325" i="4"/>
  <c r="F325" i="5" s="1"/>
  <c r="H325" i="6"/>
  <c r="R325" i="6"/>
  <c r="U329" i="4"/>
  <c r="U329" i="5" s="1"/>
  <c r="E329" i="6"/>
  <c r="L329" i="6"/>
  <c r="K329" i="6"/>
  <c r="K329" i="4"/>
  <c r="K329" i="5" s="1"/>
  <c r="H329" i="4"/>
  <c r="H329" i="5" s="1"/>
  <c r="R329" i="4"/>
  <c r="R329" i="5" s="1"/>
  <c r="M329" i="6"/>
  <c r="R329" i="6"/>
  <c r="U329" i="6"/>
  <c r="G329" i="4"/>
  <c r="G329" i="5" s="1"/>
  <c r="T329" i="6"/>
  <c r="H329" i="6"/>
  <c r="I329" i="4"/>
  <c r="I329" i="5" s="1"/>
  <c r="I329" i="6"/>
  <c r="H332" i="6"/>
  <c r="R332" i="4"/>
  <c r="R332" i="5" s="1"/>
  <c r="F332" i="4"/>
  <c r="F332" i="5" s="1"/>
  <c r="I338" i="6"/>
  <c r="S338" i="4"/>
  <c r="S338" i="5" s="1"/>
  <c r="F338" i="6"/>
  <c r="R338" i="4"/>
  <c r="R338" i="5" s="1"/>
  <c r="J338" i="4"/>
  <c r="J338" i="5" s="1"/>
  <c r="L338" i="4"/>
  <c r="L338" i="5" s="1"/>
  <c r="F338" i="4"/>
  <c r="F338" i="5" s="1"/>
  <c r="V338" i="4"/>
  <c r="V338" i="5" s="1"/>
  <c r="T338" i="6"/>
  <c r="N338" i="6"/>
  <c r="E338" i="4"/>
  <c r="E338" i="5" s="1"/>
  <c r="O338" i="6"/>
  <c r="U338" i="4"/>
  <c r="U338" i="5" s="1"/>
  <c r="K338" i="6"/>
  <c r="G338" i="6"/>
  <c r="U338" i="6"/>
  <c r="P338" i="4"/>
  <c r="P338" i="5" s="1"/>
  <c r="T338" i="4"/>
  <c r="T338" i="5" s="1"/>
  <c r="R338" i="6"/>
  <c r="L338" i="6"/>
  <c r="M338" i="4"/>
  <c r="M338" i="5" s="1"/>
  <c r="E338" i="6"/>
  <c r="E342" i="4"/>
  <c r="E342" i="5" s="1"/>
  <c r="D342" i="4"/>
  <c r="D342" i="5" s="1"/>
  <c r="U342" i="4"/>
  <c r="U342" i="5" s="1"/>
  <c r="F342" i="4"/>
  <c r="F342" i="5" s="1"/>
  <c r="K342" i="4"/>
  <c r="K342" i="5" s="1"/>
  <c r="S342" i="4"/>
  <c r="S342" i="5" s="1"/>
  <c r="T342" i="4"/>
  <c r="T342" i="5" s="1"/>
  <c r="T342" i="6"/>
  <c r="F342" i="6"/>
  <c r="O342" i="6"/>
  <c r="E342" i="6"/>
  <c r="S402" i="3"/>
  <c r="R381" i="1"/>
  <c r="L456" i="6"/>
  <c r="N456" i="6"/>
  <c r="K456" i="4"/>
  <c r="K456" i="5" s="1"/>
  <c r="U456" i="4"/>
  <c r="U456" i="5" s="1"/>
  <c r="D456" i="6"/>
  <c r="R456" i="6"/>
  <c r="N456" i="4"/>
  <c r="N456" i="5" s="1"/>
  <c r="R456" i="4"/>
  <c r="R456" i="5" s="1"/>
  <c r="H456" i="6"/>
  <c r="I456" i="6"/>
  <c r="Q456" i="6"/>
  <c r="S456" i="4"/>
  <c r="S456" i="5" s="1"/>
  <c r="D456" i="4"/>
  <c r="D456" i="5" s="1"/>
  <c r="H456" i="4"/>
  <c r="H456" i="5" s="1"/>
  <c r="S456" i="6"/>
  <c r="G456" i="4"/>
  <c r="G456" i="5" s="1"/>
  <c r="K456" i="6"/>
  <c r="P456" i="6"/>
  <c r="P456" i="4"/>
  <c r="P456" i="5" s="1"/>
  <c r="O456" i="6"/>
  <c r="O456" i="4"/>
  <c r="O456" i="5" s="1"/>
  <c r="G456" i="6"/>
  <c r="E456" i="4"/>
  <c r="E456" i="5" s="1"/>
  <c r="E456" i="6"/>
  <c r="F456" i="4"/>
  <c r="F456" i="5" s="1"/>
  <c r="J456" i="6"/>
  <c r="V126" i="1"/>
  <c r="D126" i="3" s="1"/>
  <c r="D127" i="3"/>
  <c r="T321" i="3"/>
  <c r="S293" i="1"/>
  <c r="T293" i="3" s="1"/>
  <c r="U148" i="3"/>
  <c r="F498" i="7" a="1"/>
  <c r="U215" i="3"/>
  <c r="T213" i="1"/>
  <c r="V149" i="4"/>
  <c r="V149" i="5" s="1"/>
  <c r="V149" i="6"/>
  <c r="V321" i="3"/>
  <c r="U293" i="1"/>
  <c r="H51" i="2" s="1"/>
  <c r="H78" i="2" s="1"/>
  <c r="T173" i="4"/>
  <c r="T173" i="5" s="1"/>
  <c r="F173" i="4"/>
  <c r="F173" i="5" s="1"/>
  <c r="Q173" i="6"/>
  <c r="D173" i="6"/>
  <c r="H173" i="6"/>
  <c r="G173" i="4"/>
  <c r="G173" i="5" s="1"/>
  <c r="M173" i="6"/>
  <c r="O173" i="4"/>
  <c r="O173" i="5" s="1"/>
  <c r="I173" i="6"/>
  <c r="O173" i="6"/>
  <c r="S173" i="6"/>
  <c r="N173" i="6"/>
  <c r="H193" i="4"/>
  <c r="H193" i="5" s="1"/>
  <c r="V193" i="4"/>
  <c r="V193" i="5" s="1"/>
  <c r="D227" i="3"/>
  <c r="V226" i="1"/>
  <c r="D226" i="3" s="1"/>
  <c r="S226" i="3"/>
  <c r="R213" i="1"/>
  <c r="E48" i="2" s="1"/>
  <c r="E75" i="2" s="1"/>
  <c r="Q229" i="4"/>
  <c r="Q229" i="5" s="1"/>
  <c r="D229" i="4"/>
  <c r="D229" i="5" s="1"/>
  <c r="R229" i="4"/>
  <c r="R229" i="5" s="1"/>
  <c r="F231" i="6"/>
  <c r="H231" i="6"/>
  <c r="I231" i="4"/>
  <c r="I231" i="5" s="1"/>
  <c r="K231" i="4"/>
  <c r="K231" i="5" s="1"/>
  <c r="K231" i="6"/>
  <c r="G231" i="6"/>
  <c r="I231" i="6"/>
  <c r="L231" i="6"/>
  <c r="H231" i="4"/>
  <c r="H231" i="5" s="1"/>
  <c r="Q231" i="4"/>
  <c r="Q231" i="5" s="1"/>
  <c r="S231" i="4"/>
  <c r="S231" i="5" s="1"/>
  <c r="D231" i="4"/>
  <c r="D231" i="5" s="1"/>
  <c r="R231" i="6"/>
  <c r="V231" i="6"/>
  <c r="V242" i="4"/>
  <c r="V242" i="5" s="1"/>
  <c r="V242" i="6"/>
  <c r="Q242" i="4"/>
  <c r="Q242" i="5" s="1"/>
  <c r="I242" i="4"/>
  <c r="I242" i="5" s="1"/>
  <c r="N242" i="4"/>
  <c r="N242" i="5" s="1"/>
  <c r="P242" i="4"/>
  <c r="P242" i="5" s="1"/>
  <c r="L242" i="6"/>
  <c r="E242" i="4"/>
  <c r="E242" i="5" s="1"/>
  <c r="K242" i="6"/>
  <c r="F242" i="4"/>
  <c r="F242" i="5" s="1"/>
  <c r="H242" i="4"/>
  <c r="H242" i="5" s="1"/>
  <c r="T242" i="6"/>
  <c r="J242" i="6"/>
  <c r="R242" i="6"/>
  <c r="V246" i="4"/>
  <c r="V246" i="5" s="1"/>
  <c r="F246" i="4"/>
  <c r="F246" i="5" s="1"/>
  <c r="R246" i="4"/>
  <c r="R246" i="5" s="1"/>
  <c r="S258" i="4"/>
  <c r="S258" i="5" s="1"/>
  <c r="L312" i="6"/>
  <c r="U312" i="4"/>
  <c r="U312" i="5" s="1"/>
  <c r="R312" i="6"/>
  <c r="E312" i="4"/>
  <c r="E312" i="5" s="1"/>
  <c r="D312" i="6"/>
  <c r="M312" i="6"/>
  <c r="N312" i="4"/>
  <c r="N312" i="5" s="1"/>
  <c r="H312" i="4"/>
  <c r="H312" i="5" s="1"/>
  <c r="G312" i="4"/>
  <c r="G312" i="5" s="1"/>
  <c r="M312" i="4"/>
  <c r="M312" i="5" s="1"/>
  <c r="N312" i="6"/>
  <c r="G312" i="6"/>
  <c r="D312" i="4"/>
  <c r="D312" i="5" s="1"/>
  <c r="Q312" i="4"/>
  <c r="Q312" i="5" s="1"/>
  <c r="U312" i="6"/>
  <c r="P312" i="6"/>
  <c r="J312" i="6"/>
  <c r="F312" i="4"/>
  <c r="F312" i="5" s="1"/>
  <c r="F312" i="6"/>
  <c r="K312" i="6"/>
  <c r="H312" i="6"/>
  <c r="J312" i="4"/>
  <c r="J312" i="5" s="1"/>
  <c r="I312" i="4"/>
  <c r="I312" i="5" s="1"/>
  <c r="Q312" i="6"/>
  <c r="L312" i="4"/>
  <c r="L312" i="5" s="1"/>
  <c r="S312" i="6"/>
  <c r="V312" i="6"/>
  <c r="S318" i="4"/>
  <c r="S318" i="5" s="1"/>
  <c r="S335" i="3"/>
  <c r="R293" i="1"/>
  <c r="S293" i="3" s="1"/>
  <c r="I348" i="4"/>
  <c r="I348" i="5" s="1"/>
  <c r="Q348" i="6"/>
  <c r="N423" i="6"/>
  <c r="R423" i="6"/>
  <c r="F423" i="6"/>
  <c r="T63" i="3"/>
  <c r="S8" i="1"/>
  <c r="C49" i="2" s="1"/>
  <c r="C76" i="2" s="1"/>
  <c r="U126" i="3"/>
  <c r="T195" i="1"/>
  <c r="T106" i="1" s="1"/>
  <c r="U444" i="3"/>
  <c r="T431" i="1"/>
  <c r="U213" i="1"/>
  <c r="V213" i="3" s="1"/>
  <c r="V226" i="3"/>
  <c r="F403" i="7"/>
  <c r="G395" i="7" s="1"/>
  <c r="P33" i="4"/>
  <c r="P33" i="5" s="1"/>
  <c r="E33" i="4"/>
  <c r="E33" i="5" s="1"/>
  <c r="K33" i="6"/>
  <c r="S33" i="6"/>
  <c r="V33" i="4"/>
  <c r="V33" i="5" s="1"/>
  <c r="R33" i="6"/>
  <c r="N33" i="6"/>
  <c r="J33" i="4"/>
  <c r="J33" i="5" s="1"/>
  <c r="U33" i="4"/>
  <c r="U33" i="5" s="1"/>
  <c r="O33" i="6"/>
  <c r="U33" i="6"/>
  <c r="L33" i="4"/>
  <c r="L33" i="5" s="1"/>
  <c r="D33" i="6"/>
  <c r="V33" i="6"/>
  <c r="M33" i="4"/>
  <c r="M33" i="5" s="1"/>
  <c r="T414" i="6"/>
  <c r="M414" i="4"/>
  <c r="M414" i="5" s="1"/>
  <c r="T414" i="4"/>
  <c r="T414" i="5" s="1"/>
  <c r="S428" i="4"/>
  <c r="S428" i="5" s="1"/>
  <c r="Q428" i="6"/>
  <c r="I428" i="6"/>
  <c r="L428" i="4"/>
  <c r="L428" i="5" s="1"/>
  <c r="T428" i="6"/>
  <c r="P428" i="6"/>
  <c r="H428" i="4"/>
  <c r="H428" i="5" s="1"/>
  <c r="N428" i="6"/>
  <c r="D428" i="6"/>
  <c r="S428" i="6"/>
  <c r="J428" i="6"/>
  <c r="G428" i="6"/>
  <c r="F428" i="4"/>
  <c r="F428" i="5" s="1"/>
  <c r="R428" i="4"/>
  <c r="R428" i="5" s="1"/>
  <c r="V428" i="4"/>
  <c r="V428" i="5" s="1"/>
  <c r="K428" i="6"/>
  <c r="K428" i="4"/>
  <c r="K428" i="5" s="1"/>
  <c r="G428" i="4"/>
  <c r="G428" i="5" s="1"/>
  <c r="D441" i="4"/>
  <c r="D441" i="5" s="1"/>
  <c r="O441" i="4"/>
  <c r="O441" i="5" s="1"/>
  <c r="T441" i="6"/>
  <c r="D447" i="3"/>
  <c r="V444" i="1"/>
  <c r="D444" i="3" s="1"/>
  <c r="J465" i="4"/>
  <c r="J465" i="5" s="1"/>
  <c r="M465" i="4"/>
  <c r="M465" i="5" s="1"/>
  <c r="D465" i="4"/>
  <c r="D465" i="5" s="1"/>
  <c r="V206" i="6"/>
  <c r="J206" i="6"/>
  <c r="F206" i="6"/>
  <c r="D80" i="3"/>
  <c r="V79" i="1"/>
  <c r="D79" i="3" s="1"/>
  <c r="R56" i="4"/>
  <c r="R56" i="5" s="1"/>
  <c r="U56" i="6"/>
  <c r="R40" i="4"/>
  <c r="R40" i="5" s="1"/>
  <c r="V40" i="4"/>
  <c r="V40" i="5" s="1"/>
  <c r="F40" i="4"/>
  <c r="F40" i="5" s="1"/>
  <c r="O19" i="6"/>
  <c r="Q98" i="4"/>
  <c r="Q98" i="5" s="1"/>
  <c r="Q98" i="6"/>
  <c r="G98" i="4"/>
  <c r="G98" i="5" s="1"/>
  <c r="R98" i="4"/>
  <c r="R98" i="5" s="1"/>
  <c r="V98" i="4"/>
  <c r="V98" i="5" s="1"/>
  <c r="S98" i="4"/>
  <c r="S98" i="5" s="1"/>
  <c r="F98" i="4"/>
  <c r="F98" i="5" s="1"/>
  <c r="R98" i="6"/>
  <c r="D98" i="4"/>
  <c r="D98" i="5" s="1"/>
  <c r="D98" i="6"/>
  <c r="N98" i="6"/>
  <c r="L98" i="4"/>
  <c r="L98" i="5" s="1"/>
  <c r="O98" i="4"/>
  <c r="O98" i="5" s="1"/>
  <c r="P98" i="4"/>
  <c r="P98" i="5" s="1"/>
  <c r="M98" i="4"/>
  <c r="M98" i="5" s="1"/>
  <c r="I98" i="6"/>
  <c r="J98" i="6"/>
  <c r="T98" i="6"/>
  <c r="G98" i="6"/>
  <c r="F109" i="4"/>
  <c r="F109" i="5" s="1"/>
  <c r="H138" i="4"/>
  <c r="H138" i="5" s="1"/>
  <c r="O138" i="6"/>
  <c r="D138" i="4"/>
  <c r="D138" i="5" s="1"/>
  <c r="K138" i="6"/>
  <c r="F138" i="6"/>
  <c r="T138" i="6"/>
  <c r="G138" i="6"/>
  <c r="D138" i="6"/>
  <c r="G138" i="4"/>
  <c r="G138" i="5" s="1"/>
  <c r="E138" i="6"/>
  <c r="L138" i="4"/>
  <c r="L138" i="5" s="1"/>
  <c r="J138" i="6"/>
  <c r="R138" i="4"/>
  <c r="R138" i="5" s="1"/>
  <c r="L138" i="6"/>
  <c r="M138" i="4"/>
  <c r="M138" i="5" s="1"/>
  <c r="M138" i="6"/>
  <c r="U138" i="6"/>
  <c r="T138" i="4"/>
  <c r="T138" i="5" s="1"/>
  <c r="F138" i="4"/>
  <c r="F138" i="5" s="1"/>
  <c r="P142" i="6"/>
  <c r="F142" i="4"/>
  <c r="F142" i="5" s="1"/>
  <c r="F245" i="6"/>
  <c r="U245" i="6"/>
  <c r="H245" i="4"/>
  <c r="H245" i="5" s="1"/>
  <c r="V245" i="6"/>
  <c r="U245" i="4"/>
  <c r="U245" i="5" s="1"/>
  <c r="Q249" i="4"/>
  <c r="Q249" i="5" s="1"/>
  <c r="E249" i="4"/>
  <c r="E249" i="5" s="1"/>
  <c r="U249" i="4"/>
  <c r="U249" i="5" s="1"/>
  <c r="E249" i="6"/>
  <c r="Q249" i="6"/>
  <c r="P249" i="4"/>
  <c r="P249" i="5" s="1"/>
  <c r="J249" i="6"/>
  <c r="T249" i="4"/>
  <c r="T249" i="5" s="1"/>
  <c r="H249" i="6"/>
  <c r="I249" i="6"/>
  <c r="F249" i="6"/>
  <c r="S249" i="6"/>
  <c r="N249" i="6"/>
  <c r="R249" i="6"/>
  <c r="F249" i="4"/>
  <c r="F249" i="5" s="1"/>
  <c r="G249" i="6"/>
  <c r="N249" i="4"/>
  <c r="N249" i="5" s="1"/>
  <c r="L249" i="4"/>
  <c r="L249" i="5" s="1"/>
  <c r="H253" i="4"/>
  <c r="H253" i="5" s="1"/>
  <c r="P257" i="4"/>
  <c r="P257" i="5" s="1"/>
  <c r="T257" i="4"/>
  <c r="T257" i="5" s="1"/>
  <c r="H257" i="6"/>
  <c r="H257" i="4"/>
  <c r="H257" i="5" s="1"/>
  <c r="P257" i="6"/>
  <c r="L261" i="6"/>
  <c r="M261" i="6"/>
  <c r="M261" i="4"/>
  <c r="M261" i="5" s="1"/>
  <c r="T261" i="6"/>
  <c r="P261" i="6"/>
  <c r="H261" i="4"/>
  <c r="H261" i="5" s="1"/>
  <c r="P265" i="6"/>
  <c r="T265" i="6"/>
  <c r="P307" i="4"/>
  <c r="P307" i="5" s="1"/>
  <c r="T307" i="4"/>
  <c r="T307" i="5" s="1"/>
  <c r="T307" i="6"/>
  <c r="F307" i="4"/>
  <c r="F307" i="5" s="1"/>
  <c r="K50" i="6"/>
  <c r="P204" i="6"/>
  <c r="L204" i="4"/>
  <c r="L204" i="5" s="1"/>
  <c r="P204" i="4"/>
  <c r="P204" i="5" s="1"/>
  <c r="N422" i="6"/>
  <c r="F422" i="4"/>
  <c r="F422" i="5" s="1"/>
  <c r="R422" i="6"/>
  <c r="U478" i="6"/>
  <c r="H478" i="6"/>
  <c r="F478" i="4"/>
  <c r="F478" i="5" s="1"/>
  <c r="S478" i="4"/>
  <c r="S478" i="5" s="1"/>
  <c r="D478" i="6"/>
  <c r="N478" i="4"/>
  <c r="N478" i="5" s="1"/>
  <c r="O478" i="4"/>
  <c r="O478" i="5" s="1"/>
  <c r="K478" i="4"/>
  <c r="K478" i="5" s="1"/>
  <c r="T478" i="4"/>
  <c r="T478" i="5" s="1"/>
  <c r="L478" i="4"/>
  <c r="L478" i="5" s="1"/>
  <c r="O478" i="6"/>
  <c r="V478" i="6"/>
  <c r="F478" i="6"/>
  <c r="S478" i="6"/>
  <c r="J478" i="6"/>
  <c r="M478" i="4"/>
  <c r="M478" i="5" s="1"/>
  <c r="H478" i="4"/>
  <c r="H478" i="5" s="1"/>
  <c r="I478" i="4"/>
  <c r="I478" i="5" s="1"/>
  <c r="G478" i="4"/>
  <c r="G478" i="5" s="1"/>
  <c r="R478" i="4"/>
  <c r="R478" i="5" s="1"/>
  <c r="G478" i="6"/>
  <c r="P478" i="4"/>
  <c r="P478" i="5" s="1"/>
  <c r="V478" i="4"/>
  <c r="V478" i="5" s="1"/>
  <c r="Q478" i="6"/>
  <c r="E478" i="4"/>
  <c r="E478" i="5" s="1"/>
  <c r="I86" i="4"/>
  <c r="I86" i="5" s="1"/>
  <c r="N86" i="6"/>
  <c r="J86" i="6"/>
  <c r="K86" i="6"/>
  <c r="E86" i="6"/>
  <c r="Q86" i="6"/>
  <c r="O86" i="6"/>
  <c r="T86" i="4"/>
  <c r="T86" i="5" s="1"/>
  <c r="V186" i="6"/>
  <c r="V224" i="6"/>
  <c r="V224" i="4"/>
  <c r="V224" i="5" s="1"/>
  <c r="S304" i="4"/>
  <c r="S304" i="5" s="1"/>
  <c r="S367" i="4"/>
  <c r="S367" i="5" s="1"/>
  <c r="S367" i="6"/>
  <c r="S375" i="4"/>
  <c r="S375" i="5" s="1"/>
  <c r="T57" i="6"/>
  <c r="T57" i="4"/>
  <c r="T57" i="5" s="1"/>
  <c r="T61" i="4"/>
  <c r="T61" i="5" s="1"/>
  <c r="T183" i="4"/>
  <c r="T183" i="5" s="1"/>
  <c r="T183" i="6"/>
  <c r="T231" i="4"/>
  <c r="T231" i="5" s="1"/>
  <c r="T235" i="4"/>
  <c r="T235" i="5" s="1"/>
  <c r="T235" i="6"/>
  <c r="V13" i="4"/>
  <c r="V13" i="5" s="1"/>
  <c r="T304" i="4"/>
  <c r="T304" i="5" s="1"/>
  <c r="T373" i="4"/>
  <c r="T373" i="5" s="1"/>
  <c r="T373" i="6"/>
  <c r="T377" i="4"/>
  <c r="T377" i="5" s="1"/>
  <c r="U71" i="4"/>
  <c r="U71" i="5" s="1"/>
  <c r="U258" i="4"/>
  <c r="U258" i="5" s="1"/>
  <c r="U258" i="6"/>
  <c r="U304" i="6"/>
  <c r="U318" i="4"/>
  <c r="U318" i="5" s="1"/>
  <c r="U318" i="6"/>
  <c r="U379" i="4"/>
  <c r="U379" i="5" s="1"/>
  <c r="U393" i="4"/>
  <c r="U393" i="5" s="1"/>
  <c r="U393" i="6"/>
  <c r="V386" i="4"/>
  <c r="V386" i="5" s="1"/>
  <c r="V386" i="6"/>
  <c r="V441" i="4"/>
  <c r="V441" i="5" s="1"/>
  <c r="V467" i="4"/>
  <c r="V467" i="5" s="1"/>
  <c r="V472" i="6"/>
  <c r="V85" i="4"/>
  <c r="V85" i="5" s="1"/>
  <c r="V85" i="6"/>
  <c r="V45" i="6"/>
  <c r="V45" i="4"/>
  <c r="V45" i="5" s="1"/>
  <c r="V221" i="6"/>
  <c r="V221" i="4"/>
  <c r="V221" i="5" s="1"/>
  <c r="V233" i="6"/>
  <c r="V233" i="4"/>
  <c r="V233" i="5" s="1"/>
  <c r="V272" i="4"/>
  <c r="V272" i="5" s="1"/>
  <c r="V306" i="4"/>
  <c r="V306" i="5" s="1"/>
  <c r="V310" i="4"/>
  <c r="V310" i="5" s="1"/>
  <c r="V325" i="6"/>
  <c r="V329" i="6"/>
  <c r="V332" i="6"/>
  <c r="V332" i="4"/>
  <c r="V332" i="5" s="1"/>
  <c r="V367" i="6"/>
  <c r="V367" i="4"/>
  <c r="V367" i="5" s="1"/>
  <c r="V375" i="6"/>
  <c r="V379" i="4"/>
  <c r="V379" i="5" s="1"/>
  <c r="V423" i="4"/>
  <c r="V423" i="5" s="1"/>
  <c r="V456" i="6"/>
  <c r="S381" i="1"/>
  <c r="V360" i="1"/>
  <c r="D360" i="3" s="1"/>
  <c r="T40" i="2"/>
  <c r="U8" i="1"/>
  <c r="V8" i="3" s="1"/>
  <c r="V335" i="1"/>
  <c r="D335" i="3" s="1"/>
  <c r="G335" i="6" s="1"/>
  <c r="V321" i="1"/>
  <c r="D321" i="3" s="1"/>
  <c r="V295" i="1"/>
  <c r="V108" i="1"/>
  <c r="S86" i="4"/>
  <c r="S86" i="5" s="1"/>
  <c r="I86" i="6"/>
  <c r="S195" i="1"/>
  <c r="S106" i="1" s="1"/>
  <c r="R8" i="1"/>
  <c r="C48" i="2" s="1"/>
  <c r="D86" i="4"/>
  <c r="D86" i="5" s="1"/>
  <c r="H86" i="6"/>
  <c r="R86" i="6"/>
  <c r="H86" i="4"/>
  <c r="H86" i="5" s="1"/>
  <c r="L86" i="6"/>
  <c r="N86" i="4"/>
  <c r="N86" i="5" s="1"/>
  <c r="V86" i="6"/>
  <c r="G86" i="4"/>
  <c r="G86" i="5" s="1"/>
  <c r="O428" i="4"/>
  <c r="O428" i="5" s="1"/>
  <c r="F428" i="6"/>
  <c r="R428" i="6"/>
  <c r="O428" i="6"/>
  <c r="N428" i="4"/>
  <c r="N428" i="5" s="1"/>
  <c r="U428" i="4"/>
  <c r="U428" i="5" s="1"/>
  <c r="N431" i="3"/>
  <c r="V139" i="6"/>
  <c r="T139" i="6"/>
  <c r="P139" i="6"/>
  <c r="K139" i="6"/>
  <c r="V152" i="6"/>
  <c r="K173" i="4"/>
  <c r="K173" i="5" s="1"/>
  <c r="G173" i="6"/>
  <c r="S173" i="4"/>
  <c r="S173" i="5" s="1"/>
  <c r="P304" i="6"/>
  <c r="N304" i="6"/>
  <c r="H304" i="6"/>
  <c r="J304" i="4"/>
  <c r="J304" i="5" s="1"/>
  <c r="K304" i="6"/>
  <c r="D304" i="4"/>
  <c r="D304" i="5" s="1"/>
  <c r="E329" i="4"/>
  <c r="E329" i="5" s="1"/>
  <c r="J329" i="4"/>
  <c r="J329" i="5" s="1"/>
  <c r="V329" i="4"/>
  <c r="V329" i="5" s="1"/>
  <c r="G329" i="6"/>
  <c r="I342" i="6"/>
  <c r="V342" i="6"/>
  <c r="R422" i="4"/>
  <c r="R422" i="5" s="1"/>
  <c r="H428" i="6"/>
  <c r="T428" i="4"/>
  <c r="T428" i="5" s="1"/>
  <c r="E98" i="6"/>
  <c r="I43" i="6"/>
  <c r="V129" i="1"/>
  <c r="D129" i="3" s="1"/>
  <c r="H71" i="4"/>
  <c r="H71" i="5" s="1"/>
  <c r="Q71" i="6"/>
  <c r="R71" i="4"/>
  <c r="R71" i="5" s="1"/>
  <c r="Q71" i="4"/>
  <c r="Q71" i="5" s="1"/>
  <c r="P71" i="6"/>
  <c r="N71" i="6"/>
  <c r="O71" i="6"/>
  <c r="E71" i="6"/>
  <c r="U98" i="6"/>
  <c r="P98" i="6"/>
  <c r="I98" i="4"/>
  <c r="I98" i="5" s="1"/>
  <c r="K98" i="4"/>
  <c r="K98" i="5" s="1"/>
  <c r="H98" i="4"/>
  <c r="H98" i="5" s="1"/>
  <c r="F98" i="6"/>
  <c r="N138" i="4"/>
  <c r="N138" i="5" s="1"/>
  <c r="P138" i="6"/>
  <c r="S138" i="4"/>
  <c r="S138" i="5" s="1"/>
  <c r="R138" i="6"/>
  <c r="J138" i="4"/>
  <c r="J138" i="5" s="1"/>
  <c r="Q138" i="6"/>
  <c r="I138" i="6"/>
  <c r="F149" i="6"/>
  <c r="U149" i="4"/>
  <c r="U149" i="5" s="1"/>
  <c r="R149" i="6"/>
  <c r="T149" i="4"/>
  <c r="T149" i="5" s="1"/>
  <c r="Q149" i="6"/>
  <c r="U249" i="6"/>
  <c r="V249" i="6"/>
  <c r="K249" i="4"/>
  <c r="K249" i="5" s="1"/>
  <c r="P249" i="6"/>
  <c r="H249" i="4"/>
  <c r="H249" i="5" s="1"/>
  <c r="J249" i="4"/>
  <c r="J249" i="5" s="1"/>
  <c r="T249" i="6"/>
  <c r="D249" i="4"/>
  <c r="D249" i="5" s="1"/>
  <c r="L348" i="4"/>
  <c r="L348" i="5" s="1"/>
  <c r="S348" i="4"/>
  <c r="S348" i="5" s="1"/>
  <c r="Q261" i="4"/>
  <c r="Q261" i="5" s="1"/>
  <c r="Q261" i="6"/>
  <c r="S393" i="6"/>
  <c r="I44" i="4"/>
  <c r="I44" i="5" s="1"/>
  <c r="I70" i="4"/>
  <c r="I70" i="5" s="1"/>
  <c r="R33" i="4"/>
  <c r="R33" i="5" s="1"/>
  <c r="Q33" i="4"/>
  <c r="Q33" i="5" s="1"/>
  <c r="U379" i="6"/>
  <c r="T425" i="4"/>
  <c r="T425" i="5" s="1"/>
  <c r="L428" i="6"/>
  <c r="E332" i="4"/>
  <c r="E332" i="5" s="1"/>
  <c r="I248" i="6"/>
  <c r="N33" i="4"/>
  <c r="N33" i="5" s="1"/>
  <c r="G33" i="4"/>
  <c r="G33" i="5" s="1"/>
  <c r="O33" i="4"/>
  <c r="O33" i="5" s="1"/>
  <c r="V330" i="4"/>
  <c r="V330" i="5" s="1"/>
  <c r="V215" i="1"/>
  <c r="V29" i="4"/>
  <c r="V29" i="5" s="1"/>
  <c r="J423" i="4"/>
  <c r="J423" i="5" s="1"/>
  <c r="R206" i="4"/>
  <c r="R206" i="5" s="1"/>
  <c r="I40" i="4"/>
  <c r="I40" i="5" s="1"/>
  <c r="V383" i="1"/>
  <c r="D383" i="3" s="1"/>
  <c r="V47" i="1"/>
  <c r="D47" i="3" s="1"/>
  <c r="E47" i="4" s="1"/>
  <c r="E47" i="5" s="1"/>
  <c r="N48" i="2"/>
  <c r="N75" i="2" s="1"/>
  <c r="T61" i="6"/>
  <c r="K61" i="6"/>
  <c r="I61" i="4"/>
  <c r="I61" i="5" s="1"/>
  <c r="H61" i="4"/>
  <c r="H61" i="5" s="1"/>
  <c r="E245" i="4"/>
  <c r="E245" i="5" s="1"/>
  <c r="M171" i="6"/>
  <c r="V455" i="1"/>
  <c r="D455" i="3" s="1"/>
  <c r="S455" i="4" s="1"/>
  <c r="S455" i="5" s="1"/>
  <c r="J456" i="4"/>
  <c r="J456" i="5" s="1"/>
  <c r="V325" i="4"/>
  <c r="V325" i="5" s="1"/>
  <c r="V463" i="6"/>
  <c r="V260" i="6"/>
  <c r="V231" i="4"/>
  <c r="V231" i="5" s="1"/>
  <c r="T302" i="4"/>
  <c r="T302" i="5" s="1"/>
  <c r="T18" i="6"/>
  <c r="R467" i="6"/>
  <c r="R246" i="6"/>
  <c r="R229" i="6"/>
  <c r="R61" i="6"/>
  <c r="P265" i="4"/>
  <c r="P265" i="5" s="1"/>
  <c r="F332" i="6"/>
  <c r="F302" i="6"/>
  <c r="F40" i="6"/>
  <c r="S338" i="6"/>
  <c r="H338" i="6"/>
  <c r="D338" i="4"/>
  <c r="D338" i="5" s="1"/>
  <c r="G414" i="6"/>
  <c r="O183" i="6"/>
  <c r="R183" i="6"/>
  <c r="I183" i="6"/>
  <c r="S231" i="6"/>
  <c r="N242" i="6"/>
  <c r="P441" i="4"/>
  <c r="P441" i="5" s="1"/>
  <c r="M456" i="4"/>
  <c r="M456" i="5" s="1"/>
  <c r="I456" i="4"/>
  <c r="I456" i="5" s="1"/>
  <c r="L456" i="4"/>
  <c r="L456" i="5" s="1"/>
  <c r="E478" i="6"/>
  <c r="R478" i="6"/>
  <c r="N478" i="6"/>
  <c r="T45" i="6"/>
  <c r="V244" i="4"/>
  <c r="V244" i="5" s="1"/>
  <c r="G338" i="4"/>
  <c r="G338" i="5" s="1"/>
  <c r="P307" i="6"/>
  <c r="E138" i="4"/>
  <c r="E138" i="5" s="1"/>
  <c r="T238" i="3"/>
  <c r="V467" i="6"/>
  <c r="V256" i="4"/>
  <c r="V256" i="5" s="1"/>
  <c r="R299" i="6"/>
  <c r="H332" i="4"/>
  <c r="H332" i="5" s="1"/>
  <c r="H310" i="6"/>
  <c r="F329" i="4"/>
  <c r="F329" i="5" s="1"/>
  <c r="F231" i="4"/>
  <c r="F231" i="5" s="1"/>
  <c r="U98" i="4"/>
  <c r="U98" i="5" s="1"/>
  <c r="I138" i="4"/>
  <c r="I138" i="5" s="1"/>
  <c r="P312" i="4"/>
  <c r="P312" i="5" s="1"/>
  <c r="E312" i="6"/>
  <c r="G61" i="4"/>
  <c r="G61" i="5" s="1"/>
  <c r="I245" i="6"/>
  <c r="K171" i="4"/>
  <c r="K171" i="5" s="1"/>
  <c r="G56" i="6"/>
  <c r="E383" i="7"/>
  <c r="K126" i="4"/>
  <c r="K126" i="5" s="1"/>
  <c r="E98" i="4"/>
  <c r="E98" i="5" s="1"/>
  <c r="E332" i="6"/>
  <c r="I304" i="4"/>
  <c r="I304" i="5" s="1"/>
  <c r="I304" i="6"/>
  <c r="K77" i="6"/>
  <c r="K77" i="4"/>
  <c r="K77" i="5" s="1"/>
  <c r="K271" i="6"/>
  <c r="K271" i="4"/>
  <c r="K271" i="5" s="1"/>
  <c r="M288" i="6"/>
  <c r="M288" i="4"/>
  <c r="M288" i="5" s="1"/>
  <c r="M342" i="6"/>
  <c r="S96" i="4"/>
  <c r="S96" i="5" s="1"/>
  <c r="S235" i="4"/>
  <c r="S235" i="5" s="1"/>
  <c r="S235" i="6"/>
  <c r="U223" i="4"/>
  <c r="U223" i="5" s="1"/>
  <c r="U223" i="6"/>
  <c r="P290" i="4"/>
  <c r="P290" i="5" s="1"/>
  <c r="H290" i="6"/>
  <c r="V290" i="4"/>
  <c r="V290" i="5" s="1"/>
  <c r="J290" i="6"/>
  <c r="V290" i="6"/>
  <c r="R290" i="6"/>
  <c r="I290" i="4"/>
  <c r="I290" i="5" s="1"/>
  <c r="G290" i="4"/>
  <c r="G290" i="5" s="1"/>
  <c r="M290" i="4"/>
  <c r="M290" i="5" s="1"/>
  <c r="Q290" i="6"/>
  <c r="E290" i="4"/>
  <c r="E290" i="5" s="1"/>
  <c r="O290" i="6"/>
  <c r="L501" i="4"/>
  <c r="L501" i="5" s="1"/>
  <c r="J501" i="6"/>
  <c r="F501" i="6"/>
  <c r="K501" i="4"/>
  <c r="K501" i="5" s="1"/>
  <c r="J501" i="4"/>
  <c r="J501" i="5" s="1"/>
  <c r="R501" i="4"/>
  <c r="R501" i="5" s="1"/>
  <c r="D501" i="6"/>
  <c r="G501" i="6"/>
  <c r="M501" i="6"/>
  <c r="O501" i="6"/>
  <c r="O501" i="4"/>
  <c r="O501" i="5" s="1"/>
  <c r="Q501" i="4"/>
  <c r="Q501" i="5" s="1"/>
  <c r="S501" i="6"/>
  <c r="P509" i="4"/>
  <c r="P509" i="5" s="1"/>
  <c r="V509" i="6"/>
  <c r="L509" i="4"/>
  <c r="L509" i="5" s="1"/>
  <c r="N509" i="6"/>
  <c r="D509" i="6"/>
  <c r="P509" i="6"/>
  <c r="N509" i="4"/>
  <c r="N509" i="5" s="1"/>
  <c r="E509" i="6"/>
  <c r="S509" i="6"/>
  <c r="O509" i="4"/>
  <c r="O509" i="5" s="1"/>
  <c r="M509" i="6"/>
  <c r="H509" i="6"/>
  <c r="J509" i="4"/>
  <c r="J509" i="5" s="1"/>
  <c r="T509" i="4"/>
  <c r="T509" i="5" s="1"/>
  <c r="U509" i="6"/>
  <c r="I509" i="6"/>
  <c r="Q509" i="6"/>
  <c r="R513" i="4"/>
  <c r="R513" i="5" s="1"/>
  <c r="T513" i="6"/>
  <c r="Q513" i="4"/>
  <c r="Q513" i="5" s="1"/>
  <c r="F513" i="6"/>
  <c r="J513" i="6"/>
  <c r="D513" i="6"/>
  <c r="K513" i="6"/>
  <c r="J513" i="4"/>
  <c r="J513" i="5" s="1"/>
  <c r="P513" i="6"/>
  <c r="K513" i="4"/>
  <c r="K513" i="5" s="1"/>
  <c r="U513" i="4"/>
  <c r="U513" i="5" s="1"/>
  <c r="T513" i="4"/>
  <c r="T513" i="5" s="1"/>
  <c r="O513" i="6"/>
  <c r="O513" i="4"/>
  <c r="O513" i="5" s="1"/>
  <c r="M513" i="4"/>
  <c r="M513" i="5" s="1"/>
  <c r="N513" i="6"/>
  <c r="P525" i="6"/>
  <c r="J525" i="4"/>
  <c r="J525" i="5" s="1"/>
  <c r="J525" i="6"/>
  <c r="N525" i="6"/>
  <c r="E525" i="6"/>
  <c r="D525" i="6"/>
  <c r="M525" i="4"/>
  <c r="M525" i="5" s="1"/>
  <c r="G525" i="4"/>
  <c r="G525" i="5" s="1"/>
  <c r="K525" i="4"/>
  <c r="K525" i="5" s="1"/>
  <c r="D525" i="4"/>
  <c r="D525" i="5" s="1"/>
  <c r="T525" i="4"/>
  <c r="T525" i="5" s="1"/>
  <c r="U525" i="6"/>
  <c r="I525" i="4"/>
  <c r="I525" i="5" s="1"/>
  <c r="F525" i="4"/>
  <c r="F525" i="5" s="1"/>
  <c r="F525" i="6"/>
  <c r="K525" i="6"/>
  <c r="O525" i="4"/>
  <c r="O525" i="5" s="1"/>
  <c r="N529" i="6"/>
  <c r="T529" i="4"/>
  <c r="T529" i="5" s="1"/>
  <c r="D529" i="4"/>
  <c r="D529" i="5" s="1"/>
  <c r="G529" i="4"/>
  <c r="G529" i="5" s="1"/>
  <c r="J529" i="4"/>
  <c r="J529" i="5" s="1"/>
  <c r="K529" i="6"/>
  <c r="K529" i="4"/>
  <c r="K529" i="5" s="1"/>
  <c r="D529" i="6"/>
  <c r="G529" i="6"/>
  <c r="U529" i="6"/>
  <c r="H529" i="6"/>
  <c r="F529" i="4"/>
  <c r="F529" i="5" s="1"/>
  <c r="I529" i="6"/>
  <c r="M529" i="4"/>
  <c r="M529" i="5" s="1"/>
  <c r="J529" i="6"/>
  <c r="S312" i="4"/>
  <c r="S312" i="5" s="1"/>
  <c r="H43" i="6"/>
  <c r="K153" i="6"/>
  <c r="F171" i="4"/>
  <c r="F171" i="5" s="1"/>
  <c r="R70" i="2"/>
  <c r="T43" i="2"/>
  <c r="T70" i="2" s="1"/>
  <c r="L272" i="6"/>
  <c r="G302" i="6"/>
  <c r="M456" i="6"/>
  <c r="G342" i="6"/>
  <c r="Q221" i="4"/>
  <c r="Q221" i="5" s="1"/>
  <c r="D221" i="4"/>
  <c r="D221" i="5" s="1"/>
  <c r="K221" i="4"/>
  <c r="K221" i="5" s="1"/>
  <c r="N221" i="6"/>
  <c r="P221" i="6"/>
  <c r="O221" i="4"/>
  <c r="O221" i="5" s="1"/>
  <c r="T221" i="6"/>
  <c r="P221" i="4"/>
  <c r="P221" i="5" s="1"/>
  <c r="U221" i="4"/>
  <c r="U221" i="5" s="1"/>
  <c r="L221" i="6"/>
  <c r="E221" i="4"/>
  <c r="E221" i="5" s="1"/>
  <c r="U221" i="6"/>
  <c r="R221" i="4"/>
  <c r="R221" i="5" s="1"/>
  <c r="R221" i="6"/>
  <c r="R367" i="6"/>
  <c r="M367" i="6"/>
  <c r="M367" i="4"/>
  <c r="M367" i="5" s="1"/>
  <c r="Q367" i="6"/>
  <c r="O367" i="6"/>
  <c r="P367" i="6"/>
  <c r="L367" i="6"/>
  <c r="U367" i="6"/>
  <c r="T367" i="6"/>
  <c r="R367" i="4"/>
  <c r="R367" i="5" s="1"/>
  <c r="G367" i="6"/>
  <c r="L367" i="4"/>
  <c r="L367" i="5" s="1"/>
  <c r="D367" i="6"/>
  <c r="K308" i="6"/>
  <c r="M308" i="6"/>
  <c r="M308" i="4"/>
  <c r="M308" i="5" s="1"/>
  <c r="D308" i="4"/>
  <c r="D308" i="5" s="1"/>
  <c r="Q308" i="4"/>
  <c r="Q308" i="5" s="1"/>
  <c r="G308" i="4"/>
  <c r="G308" i="5" s="1"/>
  <c r="G308" i="6"/>
  <c r="F308" i="6"/>
  <c r="N308" i="6"/>
  <c r="J308" i="6"/>
  <c r="T308" i="6"/>
  <c r="H308" i="6"/>
  <c r="N308" i="4"/>
  <c r="N308" i="5" s="1"/>
  <c r="U308" i="6"/>
  <c r="D308" i="6"/>
  <c r="F308" i="4"/>
  <c r="F308" i="5" s="1"/>
  <c r="L308" i="4"/>
  <c r="L308" i="5" s="1"/>
  <c r="R308" i="6"/>
  <c r="R308" i="4"/>
  <c r="R308" i="5" s="1"/>
  <c r="V308" i="6"/>
  <c r="E308" i="6"/>
  <c r="K273" i="6"/>
  <c r="J273" i="4"/>
  <c r="J273" i="5" s="1"/>
  <c r="O273" i="4"/>
  <c r="O273" i="5" s="1"/>
  <c r="G273" i="4"/>
  <c r="G273" i="5" s="1"/>
  <c r="D273" i="4"/>
  <c r="D273" i="5" s="1"/>
  <c r="T273" i="4"/>
  <c r="T273" i="5" s="1"/>
  <c r="P273" i="4"/>
  <c r="P273" i="5" s="1"/>
  <c r="T273" i="6"/>
  <c r="D273" i="6"/>
  <c r="F273" i="6"/>
  <c r="T300" i="6"/>
  <c r="P188" i="4"/>
  <c r="P188" i="5" s="1"/>
  <c r="Q188" i="4"/>
  <c r="Q188" i="5" s="1"/>
  <c r="H188" i="4"/>
  <c r="H188" i="5" s="1"/>
  <c r="D452" i="6"/>
  <c r="I452" i="6"/>
  <c r="M452" i="6"/>
  <c r="E452" i="4"/>
  <c r="E452" i="5" s="1"/>
  <c r="E452" i="6"/>
  <c r="L452" i="4"/>
  <c r="L452" i="5" s="1"/>
  <c r="F452" i="4"/>
  <c r="F452" i="5" s="1"/>
  <c r="P452" i="4"/>
  <c r="P452" i="5" s="1"/>
  <c r="T452" i="4"/>
  <c r="T452" i="5" s="1"/>
  <c r="I309" i="6"/>
  <c r="H309" i="4"/>
  <c r="H309" i="5" s="1"/>
  <c r="J309" i="4"/>
  <c r="J309" i="5" s="1"/>
  <c r="F530" i="4"/>
  <c r="F530" i="5" s="1"/>
  <c r="M530" i="4"/>
  <c r="M530" i="5" s="1"/>
  <c r="D530" i="4"/>
  <c r="D530" i="5" s="1"/>
  <c r="E530" i="4"/>
  <c r="E530" i="5" s="1"/>
  <c r="I375" i="6"/>
  <c r="E375" i="6"/>
  <c r="L375" i="6"/>
  <c r="O375" i="6"/>
  <c r="H375" i="4"/>
  <c r="H375" i="5" s="1"/>
  <c r="G375" i="6"/>
  <c r="M375" i="4"/>
  <c r="M375" i="5" s="1"/>
  <c r="E152" i="4"/>
  <c r="E152" i="5" s="1"/>
  <c r="N152" i="4"/>
  <c r="N152" i="5" s="1"/>
  <c r="S272" i="4"/>
  <c r="S272" i="5" s="1"/>
  <c r="S342" i="6"/>
  <c r="V114" i="4"/>
  <c r="V114" i="5" s="1"/>
  <c r="Q215" i="3"/>
  <c r="P213" i="1"/>
  <c r="F44" i="2"/>
  <c r="F71" i="2" s="1"/>
  <c r="O238" i="3"/>
  <c r="N44" i="2"/>
  <c r="N71" i="2" s="1"/>
  <c r="O197" i="3"/>
  <c r="G387" i="7" s="1"/>
  <c r="K89" i="4"/>
  <c r="K89" i="5" s="1"/>
  <c r="H155" i="6"/>
  <c r="K155" i="4"/>
  <c r="K155" i="5" s="1"/>
  <c r="P155" i="4"/>
  <c r="P155" i="5" s="1"/>
  <c r="S155" i="4"/>
  <c r="S155" i="5" s="1"/>
  <c r="G155" i="4"/>
  <c r="G155" i="5" s="1"/>
  <c r="E155" i="6"/>
  <c r="E155" i="4"/>
  <c r="E155" i="5" s="1"/>
  <c r="O155" i="6"/>
  <c r="L155" i="6"/>
  <c r="R155" i="6"/>
  <c r="I155" i="4"/>
  <c r="I155" i="5" s="1"/>
  <c r="D155" i="4"/>
  <c r="D155" i="5" s="1"/>
  <c r="V155" i="6"/>
  <c r="I155" i="6"/>
  <c r="O155" i="4"/>
  <c r="O155" i="5" s="1"/>
  <c r="S155" i="6"/>
  <c r="H155" i="4"/>
  <c r="H155" i="5" s="1"/>
  <c r="Q155" i="6"/>
  <c r="M155" i="4"/>
  <c r="M155" i="5" s="1"/>
  <c r="T203" i="6"/>
  <c r="P203" i="6"/>
  <c r="L203" i="6"/>
  <c r="H203" i="6"/>
  <c r="T203" i="4"/>
  <c r="T203" i="5" s="1"/>
  <c r="P203" i="4"/>
  <c r="P203" i="5" s="1"/>
  <c r="L203" i="4"/>
  <c r="L203" i="5" s="1"/>
  <c r="U252" i="6"/>
  <c r="J252" i="4"/>
  <c r="J252" i="5" s="1"/>
  <c r="T252" i="6"/>
  <c r="G252" i="4"/>
  <c r="G252" i="5" s="1"/>
  <c r="N252" i="6"/>
  <c r="P252" i="4"/>
  <c r="P252" i="5" s="1"/>
  <c r="O252" i="6"/>
  <c r="P252" i="6"/>
  <c r="F252" i="4"/>
  <c r="F252" i="5" s="1"/>
  <c r="H252" i="4"/>
  <c r="H252" i="5" s="1"/>
  <c r="R252" i="4"/>
  <c r="R252" i="5" s="1"/>
  <c r="Q252" i="6"/>
  <c r="K252" i="4"/>
  <c r="K252" i="5" s="1"/>
  <c r="M252" i="6"/>
  <c r="K252" i="6"/>
  <c r="G252" i="6"/>
  <c r="I252" i="6"/>
  <c r="I252" i="4"/>
  <c r="I252" i="5" s="1"/>
  <c r="L252" i="6"/>
  <c r="R252" i="6"/>
  <c r="N252" i="4"/>
  <c r="N252" i="5" s="1"/>
  <c r="O252" i="4"/>
  <c r="O252" i="5" s="1"/>
  <c r="U252" i="4"/>
  <c r="U252" i="5" s="1"/>
  <c r="E252" i="6"/>
  <c r="V252" i="6"/>
  <c r="T252" i="4"/>
  <c r="T252" i="5" s="1"/>
  <c r="S252" i="6"/>
  <c r="V252" i="4"/>
  <c r="V252" i="5" s="1"/>
  <c r="F252" i="6"/>
  <c r="M252" i="4"/>
  <c r="M252" i="5" s="1"/>
  <c r="D252" i="4"/>
  <c r="D252" i="5" s="1"/>
  <c r="D252" i="6"/>
  <c r="Q252" i="4"/>
  <c r="Q252" i="5" s="1"/>
  <c r="H252" i="6"/>
  <c r="J252" i="6"/>
  <c r="E252" i="4"/>
  <c r="E252" i="5" s="1"/>
  <c r="L252" i="4"/>
  <c r="L252" i="5" s="1"/>
  <c r="S252" i="4"/>
  <c r="S252" i="5" s="1"/>
  <c r="P518" i="4"/>
  <c r="P518" i="5" s="1"/>
  <c r="I518" i="6"/>
  <c r="M518" i="6"/>
  <c r="P153" i="4"/>
  <c r="P153" i="5" s="1"/>
  <c r="L153" i="4"/>
  <c r="L153" i="5" s="1"/>
  <c r="G153" i="4"/>
  <c r="G153" i="5" s="1"/>
  <c r="T153" i="4"/>
  <c r="T153" i="5" s="1"/>
  <c r="J153" i="4"/>
  <c r="J153" i="5" s="1"/>
  <c r="F153" i="4"/>
  <c r="F153" i="5" s="1"/>
  <c r="V153" i="4"/>
  <c r="V153" i="5" s="1"/>
  <c r="M153" i="4"/>
  <c r="M153" i="5" s="1"/>
  <c r="S153" i="4"/>
  <c r="S153" i="5" s="1"/>
  <c r="U153" i="4"/>
  <c r="U153" i="5" s="1"/>
  <c r="U153" i="6"/>
  <c r="J94" i="4"/>
  <c r="J94" i="5" s="1"/>
  <c r="Q171" i="6"/>
  <c r="U308" i="4"/>
  <c r="U308" i="5" s="1"/>
  <c r="T308" i="4"/>
  <c r="T308" i="5" s="1"/>
  <c r="H173" i="4"/>
  <c r="H173" i="5" s="1"/>
  <c r="E139" i="4"/>
  <c r="E139" i="5" s="1"/>
  <c r="I418" i="4"/>
  <c r="I418" i="5" s="1"/>
  <c r="H337" i="6"/>
  <c r="I337" i="6"/>
  <c r="U301" i="4"/>
  <c r="U301" i="5" s="1"/>
  <c r="I351" i="4"/>
  <c r="I351" i="5" s="1"/>
  <c r="D351" i="6"/>
  <c r="O337" i="6"/>
  <c r="I337" i="4"/>
  <c r="I337" i="5" s="1"/>
  <c r="E337" i="4"/>
  <c r="E337" i="5" s="1"/>
  <c r="V337" i="4"/>
  <c r="V337" i="5" s="1"/>
  <c r="E425" i="4"/>
  <c r="E425" i="5" s="1"/>
  <c r="S425" i="4"/>
  <c r="S425" i="5" s="1"/>
  <c r="V425" i="4"/>
  <c r="V425" i="5" s="1"/>
  <c r="T260" i="4"/>
  <c r="T260" i="5" s="1"/>
  <c r="P418" i="4"/>
  <c r="P418" i="5" s="1"/>
  <c r="I139" i="4"/>
  <c r="I139" i="5" s="1"/>
  <c r="T139" i="4"/>
  <c r="T139" i="5" s="1"/>
  <c r="F139" i="6"/>
  <c r="U173" i="6"/>
  <c r="F56" i="4"/>
  <c r="F56" i="5" s="1"/>
  <c r="Q56" i="6"/>
  <c r="J530" i="4"/>
  <c r="J530" i="5" s="1"/>
  <c r="F530" i="6"/>
  <c r="K530" i="6"/>
  <c r="M530" i="6"/>
  <c r="L530" i="4"/>
  <c r="L530" i="5" s="1"/>
  <c r="S530" i="6"/>
  <c r="O530" i="4"/>
  <c r="O530" i="5" s="1"/>
  <c r="U530" i="6"/>
  <c r="I221" i="6"/>
  <c r="S221" i="4"/>
  <c r="S221" i="5" s="1"/>
  <c r="L221" i="4"/>
  <c r="L221" i="5" s="1"/>
  <c r="N221" i="4"/>
  <c r="N221" i="5" s="1"/>
  <c r="S308" i="4"/>
  <c r="S308" i="5" s="1"/>
  <c r="J308" i="4"/>
  <c r="J308" i="5" s="1"/>
  <c r="L308" i="6"/>
  <c r="K308" i="4"/>
  <c r="K308" i="5" s="1"/>
  <c r="P308" i="4"/>
  <c r="P308" i="5" s="1"/>
  <c r="J171" i="6"/>
  <c r="J171" i="4"/>
  <c r="J171" i="5" s="1"/>
  <c r="E171" i="6"/>
  <c r="E173" i="6"/>
  <c r="K173" i="6"/>
  <c r="N173" i="4"/>
  <c r="N173" i="5" s="1"/>
  <c r="J173" i="6"/>
  <c r="J173" i="4"/>
  <c r="J173" i="5" s="1"/>
  <c r="F173" i="6"/>
  <c r="R173" i="4"/>
  <c r="R173" i="5" s="1"/>
  <c r="V173" i="4"/>
  <c r="V173" i="5" s="1"/>
  <c r="L173" i="4"/>
  <c r="L173" i="5" s="1"/>
  <c r="M139" i="4"/>
  <c r="M139" i="5" s="1"/>
  <c r="O139" i="4"/>
  <c r="O139" i="5" s="1"/>
  <c r="E139" i="6"/>
  <c r="D139" i="4"/>
  <c r="D139" i="5" s="1"/>
  <c r="L139" i="6"/>
  <c r="F139" i="4"/>
  <c r="F139" i="5" s="1"/>
  <c r="J139" i="6"/>
  <c r="N139" i="4"/>
  <c r="N139" i="5" s="1"/>
  <c r="T418" i="6"/>
  <c r="E418" i="4"/>
  <c r="E418" i="5" s="1"/>
  <c r="G418" i="4"/>
  <c r="G418" i="5" s="1"/>
  <c r="J337" i="6"/>
  <c r="T337" i="4"/>
  <c r="T337" i="5" s="1"/>
  <c r="F337" i="4"/>
  <c r="F337" i="5" s="1"/>
  <c r="R337" i="6"/>
  <c r="K337" i="4"/>
  <c r="K337" i="5" s="1"/>
  <c r="E337" i="6"/>
  <c r="S337" i="4"/>
  <c r="S337" i="5" s="1"/>
  <c r="M337" i="4"/>
  <c r="M337" i="5" s="1"/>
  <c r="Q337" i="6"/>
  <c r="G337" i="6"/>
  <c r="M337" i="6"/>
  <c r="G337" i="4"/>
  <c r="G337" i="5" s="1"/>
  <c r="N337" i="4"/>
  <c r="N337" i="5" s="1"/>
  <c r="P337" i="6"/>
  <c r="N351" i="4"/>
  <c r="N351" i="5" s="1"/>
  <c r="S351" i="6"/>
  <c r="T351" i="6"/>
  <c r="Q351" i="4"/>
  <c r="Q351" i="5" s="1"/>
  <c r="M351" i="6"/>
  <c r="P301" i="4"/>
  <c r="P301" i="5" s="1"/>
  <c r="K301" i="4"/>
  <c r="K301" i="5" s="1"/>
  <c r="U301" i="6"/>
  <c r="S301" i="4"/>
  <c r="S301" i="5" s="1"/>
  <c r="O94" i="6"/>
  <c r="V94" i="4"/>
  <c r="V94" i="5" s="1"/>
  <c r="G145" i="4"/>
  <c r="G145" i="5" s="1"/>
  <c r="P145" i="6"/>
  <c r="R425" i="4"/>
  <c r="R425" i="5" s="1"/>
  <c r="N425" i="6"/>
  <c r="F425" i="4"/>
  <c r="F425" i="5" s="1"/>
  <c r="V425" i="6"/>
  <c r="O425" i="4"/>
  <c r="O425" i="5" s="1"/>
  <c r="G425" i="4"/>
  <c r="G425" i="5" s="1"/>
  <c r="M425" i="6"/>
  <c r="U425" i="6"/>
  <c r="M425" i="4"/>
  <c r="M425" i="5" s="1"/>
  <c r="P425" i="6"/>
  <c r="V383" i="3"/>
  <c r="V383" i="6" s="1"/>
  <c r="U381" i="1"/>
  <c r="J51" i="2" s="1"/>
  <c r="J78" i="2" s="1"/>
  <c r="L353" i="4"/>
  <c r="L353" i="5" s="1"/>
  <c r="K353" i="6"/>
  <c r="L353" i="6"/>
  <c r="S436" i="6"/>
  <c r="I436" i="4"/>
  <c r="I436" i="5" s="1"/>
  <c r="F436" i="4"/>
  <c r="F436" i="5" s="1"/>
  <c r="N436" i="6"/>
  <c r="G436" i="6"/>
  <c r="T436" i="6"/>
  <c r="H436" i="4"/>
  <c r="H436" i="5" s="1"/>
  <c r="I436" i="6"/>
  <c r="H201" i="6"/>
  <c r="L201" i="4"/>
  <c r="L201" i="5" s="1"/>
  <c r="O201" i="4"/>
  <c r="O201" i="5" s="1"/>
  <c r="U139" i="6"/>
  <c r="N134" i="6"/>
  <c r="J134" i="6"/>
  <c r="G134" i="6"/>
  <c r="I134" i="4"/>
  <c r="I134" i="5" s="1"/>
  <c r="V114" i="6"/>
  <c r="E114" i="6"/>
  <c r="M114" i="4"/>
  <c r="M114" i="5" s="1"/>
  <c r="J114" i="4"/>
  <c r="J114" i="5" s="1"/>
  <c r="J114" i="6"/>
  <c r="T114" i="4"/>
  <c r="T114" i="5" s="1"/>
  <c r="E324" i="6"/>
  <c r="H342" i="6"/>
  <c r="J342" i="4"/>
  <c r="J342" i="5" s="1"/>
  <c r="P342" i="6"/>
  <c r="G342" i="4"/>
  <c r="G342" i="5" s="1"/>
  <c r="D342" i="6"/>
  <c r="P342" i="4"/>
  <c r="P342" i="5" s="1"/>
  <c r="D304" i="6"/>
  <c r="E304" i="6"/>
  <c r="J304" i="6"/>
  <c r="R304" i="4"/>
  <c r="R304" i="5" s="1"/>
  <c r="K36" i="2"/>
  <c r="K63" i="2" s="1"/>
  <c r="G431" i="3"/>
  <c r="J45" i="2"/>
  <c r="J72" i="2" s="1"/>
  <c r="P381" i="3"/>
  <c r="T229" i="4"/>
  <c r="T229" i="5" s="1"/>
  <c r="K87" i="4"/>
  <c r="K87" i="5" s="1"/>
  <c r="V63" i="1"/>
  <c r="D63" i="3" s="1"/>
  <c r="V63" i="6" s="1"/>
  <c r="V148" i="1"/>
  <c r="E47" i="2"/>
  <c r="E74" i="2" s="1"/>
  <c r="R213" i="3"/>
  <c r="V209" i="4"/>
  <c r="V209" i="5" s="1"/>
  <c r="J209" i="6"/>
  <c r="N209" i="6"/>
  <c r="R209" i="4"/>
  <c r="R209" i="5" s="1"/>
  <c r="F209" i="4"/>
  <c r="F209" i="5" s="1"/>
  <c r="F209" i="6"/>
  <c r="N209" i="4"/>
  <c r="N209" i="5" s="1"/>
  <c r="Q75" i="6"/>
  <c r="E75" i="6"/>
  <c r="O75" i="6"/>
  <c r="I75" i="4"/>
  <c r="I75" i="5" s="1"/>
  <c r="J75" i="4"/>
  <c r="J75" i="5" s="1"/>
  <c r="N75" i="6"/>
  <c r="L75" i="6"/>
  <c r="V75" i="6"/>
  <c r="O75" i="4"/>
  <c r="O75" i="5" s="1"/>
  <c r="P75" i="6"/>
  <c r="K75" i="6"/>
  <c r="U75" i="6"/>
  <c r="D75" i="4"/>
  <c r="D75" i="5" s="1"/>
  <c r="T75" i="6"/>
  <c r="E75" i="4"/>
  <c r="E75" i="5" s="1"/>
  <c r="H75" i="4"/>
  <c r="H75" i="5" s="1"/>
  <c r="R75" i="4"/>
  <c r="R75" i="5" s="1"/>
  <c r="R51" i="6"/>
  <c r="I51" i="4"/>
  <c r="I51" i="5" s="1"/>
  <c r="I51" i="6"/>
  <c r="I39" i="4"/>
  <c r="I39" i="5" s="1"/>
  <c r="I39" i="6"/>
  <c r="H27" i="6"/>
  <c r="J27" i="6"/>
  <c r="T27" i="6"/>
  <c r="G27" i="6"/>
  <c r="I27" i="4"/>
  <c r="I27" i="5" s="1"/>
  <c r="G27" i="4"/>
  <c r="G27" i="5" s="1"/>
  <c r="H31" i="4"/>
  <c r="H31" i="5" s="1"/>
  <c r="I31" i="6"/>
  <c r="G31" i="6"/>
  <c r="F31" i="4"/>
  <c r="F31" i="5" s="1"/>
  <c r="H31" i="6"/>
  <c r="J31" i="4"/>
  <c r="J31" i="5" s="1"/>
  <c r="T31" i="6"/>
  <c r="F31" i="6"/>
  <c r="G31" i="4"/>
  <c r="G31" i="5" s="1"/>
  <c r="Q31" i="6"/>
  <c r="P211" i="6"/>
  <c r="L211" i="6"/>
  <c r="T211" i="4"/>
  <c r="T211" i="5" s="1"/>
  <c r="H211" i="6"/>
  <c r="L211" i="4"/>
  <c r="L211" i="5" s="1"/>
  <c r="K87" i="6"/>
  <c r="M173" i="4"/>
  <c r="M173" i="5" s="1"/>
  <c r="L173" i="6"/>
  <c r="D173" i="4"/>
  <c r="D173" i="5" s="1"/>
  <c r="P173" i="4"/>
  <c r="P173" i="5" s="1"/>
  <c r="E173" i="4"/>
  <c r="E173" i="5" s="1"/>
  <c r="V173" i="6"/>
  <c r="P173" i="6"/>
  <c r="L304" i="6"/>
  <c r="M304" i="6"/>
  <c r="R304" i="6"/>
  <c r="S304" i="6"/>
  <c r="K342" i="6"/>
  <c r="R342" i="6"/>
  <c r="Q342" i="6"/>
  <c r="I342" i="4"/>
  <c r="I342" i="5" s="1"/>
  <c r="N342" i="4"/>
  <c r="N342" i="5" s="1"/>
  <c r="H342" i="4"/>
  <c r="H342" i="5" s="1"/>
  <c r="U342" i="6"/>
  <c r="O342" i="4"/>
  <c r="O342" i="5" s="1"/>
  <c r="Q342" i="4"/>
  <c r="Q342" i="5" s="1"/>
  <c r="N342" i="6"/>
  <c r="V342" i="4"/>
  <c r="V342" i="5" s="1"/>
  <c r="L342" i="4"/>
  <c r="L342" i="5" s="1"/>
  <c r="R342" i="4"/>
  <c r="R342" i="5" s="1"/>
  <c r="Q221" i="6"/>
  <c r="M221" i="4"/>
  <c r="M221" i="5" s="1"/>
  <c r="D221" i="6"/>
  <c r="M221" i="6"/>
  <c r="K312" i="4"/>
  <c r="K312" i="5" s="1"/>
  <c r="R312" i="4"/>
  <c r="R312" i="5" s="1"/>
  <c r="V238" i="3"/>
  <c r="V35" i="1"/>
  <c r="D35" i="3" s="1"/>
  <c r="G35" i="4" s="1"/>
  <c r="G35" i="5" s="1"/>
  <c r="K91" i="4"/>
  <c r="K91" i="5" s="1"/>
  <c r="K63" i="6"/>
  <c r="U455" i="6"/>
  <c r="K126" i="6"/>
  <c r="S199" i="6"/>
  <c r="K91" i="6"/>
  <c r="I312" i="6"/>
  <c r="T312" i="6"/>
  <c r="O312" i="4"/>
  <c r="O312" i="5" s="1"/>
  <c r="S126" i="3"/>
  <c r="D498" i="7" a="1"/>
  <c r="E404" i="7"/>
  <c r="E396" i="7" s="1"/>
  <c r="S164" i="3"/>
  <c r="D377" i="7" s="1" a="1"/>
  <c r="D377" i="7" s="1"/>
  <c r="F377" i="7" s="1"/>
  <c r="D405" i="7"/>
  <c r="D397" i="7" s="1"/>
  <c r="L48" i="2"/>
  <c r="L75" i="2" s="1"/>
  <c r="S477" i="3"/>
  <c r="S433" i="3"/>
  <c r="R431" i="1"/>
  <c r="F86" i="6"/>
  <c r="U86" i="4"/>
  <c r="U86" i="5" s="1"/>
  <c r="D86" i="6"/>
  <c r="P86" i="6"/>
  <c r="T86" i="6"/>
  <c r="O86" i="4"/>
  <c r="O86" i="5" s="1"/>
  <c r="U86" i="6"/>
  <c r="P329" i="4"/>
  <c r="P329" i="5" s="1"/>
  <c r="D329" i="6"/>
  <c r="D329" i="4"/>
  <c r="D329" i="5" s="1"/>
  <c r="O329" i="4"/>
  <c r="O329" i="5" s="1"/>
  <c r="M329" i="4"/>
  <c r="M329" i="5" s="1"/>
  <c r="T329" i="4"/>
  <c r="T329" i="5" s="1"/>
  <c r="O329" i="6"/>
  <c r="N329" i="6"/>
  <c r="D152" i="4"/>
  <c r="D152" i="5" s="1"/>
  <c r="U152" i="4"/>
  <c r="U152" i="5" s="1"/>
  <c r="M152" i="4"/>
  <c r="M152" i="5" s="1"/>
  <c r="P152" i="6"/>
  <c r="J152" i="6"/>
  <c r="F152" i="6"/>
  <c r="Q152" i="4"/>
  <c r="Q152" i="5" s="1"/>
  <c r="Q152" i="6"/>
  <c r="L152" i="6"/>
  <c r="P152" i="4"/>
  <c r="P152" i="5" s="1"/>
  <c r="T418" i="4"/>
  <c r="T418" i="5" s="1"/>
  <c r="H418" i="6"/>
  <c r="V418" i="4"/>
  <c r="V418" i="5" s="1"/>
  <c r="K418" i="4"/>
  <c r="K418" i="5" s="1"/>
  <c r="Q418" i="6"/>
  <c r="O418" i="6"/>
  <c r="K418" i="6"/>
  <c r="V418" i="6"/>
  <c r="D418" i="6"/>
  <c r="Q418" i="4"/>
  <c r="Q418" i="5" s="1"/>
  <c r="I418" i="6"/>
  <c r="I478" i="6"/>
  <c r="K478" i="6"/>
  <c r="J478" i="4"/>
  <c r="J478" i="5" s="1"/>
  <c r="T478" i="6"/>
  <c r="K441" i="4"/>
  <c r="K441" i="5" s="1"/>
  <c r="Q328" i="6"/>
  <c r="V328" i="4"/>
  <c r="V328" i="5" s="1"/>
  <c r="S328" i="4"/>
  <c r="S328" i="5" s="1"/>
  <c r="H328" i="4"/>
  <c r="H328" i="5" s="1"/>
  <c r="S260" i="6"/>
  <c r="O260" i="6"/>
  <c r="L260" i="6"/>
  <c r="O260" i="4"/>
  <c r="O260" i="5" s="1"/>
  <c r="S183" i="4"/>
  <c r="S183" i="5" s="1"/>
  <c r="Q183" i="4"/>
  <c r="Q183" i="5" s="1"/>
  <c r="D183" i="6"/>
  <c r="U405" i="4"/>
  <c r="U405" i="5" s="1"/>
  <c r="G405" i="6"/>
  <c r="D405" i="4"/>
  <c r="D405" i="5" s="1"/>
  <c r="S405" i="4"/>
  <c r="S405" i="5" s="1"/>
  <c r="H405" i="4"/>
  <c r="H405" i="5" s="1"/>
  <c r="N405" i="6"/>
  <c r="L405" i="4"/>
  <c r="L405" i="5" s="1"/>
  <c r="T405" i="6"/>
  <c r="H405" i="6"/>
  <c r="N353" i="4"/>
  <c r="N353" i="5" s="1"/>
  <c r="F353" i="6"/>
  <c r="P353" i="6"/>
  <c r="H353" i="4"/>
  <c r="H353" i="5" s="1"/>
  <c r="O353" i="6"/>
  <c r="E353" i="4"/>
  <c r="E353" i="5" s="1"/>
  <c r="M353" i="4"/>
  <c r="M353" i="5" s="1"/>
  <c r="U353" i="4"/>
  <c r="U353" i="5" s="1"/>
  <c r="I353" i="6"/>
  <c r="M353" i="6"/>
  <c r="H324" i="4"/>
  <c r="H324" i="5" s="1"/>
  <c r="D324" i="4"/>
  <c r="D324" i="5" s="1"/>
  <c r="J324" i="4"/>
  <c r="J324" i="5" s="1"/>
  <c r="D324" i="6"/>
  <c r="F76" i="6"/>
  <c r="R76" i="6"/>
  <c r="H76" i="6"/>
  <c r="V76" i="4"/>
  <c r="V76" i="5" s="1"/>
  <c r="Q76" i="4"/>
  <c r="Q76" i="5" s="1"/>
  <c r="H76" i="4"/>
  <c r="H76" i="5" s="1"/>
  <c r="I76" i="4"/>
  <c r="I76" i="5" s="1"/>
  <c r="S76" i="6"/>
  <c r="G250" i="6"/>
  <c r="P250" i="6"/>
  <c r="D250" i="6"/>
  <c r="U250" i="4"/>
  <c r="U250" i="5" s="1"/>
  <c r="N250" i="6"/>
  <c r="H250" i="4"/>
  <c r="H250" i="5" s="1"/>
  <c r="V134" i="6"/>
  <c r="L134" i="4"/>
  <c r="L134" i="5" s="1"/>
  <c r="H134" i="4"/>
  <c r="H134" i="5" s="1"/>
  <c r="F134" i="4"/>
  <c r="F134" i="5" s="1"/>
  <c r="V134" i="4"/>
  <c r="V134" i="5" s="1"/>
  <c r="I134" i="6"/>
  <c r="E134" i="6"/>
  <c r="O229" i="4"/>
  <c r="O229" i="5" s="1"/>
  <c r="S229" i="6"/>
  <c r="Q86" i="4"/>
  <c r="Q86" i="5" s="1"/>
  <c r="L418" i="4"/>
  <c r="L418" i="5" s="1"/>
  <c r="U418" i="6"/>
  <c r="V183" i="6"/>
  <c r="O405" i="4"/>
  <c r="O405" i="5" s="1"/>
  <c r="K405" i="6"/>
  <c r="N405" i="4"/>
  <c r="N405" i="5" s="1"/>
  <c r="R405" i="4"/>
  <c r="R405" i="5" s="1"/>
  <c r="T353" i="4"/>
  <c r="T353" i="5" s="1"/>
  <c r="R353" i="4"/>
  <c r="R353" i="5" s="1"/>
  <c r="R353" i="6"/>
  <c r="S353" i="4"/>
  <c r="S353" i="5" s="1"/>
  <c r="E353" i="6"/>
  <c r="T324" i="6"/>
  <c r="E114" i="4"/>
  <c r="E114" i="5" s="1"/>
  <c r="M114" i="6"/>
  <c r="S114" i="4"/>
  <c r="S114" i="5" s="1"/>
  <c r="O114" i="6"/>
  <c r="K114" i="4"/>
  <c r="K114" i="5" s="1"/>
  <c r="R114" i="6"/>
  <c r="F114" i="4"/>
  <c r="F114" i="5" s="1"/>
  <c r="L114" i="4"/>
  <c r="L114" i="5" s="1"/>
  <c r="N114" i="4"/>
  <c r="N114" i="5" s="1"/>
  <c r="H114" i="6"/>
  <c r="R114" i="4"/>
  <c r="R114" i="5" s="1"/>
  <c r="J271" i="4"/>
  <c r="J271" i="5" s="1"/>
  <c r="E271" i="6"/>
  <c r="H271" i="6"/>
  <c r="T271" i="6"/>
  <c r="F271" i="4"/>
  <c r="F271" i="5" s="1"/>
  <c r="S271" i="4"/>
  <c r="S271" i="5" s="1"/>
  <c r="G271" i="6"/>
  <c r="U271" i="6"/>
  <c r="D313" i="6"/>
  <c r="J313" i="4"/>
  <c r="J313" i="5" s="1"/>
  <c r="H313" i="4"/>
  <c r="H313" i="5" s="1"/>
  <c r="H313" i="6"/>
  <c r="V313" i="6"/>
  <c r="Q313" i="6"/>
  <c r="E313" i="6"/>
  <c r="I313" i="4"/>
  <c r="I313" i="5" s="1"/>
  <c r="J272" i="6"/>
  <c r="J272" i="4"/>
  <c r="J272" i="5" s="1"/>
  <c r="P272" i="6"/>
  <c r="E272" i="6"/>
  <c r="Q272" i="6"/>
  <c r="O272" i="4"/>
  <c r="O272" i="5" s="1"/>
  <c r="L272" i="4"/>
  <c r="L272" i="5" s="1"/>
  <c r="H272" i="4"/>
  <c r="H272" i="5" s="1"/>
  <c r="O324" i="6"/>
  <c r="U324" i="4"/>
  <c r="U324" i="5" s="1"/>
  <c r="K324" i="6"/>
  <c r="I324" i="6"/>
  <c r="G324" i="4"/>
  <c r="G324" i="5" s="1"/>
  <c r="S324" i="4"/>
  <c r="S324" i="5" s="1"/>
  <c r="G353" i="6"/>
  <c r="I353" i="4"/>
  <c r="I353" i="5" s="1"/>
  <c r="D353" i="6"/>
  <c r="T353" i="6"/>
  <c r="P405" i="6"/>
  <c r="F405" i="4"/>
  <c r="F405" i="5" s="1"/>
  <c r="S405" i="6"/>
  <c r="G405" i="4"/>
  <c r="G405" i="5" s="1"/>
  <c r="F183" i="6"/>
  <c r="H260" i="4"/>
  <c r="H260" i="5" s="1"/>
  <c r="U328" i="4"/>
  <c r="U328" i="5" s="1"/>
  <c r="H328" i="6"/>
  <c r="O441" i="6"/>
  <c r="Q478" i="4"/>
  <c r="Q478" i="5" s="1"/>
  <c r="M418" i="4"/>
  <c r="M418" i="5" s="1"/>
  <c r="E418" i="6"/>
  <c r="S418" i="6"/>
  <c r="U418" i="4"/>
  <c r="U418" i="5" s="1"/>
  <c r="M418" i="6"/>
  <c r="L418" i="6"/>
  <c r="O152" i="4"/>
  <c r="O152" i="5" s="1"/>
  <c r="I152" i="4"/>
  <c r="I152" i="5" s="1"/>
  <c r="R152" i="6"/>
  <c r="I152" i="6"/>
  <c r="K152" i="4"/>
  <c r="K152" i="5" s="1"/>
  <c r="L329" i="4"/>
  <c r="L329" i="5" s="1"/>
  <c r="P329" i="6"/>
  <c r="J329" i="6"/>
  <c r="Q329" i="4"/>
  <c r="Q329" i="5" s="1"/>
  <c r="J86" i="4"/>
  <c r="J86" i="5" s="1"/>
  <c r="G86" i="6"/>
  <c r="K86" i="4"/>
  <c r="K86" i="5" s="1"/>
  <c r="G222" i="4"/>
  <c r="G222" i="5" s="1"/>
  <c r="S364" i="4"/>
  <c r="S364" i="5" s="1"/>
  <c r="K364" i="4"/>
  <c r="K364" i="5" s="1"/>
  <c r="S364" i="6"/>
  <c r="E364" i="6"/>
  <c r="U364" i="6"/>
  <c r="K364" i="6"/>
  <c r="D364" i="4"/>
  <c r="D364" i="5" s="1"/>
  <c r="Q364" i="6"/>
  <c r="I364" i="4"/>
  <c r="I364" i="5" s="1"/>
  <c r="Q364" i="4"/>
  <c r="Q364" i="5" s="1"/>
  <c r="P364" i="6"/>
  <c r="J364" i="4"/>
  <c r="J364" i="5" s="1"/>
  <c r="J364" i="6"/>
  <c r="R364" i="6"/>
  <c r="H364" i="6"/>
  <c r="L364" i="6"/>
  <c r="F364" i="4"/>
  <c r="F364" i="5" s="1"/>
  <c r="P364" i="4"/>
  <c r="P364" i="5" s="1"/>
  <c r="N364" i="4"/>
  <c r="N364" i="5" s="1"/>
  <c r="D364" i="6"/>
  <c r="M364" i="6"/>
  <c r="G364" i="4"/>
  <c r="G364" i="5" s="1"/>
  <c r="E364" i="4"/>
  <c r="E364" i="5" s="1"/>
  <c r="U364" i="4"/>
  <c r="U364" i="5" s="1"/>
  <c r="T364" i="6"/>
  <c r="L364" i="4"/>
  <c r="L364" i="5" s="1"/>
  <c r="H364" i="4"/>
  <c r="H364" i="5" s="1"/>
  <c r="F364" i="6"/>
  <c r="G364" i="6"/>
  <c r="O364" i="4"/>
  <c r="O364" i="5" s="1"/>
  <c r="O364" i="6"/>
  <c r="I364" i="6"/>
  <c r="M364" i="4"/>
  <c r="M364" i="5" s="1"/>
  <c r="V364" i="4"/>
  <c r="V364" i="5" s="1"/>
  <c r="R364" i="4"/>
  <c r="R364" i="5" s="1"/>
  <c r="T364" i="4"/>
  <c r="T364" i="5" s="1"/>
  <c r="N364" i="6"/>
  <c r="V364" i="6"/>
  <c r="N333" i="4"/>
  <c r="N333" i="5" s="1"/>
  <c r="K333" i="6"/>
  <c r="I333" i="6"/>
  <c r="U333" i="4"/>
  <c r="U333" i="5" s="1"/>
  <c r="Q333" i="4"/>
  <c r="Q333" i="5" s="1"/>
  <c r="J333" i="4"/>
  <c r="J333" i="5" s="1"/>
  <c r="V333" i="4"/>
  <c r="V333" i="5" s="1"/>
  <c r="D333" i="6"/>
  <c r="U333" i="6"/>
  <c r="F333" i="6"/>
  <c r="F333" i="4"/>
  <c r="F333" i="5" s="1"/>
  <c r="N333" i="6"/>
  <c r="M333" i="6"/>
  <c r="O333" i="4"/>
  <c r="O333" i="5" s="1"/>
  <c r="S333" i="4"/>
  <c r="S333" i="5" s="1"/>
  <c r="I333" i="4"/>
  <c r="I333" i="5" s="1"/>
  <c r="P333" i="4"/>
  <c r="P333" i="5" s="1"/>
  <c r="K333" i="4"/>
  <c r="K333" i="5" s="1"/>
  <c r="R333" i="4"/>
  <c r="R333" i="5" s="1"/>
  <c r="P333" i="6"/>
  <c r="Q333" i="6"/>
  <c r="R333" i="6"/>
  <c r="S333" i="6"/>
  <c r="T333" i="4"/>
  <c r="T333" i="5" s="1"/>
  <c r="E333" i="4"/>
  <c r="E333" i="5" s="1"/>
  <c r="G333" i="6"/>
  <c r="J333" i="6"/>
  <c r="T333" i="6"/>
  <c r="L333" i="4"/>
  <c r="L333" i="5" s="1"/>
  <c r="L333" i="6"/>
  <c r="E333" i="6"/>
  <c r="H333" i="4"/>
  <c r="H333" i="5" s="1"/>
  <c r="V333" i="6"/>
  <c r="M333" i="4"/>
  <c r="M333" i="5" s="1"/>
  <c r="D333" i="4"/>
  <c r="D333" i="5" s="1"/>
  <c r="G333" i="4"/>
  <c r="G333" i="5" s="1"/>
  <c r="O333" i="6"/>
  <c r="H333" i="6"/>
  <c r="T426" i="6"/>
  <c r="D426" i="6"/>
  <c r="P426" i="6"/>
  <c r="P426" i="4"/>
  <c r="P426" i="5" s="1"/>
  <c r="D426" i="4"/>
  <c r="D426" i="5" s="1"/>
  <c r="V426" i="4"/>
  <c r="V426" i="5" s="1"/>
  <c r="E426" i="4"/>
  <c r="E426" i="5" s="1"/>
  <c r="U426" i="6"/>
  <c r="G426" i="6"/>
  <c r="S426" i="6"/>
  <c r="Q426" i="4"/>
  <c r="Q426" i="5" s="1"/>
  <c r="O426" i="4"/>
  <c r="O426" i="5" s="1"/>
  <c r="M426" i="4"/>
  <c r="M426" i="5" s="1"/>
  <c r="K426" i="6"/>
  <c r="K426" i="4"/>
  <c r="K426" i="5" s="1"/>
  <c r="V426" i="6"/>
  <c r="H426" i="4"/>
  <c r="H426" i="5" s="1"/>
  <c r="T426" i="4"/>
  <c r="T426" i="5" s="1"/>
  <c r="I426" i="4"/>
  <c r="I426" i="5" s="1"/>
  <c r="O426" i="6"/>
  <c r="U426" i="4"/>
  <c r="U426" i="5" s="1"/>
  <c r="G426" i="4"/>
  <c r="G426" i="5" s="1"/>
  <c r="I426" i="6"/>
  <c r="H426" i="6"/>
  <c r="S426" i="4"/>
  <c r="S426" i="5" s="1"/>
  <c r="Q426" i="6"/>
  <c r="L426" i="6"/>
  <c r="L426" i="4"/>
  <c r="L426" i="5" s="1"/>
  <c r="E426" i="6"/>
  <c r="M426" i="6"/>
  <c r="D384" i="4"/>
  <c r="D384" i="5" s="1"/>
  <c r="I384" i="6"/>
  <c r="D384" i="6"/>
  <c r="T384" i="6"/>
  <c r="G384" i="4"/>
  <c r="G384" i="5" s="1"/>
  <c r="K384" i="6"/>
  <c r="I384" i="4"/>
  <c r="I384" i="5" s="1"/>
  <c r="F384" i="4"/>
  <c r="F384" i="5" s="1"/>
  <c r="U384" i="6"/>
  <c r="E384" i="6"/>
  <c r="H384" i="6"/>
  <c r="U384" i="4"/>
  <c r="U384" i="5" s="1"/>
  <c r="O384" i="4"/>
  <c r="O384" i="5" s="1"/>
  <c r="F384" i="6"/>
  <c r="K384" i="4"/>
  <c r="K384" i="5" s="1"/>
  <c r="T384" i="4"/>
  <c r="T384" i="5" s="1"/>
  <c r="J384" i="6"/>
  <c r="R384" i="6"/>
  <c r="H384" i="4"/>
  <c r="H384" i="5" s="1"/>
  <c r="Q384" i="6"/>
  <c r="L384" i="6"/>
  <c r="R384" i="4"/>
  <c r="R384" i="5" s="1"/>
  <c r="L384" i="4"/>
  <c r="L384" i="5" s="1"/>
  <c r="M384" i="6"/>
  <c r="P384" i="6"/>
  <c r="J384" i="4"/>
  <c r="J384" i="5" s="1"/>
  <c r="N384" i="4"/>
  <c r="N384" i="5" s="1"/>
  <c r="S384" i="6"/>
  <c r="P384" i="4"/>
  <c r="P384" i="5" s="1"/>
  <c r="M384" i="4"/>
  <c r="M384" i="5" s="1"/>
  <c r="V384" i="4"/>
  <c r="V384" i="5" s="1"/>
  <c r="E384" i="4"/>
  <c r="E384" i="5" s="1"/>
  <c r="Q384" i="4"/>
  <c r="Q384" i="5" s="1"/>
  <c r="O384" i="6"/>
  <c r="N384" i="6"/>
  <c r="G384" i="6"/>
  <c r="V384" i="6"/>
  <c r="S384" i="4"/>
  <c r="S384" i="5" s="1"/>
  <c r="U181" i="6"/>
  <c r="S181" i="6"/>
  <c r="G181" i="4"/>
  <c r="G181" i="5" s="1"/>
  <c r="Q181" i="6"/>
  <c r="O181" i="6"/>
  <c r="M181" i="6"/>
  <c r="S181" i="4"/>
  <c r="S181" i="5" s="1"/>
  <c r="N181" i="4"/>
  <c r="N181" i="5" s="1"/>
  <c r="K181" i="4"/>
  <c r="K181" i="5" s="1"/>
  <c r="J181" i="4"/>
  <c r="J181" i="5" s="1"/>
  <c r="J181" i="6"/>
  <c r="T181" i="6"/>
  <c r="L181" i="6"/>
  <c r="R181" i="4"/>
  <c r="R181" i="5" s="1"/>
  <c r="V181" i="6"/>
  <c r="R181" i="6"/>
  <c r="H181" i="4"/>
  <c r="H181" i="5" s="1"/>
  <c r="F181" i="4"/>
  <c r="F181" i="5" s="1"/>
  <c r="L181" i="4"/>
  <c r="L181" i="5" s="1"/>
  <c r="U181" i="4"/>
  <c r="U181" i="5" s="1"/>
  <c r="E181" i="4"/>
  <c r="E181" i="5" s="1"/>
  <c r="O181" i="4"/>
  <c r="O181" i="5" s="1"/>
  <c r="I181" i="4"/>
  <c r="I181" i="5" s="1"/>
  <c r="Q181" i="4"/>
  <c r="Q181" i="5" s="1"/>
  <c r="N181" i="6"/>
  <c r="P181" i="6"/>
  <c r="E181" i="6"/>
  <c r="T181" i="4"/>
  <c r="T181" i="5" s="1"/>
  <c r="I181" i="6"/>
  <c r="G181" i="6"/>
  <c r="F181" i="6"/>
  <c r="V181" i="4"/>
  <c r="V181" i="5" s="1"/>
  <c r="P181" i="4"/>
  <c r="P181" i="5" s="1"/>
  <c r="K181" i="6"/>
  <c r="M181" i="4"/>
  <c r="M181" i="5" s="1"/>
  <c r="D181" i="4"/>
  <c r="D181" i="5" s="1"/>
  <c r="H181" i="6"/>
  <c r="D181" i="6"/>
  <c r="H346" i="4"/>
  <c r="H346" i="5" s="1"/>
  <c r="P346" i="4"/>
  <c r="P346" i="5" s="1"/>
  <c r="D346" i="4"/>
  <c r="D346" i="5" s="1"/>
  <c r="T346" i="4"/>
  <c r="T346" i="5" s="1"/>
  <c r="N346" i="4"/>
  <c r="N346" i="5" s="1"/>
  <c r="R346" i="6"/>
  <c r="T346" i="6"/>
  <c r="H346" i="6"/>
  <c r="N346" i="6"/>
  <c r="L346" i="6"/>
  <c r="E346" i="4"/>
  <c r="E346" i="5" s="1"/>
  <c r="I346" i="4"/>
  <c r="I346" i="5" s="1"/>
  <c r="M346" i="4"/>
  <c r="M346" i="5" s="1"/>
  <c r="Q346" i="4"/>
  <c r="Q346" i="5" s="1"/>
  <c r="U346" i="4"/>
  <c r="U346" i="5" s="1"/>
  <c r="Q346" i="6"/>
  <c r="K346" i="6"/>
  <c r="M346" i="6"/>
  <c r="U346" i="6"/>
  <c r="R346" i="4"/>
  <c r="R346" i="5" s="1"/>
  <c r="L346" i="4"/>
  <c r="L346" i="5" s="1"/>
  <c r="V346" i="4"/>
  <c r="V346" i="5" s="1"/>
  <c r="D346" i="6"/>
  <c r="F346" i="6"/>
  <c r="G346" i="4"/>
  <c r="G346" i="5" s="1"/>
  <c r="O346" i="4"/>
  <c r="O346" i="5" s="1"/>
  <c r="I346" i="6"/>
  <c r="G346" i="6"/>
  <c r="E346" i="6"/>
  <c r="J346" i="4"/>
  <c r="J346" i="5" s="1"/>
  <c r="S346" i="4"/>
  <c r="S346" i="5" s="1"/>
  <c r="F346" i="4"/>
  <c r="F346" i="5" s="1"/>
  <c r="V346" i="6"/>
  <c r="K346" i="4"/>
  <c r="K346" i="5" s="1"/>
  <c r="S346" i="6"/>
  <c r="J346" i="6"/>
  <c r="P346" i="6"/>
  <c r="O346" i="6"/>
  <c r="K55" i="6"/>
  <c r="T55" i="4"/>
  <c r="T55" i="5" s="1"/>
  <c r="D55" i="6"/>
  <c r="H55" i="4"/>
  <c r="H55" i="5" s="1"/>
  <c r="D55" i="4"/>
  <c r="D55" i="5" s="1"/>
  <c r="J55" i="4"/>
  <c r="J55" i="5" s="1"/>
  <c r="T55" i="6"/>
  <c r="N55" i="4"/>
  <c r="N55" i="5" s="1"/>
  <c r="G55" i="4"/>
  <c r="G55" i="5" s="1"/>
  <c r="I55" i="6"/>
  <c r="Q55" i="6"/>
  <c r="I55" i="4"/>
  <c r="I55" i="5" s="1"/>
  <c r="Q55" i="4"/>
  <c r="Q55" i="5" s="1"/>
  <c r="K55" i="4"/>
  <c r="K55" i="5" s="1"/>
  <c r="S55" i="4"/>
  <c r="S55" i="5" s="1"/>
  <c r="M55" i="4"/>
  <c r="M55" i="5" s="1"/>
  <c r="H55" i="6"/>
  <c r="R55" i="4"/>
  <c r="R55" i="5" s="1"/>
  <c r="P55" i="4"/>
  <c r="P55" i="5" s="1"/>
  <c r="V55" i="4"/>
  <c r="V55" i="5" s="1"/>
  <c r="M55" i="6"/>
  <c r="U55" i="4"/>
  <c r="U55" i="5" s="1"/>
  <c r="O55" i="6"/>
  <c r="N55" i="6"/>
  <c r="P55" i="6"/>
  <c r="G55" i="6"/>
  <c r="S55" i="6"/>
  <c r="L55" i="6"/>
  <c r="L55" i="4"/>
  <c r="L55" i="5" s="1"/>
  <c r="J55" i="6"/>
  <c r="O55" i="4"/>
  <c r="O55" i="5" s="1"/>
  <c r="J186" i="4"/>
  <c r="J186" i="5" s="1"/>
  <c r="E186" i="6"/>
  <c r="E186" i="4"/>
  <c r="E186" i="5" s="1"/>
  <c r="T186" i="6"/>
  <c r="N186" i="4"/>
  <c r="N186" i="5" s="1"/>
  <c r="F172" i="6"/>
  <c r="E172" i="6"/>
  <c r="T172" i="6"/>
  <c r="T172" i="4"/>
  <c r="T172" i="5" s="1"/>
  <c r="F172" i="4"/>
  <c r="F172" i="5" s="1"/>
  <c r="R172" i="4"/>
  <c r="R172" i="5" s="1"/>
  <c r="P172" i="4"/>
  <c r="P172" i="5" s="1"/>
  <c r="J172" i="6"/>
  <c r="H172" i="6"/>
  <c r="M172" i="6"/>
  <c r="I172" i="4"/>
  <c r="I172" i="5" s="1"/>
  <c r="H172" i="4"/>
  <c r="H172" i="5" s="1"/>
  <c r="K172" i="6"/>
  <c r="S172" i="6"/>
  <c r="I172" i="6"/>
  <c r="Q172" i="4"/>
  <c r="Q172" i="5" s="1"/>
  <c r="K172" i="4"/>
  <c r="K172" i="5" s="1"/>
  <c r="S172" i="4"/>
  <c r="S172" i="5" s="1"/>
  <c r="G172" i="6"/>
  <c r="N172" i="6"/>
  <c r="J172" i="4"/>
  <c r="J172" i="5" s="1"/>
  <c r="V172" i="6"/>
  <c r="D172" i="6"/>
  <c r="P172" i="6"/>
  <c r="N172" i="4"/>
  <c r="N172" i="5" s="1"/>
  <c r="O172" i="4"/>
  <c r="O172" i="5" s="1"/>
  <c r="M172" i="4"/>
  <c r="M172" i="5" s="1"/>
  <c r="O172" i="6"/>
  <c r="Q172" i="6"/>
  <c r="L172" i="6"/>
  <c r="D172" i="4"/>
  <c r="D172" i="5" s="1"/>
  <c r="V172" i="4"/>
  <c r="V172" i="5" s="1"/>
  <c r="E172" i="4"/>
  <c r="E172" i="5" s="1"/>
  <c r="U172" i="6"/>
  <c r="R172" i="6"/>
  <c r="U172" i="4"/>
  <c r="U172" i="5" s="1"/>
  <c r="L172" i="4"/>
  <c r="L172" i="5" s="1"/>
  <c r="G172" i="4"/>
  <c r="G172" i="5" s="1"/>
  <c r="D60" i="6"/>
  <c r="T60" i="4"/>
  <c r="T60" i="5" s="1"/>
  <c r="P60" i="4"/>
  <c r="P60" i="5" s="1"/>
  <c r="L60" i="6"/>
  <c r="V60" i="6"/>
  <c r="V60" i="4"/>
  <c r="V60" i="5" s="1"/>
  <c r="U60" i="4"/>
  <c r="U60" i="5" s="1"/>
  <c r="E60" i="4"/>
  <c r="E60" i="5" s="1"/>
  <c r="L60" i="4"/>
  <c r="L60" i="5" s="1"/>
  <c r="U60" i="6"/>
  <c r="O60" i="4"/>
  <c r="O60" i="5" s="1"/>
  <c r="I60" i="6"/>
  <c r="O60" i="6"/>
  <c r="I60" i="4"/>
  <c r="I60" i="5" s="1"/>
  <c r="K60" i="4"/>
  <c r="K60" i="5" s="1"/>
  <c r="Q60" i="6"/>
  <c r="R60" i="6"/>
  <c r="N60" i="6"/>
  <c r="J60" i="4"/>
  <c r="J60" i="5" s="1"/>
  <c r="S60" i="6"/>
  <c r="N60" i="4"/>
  <c r="N60" i="5" s="1"/>
  <c r="M60" i="6"/>
  <c r="M60" i="4"/>
  <c r="M60" i="5" s="1"/>
  <c r="Q60" i="4"/>
  <c r="Q60" i="5" s="1"/>
  <c r="R60" i="4"/>
  <c r="R60" i="5" s="1"/>
  <c r="J60" i="6"/>
  <c r="F60" i="4"/>
  <c r="F60" i="5" s="1"/>
  <c r="S60" i="4"/>
  <c r="S60" i="5" s="1"/>
  <c r="G60" i="4"/>
  <c r="G60" i="5" s="1"/>
  <c r="D60" i="4"/>
  <c r="D60" i="5" s="1"/>
  <c r="F60" i="6"/>
  <c r="E60" i="6"/>
  <c r="G60" i="6"/>
  <c r="R396" i="4"/>
  <c r="R396" i="5" s="1"/>
  <c r="V396" i="6"/>
  <c r="J396" i="4"/>
  <c r="J396" i="5" s="1"/>
  <c r="H396" i="6"/>
  <c r="I396" i="6"/>
  <c r="M396" i="4"/>
  <c r="M396" i="5" s="1"/>
  <c r="F396" i="4"/>
  <c r="F396" i="5" s="1"/>
  <c r="F396" i="6"/>
  <c r="H396" i="4"/>
  <c r="H396" i="5" s="1"/>
  <c r="D232" i="4"/>
  <c r="D232" i="5" s="1"/>
  <c r="G232" i="6"/>
  <c r="R232" i="6"/>
  <c r="D246" i="6"/>
  <c r="Q246" i="6"/>
  <c r="S246" i="6"/>
  <c r="K246" i="4"/>
  <c r="K246" i="5" s="1"/>
  <c r="K246" i="6"/>
  <c r="E246" i="4"/>
  <c r="E246" i="5" s="1"/>
  <c r="O246" i="4"/>
  <c r="O246" i="5" s="1"/>
  <c r="U246" i="6"/>
  <c r="J246" i="6"/>
  <c r="P246" i="6"/>
  <c r="H246" i="4"/>
  <c r="H246" i="5" s="1"/>
  <c r="P246" i="4"/>
  <c r="P246" i="5" s="1"/>
  <c r="H246" i="6"/>
  <c r="N246" i="4"/>
  <c r="N246" i="5" s="1"/>
  <c r="I246" i="6"/>
  <c r="N246" i="6"/>
  <c r="G246" i="6"/>
  <c r="Q246" i="4"/>
  <c r="Q246" i="5" s="1"/>
  <c r="D246" i="4"/>
  <c r="D246" i="5" s="1"/>
  <c r="M246" i="6"/>
  <c r="J246" i="4"/>
  <c r="J246" i="5" s="1"/>
  <c r="L246" i="4"/>
  <c r="L246" i="5" s="1"/>
  <c r="L246" i="6"/>
  <c r="O246" i="6"/>
  <c r="F246" i="6"/>
  <c r="M246" i="4"/>
  <c r="M246" i="5" s="1"/>
  <c r="U246" i="4"/>
  <c r="U246" i="5" s="1"/>
  <c r="T246" i="6"/>
  <c r="E246" i="6"/>
  <c r="S246" i="4"/>
  <c r="S246" i="5" s="1"/>
  <c r="G246" i="4"/>
  <c r="G246" i="5" s="1"/>
  <c r="T246" i="4"/>
  <c r="T246" i="5" s="1"/>
  <c r="V246" i="6"/>
  <c r="I246" i="4"/>
  <c r="I246" i="5" s="1"/>
  <c r="I306" i="4"/>
  <c r="I306" i="5" s="1"/>
  <c r="E306" i="6"/>
  <c r="D306" i="6"/>
  <c r="S306" i="6"/>
  <c r="U306" i="4"/>
  <c r="U306" i="5" s="1"/>
  <c r="M306" i="6"/>
  <c r="K306" i="4"/>
  <c r="K306" i="5" s="1"/>
  <c r="S306" i="4"/>
  <c r="S306" i="5" s="1"/>
  <c r="O306" i="6"/>
  <c r="T306" i="4"/>
  <c r="T306" i="5" s="1"/>
  <c r="P306" i="4"/>
  <c r="P306" i="5" s="1"/>
  <c r="F306" i="4"/>
  <c r="F306" i="5" s="1"/>
  <c r="N306" i="4"/>
  <c r="N306" i="5" s="1"/>
  <c r="P306" i="6"/>
  <c r="J306" i="4"/>
  <c r="J306" i="5" s="1"/>
  <c r="L306" i="6"/>
  <c r="I306" i="6"/>
  <c r="Q306" i="4"/>
  <c r="Q306" i="5" s="1"/>
  <c r="K306" i="6"/>
  <c r="Q306" i="6"/>
  <c r="O306" i="4"/>
  <c r="O306" i="5" s="1"/>
  <c r="J306" i="6"/>
  <c r="V306" i="6"/>
  <c r="N306" i="6"/>
  <c r="T306" i="6"/>
  <c r="U306" i="6"/>
  <c r="G306" i="4"/>
  <c r="G306" i="5" s="1"/>
  <c r="F306" i="6"/>
  <c r="L306" i="4"/>
  <c r="L306" i="5" s="1"/>
  <c r="D306" i="4"/>
  <c r="D306" i="5" s="1"/>
  <c r="E306" i="4"/>
  <c r="E306" i="5" s="1"/>
  <c r="G306" i="6"/>
  <c r="H306" i="6"/>
  <c r="M306" i="4"/>
  <c r="M306" i="5" s="1"/>
  <c r="G305" i="4"/>
  <c r="G305" i="5" s="1"/>
  <c r="D305" i="4"/>
  <c r="D305" i="5" s="1"/>
  <c r="I305" i="4"/>
  <c r="I305" i="5" s="1"/>
  <c r="Q305" i="4"/>
  <c r="Q305" i="5" s="1"/>
  <c r="E305" i="6"/>
  <c r="U305" i="6"/>
  <c r="Q305" i="6"/>
  <c r="L305" i="4"/>
  <c r="L305" i="5" s="1"/>
  <c r="R305" i="4"/>
  <c r="R305" i="5" s="1"/>
  <c r="R305" i="6"/>
  <c r="O305" i="4"/>
  <c r="O305" i="5" s="1"/>
  <c r="H305" i="6"/>
  <c r="F305" i="4"/>
  <c r="F305" i="5" s="1"/>
  <c r="L305" i="6"/>
  <c r="J305" i="4"/>
  <c r="J305" i="5" s="1"/>
  <c r="G305" i="6"/>
  <c r="S305" i="4"/>
  <c r="S305" i="5" s="1"/>
  <c r="O305" i="6"/>
  <c r="E305" i="4"/>
  <c r="E305" i="5" s="1"/>
  <c r="U305" i="4"/>
  <c r="U305" i="5" s="1"/>
  <c r="I305" i="6"/>
  <c r="N305" i="6"/>
  <c r="T305" i="6"/>
  <c r="V305" i="4"/>
  <c r="V305" i="5" s="1"/>
  <c r="F305" i="6"/>
  <c r="N305" i="4"/>
  <c r="N305" i="5" s="1"/>
  <c r="M305" i="4"/>
  <c r="M305" i="5" s="1"/>
  <c r="P305" i="6"/>
  <c r="K305" i="6"/>
  <c r="K305" i="4"/>
  <c r="K305" i="5" s="1"/>
  <c r="D305" i="6"/>
  <c r="M305" i="6"/>
  <c r="V305" i="6"/>
  <c r="J305" i="6"/>
  <c r="S305" i="6"/>
  <c r="K244" i="4"/>
  <c r="K244" i="5" s="1"/>
  <c r="Q244" i="6"/>
  <c r="T244" i="6"/>
  <c r="J244" i="4"/>
  <c r="J244" i="5" s="1"/>
  <c r="S244" i="6"/>
  <c r="F244" i="6"/>
  <c r="E244" i="4"/>
  <c r="E244" i="5" s="1"/>
  <c r="J244" i="6"/>
  <c r="S457" i="4"/>
  <c r="S457" i="5" s="1"/>
  <c r="Q457" i="4"/>
  <c r="Q457" i="5" s="1"/>
  <c r="D457" i="4"/>
  <c r="D457" i="5" s="1"/>
  <c r="M457" i="4"/>
  <c r="M457" i="5" s="1"/>
  <c r="U457" i="6"/>
  <c r="L457" i="6"/>
  <c r="R457" i="4"/>
  <c r="R457" i="5" s="1"/>
  <c r="N457" i="4"/>
  <c r="N457" i="5" s="1"/>
  <c r="N457" i="6"/>
  <c r="I457" i="6"/>
  <c r="Q457" i="6"/>
  <c r="E457" i="4"/>
  <c r="E457" i="5" s="1"/>
  <c r="D457" i="6"/>
  <c r="S457" i="6"/>
  <c r="H457" i="6"/>
  <c r="P457" i="6"/>
  <c r="T457" i="6"/>
  <c r="J457" i="6"/>
  <c r="H457" i="4"/>
  <c r="H457" i="5" s="1"/>
  <c r="K457" i="6"/>
  <c r="O457" i="6"/>
  <c r="T457" i="4"/>
  <c r="T457" i="5" s="1"/>
  <c r="P457" i="4"/>
  <c r="P457" i="5" s="1"/>
  <c r="F457" i="6"/>
  <c r="K457" i="4"/>
  <c r="K457" i="5" s="1"/>
  <c r="M457" i="6"/>
  <c r="V457" i="6"/>
  <c r="L457" i="4"/>
  <c r="L457" i="5" s="1"/>
  <c r="U457" i="4"/>
  <c r="U457" i="5" s="1"/>
  <c r="V457" i="4"/>
  <c r="V457" i="5" s="1"/>
  <c r="I457" i="4"/>
  <c r="I457" i="5" s="1"/>
  <c r="G457" i="6"/>
  <c r="R457" i="6"/>
  <c r="G457" i="4"/>
  <c r="G457" i="5" s="1"/>
  <c r="E457" i="6"/>
  <c r="F457" i="4"/>
  <c r="F457" i="5" s="1"/>
  <c r="O457" i="4"/>
  <c r="O457" i="5" s="1"/>
  <c r="J457" i="4"/>
  <c r="J457" i="5" s="1"/>
  <c r="U74" i="6"/>
  <c r="D74" i="4"/>
  <c r="D74" i="5" s="1"/>
  <c r="Q74" i="6"/>
  <c r="G74" i="6"/>
  <c r="K74" i="6"/>
  <c r="K74" i="4"/>
  <c r="K74" i="5" s="1"/>
  <c r="E74" i="4"/>
  <c r="E74" i="5" s="1"/>
  <c r="D74" i="6"/>
  <c r="Q74" i="4"/>
  <c r="Q74" i="5" s="1"/>
  <c r="M74" i="4"/>
  <c r="M74" i="5" s="1"/>
  <c r="T74" i="4"/>
  <c r="T74" i="5" s="1"/>
  <c r="L74" i="6"/>
  <c r="L74" i="4"/>
  <c r="L74" i="5" s="1"/>
  <c r="V74" i="6"/>
  <c r="R74" i="4"/>
  <c r="R74" i="5" s="1"/>
  <c r="P74" i="4"/>
  <c r="P74" i="5" s="1"/>
  <c r="R74" i="6"/>
  <c r="N74" i="4"/>
  <c r="N74" i="5" s="1"/>
  <c r="T74" i="6"/>
  <c r="E74" i="6"/>
  <c r="O74" i="6"/>
  <c r="O74" i="4"/>
  <c r="O74" i="5" s="1"/>
  <c r="G74" i="4"/>
  <c r="G74" i="5" s="1"/>
  <c r="U74" i="4"/>
  <c r="U74" i="5" s="1"/>
  <c r="V74" i="4"/>
  <c r="V74" i="5" s="1"/>
  <c r="H74" i="6"/>
  <c r="H74" i="4"/>
  <c r="H74" i="5" s="1"/>
  <c r="F74" i="6"/>
  <c r="I74" i="6"/>
  <c r="S74" i="6"/>
  <c r="S74" i="4"/>
  <c r="S74" i="5" s="1"/>
  <c r="N74" i="6"/>
  <c r="P74" i="6"/>
  <c r="M74" i="6"/>
  <c r="I74" i="4"/>
  <c r="I74" i="5" s="1"/>
  <c r="J74" i="4"/>
  <c r="J74" i="5" s="1"/>
  <c r="J74" i="6"/>
  <c r="F74" i="4"/>
  <c r="F74" i="5" s="1"/>
  <c r="I96" i="6"/>
  <c r="K96" i="4"/>
  <c r="K96" i="5" s="1"/>
  <c r="O96" i="4"/>
  <c r="O96" i="5" s="1"/>
  <c r="U96" i="6"/>
  <c r="G96" i="4"/>
  <c r="G96" i="5" s="1"/>
  <c r="E96" i="4"/>
  <c r="E96" i="5" s="1"/>
  <c r="J96" i="6"/>
  <c r="E96" i="6"/>
  <c r="T96" i="6"/>
  <c r="F96" i="4"/>
  <c r="F96" i="5" s="1"/>
  <c r="L96" i="6"/>
  <c r="R96" i="4"/>
  <c r="R96" i="5" s="1"/>
  <c r="N96" i="4"/>
  <c r="N96" i="5" s="1"/>
  <c r="D96" i="6"/>
  <c r="F96" i="6"/>
  <c r="R96" i="6"/>
  <c r="Q96" i="6"/>
  <c r="H96" i="6"/>
  <c r="I96" i="4"/>
  <c r="I96" i="5" s="1"/>
  <c r="D96" i="4"/>
  <c r="D96" i="5" s="1"/>
  <c r="G96" i="6"/>
  <c r="M96" i="6"/>
  <c r="P96" i="4"/>
  <c r="P96" i="5" s="1"/>
  <c r="T96" i="4"/>
  <c r="T96" i="5" s="1"/>
  <c r="P96" i="6"/>
  <c r="M96" i="4"/>
  <c r="M96" i="5" s="1"/>
  <c r="O96" i="6"/>
  <c r="Q96" i="4"/>
  <c r="Q96" i="5" s="1"/>
  <c r="K96" i="6"/>
  <c r="J96" i="4"/>
  <c r="J96" i="5" s="1"/>
  <c r="L96" i="4"/>
  <c r="L96" i="5" s="1"/>
  <c r="V96" i="4"/>
  <c r="V96" i="5" s="1"/>
  <c r="H96" i="4"/>
  <c r="H96" i="5" s="1"/>
  <c r="U96" i="4"/>
  <c r="U96" i="5" s="1"/>
  <c r="V96" i="6"/>
  <c r="N96" i="6"/>
  <c r="E466" i="6"/>
  <c r="S466" i="6"/>
  <c r="G466" i="6"/>
  <c r="M466" i="6"/>
  <c r="Q466" i="6"/>
  <c r="L466" i="4"/>
  <c r="L466" i="5" s="1"/>
  <c r="E466" i="4"/>
  <c r="E466" i="5" s="1"/>
  <c r="I466" i="4"/>
  <c r="I466" i="5" s="1"/>
  <c r="J466" i="6"/>
  <c r="V466" i="4"/>
  <c r="V466" i="5" s="1"/>
  <c r="S466" i="4"/>
  <c r="S466" i="5" s="1"/>
  <c r="F466" i="6"/>
  <c r="H466" i="6"/>
  <c r="R466" i="4"/>
  <c r="R466" i="5" s="1"/>
  <c r="L466" i="6"/>
  <c r="N466" i="4"/>
  <c r="N466" i="5" s="1"/>
  <c r="T466" i="6"/>
  <c r="K466" i="4"/>
  <c r="K466" i="5" s="1"/>
  <c r="I466" i="6"/>
  <c r="U466" i="6"/>
  <c r="D466" i="4"/>
  <c r="D466" i="5" s="1"/>
  <c r="D466" i="6"/>
  <c r="O466" i="4"/>
  <c r="O466" i="5" s="1"/>
  <c r="F466" i="4"/>
  <c r="F466" i="5" s="1"/>
  <c r="G466" i="4"/>
  <c r="G466" i="5" s="1"/>
  <c r="N466" i="6"/>
  <c r="H466" i="4"/>
  <c r="H466" i="5" s="1"/>
  <c r="P466" i="6"/>
  <c r="Q466" i="4"/>
  <c r="Q466" i="5" s="1"/>
  <c r="O466" i="6"/>
  <c r="K466" i="6"/>
  <c r="P466" i="4"/>
  <c r="P466" i="5" s="1"/>
  <c r="J466" i="4"/>
  <c r="J466" i="5" s="1"/>
  <c r="M466" i="4"/>
  <c r="M466" i="5" s="1"/>
  <c r="V466" i="6"/>
  <c r="T466" i="4"/>
  <c r="T466" i="5" s="1"/>
  <c r="R466" i="6"/>
  <c r="U466" i="4"/>
  <c r="U466" i="5" s="1"/>
  <c r="U120" i="4"/>
  <c r="U120" i="5" s="1"/>
  <c r="Q120" i="6"/>
  <c r="K120" i="6"/>
  <c r="D120" i="6"/>
  <c r="M120" i="6"/>
  <c r="O120" i="6"/>
  <c r="Q120" i="4"/>
  <c r="Q120" i="5" s="1"/>
  <c r="I120" i="4"/>
  <c r="I120" i="5" s="1"/>
  <c r="O120" i="4"/>
  <c r="O120" i="5" s="1"/>
  <c r="G120" i="4"/>
  <c r="G120" i="5" s="1"/>
  <c r="H120" i="6"/>
  <c r="F120" i="6"/>
  <c r="P120" i="4"/>
  <c r="P120" i="5" s="1"/>
  <c r="V120" i="6"/>
  <c r="L120" i="4"/>
  <c r="L120" i="5" s="1"/>
  <c r="R120" i="4"/>
  <c r="R120" i="5" s="1"/>
  <c r="J120" i="6"/>
  <c r="T120" i="4"/>
  <c r="T120" i="5" s="1"/>
  <c r="N120" i="4"/>
  <c r="N120" i="5" s="1"/>
  <c r="S120" i="6"/>
  <c r="I120" i="6"/>
  <c r="E120" i="6"/>
  <c r="E120" i="4"/>
  <c r="E120" i="5" s="1"/>
  <c r="T120" i="6"/>
  <c r="H120" i="4"/>
  <c r="H120" i="5" s="1"/>
  <c r="R120" i="6"/>
  <c r="L120" i="6"/>
  <c r="F120" i="4"/>
  <c r="F120" i="5" s="1"/>
  <c r="U120" i="6"/>
  <c r="N120" i="6"/>
  <c r="S120" i="4"/>
  <c r="S120" i="5" s="1"/>
  <c r="D120" i="4"/>
  <c r="D120" i="5" s="1"/>
  <c r="G120" i="6"/>
  <c r="K120" i="4"/>
  <c r="K120" i="5" s="1"/>
  <c r="P120" i="6"/>
  <c r="J120" i="4"/>
  <c r="J120" i="5" s="1"/>
  <c r="M120" i="4"/>
  <c r="M120" i="5" s="1"/>
  <c r="V120" i="4"/>
  <c r="V120" i="5" s="1"/>
  <c r="O275" i="6"/>
  <c r="T275" i="4"/>
  <c r="T275" i="5" s="1"/>
  <c r="Q275" i="4"/>
  <c r="Q275" i="5" s="1"/>
  <c r="O265" i="4"/>
  <c r="O265" i="5" s="1"/>
  <c r="O265" i="6"/>
  <c r="M265" i="4"/>
  <c r="M265" i="5" s="1"/>
  <c r="E265" i="4"/>
  <c r="E265" i="5" s="1"/>
  <c r="I265" i="6"/>
  <c r="N265" i="4"/>
  <c r="N265" i="5" s="1"/>
  <c r="N265" i="6"/>
  <c r="L265" i="4"/>
  <c r="L265" i="5" s="1"/>
  <c r="J265" i="4"/>
  <c r="J265" i="5" s="1"/>
  <c r="F265" i="4"/>
  <c r="F265" i="5" s="1"/>
  <c r="V265" i="6"/>
  <c r="H265" i="4"/>
  <c r="H265" i="5" s="1"/>
  <c r="S265" i="6"/>
  <c r="S265" i="4"/>
  <c r="S265" i="5" s="1"/>
  <c r="E265" i="6"/>
  <c r="G265" i="6"/>
  <c r="K265" i="4"/>
  <c r="K265" i="5" s="1"/>
  <c r="I265" i="4"/>
  <c r="I265" i="5" s="1"/>
  <c r="H265" i="6"/>
  <c r="R265" i="4"/>
  <c r="R265" i="5" s="1"/>
  <c r="J265" i="6"/>
  <c r="F265" i="6"/>
  <c r="D265" i="4"/>
  <c r="D265" i="5" s="1"/>
  <c r="K265" i="6"/>
  <c r="U265" i="4"/>
  <c r="U265" i="5" s="1"/>
  <c r="R265" i="6"/>
  <c r="L265" i="6"/>
  <c r="U265" i="6"/>
  <c r="D265" i="6"/>
  <c r="V265" i="4"/>
  <c r="V265" i="5" s="1"/>
  <c r="G265" i="4"/>
  <c r="G265" i="5" s="1"/>
  <c r="M265" i="6"/>
  <c r="O82" i="4"/>
  <c r="O82" i="5" s="1"/>
  <c r="J82" i="4"/>
  <c r="J82" i="5" s="1"/>
  <c r="S82" i="4"/>
  <c r="S82" i="5" s="1"/>
  <c r="D82" i="6"/>
  <c r="M82" i="6"/>
  <c r="U82" i="6"/>
  <c r="O82" i="6"/>
  <c r="G82" i="4"/>
  <c r="G82" i="5" s="1"/>
  <c r="H82" i="4"/>
  <c r="H82" i="5" s="1"/>
  <c r="T82" i="4"/>
  <c r="T82" i="5" s="1"/>
  <c r="P82" i="6"/>
  <c r="U82" i="4"/>
  <c r="U82" i="5" s="1"/>
  <c r="N82" i="4"/>
  <c r="N82" i="5" s="1"/>
  <c r="F82" i="4"/>
  <c r="F82" i="5" s="1"/>
  <c r="V82" i="4"/>
  <c r="V82" i="5" s="1"/>
  <c r="J82" i="6"/>
  <c r="V82" i="6"/>
  <c r="R82" i="6"/>
  <c r="M82" i="4"/>
  <c r="M82" i="5" s="1"/>
  <c r="I82" i="4"/>
  <c r="I82" i="5" s="1"/>
  <c r="Q82" i="6"/>
  <c r="S82" i="6"/>
  <c r="H82" i="6"/>
  <c r="E82" i="6"/>
  <c r="L82" i="6"/>
  <c r="N82" i="6"/>
  <c r="F82" i="6"/>
  <c r="E82" i="4"/>
  <c r="E82" i="5" s="1"/>
  <c r="G82" i="6"/>
  <c r="T82" i="6"/>
  <c r="R82" i="4"/>
  <c r="R82" i="5" s="1"/>
  <c r="P82" i="4"/>
  <c r="P82" i="5" s="1"/>
  <c r="I82" i="6"/>
  <c r="Q82" i="4"/>
  <c r="Q82" i="5" s="1"/>
  <c r="D82" i="4"/>
  <c r="D82" i="5" s="1"/>
  <c r="L82" i="4"/>
  <c r="L82" i="5" s="1"/>
  <c r="G249" i="4"/>
  <c r="G249" i="5" s="1"/>
  <c r="V249" i="4"/>
  <c r="V249" i="5" s="1"/>
  <c r="L57" i="6"/>
  <c r="V57" i="4"/>
  <c r="V57" i="5" s="1"/>
  <c r="O57" i="6"/>
  <c r="F57" i="4"/>
  <c r="F57" i="5" s="1"/>
  <c r="L57" i="4"/>
  <c r="L57" i="5" s="1"/>
  <c r="M57" i="4"/>
  <c r="M57" i="5" s="1"/>
  <c r="L344" i="4"/>
  <c r="L344" i="5" s="1"/>
  <c r="D344" i="4"/>
  <c r="D344" i="5" s="1"/>
  <c r="H344" i="4"/>
  <c r="H344" i="5" s="1"/>
  <c r="J344" i="4"/>
  <c r="J344" i="5" s="1"/>
  <c r="D344" i="6"/>
  <c r="L344" i="6"/>
  <c r="T344" i="6"/>
  <c r="J344" i="6"/>
  <c r="R344" i="6"/>
  <c r="E344" i="4"/>
  <c r="E344" i="5" s="1"/>
  <c r="U344" i="4"/>
  <c r="U344" i="5" s="1"/>
  <c r="N344" i="4"/>
  <c r="N344" i="5" s="1"/>
  <c r="Q344" i="4"/>
  <c r="Q344" i="5" s="1"/>
  <c r="U344" i="6"/>
  <c r="E344" i="6"/>
  <c r="G344" i="6"/>
  <c r="I344" i="6"/>
  <c r="K344" i="4"/>
  <c r="K344" i="5" s="1"/>
  <c r="S344" i="6"/>
  <c r="F344" i="4"/>
  <c r="F344" i="5" s="1"/>
  <c r="R344" i="4"/>
  <c r="R344" i="5" s="1"/>
  <c r="P344" i="6"/>
  <c r="N344" i="6"/>
  <c r="M344" i="4"/>
  <c r="M344" i="5" s="1"/>
  <c r="I344" i="4"/>
  <c r="I344" i="5" s="1"/>
  <c r="O344" i="4"/>
  <c r="O344" i="5" s="1"/>
  <c r="S344" i="4"/>
  <c r="S344" i="5" s="1"/>
  <c r="K344" i="6"/>
  <c r="P344" i="4"/>
  <c r="P344" i="5" s="1"/>
  <c r="F344" i="6"/>
  <c r="T344" i="4"/>
  <c r="T344" i="5" s="1"/>
  <c r="O344" i="6"/>
  <c r="Q344" i="6"/>
  <c r="V344" i="4"/>
  <c r="V344" i="5" s="1"/>
  <c r="H344" i="6"/>
  <c r="V344" i="6"/>
  <c r="M344" i="6"/>
  <c r="G344" i="4"/>
  <c r="G344" i="5" s="1"/>
  <c r="M145" i="6"/>
  <c r="I145" i="6"/>
  <c r="H145" i="4"/>
  <c r="H145" i="5" s="1"/>
  <c r="R145" i="4"/>
  <c r="R145" i="5" s="1"/>
  <c r="R145" i="6"/>
  <c r="U145" i="6"/>
  <c r="N145" i="4"/>
  <c r="N145" i="5" s="1"/>
  <c r="G145" i="6"/>
  <c r="E145" i="6"/>
  <c r="I145" i="4"/>
  <c r="I145" i="5" s="1"/>
  <c r="L145" i="6"/>
  <c r="U390" i="4"/>
  <c r="U390" i="5" s="1"/>
  <c r="T390" i="4"/>
  <c r="T390" i="5" s="1"/>
  <c r="D390" i="4"/>
  <c r="D390" i="5" s="1"/>
  <c r="K43" i="4"/>
  <c r="K43" i="5" s="1"/>
  <c r="U43" i="6"/>
  <c r="J43" i="6"/>
  <c r="O43" i="4"/>
  <c r="O43" i="5" s="1"/>
  <c r="P43" i="6"/>
  <c r="R43" i="4"/>
  <c r="R43" i="5" s="1"/>
  <c r="U43" i="4"/>
  <c r="U43" i="5" s="1"/>
  <c r="J43" i="4"/>
  <c r="J43" i="5" s="1"/>
  <c r="E43" i="4"/>
  <c r="E43" i="5" s="1"/>
  <c r="O43" i="6"/>
  <c r="H43" i="4"/>
  <c r="H43" i="5" s="1"/>
  <c r="T43" i="6"/>
  <c r="Q43" i="4"/>
  <c r="Q43" i="5" s="1"/>
  <c r="F43" i="4"/>
  <c r="F43" i="5" s="1"/>
  <c r="D43" i="4"/>
  <c r="D43" i="5" s="1"/>
  <c r="D43" i="6"/>
  <c r="T43" i="4"/>
  <c r="T43" i="5" s="1"/>
  <c r="E270" i="6"/>
  <c r="Q270" i="6"/>
  <c r="K270" i="6"/>
  <c r="K270" i="4"/>
  <c r="K270" i="5" s="1"/>
  <c r="D270" i="6"/>
  <c r="G270" i="6"/>
  <c r="G270" i="4"/>
  <c r="G270" i="5" s="1"/>
  <c r="F270" i="6"/>
  <c r="H270" i="6"/>
  <c r="M270" i="6"/>
  <c r="V270" i="6"/>
  <c r="T270" i="6"/>
  <c r="I270" i="6"/>
  <c r="P270" i="4"/>
  <c r="P270" i="5" s="1"/>
  <c r="L270" i="6"/>
  <c r="J270" i="4"/>
  <c r="J270" i="5" s="1"/>
  <c r="H270" i="4"/>
  <c r="H270" i="5" s="1"/>
  <c r="J270" i="6"/>
  <c r="U270" i="6"/>
  <c r="D270" i="4"/>
  <c r="D270" i="5" s="1"/>
  <c r="S270" i="6"/>
  <c r="U270" i="4"/>
  <c r="U270" i="5" s="1"/>
  <c r="O270" i="4"/>
  <c r="O270" i="5" s="1"/>
  <c r="N270" i="4"/>
  <c r="N270" i="5" s="1"/>
  <c r="V270" i="4"/>
  <c r="V270" i="5" s="1"/>
  <c r="P270" i="6"/>
  <c r="L270" i="4"/>
  <c r="L270" i="5" s="1"/>
  <c r="N270" i="6"/>
  <c r="I270" i="4"/>
  <c r="I270" i="5" s="1"/>
  <c r="S270" i="4"/>
  <c r="S270" i="5" s="1"/>
  <c r="F270" i="4"/>
  <c r="F270" i="5" s="1"/>
  <c r="T270" i="4"/>
  <c r="T270" i="5" s="1"/>
  <c r="R270" i="4"/>
  <c r="R270" i="5" s="1"/>
  <c r="O270" i="6"/>
  <c r="Q270" i="4"/>
  <c r="Q270" i="5" s="1"/>
  <c r="E270" i="4"/>
  <c r="E270" i="5" s="1"/>
  <c r="R270" i="6"/>
  <c r="M270" i="4"/>
  <c r="M270" i="5" s="1"/>
  <c r="U121" i="6"/>
  <c r="E121" i="6"/>
  <c r="O121" i="6"/>
  <c r="O121" i="4"/>
  <c r="O121" i="5" s="1"/>
  <c r="M121" i="4"/>
  <c r="M121" i="5" s="1"/>
  <c r="D121" i="6"/>
  <c r="I121" i="6"/>
  <c r="G121" i="6"/>
  <c r="K121" i="4"/>
  <c r="K121" i="5" s="1"/>
  <c r="I121" i="4"/>
  <c r="I121" i="5" s="1"/>
  <c r="T121" i="6"/>
  <c r="V121" i="4"/>
  <c r="V121" i="5" s="1"/>
  <c r="N121" i="6"/>
  <c r="F121" i="6"/>
  <c r="P121" i="6"/>
  <c r="R121" i="4"/>
  <c r="R121" i="5" s="1"/>
  <c r="H121" i="6"/>
  <c r="L121" i="4"/>
  <c r="L121" i="5" s="1"/>
  <c r="N121" i="4"/>
  <c r="N121" i="5" s="1"/>
  <c r="M121" i="6"/>
  <c r="G121" i="4"/>
  <c r="G121" i="5" s="1"/>
  <c r="U121" i="4"/>
  <c r="U121" i="5" s="1"/>
  <c r="S121" i="6"/>
  <c r="S121" i="4"/>
  <c r="S121" i="5" s="1"/>
  <c r="L121" i="6"/>
  <c r="J121" i="4"/>
  <c r="J121" i="5" s="1"/>
  <c r="F121" i="4"/>
  <c r="F121" i="5" s="1"/>
  <c r="V121" i="6"/>
  <c r="J121" i="6"/>
  <c r="E121" i="4"/>
  <c r="E121" i="5" s="1"/>
  <c r="D121" i="4"/>
  <c r="D121" i="5" s="1"/>
  <c r="P121" i="4"/>
  <c r="P121" i="5" s="1"/>
  <c r="R121" i="6"/>
  <c r="K121" i="6"/>
  <c r="Q121" i="4"/>
  <c r="Q121" i="5" s="1"/>
  <c r="T121" i="4"/>
  <c r="T121" i="5" s="1"/>
  <c r="Q121" i="6"/>
  <c r="H121" i="4"/>
  <c r="H121" i="5" s="1"/>
  <c r="E322" i="4"/>
  <c r="E322" i="5" s="1"/>
  <c r="V322" i="6"/>
  <c r="I322" i="6"/>
  <c r="J322" i="4"/>
  <c r="J322" i="5" s="1"/>
  <c r="Q322" i="4"/>
  <c r="Q322" i="5" s="1"/>
  <c r="D322" i="6"/>
  <c r="O322" i="4"/>
  <c r="O322" i="5" s="1"/>
  <c r="L322" i="6"/>
  <c r="H322" i="6"/>
  <c r="V63" i="4"/>
  <c r="V63" i="5" s="1"/>
  <c r="G63" i="6"/>
  <c r="O413" i="6"/>
  <c r="J413" i="6"/>
  <c r="J413" i="4"/>
  <c r="J413" i="5" s="1"/>
  <c r="H413" i="6"/>
  <c r="V413" i="6"/>
  <c r="O413" i="4"/>
  <c r="O413" i="5" s="1"/>
  <c r="N413" i="4"/>
  <c r="N413" i="5" s="1"/>
  <c r="S413" i="4"/>
  <c r="S413" i="5" s="1"/>
  <c r="M413" i="4"/>
  <c r="M413" i="5" s="1"/>
  <c r="Q248" i="4"/>
  <c r="Q248" i="5" s="1"/>
  <c r="H248" i="4"/>
  <c r="H248" i="5" s="1"/>
  <c r="T248" i="4"/>
  <c r="T248" i="5" s="1"/>
  <c r="U248" i="6"/>
  <c r="P248" i="6"/>
  <c r="E248" i="6"/>
  <c r="G248" i="4"/>
  <c r="G248" i="5" s="1"/>
  <c r="S248" i="6"/>
  <c r="D177" i="6"/>
  <c r="Q177" i="6"/>
  <c r="S177" i="6"/>
  <c r="G177" i="6"/>
  <c r="U177" i="6"/>
  <c r="I177" i="6"/>
  <c r="U177" i="4"/>
  <c r="U177" i="5" s="1"/>
  <c r="S177" i="4"/>
  <c r="S177" i="5" s="1"/>
  <c r="I177" i="4"/>
  <c r="I177" i="5" s="1"/>
  <c r="H177" i="6"/>
  <c r="V177" i="6"/>
  <c r="P177" i="6"/>
  <c r="P177" i="4"/>
  <c r="P177" i="5" s="1"/>
  <c r="T177" i="4"/>
  <c r="T177" i="5" s="1"/>
  <c r="N177" i="4"/>
  <c r="N177" i="5" s="1"/>
  <c r="T177" i="6"/>
  <c r="H177" i="4"/>
  <c r="H177" i="5" s="1"/>
  <c r="L177" i="4"/>
  <c r="L177" i="5" s="1"/>
  <c r="O177" i="4"/>
  <c r="O177" i="5" s="1"/>
  <c r="Q177" i="4"/>
  <c r="Q177" i="5" s="1"/>
  <c r="E177" i="6"/>
  <c r="M177" i="6"/>
  <c r="D177" i="4"/>
  <c r="D177" i="5" s="1"/>
  <c r="K177" i="4"/>
  <c r="K177" i="5" s="1"/>
  <c r="N177" i="6"/>
  <c r="F177" i="6"/>
  <c r="F177" i="4"/>
  <c r="F177" i="5" s="1"/>
  <c r="J177" i="4"/>
  <c r="J177" i="5" s="1"/>
  <c r="J177" i="6"/>
  <c r="K177" i="6"/>
  <c r="M177" i="4"/>
  <c r="M177" i="5" s="1"/>
  <c r="E177" i="4"/>
  <c r="E177" i="5" s="1"/>
  <c r="R177" i="6"/>
  <c r="V177" i="4"/>
  <c r="V177" i="5" s="1"/>
  <c r="O177" i="6"/>
  <c r="G177" i="4"/>
  <c r="G177" i="5" s="1"/>
  <c r="L177" i="6"/>
  <c r="R177" i="4"/>
  <c r="R177" i="5" s="1"/>
  <c r="N14" i="6"/>
  <c r="U14" i="4"/>
  <c r="U14" i="5" s="1"/>
  <c r="N14" i="4"/>
  <c r="N14" i="5" s="1"/>
  <c r="L14" i="4"/>
  <c r="L14" i="5" s="1"/>
  <c r="I14" i="4"/>
  <c r="I14" i="5" s="1"/>
  <c r="O14" i="4"/>
  <c r="O14" i="5" s="1"/>
  <c r="G14" i="4"/>
  <c r="G14" i="5" s="1"/>
  <c r="Q14" i="4"/>
  <c r="Q14" i="5" s="1"/>
  <c r="K14" i="4"/>
  <c r="K14" i="5" s="1"/>
  <c r="Q14" i="6"/>
  <c r="J14" i="4"/>
  <c r="J14" i="5" s="1"/>
  <c r="L14" i="6"/>
  <c r="G14" i="6"/>
  <c r="E14" i="6"/>
  <c r="D14" i="4"/>
  <c r="D14" i="5" s="1"/>
  <c r="T14" i="6"/>
  <c r="K14" i="6"/>
  <c r="I14" i="6"/>
  <c r="R14" i="6"/>
  <c r="F14" i="6"/>
  <c r="E14" i="4"/>
  <c r="E14" i="5" s="1"/>
  <c r="H14" i="4"/>
  <c r="H14" i="5" s="1"/>
  <c r="P14" i="6"/>
  <c r="S14" i="6"/>
  <c r="V14" i="6"/>
  <c r="J14" i="6"/>
  <c r="O14" i="6"/>
  <c r="H14" i="6"/>
  <c r="M14" i="4"/>
  <c r="M14" i="5" s="1"/>
  <c r="F14" i="4"/>
  <c r="F14" i="5" s="1"/>
  <c r="T14" i="4"/>
  <c r="T14" i="5" s="1"/>
  <c r="R14" i="4"/>
  <c r="R14" i="5" s="1"/>
  <c r="V14" i="4"/>
  <c r="V14" i="5" s="1"/>
  <c r="D14" i="6"/>
  <c r="M14" i="6"/>
  <c r="P14" i="4"/>
  <c r="P14" i="5" s="1"/>
  <c r="U14" i="6"/>
  <c r="S14" i="4"/>
  <c r="S14" i="5" s="1"/>
  <c r="K472" i="6"/>
  <c r="L472" i="4"/>
  <c r="L472" i="5" s="1"/>
  <c r="T472" i="4"/>
  <c r="T472" i="5" s="1"/>
  <c r="G472" i="4"/>
  <c r="G472" i="5" s="1"/>
  <c r="Q472" i="6"/>
  <c r="K472" i="4"/>
  <c r="K472" i="5" s="1"/>
  <c r="P472" i="6"/>
  <c r="R472" i="4"/>
  <c r="R472" i="5" s="1"/>
  <c r="H339" i="4"/>
  <c r="H339" i="5" s="1"/>
  <c r="R339" i="4"/>
  <c r="R339" i="5" s="1"/>
  <c r="H339" i="6"/>
  <c r="N339" i="4"/>
  <c r="N339" i="5" s="1"/>
  <c r="L339" i="6"/>
  <c r="D339" i="6"/>
  <c r="V339" i="4"/>
  <c r="V339" i="5" s="1"/>
  <c r="R339" i="6"/>
  <c r="P339" i="6"/>
  <c r="S339" i="6"/>
  <c r="K339" i="4"/>
  <c r="K339" i="5" s="1"/>
  <c r="Q339" i="4"/>
  <c r="Q339" i="5" s="1"/>
  <c r="I339" i="4"/>
  <c r="I339" i="5" s="1"/>
  <c r="M339" i="4"/>
  <c r="M339" i="5" s="1"/>
  <c r="U339" i="6"/>
  <c r="O339" i="6"/>
  <c r="E339" i="6"/>
  <c r="S339" i="4"/>
  <c r="S339" i="5" s="1"/>
  <c r="J339" i="6"/>
  <c r="T339" i="6"/>
  <c r="V339" i="6"/>
  <c r="L339" i="4"/>
  <c r="L339" i="5" s="1"/>
  <c r="P339" i="4"/>
  <c r="P339" i="5" s="1"/>
  <c r="F339" i="4"/>
  <c r="F339" i="5" s="1"/>
  <c r="G339" i="4"/>
  <c r="G339" i="5" s="1"/>
  <c r="M339" i="6"/>
  <c r="T339" i="4"/>
  <c r="T339" i="5" s="1"/>
  <c r="I339" i="6"/>
  <c r="K339" i="6"/>
  <c r="E339" i="4"/>
  <c r="E339" i="5" s="1"/>
  <c r="O339" i="4"/>
  <c r="O339" i="5" s="1"/>
  <c r="F339" i="6"/>
  <c r="D339" i="4"/>
  <c r="D339" i="5" s="1"/>
  <c r="N339" i="6"/>
  <c r="U339" i="4"/>
  <c r="U339" i="5" s="1"/>
  <c r="Q339" i="6"/>
  <c r="G339" i="6"/>
  <c r="J339" i="4"/>
  <c r="J339" i="5" s="1"/>
  <c r="M419" i="6"/>
  <c r="T419" i="4"/>
  <c r="T419" i="5" s="1"/>
  <c r="U310" i="6"/>
  <c r="M310" i="6"/>
  <c r="I310" i="6"/>
  <c r="O310" i="4"/>
  <c r="O310" i="5" s="1"/>
  <c r="O310" i="6"/>
  <c r="E310" i="4"/>
  <c r="E310" i="5" s="1"/>
  <c r="Q310" i="6"/>
  <c r="K310" i="4"/>
  <c r="K310" i="5" s="1"/>
  <c r="K310" i="6"/>
  <c r="N310" i="4"/>
  <c r="N310" i="5" s="1"/>
  <c r="P310" i="4"/>
  <c r="P310" i="5" s="1"/>
  <c r="J310" i="6"/>
  <c r="J310" i="4"/>
  <c r="J310" i="5" s="1"/>
  <c r="F310" i="6"/>
  <c r="L310" i="6"/>
  <c r="E310" i="6"/>
  <c r="I310" i="4"/>
  <c r="I310" i="5" s="1"/>
  <c r="G310" i="6"/>
  <c r="L310" i="4"/>
  <c r="L310" i="5" s="1"/>
  <c r="N310" i="6"/>
  <c r="D310" i="4"/>
  <c r="D310" i="5" s="1"/>
  <c r="G310" i="4"/>
  <c r="G310" i="5" s="1"/>
  <c r="Q310" i="4"/>
  <c r="Q310" i="5" s="1"/>
  <c r="D310" i="6"/>
  <c r="S310" i="6"/>
  <c r="T310" i="4"/>
  <c r="T310" i="5" s="1"/>
  <c r="F310" i="4"/>
  <c r="F310" i="5" s="1"/>
  <c r="T310" i="6"/>
  <c r="M310" i="4"/>
  <c r="M310" i="5" s="1"/>
  <c r="U310" i="4"/>
  <c r="U310" i="5" s="1"/>
  <c r="S310" i="4"/>
  <c r="S310" i="5" s="1"/>
  <c r="P310" i="6"/>
  <c r="V188" i="6"/>
  <c r="N188" i="4"/>
  <c r="N188" i="5" s="1"/>
  <c r="K188" i="4"/>
  <c r="K188" i="5" s="1"/>
  <c r="I188" i="6"/>
  <c r="J188" i="6"/>
  <c r="D61" i="4"/>
  <c r="D61" i="5" s="1"/>
  <c r="O61" i="6"/>
  <c r="N61" i="6"/>
  <c r="D61" i="6"/>
  <c r="P422" i="4"/>
  <c r="P422" i="5" s="1"/>
  <c r="T422" i="6"/>
  <c r="V422" i="6"/>
  <c r="L422" i="4"/>
  <c r="L422" i="5" s="1"/>
  <c r="D422" i="6"/>
  <c r="I422" i="6"/>
  <c r="K422" i="6"/>
  <c r="S422" i="4"/>
  <c r="S422" i="5" s="1"/>
  <c r="N422" i="4"/>
  <c r="N422" i="5" s="1"/>
  <c r="U422" i="6"/>
  <c r="Q422" i="4"/>
  <c r="Q422" i="5" s="1"/>
  <c r="L422" i="6"/>
  <c r="H422" i="6"/>
  <c r="E422" i="6"/>
  <c r="M422" i="6"/>
  <c r="M422" i="4"/>
  <c r="M422" i="5" s="1"/>
  <c r="K422" i="4"/>
  <c r="K422" i="5" s="1"/>
  <c r="T422" i="4"/>
  <c r="T422" i="5" s="1"/>
  <c r="G422" i="4"/>
  <c r="G422" i="5" s="1"/>
  <c r="Q422" i="6"/>
  <c r="O422" i="6"/>
  <c r="J422" i="6"/>
  <c r="D422" i="4"/>
  <c r="D422" i="5" s="1"/>
  <c r="S422" i="6"/>
  <c r="I422" i="4"/>
  <c r="I422" i="5" s="1"/>
  <c r="E422" i="4"/>
  <c r="E422" i="5" s="1"/>
  <c r="V422" i="4"/>
  <c r="V422" i="5" s="1"/>
  <c r="O422" i="4"/>
  <c r="O422" i="5" s="1"/>
  <c r="G422" i="6"/>
  <c r="H422" i="4"/>
  <c r="H422" i="5" s="1"/>
  <c r="J422" i="4"/>
  <c r="J422" i="5" s="1"/>
  <c r="P422" i="6"/>
  <c r="U422" i="4"/>
  <c r="U422" i="5" s="1"/>
  <c r="O299" i="4"/>
  <c r="O299" i="5" s="1"/>
  <c r="J299" i="4"/>
  <c r="J299" i="5" s="1"/>
  <c r="V299" i="4"/>
  <c r="V299" i="5" s="1"/>
  <c r="P299" i="6"/>
  <c r="G299" i="6"/>
  <c r="L299" i="6"/>
  <c r="F299" i="4"/>
  <c r="F299" i="5" s="1"/>
  <c r="I299" i="4"/>
  <c r="I299" i="5" s="1"/>
  <c r="O191" i="4"/>
  <c r="O191" i="5" s="1"/>
  <c r="R191" i="6"/>
  <c r="K191" i="6"/>
  <c r="G191" i="6"/>
  <c r="D191" i="4"/>
  <c r="D191" i="5" s="1"/>
  <c r="K191" i="4"/>
  <c r="K191" i="5" s="1"/>
  <c r="I191" i="6"/>
  <c r="S191" i="6"/>
  <c r="O191" i="6"/>
  <c r="E191" i="4"/>
  <c r="E191" i="5" s="1"/>
  <c r="H191" i="6"/>
  <c r="F191" i="6"/>
  <c r="L191" i="6"/>
  <c r="R191" i="4"/>
  <c r="R191" i="5" s="1"/>
  <c r="V191" i="6"/>
  <c r="J191" i="6"/>
  <c r="N191" i="4"/>
  <c r="N191" i="5" s="1"/>
  <c r="H191" i="4"/>
  <c r="H191" i="5" s="1"/>
  <c r="S191" i="4"/>
  <c r="S191" i="5" s="1"/>
  <c r="Q191" i="6"/>
  <c r="E191" i="6"/>
  <c r="G191" i="4"/>
  <c r="G191" i="5" s="1"/>
  <c r="M191" i="6"/>
  <c r="M191" i="4"/>
  <c r="M191" i="5" s="1"/>
  <c r="N191" i="6"/>
  <c r="P191" i="4"/>
  <c r="P191" i="5" s="1"/>
  <c r="T191" i="6"/>
  <c r="F191" i="4"/>
  <c r="F191" i="5" s="1"/>
  <c r="Q191" i="4"/>
  <c r="Q191" i="5" s="1"/>
  <c r="P191" i="6"/>
  <c r="D191" i="6"/>
  <c r="U191" i="4"/>
  <c r="U191" i="5" s="1"/>
  <c r="T191" i="4"/>
  <c r="T191" i="5" s="1"/>
  <c r="V191" i="4"/>
  <c r="V191" i="5" s="1"/>
  <c r="I191" i="4"/>
  <c r="I191" i="5" s="1"/>
  <c r="U191" i="6"/>
  <c r="J191" i="4"/>
  <c r="J191" i="5" s="1"/>
  <c r="L191" i="4"/>
  <c r="L191" i="5" s="1"/>
  <c r="U69" i="4"/>
  <c r="U69" i="5" s="1"/>
  <c r="G69" i="4"/>
  <c r="G69" i="5" s="1"/>
  <c r="I69" i="4"/>
  <c r="I69" i="5" s="1"/>
  <c r="I69" i="6"/>
  <c r="Q69" i="6"/>
  <c r="D69" i="4"/>
  <c r="D69" i="5" s="1"/>
  <c r="D69" i="6"/>
  <c r="K69" i="6"/>
  <c r="S69" i="6"/>
  <c r="K69" i="4"/>
  <c r="K69" i="5" s="1"/>
  <c r="N69" i="6"/>
  <c r="N69" i="4"/>
  <c r="N69" i="5" s="1"/>
  <c r="H69" i="6"/>
  <c r="O69" i="4"/>
  <c r="O69" i="5" s="1"/>
  <c r="P69" i="6"/>
  <c r="J69" i="4"/>
  <c r="J69" i="5" s="1"/>
  <c r="V69" i="6"/>
  <c r="J69" i="6"/>
  <c r="P69" i="4"/>
  <c r="P69" i="5" s="1"/>
  <c r="H69" i="4"/>
  <c r="H69" i="5" s="1"/>
  <c r="S69" i="4"/>
  <c r="S69" i="5" s="1"/>
  <c r="M69" i="6"/>
  <c r="Q69" i="4"/>
  <c r="Q69" i="5" s="1"/>
  <c r="O69" i="6"/>
  <c r="T69" i="4"/>
  <c r="T69" i="5" s="1"/>
  <c r="V69" i="4"/>
  <c r="V69" i="5" s="1"/>
  <c r="M69" i="4"/>
  <c r="M69" i="5" s="1"/>
  <c r="F69" i="6"/>
  <c r="R69" i="6"/>
  <c r="R69" i="4"/>
  <c r="R69" i="5" s="1"/>
  <c r="U69" i="6"/>
  <c r="E69" i="4"/>
  <c r="E69" i="5" s="1"/>
  <c r="L69" i="6"/>
  <c r="L69" i="4"/>
  <c r="L69" i="5" s="1"/>
  <c r="E69" i="6"/>
  <c r="G69" i="6"/>
  <c r="T69" i="6"/>
  <c r="F69" i="4"/>
  <c r="F69" i="5" s="1"/>
  <c r="K450" i="4"/>
  <c r="K450" i="5" s="1"/>
  <c r="K450" i="6"/>
  <c r="Q450" i="6"/>
  <c r="D450" i="4"/>
  <c r="D450" i="5" s="1"/>
  <c r="G450" i="6"/>
  <c r="E450" i="4"/>
  <c r="E450" i="5" s="1"/>
  <c r="M450" i="4"/>
  <c r="M450" i="5" s="1"/>
  <c r="U450" i="4"/>
  <c r="U450" i="5" s="1"/>
  <c r="G450" i="4"/>
  <c r="G450" i="5" s="1"/>
  <c r="E450" i="6"/>
  <c r="L450" i="4"/>
  <c r="L450" i="5" s="1"/>
  <c r="V450" i="6"/>
  <c r="N450" i="6"/>
  <c r="J450" i="4"/>
  <c r="J450" i="5" s="1"/>
  <c r="R450" i="6"/>
  <c r="F450" i="4"/>
  <c r="F450" i="5" s="1"/>
  <c r="T450" i="4"/>
  <c r="T450" i="5" s="1"/>
  <c r="L450" i="6"/>
  <c r="N450" i="4"/>
  <c r="N450" i="5" s="1"/>
  <c r="D450" i="6"/>
  <c r="U450" i="6"/>
  <c r="O450" i="6"/>
  <c r="Q450" i="4"/>
  <c r="Q450" i="5" s="1"/>
  <c r="O450" i="4"/>
  <c r="O450" i="5" s="1"/>
  <c r="P450" i="4"/>
  <c r="P450" i="5" s="1"/>
  <c r="F450" i="6"/>
  <c r="V450" i="4"/>
  <c r="V450" i="5" s="1"/>
  <c r="T450" i="6"/>
  <c r="P450" i="6"/>
  <c r="M450" i="6"/>
  <c r="I450" i="6"/>
  <c r="H450" i="4"/>
  <c r="H450" i="5" s="1"/>
  <c r="J450" i="6"/>
  <c r="S450" i="6"/>
  <c r="I450" i="4"/>
  <c r="I450" i="5" s="1"/>
  <c r="S450" i="4"/>
  <c r="S450" i="5" s="1"/>
  <c r="R450" i="4"/>
  <c r="R450" i="5" s="1"/>
  <c r="H450" i="6"/>
  <c r="Q264" i="6"/>
  <c r="I264" i="6"/>
  <c r="U264" i="4"/>
  <c r="U264" i="5" s="1"/>
  <c r="M264" i="4"/>
  <c r="M264" i="5" s="1"/>
  <c r="E264" i="4"/>
  <c r="E264" i="5" s="1"/>
  <c r="D264" i="6"/>
  <c r="S264" i="6"/>
  <c r="K264" i="6"/>
  <c r="P264" i="4"/>
  <c r="P264" i="5" s="1"/>
  <c r="O264" i="4"/>
  <c r="O264" i="5" s="1"/>
  <c r="G264" i="4"/>
  <c r="G264" i="5" s="1"/>
  <c r="N264" i="4"/>
  <c r="N264" i="5" s="1"/>
  <c r="F264" i="4"/>
  <c r="F264" i="5" s="1"/>
  <c r="P264" i="6"/>
  <c r="H264" i="4"/>
  <c r="H264" i="5" s="1"/>
  <c r="N264" i="6"/>
  <c r="L264" i="4"/>
  <c r="L264" i="5" s="1"/>
  <c r="U264" i="6"/>
  <c r="E264" i="6"/>
  <c r="I264" i="4"/>
  <c r="I264" i="5" s="1"/>
  <c r="H264" i="6"/>
  <c r="G264" i="6"/>
  <c r="K264" i="4"/>
  <c r="K264" i="5" s="1"/>
  <c r="J264" i="6"/>
  <c r="L264" i="6"/>
  <c r="J264" i="4"/>
  <c r="J264" i="5" s="1"/>
  <c r="Q264" i="4"/>
  <c r="Q264" i="5" s="1"/>
  <c r="O264" i="6"/>
  <c r="R264" i="6"/>
  <c r="V264" i="6"/>
  <c r="M264" i="6"/>
  <c r="D264" i="4"/>
  <c r="D264" i="5" s="1"/>
  <c r="S264" i="4"/>
  <c r="S264" i="5" s="1"/>
  <c r="T264" i="6"/>
  <c r="T264" i="4"/>
  <c r="T264" i="5" s="1"/>
  <c r="P190" i="6"/>
  <c r="L190" i="4"/>
  <c r="L190" i="5" s="1"/>
  <c r="P190" i="4"/>
  <c r="P190" i="5" s="1"/>
  <c r="T190" i="4"/>
  <c r="T190" i="5" s="1"/>
  <c r="H190" i="4"/>
  <c r="H190" i="5" s="1"/>
  <c r="Q190" i="6"/>
  <c r="F190" i="6"/>
  <c r="R190" i="4"/>
  <c r="R190" i="5" s="1"/>
  <c r="N190" i="6"/>
  <c r="S190" i="6"/>
  <c r="H190" i="6"/>
  <c r="J190" i="4"/>
  <c r="J190" i="5" s="1"/>
  <c r="S190" i="4"/>
  <c r="S190" i="5" s="1"/>
  <c r="G190" i="4"/>
  <c r="G190" i="5" s="1"/>
  <c r="K190" i="6"/>
  <c r="M190" i="6"/>
  <c r="G190" i="6"/>
  <c r="K190" i="4"/>
  <c r="K190" i="5" s="1"/>
  <c r="Q190" i="4"/>
  <c r="Q190" i="5" s="1"/>
  <c r="N190" i="4"/>
  <c r="N190" i="5" s="1"/>
  <c r="V190" i="4"/>
  <c r="V190" i="5" s="1"/>
  <c r="M190" i="4"/>
  <c r="M190" i="5" s="1"/>
  <c r="R190" i="6"/>
  <c r="T190" i="6"/>
  <c r="V190" i="6"/>
  <c r="E190" i="6"/>
  <c r="U190" i="4"/>
  <c r="U190" i="5" s="1"/>
  <c r="I190" i="4"/>
  <c r="I190" i="5" s="1"/>
  <c r="L190" i="6"/>
  <c r="D190" i="4"/>
  <c r="D190" i="5" s="1"/>
  <c r="J190" i="6"/>
  <c r="D190" i="6"/>
  <c r="O190" i="6"/>
  <c r="F190" i="4"/>
  <c r="F190" i="5" s="1"/>
  <c r="O190" i="4"/>
  <c r="O190" i="5" s="1"/>
  <c r="E190" i="4"/>
  <c r="E190" i="5" s="1"/>
  <c r="I190" i="6"/>
  <c r="U190" i="6"/>
  <c r="R13" i="4"/>
  <c r="R13" i="5" s="1"/>
  <c r="M13" i="4"/>
  <c r="M13" i="5" s="1"/>
  <c r="O308" i="6"/>
  <c r="Q308" i="6"/>
  <c r="P308" i="6"/>
  <c r="I370" i="4"/>
  <c r="I370" i="5" s="1"/>
  <c r="U370" i="6"/>
  <c r="K370" i="6"/>
  <c r="G370" i="6"/>
  <c r="G370" i="4"/>
  <c r="G370" i="5" s="1"/>
  <c r="O370" i="4"/>
  <c r="O370" i="5" s="1"/>
  <c r="J370" i="4"/>
  <c r="J370" i="5" s="1"/>
  <c r="I370" i="6"/>
  <c r="U370" i="4"/>
  <c r="U370" i="5" s="1"/>
  <c r="Q370" i="6"/>
  <c r="L370" i="6"/>
  <c r="V370" i="6"/>
  <c r="J370" i="6"/>
  <c r="T370" i="6"/>
  <c r="T370" i="4"/>
  <c r="T370" i="5" s="1"/>
  <c r="R370" i="4"/>
  <c r="R370" i="5" s="1"/>
  <c r="H370" i="6"/>
  <c r="V370" i="4"/>
  <c r="V370" i="5" s="1"/>
  <c r="D370" i="6"/>
  <c r="O370" i="6"/>
  <c r="S370" i="4"/>
  <c r="S370" i="5" s="1"/>
  <c r="M370" i="4"/>
  <c r="M370" i="5" s="1"/>
  <c r="H370" i="4"/>
  <c r="H370" i="5" s="1"/>
  <c r="F370" i="6"/>
  <c r="R370" i="6"/>
  <c r="L370" i="4"/>
  <c r="L370" i="5" s="1"/>
  <c r="F370" i="4"/>
  <c r="F370" i="5" s="1"/>
  <c r="M370" i="6"/>
  <c r="K370" i="4"/>
  <c r="K370" i="5" s="1"/>
  <c r="S370" i="6"/>
  <c r="N370" i="6"/>
  <c r="N370" i="4"/>
  <c r="N370" i="5" s="1"/>
  <c r="Q370" i="4"/>
  <c r="Q370" i="5" s="1"/>
  <c r="D370" i="4"/>
  <c r="D370" i="5" s="1"/>
  <c r="P370" i="6"/>
  <c r="P370" i="4"/>
  <c r="P370" i="5" s="1"/>
  <c r="I298" i="6"/>
  <c r="Q298" i="4"/>
  <c r="Q298" i="5" s="1"/>
  <c r="D298" i="6"/>
  <c r="S298" i="6"/>
  <c r="I298" i="4"/>
  <c r="I298" i="5" s="1"/>
  <c r="U298" i="6"/>
  <c r="K298" i="4"/>
  <c r="K298" i="5" s="1"/>
  <c r="S298" i="4"/>
  <c r="S298" i="5" s="1"/>
  <c r="O298" i="6"/>
  <c r="V298" i="6"/>
  <c r="L298" i="4"/>
  <c r="L298" i="5" s="1"/>
  <c r="L298" i="6"/>
  <c r="N298" i="6"/>
  <c r="H298" i="6"/>
  <c r="R298" i="4"/>
  <c r="R298" i="5" s="1"/>
  <c r="H298" i="4"/>
  <c r="H298" i="5" s="1"/>
  <c r="U298" i="4"/>
  <c r="U298" i="5" s="1"/>
  <c r="E298" i="4"/>
  <c r="E298" i="5" s="1"/>
  <c r="M298" i="6"/>
  <c r="M298" i="4"/>
  <c r="M298" i="5" s="1"/>
  <c r="G298" i="4"/>
  <c r="G298" i="5" s="1"/>
  <c r="G298" i="6"/>
  <c r="F298" i="6"/>
  <c r="N298" i="4"/>
  <c r="N298" i="5" s="1"/>
  <c r="T298" i="6"/>
  <c r="T298" i="4"/>
  <c r="T298" i="5" s="1"/>
  <c r="D298" i="4"/>
  <c r="D298" i="5" s="1"/>
  <c r="E298" i="6"/>
  <c r="J298" i="6"/>
  <c r="V298" i="4"/>
  <c r="V298" i="5" s="1"/>
  <c r="Q298" i="6"/>
  <c r="K298" i="6"/>
  <c r="O298" i="4"/>
  <c r="O298" i="5" s="1"/>
  <c r="R298" i="6"/>
  <c r="J298" i="4"/>
  <c r="J298" i="5" s="1"/>
  <c r="L171" i="4"/>
  <c r="L171" i="5" s="1"/>
  <c r="N171" i="4"/>
  <c r="N171" i="5" s="1"/>
  <c r="K171" i="6"/>
  <c r="U171" i="4"/>
  <c r="U171" i="5" s="1"/>
  <c r="D171" i="4"/>
  <c r="D171" i="5" s="1"/>
  <c r="G171" i="4"/>
  <c r="G171" i="5" s="1"/>
  <c r="O171" i="4"/>
  <c r="O171" i="5" s="1"/>
  <c r="F58" i="4"/>
  <c r="F58" i="5" s="1"/>
  <c r="R58" i="6"/>
  <c r="J58" i="4"/>
  <c r="J58" i="5" s="1"/>
  <c r="M58" i="6"/>
  <c r="D58" i="6"/>
  <c r="S58" i="6"/>
  <c r="U58" i="4"/>
  <c r="U58" i="5" s="1"/>
  <c r="S58" i="4"/>
  <c r="S58" i="5" s="1"/>
  <c r="N58" i="6"/>
  <c r="V58" i="4"/>
  <c r="V58" i="5" s="1"/>
  <c r="T58" i="4"/>
  <c r="T58" i="5" s="1"/>
  <c r="Q58" i="4"/>
  <c r="Q58" i="5" s="1"/>
  <c r="L58" i="6"/>
  <c r="D58" i="4"/>
  <c r="D58" i="5" s="1"/>
  <c r="G58" i="4"/>
  <c r="G58" i="5" s="1"/>
  <c r="O58" i="6"/>
  <c r="H291" i="6"/>
  <c r="L291" i="6"/>
  <c r="N291" i="6"/>
  <c r="K291" i="6"/>
  <c r="G291" i="4"/>
  <c r="G291" i="5" s="1"/>
  <c r="E291" i="6"/>
  <c r="K291" i="4"/>
  <c r="K291" i="5" s="1"/>
  <c r="U291" i="6"/>
  <c r="P291" i="6"/>
  <c r="T291" i="6"/>
  <c r="O291" i="4"/>
  <c r="O291" i="5" s="1"/>
  <c r="I291" i="4"/>
  <c r="I291" i="5" s="1"/>
  <c r="S291" i="4"/>
  <c r="S291" i="5" s="1"/>
  <c r="R291" i="6"/>
  <c r="Q291" i="4"/>
  <c r="Q291" i="5" s="1"/>
  <c r="S291" i="6"/>
  <c r="T291" i="4"/>
  <c r="T291" i="5" s="1"/>
  <c r="O153" i="4"/>
  <c r="O153" i="5" s="1"/>
  <c r="M153" i="6"/>
  <c r="S153" i="6"/>
  <c r="Q153" i="6"/>
  <c r="Q153" i="4"/>
  <c r="Q153" i="5" s="1"/>
  <c r="H153" i="6"/>
  <c r="I153" i="4"/>
  <c r="I153" i="5" s="1"/>
  <c r="J153" i="6"/>
  <c r="E153" i="4"/>
  <c r="E153" i="5" s="1"/>
  <c r="G153" i="6"/>
  <c r="L153" i="6"/>
  <c r="D153" i="4"/>
  <c r="D153" i="5" s="1"/>
  <c r="T153" i="6"/>
  <c r="D153" i="6"/>
  <c r="F153" i="6"/>
  <c r="K452" i="6"/>
  <c r="G452" i="4"/>
  <c r="G452" i="5" s="1"/>
  <c r="K452" i="4"/>
  <c r="K452" i="5" s="1"/>
  <c r="M452" i="4"/>
  <c r="M452" i="5" s="1"/>
  <c r="J452" i="6"/>
  <c r="R452" i="4"/>
  <c r="R452" i="5" s="1"/>
  <c r="R452" i="6"/>
  <c r="T452" i="6"/>
  <c r="J452" i="4"/>
  <c r="J452" i="5" s="1"/>
  <c r="I452" i="4"/>
  <c r="I452" i="5" s="1"/>
  <c r="O452" i="6"/>
  <c r="F452" i="6"/>
  <c r="H452" i="4"/>
  <c r="H452" i="5" s="1"/>
  <c r="U452" i="6"/>
  <c r="H452" i="6"/>
  <c r="O452" i="4"/>
  <c r="O452" i="5" s="1"/>
  <c r="D452" i="4"/>
  <c r="D452" i="5" s="1"/>
  <c r="P452" i="6"/>
  <c r="O309" i="6"/>
  <c r="U309" i="4"/>
  <c r="U309" i="5" s="1"/>
  <c r="I309" i="4"/>
  <c r="I309" i="5" s="1"/>
  <c r="U309" i="6"/>
  <c r="J309" i="6"/>
  <c r="G309" i="6"/>
  <c r="V309" i="4"/>
  <c r="V309" i="5" s="1"/>
  <c r="N309" i="4"/>
  <c r="N309" i="5" s="1"/>
  <c r="R309" i="6"/>
  <c r="G309" i="4"/>
  <c r="G309" i="5" s="1"/>
  <c r="D309" i="6"/>
  <c r="S309" i="4"/>
  <c r="S309" i="5" s="1"/>
  <c r="Q309" i="6"/>
  <c r="N309" i="6"/>
  <c r="L309" i="6"/>
  <c r="F309" i="4"/>
  <c r="F309" i="5" s="1"/>
  <c r="K309" i="6"/>
  <c r="E309" i="6"/>
  <c r="R309" i="4"/>
  <c r="R309" i="5" s="1"/>
  <c r="O309" i="4"/>
  <c r="O309" i="5" s="1"/>
  <c r="E309" i="4"/>
  <c r="E309" i="5" s="1"/>
  <c r="P309" i="6"/>
  <c r="V309" i="6"/>
  <c r="N233" i="4"/>
  <c r="N233" i="5" s="1"/>
  <c r="P233" i="6"/>
  <c r="L233" i="4"/>
  <c r="L233" i="5" s="1"/>
  <c r="H233" i="4"/>
  <c r="H233" i="5" s="1"/>
  <c r="R233" i="4"/>
  <c r="R233" i="5" s="1"/>
  <c r="D233" i="6"/>
  <c r="L233" i="6"/>
  <c r="T233" i="6"/>
  <c r="K233" i="6"/>
  <c r="H233" i="6"/>
  <c r="J233" i="4"/>
  <c r="J233" i="5" s="1"/>
  <c r="T233" i="4"/>
  <c r="T233" i="5" s="1"/>
  <c r="F233" i="6"/>
  <c r="K233" i="4"/>
  <c r="K233" i="5" s="1"/>
  <c r="G233" i="6"/>
  <c r="E233" i="6"/>
  <c r="M233" i="4"/>
  <c r="M233" i="5" s="1"/>
  <c r="U233" i="4"/>
  <c r="U233" i="5" s="1"/>
  <c r="I233" i="4"/>
  <c r="I233" i="5" s="1"/>
  <c r="O233" i="4"/>
  <c r="O233" i="5" s="1"/>
  <c r="S233" i="6"/>
  <c r="D233" i="4"/>
  <c r="D233" i="5" s="1"/>
  <c r="J233" i="6"/>
  <c r="Q233" i="4"/>
  <c r="Q233" i="5" s="1"/>
  <c r="E233" i="4"/>
  <c r="E233" i="5" s="1"/>
  <c r="O233" i="6"/>
  <c r="M233" i="6"/>
  <c r="U233" i="6"/>
  <c r="P233" i="4"/>
  <c r="P233" i="5" s="1"/>
  <c r="G233" i="4"/>
  <c r="G233" i="5" s="1"/>
  <c r="Q233" i="6"/>
  <c r="I233" i="6"/>
  <c r="N233" i="6"/>
  <c r="S233" i="4"/>
  <c r="S233" i="5" s="1"/>
  <c r="O144" i="4"/>
  <c r="O144" i="5" s="1"/>
  <c r="H144" i="6"/>
  <c r="G144" i="6"/>
  <c r="R144" i="6"/>
  <c r="Q144" i="6"/>
  <c r="M144" i="6"/>
  <c r="J144" i="4"/>
  <c r="J144" i="5" s="1"/>
  <c r="L144" i="4"/>
  <c r="L144" i="5" s="1"/>
  <c r="N144" i="6"/>
  <c r="K144" i="4"/>
  <c r="K144" i="5" s="1"/>
  <c r="K144" i="6"/>
  <c r="S144" i="6"/>
  <c r="F144" i="4"/>
  <c r="F144" i="5" s="1"/>
  <c r="P144" i="6"/>
  <c r="U144" i="6"/>
  <c r="P144" i="4"/>
  <c r="P144" i="5" s="1"/>
  <c r="I144" i="6"/>
  <c r="S144" i="4"/>
  <c r="S144" i="5" s="1"/>
  <c r="F144" i="6"/>
  <c r="N52" i="4"/>
  <c r="N52" i="5" s="1"/>
  <c r="V52" i="4"/>
  <c r="V52" i="5" s="1"/>
  <c r="R52" i="4"/>
  <c r="R52" i="5" s="1"/>
  <c r="D52" i="6"/>
  <c r="F52" i="4"/>
  <c r="F52" i="5" s="1"/>
  <c r="J52" i="6"/>
  <c r="R52" i="6"/>
  <c r="S52" i="4"/>
  <c r="S52" i="5" s="1"/>
  <c r="O52" i="4"/>
  <c r="O52" i="5" s="1"/>
  <c r="K52" i="6"/>
  <c r="U52" i="4"/>
  <c r="U52" i="5" s="1"/>
  <c r="E52" i="4"/>
  <c r="E52" i="5" s="1"/>
  <c r="I52" i="6"/>
  <c r="M52" i="6"/>
  <c r="S52" i="6"/>
  <c r="D52" i="4"/>
  <c r="D52" i="5" s="1"/>
  <c r="L52" i="6"/>
  <c r="N52" i="6"/>
  <c r="Q52" i="4"/>
  <c r="Q52" i="5" s="1"/>
  <c r="I52" i="4"/>
  <c r="I52" i="5" s="1"/>
  <c r="E52" i="6"/>
  <c r="Q52" i="6"/>
  <c r="L52" i="4"/>
  <c r="L52" i="5" s="1"/>
  <c r="V52" i="6"/>
  <c r="U52" i="6"/>
  <c r="O52" i="6"/>
  <c r="J52" i="4"/>
  <c r="J52" i="5" s="1"/>
  <c r="M52" i="4"/>
  <c r="M52" i="5" s="1"/>
  <c r="F52" i="6"/>
  <c r="K52" i="4"/>
  <c r="K52" i="5" s="1"/>
  <c r="V227" i="6"/>
  <c r="F227" i="6"/>
  <c r="U227" i="6"/>
  <c r="I227" i="6"/>
  <c r="O227" i="4"/>
  <c r="O227" i="5" s="1"/>
  <c r="D227" i="6"/>
  <c r="L227" i="6"/>
  <c r="R227" i="6"/>
  <c r="R227" i="4"/>
  <c r="R227" i="5" s="1"/>
  <c r="P227" i="4"/>
  <c r="P227" i="5" s="1"/>
  <c r="G227" i="6"/>
  <c r="O227" i="6"/>
  <c r="D227" i="4"/>
  <c r="D227" i="5" s="1"/>
  <c r="I227" i="4"/>
  <c r="I227" i="5" s="1"/>
  <c r="J227" i="6"/>
  <c r="F227" i="4"/>
  <c r="F227" i="5" s="1"/>
  <c r="N227" i="6"/>
  <c r="L227" i="4"/>
  <c r="L227" i="5" s="1"/>
  <c r="T227" i="6"/>
  <c r="S227" i="6"/>
  <c r="Q227" i="4"/>
  <c r="Q227" i="5" s="1"/>
  <c r="E227" i="4"/>
  <c r="E227" i="5" s="1"/>
  <c r="J227" i="4"/>
  <c r="J227" i="5" s="1"/>
  <c r="M227" i="6"/>
  <c r="G227" i="4"/>
  <c r="G227" i="5" s="1"/>
  <c r="U227" i="4"/>
  <c r="U227" i="5" s="1"/>
  <c r="V227" i="4"/>
  <c r="V227" i="5" s="1"/>
  <c r="N227" i="4"/>
  <c r="N227" i="5" s="1"/>
  <c r="M227" i="4"/>
  <c r="M227" i="5" s="1"/>
  <c r="H227" i="4"/>
  <c r="H227" i="5" s="1"/>
  <c r="E227" i="6"/>
  <c r="H227" i="6"/>
  <c r="K227" i="6"/>
  <c r="P227" i="6"/>
  <c r="Q227" i="6"/>
  <c r="T227" i="4"/>
  <c r="T227" i="5" s="1"/>
  <c r="J12" i="6"/>
  <c r="N12" i="4"/>
  <c r="N12" i="5" s="1"/>
  <c r="L12" i="6"/>
  <c r="H12" i="4"/>
  <c r="H12" i="5" s="1"/>
  <c r="K12" i="4"/>
  <c r="K12" i="5" s="1"/>
  <c r="O12" i="6"/>
  <c r="S12" i="4"/>
  <c r="S12" i="5" s="1"/>
  <c r="T12" i="4"/>
  <c r="T12" i="5" s="1"/>
  <c r="L12" i="4"/>
  <c r="L12" i="5" s="1"/>
  <c r="D12" i="4"/>
  <c r="D12" i="5" s="1"/>
  <c r="K12" i="6"/>
  <c r="M12" i="6"/>
  <c r="U12" i="4"/>
  <c r="U12" i="5" s="1"/>
  <c r="F12" i="6"/>
  <c r="I12" i="6"/>
  <c r="H12" i="6"/>
  <c r="I12" i="4"/>
  <c r="I12" i="5" s="1"/>
  <c r="P12" i="6"/>
  <c r="F12" i="4"/>
  <c r="F12" i="5" s="1"/>
  <c r="U12" i="6"/>
  <c r="J12" i="4"/>
  <c r="J12" i="5" s="1"/>
  <c r="N12" i="6"/>
  <c r="O12" i="4"/>
  <c r="O12" i="5" s="1"/>
  <c r="P12" i="4"/>
  <c r="P12" i="5" s="1"/>
  <c r="M12" i="4"/>
  <c r="M12" i="5" s="1"/>
  <c r="J538" i="4"/>
  <c r="J538" i="5" s="1"/>
  <c r="H538" i="6"/>
  <c r="V538" i="4"/>
  <c r="V538" i="5" s="1"/>
  <c r="F538" i="6"/>
  <c r="E538" i="6"/>
  <c r="K538" i="6"/>
  <c r="L538" i="4"/>
  <c r="L538" i="5" s="1"/>
  <c r="P538" i="6"/>
  <c r="R538" i="4"/>
  <c r="R538" i="5" s="1"/>
  <c r="E538" i="4"/>
  <c r="E538" i="5" s="1"/>
  <c r="I538" i="4"/>
  <c r="I538" i="5" s="1"/>
  <c r="M538" i="4"/>
  <c r="M538" i="5" s="1"/>
  <c r="Q538" i="4"/>
  <c r="Q538" i="5" s="1"/>
  <c r="U538" i="4"/>
  <c r="U538" i="5" s="1"/>
  <c r="O538" i="6"/>
  <c r="S538" i="6"/>
  <c r="J538" i="6"/>
  <c r="G538" i="6"/>
  <c r="I538" i="6"/>
  <c r="P538" i="4"/>
  <c r="P538" i="5" s="1"/>
  <c r="T538" i="6"/>
  <c r="H538" i="4"/>
  <c r="H538" i="5" s="1"/>
  <c r="N538" i="6"/>
  <c r="G538" i="4"/>
  <c r="G538" i="5" s="1"/>
  <c r="O538" i="4"/>
  <c r="O538" i="5" s="1"/>
  <c r="D538" i="6"/>
  <c r="R538" i="6"/>
  <c r="U538" i="6"/>
  <c r="V538" i="6"/>
  <c r="L538" i="6"/>
  <c r="K538" i="4"/>
  <c r="K538" i="5" s="1"/>
  <c r="M538" i="6"/>
  <c r="N538" i="4"/>
  <c r="N538" i="5" s="1"/>
  <c r="F538" i="4"/>
  <c r="F538" i="5" s="1"/>
  <c r="D538" i="4"/>
  <c r="D538" i="5" s="1"/>
  <c r="T538" i="4"/>
  <c r="T538" i="5" s="1"/>
  <c r="Q538" i="6"/>
  <c r="S538" i="4"/>
  <c r="S538" i="5" s="1"/>
  <c r="T445" i="6"/>
  <c r="N445" i="6"/>
  <c r="J445" i="6"/>
  <c r="N445" i="4"/>
  <c r="N445" i="5" s="1"/>
  <c r="P445" i="4"/>
  <c r="P445" i="5" s="1"/>
  <c r="I445" i="6"/>
  <c r="S445" i="4"/>
  <c r="S445" i="5" s="1"/>
  <c r="D445" i="6"/>
  <c r="O445" i="6"/>
  <c r="R445" i="6"/>
  <c r="O445" i="4"/>
  <c r="O445" i="5" s="1"/>
  <c r="S445" i="6"/>
  <c r="G445" i="6"/>
  <c r="U445" i="6"/>
  <c r="E445" i="4"/>
  <c r="E445" i="5" s="1"/>
  <c r="M445" i="6"/>
  <c r="R445" i="4"/>
  <c r="R445" i="5" s="1"/>
  <c r="F445" i="6"/>
  <c r="I445" i="4"/>
  <c r="I445" i="5" s="1"/>
  <c r="T445" i="4"/>
  <c r="T445" i="5" s="1"/>
  <c r="M445" i="4"/>
  <c r="M445" i="5" s="1"/>
  <c r="J445" i="4"/>
  <c r="J445" i="5" s="1"/>
  <c r="Q445" i="6"/>
  <c r="E445" i="6"/>
  <c r="F445" i="4"/>
  <c r="F445" i="5" s="1"/>
  <c r="U445" i="4"/>
  <c r="U445" i="5" s="1"/>
  <c r="D445" i="4"/>
  <c r="D445" i="5" s="1"/>
  <c r="K445" i="6"/>
  <c r="P445" i="6"/>
  <c r="G445" i="4"/>
  <c r="G445" i="5" s="1"/>
  <c r="K445" i="4"/>
  <c r="K445" i="5" s="1"/>
  <c r="Q445" i="4"/>
  <c r="Q445" i="5" s="1"/>
  <c r="Q269" i="4"/>
  <c r="Q269" i="5" s="1"/>
  <c r="D269" i="4"/>
  <c r="D269" i="5" s="1"/>
  <c r="E269" i="6"/>
  <c r="G269" i="6"/>
  <c r="K269" i="6"/>
  <c r="K269" i="4"/>
  <c r="K269" i="5" s="1"/>
  <c r="O269" i="4"/>
  <c r="O269" i="5" s="1"/>
  <c r="T269" i="4"/>
  <c r="T269" i="5" s="1"/>
  <c r="P269" i="4"/>
  <c r="P269" i="5" s="1"/>
  <c r="L269" i="6"/>
  <c r="N269" i="4"/>
  <c r="N269" i="5" s="1"/>
  <c r="F269" i="4"/>
  <c r="F269" i="5" s="1"/>
  <c r="V269" i="4"/>
  <c r="V269" i="5" s="1"/>
  <c r="J269" i="6"/>
  <c r="N269" i="6"/>
  <c r="R269" i="4"/>
  <c r="R269" i="5" s="1"/>
  <c r="I269" i="6"/>
  <c r="Q269" i="6"/>
  <c r="U269" i="4"/>
  <c r="U269" i="5" s="1"/>
  <c r="U269" i="6"/>
  <c r="S269" i="6"/>
  <c r="D269" i="6"/>
  <c r="H269" i="6"/>
  <c r="F269" i="6"/>
  <c r="V269" i="6"/>
  <c r="T269" i="6"/>
  <c r="J269" i="4"/>
  <c r="J269" i="5" s="1"/>
  <c r="O269" i="6"/>
  <c r="G269" i="4"/>
  <c r="G269" i="5" s="1"/>
  <c r="P269" i="6"/>
  <c r="H269" i="4"/>
  <c r="H269" i="5" s="1"/>
  <c r="E269" i="4"/>
  <c r="E269" i="5" s="1"/>
  <c r="S269" i="4"/>
  <c r="S269" i="5" s="1"/>
  <c r="L269" i="4"/>
  <c r="L269" i="5" s="1"/>
  <c r="R269" i="6"/>
  <c r="I269" i="4"/>
  <c r="I269" i="5" s="1"/>
  <c r="R44" i="4"/>
  <c r="R44" i="5" s="1"/>
  <c r="L44" i="6"/>
  <c r="S44" i="6"/>
  <c r="J44" i="6"/>
  <c r="S44" i="4"/>
  <c r="S44" i="5" s="1"/>
  <c r="U44" i="6"/>
  <c r="O44" i="6"/>
  <c r="M44" i="4"/>
  <c r="M44" i="5" s="1"/>
  <c r="H44" i="6"/>
  <c r="D44" i="6"/>
  <c r="U44" i="4"/>
  <c r="U44" i="5" s="1"/>
  <c r="E44" i="4"/>
  <c r="E44" i="5" s="1"/>
  <c r="F44" i="6"/>
  <c r="Q44" i="4"/>
  <c r="Q44" i="5" s="1"/>
  <c r="T44" i="6"/>
  <c r="T44" i="4"/>
  <c r="T44" i="5" s="1"/>
  <c r="O156" i="4"/>
  <c r="O156" i="5" s="1"/>
  <c r="M156" i="6"/>
  <c r="I156" i="4"/>
  <c r="I156" i="5" s="1"/>
  <c r="I156" i="6"/>
  <c r="E156" i="4"/>
  <c r="E156" i="5" s="1"/>
  <c r="T156" i="4"/>
  <c r="T156" i="5" s="1"/>
  <c r="L156" i="4"/>
  <c r="L156" i="5" s="1"/>
  <c r="H156" i="4"/>
  <c r="H156" i="5" s="1"/>
  <c r="L156" i="6"/>
  <c r="V156" i="4"/>
  <c r="V156" i="5" s="1"/>
  <c r="P156" i="6"/>
  <c r="N156" i="6"/>
  <c r="R156" i="6"/>
  <c r="J156" i="4"/>
  <c r="J156" i="5" s="1"/>
  <c r="O156" i="6"/>
  <c r="G156" i="4"/>
  <c r="G156" i="5" s="1"/>
  <c r="Q156" i="4"/>
  <c r="Q156" i="5" s="1"/>
  <c r="T156" i="6"/>
  <c r="K156" i="6"/>
  <c r="E156" i="6"/>
  <c r="S156" i="4"/>
  <c r="S156" i="5" s="1"/>
  <c r="M156" i="4"/>
  <c r="M156" i="5" s="1"/>
  <c r="P156" i="4"/>
  <c r="P156" i="5" s="1"/>
  <c r="H156" i="6"/>
  <c r="N156" i="4"/>
  <c r="N156" i="5" s="1"/>
  <c r="F156" i="4"/>
  <c r="F156" i="5" s="1"/>
  <c r="D156" i="4"/>
  <c r="D156" i="5" s="1"/>
  <c r="U156" i="4"/>
  <c r="U156" i="5" s="1"/>
  <c r="S156" i="6"/>
  <c r="Q156" i="6"/>
  <c r="F156" i="6"/>
  <c r="R156" i="4"/>
  <c r="R156" i="5" s="1"/>
  <c r="K156" i="4"/>
  <c r="K156" i="5" s="1"/>
  <c r="U156" i="6"/>
  <c r="J156" i="6"/>
  <c r="V156" i="6"/>
  <c r="G156" i="6"/>
  <c r="D156" i="6"/>
  <c r="K111" i="6"/>
  <c r="M111" i="6"/>
  <c r="E111" i="4"/>
  <c r="E111" i="5" s="1"/>
  <c r="U111" i="4"/>
  <c r="U111" i="5" s="1"/>
  <c r="D111" i="6"/>
  <c r="G111" i="6"/>
  <c r="E111" i="6"/>
  <c r="V111" i="4"/>
  <c r="V111" i="5" s="1"/>
  <c r="R111" i="4"/>
  <c r="R111" i="5" s="1"/>
  <c r="L111" i="4"/>
  <c r="L111" i="5" s="1"/>
  <c r="H111" i="4"/>
  <c r="H111" i="5" s="1"/>
  <c r="N111" i="6"/>
  <c r="G111" i="4"/>
  <c r="G111" i="5" s="1"/>
  <c r="H111" i="6"/>
  <c r="L111" i="6"/>
  <c r="F111" i="4"/>
  <c r="F111" i="5" s="1"/>
  <c r="P111" i="4"/>
  <c r="P111" i="5" s="1"/>
  <c r="M111" i="4"/>
  <c r="M111" i="5" s="1"/>
  <c r="S111" i="6"/>
  <c r="Q111" i="6"/>
  <c r="Q111" i="4"/>
  <c r="Q111" i="5" s="1"/>
  <c r="U111" i="6"/>
  <c r="T111" i="4"/>
  <c r="T111" i="5" s="1"/>
  <c r="J111" i="4"/>
  <c r="J111" i="5" s="1"/>
  <c r="I111" i="4"/>
  <c r="I111" i="5" s="1"/>
  <c r="O111" i="4"/>
  <c r="O111" i="5" s="1"/>
  <c r="N111" i="4"/>
  <c r="N111" i="5" s="1"/>
  <c r="D111" i="4"/>
  <c r="D111" i="5" s="1"/>
  <c r="R111" i="6"/>
  <c r="O111" i="6"/>
  <c r="P111" i="6"/>
  <c r="T111" i="6"/>
  <c r="V111" i="6"/>
  <c r="K111" i="4"/>
  <c r="K111" i="5" s="1"/>
  <c r="S111" i="4"/>
  <c r="S111" i="5" s="1"/>
  <c r="I111" i="6"/>
  <c r="F111" i="6"/>
  <c r="J111" i="6"/>
  <c r="S179" i="6"/>
  <c r="Q179" i="6"/>
  <c r="G179" i="6"/>
  <c r="O179" i="6"/>
  <c r="O179" i="4"/>
  <c r="O179" i="5" s="1"/>
  <c r="E179" i="6"/>
  <c r="L179" i="4"/>
  <c r="L179" i="5" s="1"/>
  <c r="G179" i="4"/>
  <c r="G179" i="5" s="1"/>
  <c r="M179" i="4"/>
  <c r="M179" i="5" s="1"/>
  <c r="E179" i="4"/>
  <c r="E179" i="5" s="1"/>
  <c r="U179" i="4"/>
  <c r="U179" i="5" s="1"/>
  <c r="L179" i="6"/>
  <c r="V179" i="6"/>
  <c r="J179" i="6"/>
  <c r="T179" i="6"/>
  <c r="H179" i="4"/>
  <c r="H179" i="5" s="1"/>
  <c r="V179" i="4"/>
  <c r="V179" i="5" s="1"/>
  <c r="P179" i="4"/>
  <c r="P179" i="5" s="1"/>
  <c r="R179" i="6"/>
  <c r="K179" i="4"/>
  <c r="K179" i="5" s="1"/>
  <c r="K179" i="6"/>
  <c r="I179" i="6"/>
  <c r="S179" i="4"/>
  <c r="S179" i="5" s="1"/>
  <c r="Q179" i="4"/>
  <c r="Q179" i="5" s="1"/>
  <c r="H179" i="6"/>
  <c r="F179" i="6"/>
  <c r="R179" i="4"/>
  <c r="R179" i="5" s="1"/>
  <c r="J179" i="4"/>
  <c r="J179" i="5" s="1"/>
  <c r="D179" i="6"/>
  <c r="I179" i="4"/>
  <c r="I179" i="5" s="1"/>
  <c r="M179" i="6"/>
  <c r="P179" i="6"/>
  <c r="N179" i="4"/>
  <c r="N179" i="5" s="1"/>
  <c r="U179" i="6"/>
  <c r="T179" i="4"/>
  <c r="T179" i="5" s="1"/>
  <c r="D179" i="4"/>
  <c r="D179" i="5" s="1"/>
  <c r="N179" i="6"/>
  <c r="F179" i="4"/>
  <c r="F179" i="5" s="1"/>
  <c r="V287" i="4"/>
  <c r="V287" i="5" s="1"/>
  <c r="N287" i="6"/>
  <c r="D287" i="6"/>
  <c r="I287" i="4"/>
  <c r="I287" i="5" s="1"/>
  <c r="M287" i="6"/>
  <c r="E287" i="4"/>
  <c r="E287" i="5" s="1"/>
  <c r="I287" i="6"/>
  <c r="U287" i="4"/>
  <c r="U287" i="5" s="1"/>
  <c r="G287" i="4"/>
  <c r="G287" i="5" s="1"/>
  <c r="K287" i="4"/>
  <c r="K287" i="5" s="1"/>
  <c r="O287" i="6"/>
  <c r="N287" i="4"/>
  <c r="N287" i="5" s="1"/>
  <c r="P287" i="4"/>
  <c r="P287" i="5" s="1"/>
  <c r="J287" i="4"/>
  <c r="J287" i="5" s="1"/>
  <c r="K287" i="6"/>
  <c r="F287" i="4"/>
  <c r="F287" i="5" s="1"/>
  <c r="D287" i="4"/>
  <c r="D287" i="5" s="1"/>
  <c r="T287" i="4"/>
  <c r="T287" i="5" s="1"/>
  <c r="R287" i="4"/>
  <c r="R287" i="5" s="1"/>
  <c r="H287" i="6"/>
  <c r="P287" i="6"/>
  <c r="Q287" i="6"/>
  <c r="Q287" i="4"/>
  <c r="Q287" i="5" s="1"/>
  <c r="G287" i="6"/>
  <c r="S287" i="4"/>
  <c r="S287" i="5" s="1"/>
  <c r="L287" i="6"/>
  <c r="S287" i="6"/>
  <c r="L287" i="4"/>
  <c r="L287" i="5" s="1"/>
  <c r="V287" i="6"/>
  <c r="J287" i="6"/>
  <c r="M287" i="4"/>
  <c r="M287" i="5" s="1"/>
  <c r="E287" i="6"/>
  <c r="U287" i="6"/>
  <c r="O287" i="4"/>
  <c r="O287" i="5" s="1"/>
  <c r="H287" i="4"/>
  <c r="H287" i="5" s="1"/>
  <c r="F287" i="6"/>
  <c r="R287" i="6"/>
  <c r="T287" i="6"/>
  <c r="Q526" i="4"/>
  <c r="Q526" i="5" s="1"/>
  <c r="P526" i="4"/>
  <c r="P526" i="5" s="1"/>
  <c r="H526" i="4"/>
  <c r="H526" i="5" s="1"/>
  <c r="P526" i="6"/>
  <c r="V526" i="6"/>
  <c r="F526" i="6"/>
  <c r="L526" i="6"/>
  <c r="R526" i="6"/>
  <c r="S526" i="6"/>
  <c r="M526" i="6"/>
  <c r="G526" i="4"/>
  <c r="G526" i="5" s="1"/>
  <c r="Q526" i="6"/>
  <c r="K526" i="4"/>
  <c r="K526" i="5" s="1"/>
  <c r="I526" i="4"/>
  <c r="I526" i="5" s="1"/>
  <c r="O526" i="6"/>
  <c r="U526" i="4"/>
  <c r="U526" i="5" s="1"/>
  <c r="M526" i="4"/>
  <c r="M526" i="5" s="1"/>
  <c r="T526" i="4"/>
  <c r="T526" i="5" s="1"/>
  <c r="D526" i="4"/>
  <c r="D526" i="5" s="1"/>
  <c r="N526" i="6"/>
  <c r="R526" i="4"/>
  <c r="R526" i="5" s="1"/>
  <c r="J526" i="4"/>
  <c r="J526" i="5" s="1"/>
  <c r="T526" i="6"/>
  <c r="J526" i="6"/>
  <c r="K526" i="6"/>
  <c r="E526" i="6"/>
  <c r="S526" i="4"/>
  <c r="S526" i="5" s="1"/>
  <c r="I526" i="6"/>
  <c r="L526" i="4"/>
  <c r="L526" i="5" s="1"/>
  <c r="H526" i="6"/>
  <c r="V526" i="4"/>
  <c r="V526" i="5" s="1"/>
  <c r="N526" i="4"/>
  <c r="N526" i="5" s="1"/>
  <c r="F526" i="4"/>
  <c r="F526" i="5" s="1"/>
  <c r="D526" i="6"/>
  <c r="O526" i="4"/>
  <c r="O526" i="5" s="1"/>
  <c r="U526" i="6"/>
  <c r="G526" i="6"/>
  <c r="E526" i="4"/>
  <c r="E526" i="5" s="1"/>
  <c r="U399" i="6"/>
  <c r="I399" i="4"/>
  <c r="I399" i="5" s="1"/>
  <c r="E399" i="6"/>
  <c r="P399" i="4"/>
  <c r="P399" i="5" s="1"/>
  <c r="T399" i="4"/>
  <c r="T399" i="5" s="1"/>
  <c r="F399" i="4"/>
  <c r="F399" i="5" s="1"/>
  <c r="J399" i="6"/>
  <c r="T399" i="6"/>
  <c r="D399" i="6"/>
  <c r="H399" i="4"/>
  <c r="H399" i="5" s="1"/>
  <c r="N399" i="6"/>
  <c r="S399" i="6"/>
  <c r="K399" i="4"/>
  <c r="K399" i="5" s="1"/>
  <c r="G399" i="6"/>
  <c r="O399" i="6"/>
  <c r="R399" i="4"/>
  <c r="R399" i="5" s="1"/>
  <c r="M399" i="6"/>
  <c r="M399" i="4"/>
  <c r="M399" i="5" s="1"/>
  <c r="V399" i="6"/>
  <c r="O399" i="4"/>
  <c r="O399" i="5" s="1"/>
  <c r="L399" i="4"/>
  <c r="L399" i="5" s="1"/>
  <c r="H399" i="6"/>
  <c r="N399" i="4"/>
  <c r="N399" i="5" s="1"/>
  <c r="Q399" i="6"/>
  <c r="D399" i="4"/>
  <c r="D399" i="5" s="1"/>
  <c r="S399" i="4"/>
  <c r="S399" i="5" s="1"/>
  <c r="P399" i="6"/>
  <c r="U399" i="4"/>
  <c r="U399" i="5" s="1"/>
  <c r="Q399" i="4"/>
  <c r="Q399" i="5" s="1"/>
  <c r="F399" i="6"/>
  <c r="E399" i="4"/>
  <c r="E399" i="5" s="1"/>
  <c r="G399" i="4"/>
  <c r="G399" i="5" s="1"/>
  <c r="R399" i="6"/>
  <c r="K399" i="6"/>
  <c r="I399" i="6"/>
  <c r="V399" i="4"/>
  <c r="V399" i="5" s="1"/>
  <c r="J399" i="4"/>
  <c r="J399" i="5" s="1"/>
  <c r="L399" i="6"/>
  <c r="Q461" i="4"/>
  <c r="Q461" i="5" s="1"/>
  <c r="Q461" i="6"/>
  <c r="S461" i="4"/>
  <c r="S461" i="5" s="1"/>
  <c r="U461" i="4"/>
  <c r="U461" i="5" s="1"/>
  <c r="E461" i="6"/>
  <c r="E461" i="4"/>
  <c r="E461" i="5" s="1"/>
  <c r="D461" i="4"/>
  <c r="D461" i="5" s="1"/>
  <c r="S461" i="6"/>
  <c r="I461" i="4"/>
  <c r="I461" i="5" s="1"/>
  <c r="D461" i="6"/>
  <c r="T461" i="6"/>
  <c r="L461" i="6"/>
  <c r="N461" i="6"/>
  <c r="L461" i="4"/>
  <c r="L461" i="5" s="1"/>
  <c r="N461" i="4"/>
  <c r="N461" i="5" s="1"/>
  <c r="F461" i="4"/>
  <c r="F461" i="5" s="1"/>
  <c r="P461" i="6"/>
  <c r="P461" i="4"/>
  <c r="P461" i="5" s="1"/>
  <c r="H461" i="6"/>
  <c r="K461" i="6"/>
  <c r="G461" i="6"/>
  <c r="K461" i="4"/>
  <c r="K461" i="5" s="1"/>
  <c r="I461" i="6"/>
  <c r="M461" i="6"/>
  <c r="J461" i="4"/>
  <c r="J461" i="5" s="1"/>
  <c r="J461" i="6"/>
  <c r="F461" i="6"/>
  <c r="R461" i="6"/>
  <c r="O461" i="4"/>
  <c r="O461" i="5" s="1"/>
  <c r="M461" i="4"/>
  <c r="M461" i="5" s="1"/>
  <c r="R461" i="4"/>
  <c r="R461" i="5" s="1"/>
  <c r="G461" i="4"/>
  <c r="G461" i="5" s="1"/>
  <c r="O461" i="6"/>
  <c r="H461" i="4"/>
  <c r="H461" i="5" s="1"/>
  <c r="V461" i="6"/>
  <c r="T461" i="4"/>
  <c r="T461" i="5" s="1"/>
  <c r="U461" i="6"/>
  <c r="V461" i="4"/>
  <c r="V461" i="5" s="1"/>
  <c r="E459" i="6"/>
  <c r="I459" i="4"/>
  <c r="I459" i="5" s="1"/>
  <c r="I459" i="6"/>
  <c r="M459" i="6"/>
  <c r="S459" i="6"/>
  <c r="O459" i="6"/>
  <c r="G459" i="4"/>
  <c r="G459" i="5" s="1"/>
  <c r="M459" i="4"/>
  <c r="M459" i="5" s="1"/>
  <c r="N459" i="4"/>
  <c r="N459" i="5" s="1"/>
  <c r="R459" i="6"/>
  <c r="P459" i="6"/>
  <c r="V459" i="6"/>
  <c r="P459" i="4"/>
  <c r="P459" i="5" s="1"/>
  <c r="V459" i="4"/>
  <c r="V459" i="5" s="1"/>
  <c r="J459" i="4"/>
  <c r="J459" i="5" s="1"/>
  <c r="T459" i="4"/>
  <c r="T459" i="5" s="1"/>
  <c r="H459" i="6"/>
  <c r="E459" i="4"/>
  <c r="E459" i="5" s="1"/>
  <c r="G459" i="6"/>
  <c r="K459" i="6"/>
  <c r="D459" i="4"/>
  <c r="D459" i="5" s="1"/>
  <c r="K459" i="4"/>
  <c r="K459" i="5" s="1"/>
  <c r="U459" i="4"/>
  <c r="U459" i="5" s="1"/>
  <c r="L459" i="4"/>
  <c r="L459" i="5" s="1"/>
  <c r="R459" i="4"/>
  <c r="R459" i="5" s="1"/>
  <c r="H459" i="4"/>
  <c r="H459" i="5" s="1"/>
  <c r="N459" i="6"/>
  <c r="U459" i="6"/>
  <c r="O459" i="4"/>
  <c r="O459" i="5" s="1"/>
  <c r="D459" i="6"/>
  <c r="Q459" i="6"/>
  <c r="Q459" i="4"/>
  <c r="Q459" i="5" s="1"/>
  <c r="L459" i="6"/>
  <c r="F459" i="4"/>
  <c r="F459" i="5" s="1"/>
  <c r="F459" i="6"/>
  <c r="J459" i="6"/>
  <c r="T459" i="6"/>
  <c r="S459" i="4"/>
  <c r="S459" i="5" s="1"/>
  <c r="U387" i="6"/>
  <c r="K387" i="6"/>
  <c r="Q387" i="6"/>
  <c r="E387" i="6"/>
  <c r="G387" i="4"/>
  <c r="G387" i="5" s="1"/>
  <c r="O387" i="4"/>
  <c r="O387" i="5" s="1"/>
  <c r="G387" i="6"/>
  <c r="E387" i="4"/>
  <c r="E387" i="5" s="1"/>
  <c r="U387" i="4"/>
  <c r="U387" i="5" s="1"/>
  <c r="J387" i="6"/>
  <c r="V387" i="6"/>
  <c r="L387" i="6"/>
  <c r="F387" i="4"/>
  <c r="F387" i="5" s="1"/>
  <c r="F387" i="6"/>
  <c r="N387" i="6"/>
  <c r="T387" i="6"/>
  <c r="P387" i="6"/>
  <c r="R387" i="4"/>
  <c r="R387" i="5" s="1"/>
  <c r="L387" i="4"/>
  <c r="L387" i="5" s="1"/>
  <c r="I387" i="4"/>
  <c r="I387" i="5" s="1"/>
  <c r="Q387" i="4"/>
  <c r="Q387" i="5" s="1"/>
  <c r="K387" i="4"/>
  <c r="K387" i="5" s="1"/>
  <c r="O387" i="6"/>
  <c r="I387" i="6"/>
  <c r="H387" i="4"/>
  <c r="H387" i="5" s="1"/>
  <c r="V387" i="4"/>
  <c r="V387" i="5" s="1"/>
  <c r="T387" i="4"/>
  <c r="T387" i="5" s="1"/>
  <c r="D387" i="6"/>
  <c r="M387" i="6"/>
  <c r="S387" i="6"/>
  <c r="D387" i="4"/>
  <c r="D387" i="5" s="1"/>
  <c r="S387" i="4"/>
  <c r="S387" i="5" s="1"/>
  <c r="M387" i="4"/>
  <c r="M387" i="5" s="1"/>
  <c r="P387" i="4"/>
  <c r="P387" i="5" s="1"/>
  <c r="R387" i="6"/>
  <c r="N387" i="4"/>
  <c r="N387" i="5" s="1"/>
  <c r="H387" i="6"/>
  <c r="J387" i="4"/>
  <c r="J387" i="5" s="1"/>
  <c r="Q30" i="6"/>
  <c r="G30" i="4"/>
  <c r="G30" i="5" s="1"/>
  <c r="R30" i="4"/>
  <c r="R30" i="5" s="1"/>
  <c r="F30" i="4"/>
  <c r="F30" i="5" s="1"/>
  <c r="Q30" i="4"/>
  <c r="Q30" i="5" s="1"/>
  <c r="F30" i="6"/>
  <c r="L30" i="4"/>
  <c r="L30" i="5" s="1"/>
  <c r="K30" i="4"/>
  <c r="K30" i="5" s="1"/>
  <c r="K30" i="6"/>
  <c r="E30" i="4"/>
  <c r="E30" i="5" s="1"/>
  <c r="T30" i="6"/>
  <c r="L30" i="6"/>
  <c r="P30" i="6"/>
  <c r="U30" i="6"/>
  <c r="V30" i="4"/>
  <c r="V30" i="5" s="1"/>
  <c r="U30" i="4"/>
  <c r="U30" i="5" s="1"/>
  <c r="R30" i="6"/>
  <c r="S30" i="4"/>
  <c r="S30" i="5" s="1"/>
  <c r="S403" i="6"/>
  <c r="O403" i="6"/>
  <c r="L403" i="4"/>
  <c r="L403" i="5" s="1"/>
  <c r="Q403" i="4"/>
  <c r="Q403" i="5" s="1"/>
  <c r="D403" i="6"/>
  <c r="N403" i="4"/>
  <c r="N403" i="5" s="1"/>
  <c r="P403" i="4"/>
  <c r="P403" i="5" s="1"/>
  <c r="J403" i="4"/>
  <c r="J403" i="5" s="1"/>
  <c r="H403" i="6"/>
  <c r="D403" i="4"/>
  <c r="D403" i="5" s="1"/>
  <c r="V403" i="4"/>
  <c r="V403" i="5" s="1"/>
  <c r="S403" i="4"/>
  <c r="S403" i="5" s="1"/>
  <c r="V403" i="6"/>
  <c r="L403" i="6"/>
  <c r="G403" i="4"/>
  <c r="G403" i="5" s="1"/>
  <c r="G403" i="6"/>
  <c r="M403" i="6"/>
  <c r="H403" i="4"/>
  <c r="H403" i="5" s="1"/>
  <c r="I403" i="6"/>
  <c r="T403" i="4"/>
  <c r="T403" i="5" s="1"/>
  <c r="F403" i="6"/>
  <c r="P403" i="6"/>
  <c r="T403" i="6"/>
  <c r="J403" i="6"/>
  <c r="K403" i="6"/>
  <c r="O403" i="4"/>
  <c r="O403" i="5" s="1"/>
  <c r="U403" i="6"/>
  <c r="E403" i="4"/>
  <c r="E403" i="5" s="1"/>
  <c r="R403" i="6"/>
  <c r="Q403" i="6"/>
  <c r="E403" i="6"/>
  <c r="R403" i="4"/>
  <c r="R403" i="5" s="1"/>
  <c r="N403" i="6"/>
  <c r="U403" i="4"/>
  <c r="U403" i="5" s="1"/>
  <c r="M403" i="4"/>
  <c r="M403" i="5" s="1"/>
  <c r="I403" i="4"/>
  <c r="I403" i="5" s="1"/>
  <c r="F403" i="4"/>
  <c r="F403" i="5" s="1"/>
  <c r="K403" i="4"/>
  <c r="K403" i="5" s="1"/>
  <c r="U241" i="6"/>
  <c r="M241" i="6"/>
  <c r="E241" i="6"/>
  <c r="S241" i="6"/>
  <c r="K241" i="6"/>
  <c r="U241" i="4"/>
  <c r="U241" i="5" s="1"/>
  <c r="S241" i="4"/>
  <c r="S241" i="5" s="1"/>
  <c r="Q241" i="4"/>
  <c r="Q241" i="5" s="1"/>
  <c r="O241" i="4"/>
  <c r="O241" i="5" s="1"/>
  <c r="M241" i="4"/>
  <c r="M241" i="5" s="1"/>
  <c r="K241" i="4"/>
  <c r="K241" i="5" s="1"/>
  <c r="I241" i="4"/>
  <c r="I241" i="5" s="1"/>
  <c r="G241" i="4"/>
  <c r="G241" i="5" s="1"/>
  <c r="E241" i="4"/>
  <c r="E241" i="5" s="1"/>
  <c r="V241" i="6"/>
  <c r="F241" i="6"/>
  <c r="N241" i="6"/>
  <c r="L241" i="6"/>
  <c r="R241" i="4"/>
  <c r="R241" i="5" s="1"/>
  <c r="N241" i="4"/>
  <c r="N241" i="5" s="1"/>
  <c r="D241" i="4"/>
  <c r="D241" i="5" s="1"/>
  <c r="J241" i="6"/>
  <c r="D241" i="6"/>
  <c r="I241" i="6"/>
  <c r="O241" i="6"/>
  <c r="R241" i="6"/>
  <c r="J241" i="4"/>
  <c r="J241" i="5" s="1"/>
  <c r="V241" i="4"/>
  <c r="V241" i="5" s="1"/>
  <c r="Q241" i="6"/>
  <c r="G241" i="6"/>
  <c r="L241" i="4"/>
  <c r="L241" i="5" s="1"/>
  <c r="F241" i="4"/>
  <c r="F241" i="5" s="1"/>
  <c r="L139" i="4"/>
  <c r="L139" i="5" s="1"/>
  <c r="N139" i="6"/>
  <c r="G73" i="6"/>
  <c r="O73" i="6"/>
  <c r="E73" i="4"/>
  <c r="E73" i="5" s="1"/>
  <c r="D73" i="4"/>
  <c r="D73" i="5" s="1"/>
  <c r="G73" i="4"/>
  <c r="G73" i="5" s="1"/>
  <c r="E73" i="6"/>
  <c r="M73" i="6"/>
  <c r="U73" i="6"/>
  <c r="Q73" i="4"/>
  <c r="Q73" i="5" s="1"/>
  <c r="R73" i="4"/>
  <c r="R73" i="5" s="1"/>
  <c r="R73" i="6"/>
  <c r="J73" i="6"/>
  <c r="T73" i="4"/>
  <c r="T73" i="5" s="1"/>
  <c r="L73" i="4"/>
  <c r="L73" i="5" s="1"/>
  <c r="J73" i="4"/>
  <c r="J73" i="5" s="1"/>
  <c r="L73" i="6"/>
  <c r="H73" i="4"/>
  <c r="H73" i="5" s="1"/>
  <c r="V73" i="6"/>
  <c r="K73" i="4"/>
  <c r="K73" i="5" s="1"/>
  <c r="I73" i="4"/>
  <c r="I73" i="5" s="1"/>
  <c r="F73" i="4"/>
  <c r="F73" i="5" s="1"/>
  <c r="T73" i="6"/>
  <c r="D73" i="6"/>
  <c r="U73" i="4"/>
  <c r="U73" i="5" s="1"/>
  <c r="O73" i="4"/>
  <c r="O73" i="5" s="1"/>
  <c r="I73" i="6"/>
  <c r="M73" i="4"/>
  <c r="M73" i="5" s="1"/>
  <c r="P73" i="4"/>
  <c r="P73" i="5" s="1"/>
  <c r="V73" i="4"/>
  <c r="V73" i="5" s="1"/>
  <c r="H73" i="6"/>
  <c r="F73" i="6"/>
  <c r="K73" i="6"/>
  <c r="Q73" i="6"/>
  <c r="P73" i="6"/>
  <c r="N73" i="6"/>
  <c r="N73" i="4"/>
  <c r="N73" i="5" s="1"/>
  <c r="H418" i="4"/>
  <c r="H418" i="5" s="1"/>
  <c r="S418" i="4"/>
  <c r="S418" i="5" s="1"/>
  <c r="D418" i="4"/>
  <c r="D418" i="5" s="1"/>
  <c r="O418" i="4"/>
  <c r="O418" i="5" s="1"/>
  <c r="T231" i="6"/>
  <c r="N231" i="4"/>
  <c r="N231" i="5" s="1"/>
  <c r="J231" i="6"/>
  <c r="M231" i="4"/>
  <c r="M231" i="5" s="1"/>
  <c r="O231" i="6"/>
  <c r="O231" i="4"/>
  <c r="O231" i="5" s="1"/>
  <c r="N231" i="6"/>
  <c r="M231" i="6"/>
  <c r="P231" i="6"/>
  <c r="P231" i="4"/>
  <c r="P231" i="5" s="1"/>
  <c r="E231" i="4"/>
  <c r="E231" i="5" s="1"/>
  <c r="U231" i="4"/>
  <c r="U231" i="5" s="1"/>
  <c r="D231" i="6"/>
  <c r="L231" i="4"/>
  <c r="L231" i="5" s="1"/>
  <c r="E231" i="6"/>
  <c r="G231" i="4"/>
  <c r="G231" i="5" s="1"/>
  <c r="Q231" i="6"/>
  <c r="M118" i="6"/>
  <c r="O118" i="6"/>
  <c r="I118" i="4"/>
  <c r="I118" i="5" s="1"/>
  <c r="E118" i="4"/>
  <c r="E118" i="5" s="1"/>
  <c r="R118" i="6"/>
  <c r="U118" i="6"/>
  <c r="K118" i="4"/>
  <c r="K118" i="5" s="1"/>
  <c r="D118" i="6"/>
  <c r="L118" i="4"/>
  <c r="L118" i="5" s="1"/>
  <c r="L118" i="6"/>
  <c r="S118" i="4"/>
  <c r="S118" i="5" s="1"/>
  <c r="I118" i="6"/>
  <c r="M118" i="4"/>
  <c r="M118" i="5" s="1"/>
  <c r="J118" i="4"/>
  <c r="J118" i="5" s="1"/>
  <c r="S118" i="6"/>
  <c r="F118" i="6"/>
  <c r="V118" i="6"/>
  <c r="U118" i="4"/>
  <c r="U118" i="5" s="1"/>
  <c r="V118" i="4"/>
  <c r="V118" i="5" s="1"/>
  <c r="D38" i="6"/>
  <c r="N38" i="6"/>
  <c r="K38" i="4"/>
  <c r="K38" i="5" s="1"/>
  <c r="P38" i="6"/>
  <c r="S38" i="4"/>
  <c r="S38" i="5" s="1"/>
  <c r="I38" i="4"/>
  <c r="I38" i="5" s="1"/>
  <c r="T38" i="4"/>
  <c r="T38" i="5" s="1"/>
  <c r="S38" i="6"/>
  <c r="V38" i="4"/>
  <c r="V38" i="5" s="1"/>
  <c r="N38" i="4"/>
  <c r="N38" i="5" s="1"/>
  <c r="V38" i="6"/>
  <c r="Q38" i="6"/>
  <c r="O38" i="6"/>
  <c r="L38" i="4"/>
  <c r="L38" i="5" s="1"/>
  <c r="M88" i="6"/>
  <c r="M88" i="4"/>
  <c r="M88" i="5" s="1"/>
  <c r="O88" i="6"/>
  <c r="U88" i="6"/>
  <c r="N88" i="6"/>
  <c r="T88" i="6"/>
  <c r="F88" i="4"/>
  <c r="F88" i="5" s="1"/>
  <c r="L88" i="4"/>
  <c r="L88" i="5" s="1"/>
  <c r="I88" i="6"/>
  <c r="V88" i="4"/>
  <c r="V88" i="5" s="1"/>
  <c r="R88" i="4"/>
  <c r="R88" i="5" s="1"/>
  <c r="H88" i="6"/>
  <c r="D88" i="6"/>
  <c r="J88" i="6"/>
  <c r="G88" i="4"/>
  <c r="G88" i="5" s="1"/>
  <c r="S88" i="6"/>
  <c r="E167" i="6"/>
  <c r="K167" i="6"/>
  <c r="S167" i="6"/>
  <c r="G167" i="4"/>
  <c r="G167" i="5" s="1"/>
  <c r="O167" i="4"/>
  <c r="O167" i="5" s="1"/>
  <c r="U167" i="4"/>
  <c r="U167" i="5" s="1"/>
  <c r="I167" i="4"/>
  <c r="I167" i="5" s="1"/>
  <c r="Q167" i="4"/>
  <c r="Q167" i="5" s="1"/>
  <c r="I167" i="6"/>
  <c r="Q167" i="6"/>
  <c r="T167" i="4"/>
  <c r="T167" i="5" s="1"/>
  <c r="F167" i="6"/>
  <c r="H167" i="4"/>
  <c r="H167" i="5" s="1"/>
  <c r="P167" i="4"/>
  <c r="P167" i="5" s="1"/>
  <c r="N167" i="4"/>
  <c r="N167" i="5" s="1"/>
  <c r="T167" i="6"/>
  <c r="R167" i="6"/>
  <c r="V167" i="4"/>
  <c r="V167" i="5" s="1"/>
  <c r="V167" i="6"/>
  <c r="G167" i="6"/>
  <c r="D167" i="4"/>
  <c r="D167" i="5" s="1"/>
  <c r="S167" i="4"/>
  <c r="S167" i="5" s="1"/>
  <c r="M167" i="4"/>
  <c r="M167" i="5" s="1"/>
  <c r="M167" i="6"/>
  <c r="J167" i="6"/>
  <c r="L167" i="4"/>
  <c r="L167" i="5" s="1"/>
  <c r="L167" i="6"/>
  <c r="N167" i="6"/>
  <c r="J167" i="4"/>
  <c r="J167" i="5" s="1"/>
  <c r="O167" i="6"/>
  <c r="E167" i="4"/>
  <c r="E167" i="5" s="1"/>
  <c r="U167" i="6"/>
  <c r="F167" i="4"/>
  <c r="F167" i="5" s="1"/>
  <c r="H167" i="6"/>
  <c r="K167" i="4"/>
  <c r="K167" i="5" s="1"/>
  <c r="D167" i="6"/>
  <c r="P167" i="6"/>
  <c r="R167" i="4"/>
  <c r="R167" i="5" s="1"/>
  <c r="Q405" i="6"/>
  <c r="K405" i="4"/>
  <c r="K405" i="5" s="1"/>
  <c r="V405" i="4"/>
  <c r="V405" i="5" s="1"/>
  <c r="P405" i="4"/>
  <c r="P405" i="5" s="1"/>
  <c r="V405" i="6"/>
  <c r="O405" i="6"/>
  <c r="L405" i="6"/>
  <c r="F405" i="6"/>
  <c r="M405" i="6"/>
  <c r="V353" i="4"/>
  <c r="V353" i="5" s="1"/>
  <c r="D353" i="4"/>
  <c r="D353" i="5" s="1"/>
  <c r="V353" i="6"/>
  <c r="O353" i="4"/>
  <c r="O353" i="5" s="1"/>
  <c r="Q353" i="6"/>
  <c r="P353" i="4"/>
  <c r="P353" i="5" s="1"/>
  <c r="S353" i="6"/>
  <c r="G353" i="4"/>
  <c r="G353" i="5" s="1"/>
  <c r="J353" i="6"/>
  <c r="L324" i="4"/>
  <c r="L324" i="5" s="1"/>
  <c r="N324" i="4"/>
  <c r="N324" i="5" s="1"/>
  <c r="N324" i="6"/>
  <c r="S324" i="6"/>
  <c r="E324" i="4"/>
  <c r="E324" i="5" s="1"/>
  <c r="Q324" i="6"/>
  <c r="U324" i="6"/>
  <c r="L324" i="6"/>
  <c r="J324" i="6"/>
  <c r="K324" i="4"/>
  <c r="K324" i="5" s="1"/>
  <c r="P324" i="6"/>
  <c r="F324" i="4"/>
  <c r="F324" i="5" s="1"/>
  <c r="M324" i="4"/>
  <c r="M324" i="5" s="1"/>
  <c r="I324" i="4"/>
  <c r="I324" i="5" s="1"/>
  <c r="T324" i="4"/>
  <c r="T324" i="5" s="1"/>
  <c r="I272" i="4"/>
  <c r="I272" i="5" s="1"/>
  <c r="T272" i="6"/>
  <c r="N272" i="6"/>
  <c r="E272" i="4"/>
  <c r="E272" i="5" s="1"/>
  <c r="K272" i="4"/>
  <c r="K272" i="5" s="1"/>
  <c r="U272" i="6"/>
  <c r="S272" i="6"/>
  <c r="V272" i="6"/>
  <c r="G272" i="6"/>
  <c r="O272" i="6"/>
  <c r="K272" i="6"/>
  <c r="M272" i="6"/>
  <c r="D272" i="4"/>
  <c r="D272" i="5" s="1"/>
  <c r="F272" i="4"/>
  <c r="F272" i="5" s="1"/>
  <c r="T272" i="4"/>
  <c r="T272" i="5" s="1"/>
  <c r="Q272" i="4"/>
  <c r="Q272" i="5" s="1"/>
  <c r="M272" i="4"/>
  <c r="M272" i="5" s="1"/>
  <c r="P272" i="4"/>
  <c r="P272" i="5" s="1"/>
  <c r="R272" i="4"/>
  <c r="R272" i="5" s="1"/>
  <c r="J198" i="6"/>
  <c r="V198" i="4"/>
  <c r="V198" i="5" s="1"/>
  <c r="D198" i="6"/>
  <c r="H198" i="4"/>
  <c r="H198" i="5" s="1"/>
  <c r="J198" i="4"/>
  <c r="J198" i="5" s="1"/>
  <c r="I198" i="4"/>
  <c r="I198" i="5" s="1"/>
  <c r="G198" i="6"/>
  <c r="L198" i="4"/>
  <c r="L198" i="5" s="1"/>
  <c r="H198" i="6"/>
  <c r="M198" i="6"/>
  <c r="E198" i="4"/>
  <c r="E198" i="5" s="1"/>
  <c r="G198" i="4"/>
  <c r="G198" i="5" s="1"/>
  <c r="R198" i="4"/>
  <c r="R198" i="5" s="1"/>
  <c r="F198" i="6"/>
  <c r="R198" i="6"/>
  <c r="Q198" i="4"/>
  <c r="Q198" i="5" s="1"/>
  <c r="Q198" i="6"/>
  <c r="L198" i="6"/>
  <c r="V198" i="6"/>
  <c r="E198" i="6"/>
  <c r="T198" i="6"/>
  <c r="M198" i="4"/>
  <c r="M198" i="5" s="1"/>
  <c r="I198" i="6"/>
  <c r="P198" i="4"/>
  <c r="P198" i="5" s="1"/>
  <c r="U198" i="4"/>
  <c r="U198" i="5" s="1"/>
  <c r="O198" i="4"/>
  <c r="O198" i="5" s="1"/>
  <c r="N198" i="6"/>
  <c r="S198" i="4"/>
  <c r="S198" i="5" s="1"/>
  <c r="U198" i="6"/>
  <c r="P198" i="6"/>
  <c r="T198" i="4"/>
  <c r="T198" i="5" s="1"/>
  <c r="F198" i="4"/>
  <c r="F198" i="5" s="1"/>
  <c r="N198" i="4"/>
  <c r="N198" i="5" s="1"/>
  <c r="D198" i="4"/>
  <c r="D198" i="5" s="1"/>
  <c r="O198" i="6"/>
  <c r="O154" i="4"/>
  <c r="O154" i="5" s="1"/>
  <c r="I154" i="6"/>
  <c r="Q154" i="6"/>
  <c r="I154" i="4"/>
  <c r="I154" i="5" s="1"/>
  <c r="N154" i="6"/>
  <c r="G154" i="6"/>
  <c r="O154" i="6"/>
  <c r="E154" i="4"/>
  <c r="E154" i="5" s="1"/>
  <c r="L154" i="4"/>
  <c r="L154" i="5" s="1"/>
  <c r="G154" i="4"/>
  <c r="G154" i="5" s="1"/>
  <c r="Q154" i="4"/>
  <c r="Q154" i="5" s="1"/>
  <c r="V154" i="4"/>
  <c r="V154" i="5" s="1"/>
  <c r="P154" i="6"/>
  <c r="F154" i="4"/>
  <c r="F154" i="5" s="1"/>
  <c r="N154" i="4"/>
  <c r="N154" i="5" s="1"/>
  <c r="H154" i="6"/>
  <c r="J154" i="6"/>
  <c r="V154" i="6"/>
  <c r="R154" i="6"/>
  <c r="E154" i="6"/>
  <c r="U154" i="6"/>
  <c r="D154" i="6"/>
  <c r="S154" i="6"/>
  <c r="D154" i="4"/>
  <c r="D154" i="5" s="1"/>
  <c r="U154" i="4"/>
  <c r="U154" i="5" s="1"/>
  <c r="L154" i="6"/>
  <c r="J154" i="4"/>
  <c r="J154" i="5" s="1"/>
  <c r="P154" i="4"/>
  <c r="P154" i="5" s="1"/>
  <c r="H154" i="4"/>
  <c r="H154" i="5" s="1"/>
  <c r="M154" i="6"/>
  <c r="K154" i="6"/>
  <c r="K154" i="4"/>
  <c r="K154" i="5" s="1"/>
  <c r="T154" i="6"/>
  <c r="T154" i="4"/>
  <c r="T154" i="5" s="1"/>
  <c r="S154" i="4"/>
  <c r="S154" i="5" s="1"/>
  <c r="M154" i="4"/>
  <c r="M154" i="5" s="1"/>
  <c r="R154" i="4"/>
  <c r="R154" i="5" s="1"/>
  <c r="F154" i="6"/>
  <c r="K100" i="6"/>
  <c r="O100" i="4"/>
  <c r="O100" i="5" s="1"/>
  <c r="D100" i="6"/>
  <c r="Q100" i="6"/>
  <c r="S100" i="4"/>
  <c r="S100" i="5" s="1"/>
  <c r="Q100" i="4"/>
  <c r="Q100" i="5" s="1"/>
  <c r="R100" i="4"/>
  <c r="R100" i="5" s="1"/>
  <c r="T100" i="4"/>
  <c r="T100" i="5" s="1"/>
  <c r="H100" i="4"/>
  <c r="H100" i="5" s="1"/>
  <c r="V100" i="6"/>
  <c r="U100" i="4"/>
  <c r="U100" i="5" s="1"/>
  <c r="P100" i="6"/>
  <c r="I100" i="6"/>
  <c r="F100" i="4"/>
  <c r="F100" i="5" s="1"/>
  <c r="P100" i="4"/>
  <c r="P100" i="5" s="1"/>
  <c r="K100" i="4"/>
  <c r="K100" i="5" s="1"/>
  <c r="T100" i="6"/>
  <c r="S100" i="6"/>
  <c r="V100" i="4"/>
  <c r="V100" i="5" s="1"/>
  <c r="R89" i="6"/>
  <c r="U89" i="4"/>
  <c r="U89" i="5" s="1"/>
  <c r="G89" i="4"/>
  <c r="G89" i="5" s="1"/>
  <c r="I89" i="4"/>
  <c r="I89" i="5" s="1"/>
  <c r="I89" i="6"/>
  <c r="Q89" i="6"/>
  <c r="E89" i="4"/>
  <c r="E89" i="5" s="1"/>
  <c r="G89" i="6"/>
  <c r="S89" i="6"/>
  <c r="Q89" i="4"/>
  <c r="Q89" i="5" s="1"/>
  <c r="P89" i="4"/>
  <c r="P89" i="5" s="1"/>
  <c r="P89" i="6"/>
  <c r="T89" i="6"/>
  <c r="V89" i="4"/>
  <c r="V89" i="5" s="1"/>
  <c r="J89" i="4"/>
  <c r="J89" i="5" s="1"/>
  <c r="E89" i="6"/>
  <c r="L89" i="6"/>
  <c r="J89" i="6"/>
  <c r="M89" i="4"/>
  <c r="M89" i="5" s="1"/>
  <c r="D89" i="6"/>
  <c r="U89" i="6"/>
  <c r="O89" i="6"/>
  <c r="N89" i="6"/>
  <c r="R89" i="4"/>
  <c r="R89" i="5" s="1"/>
  <c r="F89" i="4"/>
  <c r="F89" i="5" s="1"/>
  <c r="V89" i="6"/>
  <c r="H89" i="4"/>
  <c r="H89" i="5" s="1"/>
  <c r="S89" i="4"/>
  <c r="S89" i="5" s="1"/>
  <c r="H89" i="6"/>
  <c r="N89" i="4"/>
  <c r="N89" i="5" s="1"/>
  <c r="T89" i="4"/>
  <c r="T89" i="5" s="1"/>
  <c r="D89" i="4"/>
  <c r="D89" i="5" s="1"/>
  <c r="M89" i="6"/>
  <c r="O89" i="4"/>
  <c r="O89" i="5" s="1"/>
  <c r="L89" i="4"/>
  <c r="L89" i="5" s="1"/>
  <c r="F89" i="6"/>
  <c r="K451" i="6"/>
  <c r="Q451" i="4"/>
  <c r="Q451" i="5" s="1"/>
  <c r="Q451" i="6"/>
  <c r="H451" i="6"/>
  <c r="M451" i="6"/>
  <c r="O451" i="4"/>
  <c r="O451" i="5" s="1"/>
  <c r="F451" i="4"/>
  <c r="F451" i="5" s="1"/>
  <c r="P451" i="4"/>
  <c r="P451" i="5" s="1"/>
  <c r="N451" i="4"/>
  <c r="N451" i="5" s="1"/>
  <c r="P451" i="6"/>
  <c r="J451" i="6"/>
  <c r="T451" i="6"/>
  <c r="L451" i="4"/>
  <c r="L451" i="5" s="1"/>
  <c r="H451" i="4"/>
  <c r="H451" i="5" s="1"/>
  <c r="G451" i="6"/>
  <c r="I451" i="6"/>
  <c r="E451" i="4"/>
  <c r="E451" i="5" s="1"/>
  <c r="S451" i="4"/>
  <c r="S451" i="5" s="1"/>
  <c r="O451" i="6"/>
  <c r="E451" i="6"/>
  <c r="D451" i="4"/>
  <c r="D451" i="5" s="1"/>
  <c r="V451" i="4"/>
  <c r="V451" i="5" s="1"/>
  <c r="K451" i="4"/>
  <c r="K451" i="5" s="1"/>
  <c r="J451" i="4"/>
  <c r="J451" i="5" s="1"/>
  <c r="V451" i="6"/>
  <c r="F451" i="6"/>
  <c r="R451" i="4"/>
  <c r="R451" i="5" s="1"/>
  <c r="G451" i="4"/>
  <c r="G451" i="5" s="1"/>
  <c r="D451" i="6"/>
  <c r="U451" i="6"/>
  <c r="R451" i="6"/>
  <c r="L451" i="6"/>
  <c r="M451" i="4"/>
  <c r="M451" i="5" s="1"/>
  <c r="I451" i="4"/>
  <c r="I451" i="5" s="1"/>
  <c r="S451" i="6"/>
  <c r="N451" i="6"/>
  <c r="T451" i="4"/>
  <c r="T451" i="5" s="1"/>
  <c r="U451" i="4"/>
  <c r="U451" i="5" s="1"/>
  <c r="O400" i="6"/>
  <c r="O400" i="4"/>
  <c r="O400" i="5" s="1"/>
  <c r="S400" i="6"/>
  <c r="S400" i="4"/>
  <c r="S400" i="5" s="1"/>
  <c r="H400" i="6"/>
  <c r="N400" i="4"/>
  <c r="N400" i="5" s="1"/>
  <c r="F400" i="4"/>
  <c r="F400" i="5" s="1"/>
  <c r="D400" i="4"/>
  <c r="D400" i="5" s="1"/>
  <c r="J400" i="4"/>
  <c r="J400" i="5" s="1"/>
  <c r="R400" i="6"/>
  <c r="I400" i="4"/>
  <c r="I400" i="5" s="1"/>
  <c r="M400" i="4"/>
  <c r="M400" i="5" s="1"/>
  <c r="J400" i="6"/>
  <c r="R400" i="4"/>
  <c r="R400" i="5" s="1"/>
  <c r="N400" i="6"/>
  <c r="Q400" i="4"/>
  <c r="Q400" i="5" s="1"/>
  <c r="E400" i="6"/>
  <c r="H400" i="4"/>
  <c r="H400" i="5" s="1"/>
  <c r="Q400" i="6"/>
  <c r="U400" i="4"/>
  <c r="U400" i="5" s="1"/>
  <c r="G400" i="4"/>
  <c r="G400" i="5" s="1"/>
  <c r="K400" i="4"/>
  <c r="K400" i="5" s="1"/>
  <c r="T400" i="6"/>
  <c r="I400" i="6"/>
  <c r="E400" i="4"/>
  <c r="E400" i="5" s="1"/>
  <c r="U400" i="6"/>
  <c r="P400" i="4"/>
  <c r="P400" i="5" s="1"/>
  <c r="M400" i="6"/>
  <c r="D400" i="6"/>
  <c r="G400" i="6"/>
  <c r="V400" i="4"/>
  <c r="V400" i="5" s="1"/>
  <c r="L400" i="6"/>
  <c r="L400" i="4"/>
  <c r="L400" i="5" s="1"/>
  <c r="P400" i="6"/>
  <c r="K400" i="6"/>
  <c r="F400" i="6"/>
  <c r="V400" i="6"/>
  <c r="T400" i="4"/>
  <c r="T400" i="5" s="1"/>
  <c r="G313" i="6"/>
  <c r="E313" i="4"/>
  <c r="E313" i="5" s="1"/>
  <c r="U313" i="4"/>
  <c r="U313" i="5" s="1"/>
  <c r="I313" i="6"/>
  <c r="P313" i="6"/>
  <c r="S313" i="6"/>
  <c r="G313" i="4"/>
  <c r="G313" i="5" s="1"/>
  <c r="R313" i="6"/>
  <c r="N313" i="6"/>
  <c r="M313" i="4"/>
  <c r="M313" i="5" s="1"/>
  <c r="L313" i="4"/>
  <c r="L313" i="5" s="1"/>
  <c r="T313" i="6"/>
  <c r="J313" i="6"/>
  <c r="M313" i="6"/>
  <c r="P313" i="4"/>
  <c r="P313" i="5" s="1"/>
  <c r="S313" i="4"/>
  <c r="S313" i="5" s="1"/>
  <c r="O313" i="4"/>
  <c r="O313" i="5" s="1"/>
  <c r="T313" i="4"/>
  <c r="T313" i="5" s="1"/>
  <c r="Q271" i="6"/>
  <c r="O271" i="6"/>
  <c r="S271" i="6"/>
  <c r="V271" i="4"/>
  <c r="V271" i="5" s="1"/>
  <c r="T271" i="4"/>
  <c r="T271" i="5" s="1"/>
  <c r="L271" i="6"/>
  <c r="V271" i="6"/>
  <c r="R271" i="4"/>
  <c r="R271" i="5" s="1"/>
  <c r="Q271" i="4"/>
  <c r="Q271" i="5" s="1"/>
  <c r="M271" i="4"/>
  <c r="M271" i="5" s="1"/>
  <c r="O271" i="4"/>
  <c r="O271" i="5" s="1"/>
  <c r="P271" i="6"/>
  <c r="R271" i="6"/>
  <c r="F271" i="6"/>
  <c r="I271" i="6"/>
  <c r="P271" i="4"/>
  <c r="P271" i="5" s="1"/>
  <c r="I271" i="4"/>
  <c r="I271" i="5" s="1"/>
  <c r="N271" i="4"/>
  <c r="N271" i="5" s="1"/>
  <c r="F220" i="6"/>
  <c r="N220" i="6"/>
  <c r="H220" i="4"/>
  <c r="H220" i="5" s="1"/>
  <c r="P220" i="4"/>
  <c r="P220" i="5" s="1"/>
  <c r="D220" i="4"/>
  <c r="D220" i="5" s="1"/>
  <c r="L220" i="6"/>
  <c r="T220" i="6"/>
  <c r="N220" i="4"/>
  <c r="N220" i="5" s="1"/>
  <c r="S220" i="6"/>
  <c r="G220" i="6"/>
  <c r="I220" i="4"/>
  <c r="I220" i="5" s="1"/>
  <c r="M220" i="4"/>
  <c r="M220" i="5" s="1"/>
  <c r="S220" i="4"/>
  <c r="S220" i="5" s="1"/>
  <c r="E220" i="6"/>
  <c r="O220" i="4"/>
  <c r="O220" i="5" s="1"/>
  <c r="M220" i="6"/>
  <c r="J220" i="6"/>
  <c r="L220" i="4"/>
  <c r="L220" i="5" s="1"/>
  <c r="H220" i="6"/>
  <c r="J220" i="4"/>
  <c r="J220" i="5" s="1"/>
  <c r="O220" i="6"/>
  <c r="U220" i="4"/>
  <c r="U220" i="5" s="1"/>
  <c r="G220" i="4"/>
  <c r="G220" i="5" s="1"/>
  <c r="U220" i="6"/>
  <c r="D220" i="6"/>
  <c r="T220" i="4"/>
  <c r="T220" i="5" s="1"/>
  <c r="R220" i="4"/>
  <c r="R220" i="5" s="1"/>
  <c r="E220" i="4"/>
  <c r="E220" i="5" s="1"/>
  <c r="Q220" i="6"/>
  <c r="V220" i="6"/>
  <c r="P220" i="6"/>
  <c r="Q220" i="4"/>
  <c r="Q220" i="5" s="1"/>
  <c r="I220" i="6"/>
  <c r="N114" i="6"/>
  <c r="D114" i="4"/>
  <c r="D114" i="5" s="1"/>
  <c r="G114" i="4"/>
  <c r="G114" i="5" s="1"/>
  <c r="Q114" i="6"/>
  <c r="U114" i="4"/>
  <c r="U114" i="5" s="1"/>
  <c r="S114" i="6"/>
  <c r="L114" i="6"/>
  <c r="I114" i="4"/>
  <c r="I114" i="5" s="1"/>
  <c r="K114" i="6"/>
  <c r="U114" i="6"/>
  <c r="F114" i="6"/>
  <c r="G114" i="6"/>
  <c r="T114" i="6"/>
  <c r="M67" i="4"/>
  <c r="M67" i="5" s="1"/>
  <c r="H67" i="4"/>
  <c r="H67" i="5" s="1"/>
  <c r="K67" i="6"/>
  <c r="S67" i="6"/>
  <c r="K67" i="4"/>
  <c r="K67" i="5" s="1"/>
  <c r="Q67" i="4"/>
  <c r="Q67" i="5" s="1"/>
  <c r="U67" i="4"/>
  <c r="U67" i="5" s="1"/>
  <c r="I67" i="6"/>
  <c r="Q67" i="6"/>
  <c r="O67" i="4"/>
  <c r="O67" i="5" s="1"/>
  <c r="L67" i="4"/>
  <c r="L67" i="5" s="1"/>
  <c r="P67" i="4"/>
  <c r="P67" i="5" s="1"/>
  <c r="F67" i="4"/>
  <c r="F67" i="5" s="1"/>
  <c r="N67" i="6"/>
  <c r="F67" i="6"/>
  <c r="N67" i="4"/>
  <c r="N67" i="5" s="1"/>
  <c r="R67" i="4"/>
  <c r="R67" i="5" s="1"/>
  <c r="T67" i="4"/>
  <c r="T67" i="5" s="1"/>
  <c r="V67" i="6"/>
  <c r="D67" i="4"/>
  <c r="D67" i="5" s="1"/>
  <c r="G67" i="6"/>
  <c r="S67" i="4"/>
  <c r="S67" i="5" s="1"/>
  <c r="I67" i="4"/>
  <c r="I67" i="5" s="1"/>
  <c r="M67" i="6"/>
  <c r="G67" i="4"/>
  <c r="G67" i="5" s="1"/>
  <c r="T67" i="6"/>
  <c r="V67" i="4"/>
  <c r="V67" i="5" s="1"/>
  <c r="R67" i="6"/>
  <c r="P67" i="6"/>
  <c r="O67" i="6"/>
  <c r="E67" i="6"/>
  <c r="L67" i="6"/>
  <c r="J67" i="6"/>
  <c r="E67" i="4"/>
  <c r="E67" i="5" s="1"/>
  <c r="D67" i="6"/>
  <c r="U67" i="6"/>
  <c r="J67" i="4"/>
  <c r="J67" i="5" s="1"/>
  <c r="H67" i="6"/>
  <c r="S447" i="4"/>
  <c r="S447" i="5" s="1"/>
  <c r="K447" i="4"/>
  <c r="K447" i="5" s="1"/>
  <c r="S447" i="6"/>
  <c r="G447" i="4"/>
  <c r="G447" i="5" s="1"/>
  <c r="D447" i="4"/>
  <c r="D447" i="5" s="1"/>
  <c r="O447" i="6"/>
  <c r="I447" i="4"/>
  <c r="I447" i="5" s="1"/>
  <c r="Q447" i="4"/>
  <c r="Q447" i="5" s="1"/>
  <c r="D447" i="6"/>
  <c r="O447" i="4"/>
  <c r="O447" i="5" s="1"/>
  <c r="N447" i="4"/>
  <c r="N447" i="5" s="1"/>
  <c r="V447" i="6"/>
  <c r="L447" i="6"/>
  <c r="L447" i="4"/>
  <c r="L447" i="5" s="1"/>
  <c r="T447" i="6"/>
  <c r="N447" i="6"/>
  <c r="U447" i="6"/>
  <c r="I447" i="6"/>
  <c r="G447" i="6"/>
  <c r="M447" i="4"/>
  <c r="M447" i="5" s="1"/>
  <c r="Q447" i="6"/>
  <c r="P447" i="6"/>
  <c r="R447" i="6"/>
  <c r="V447" i="4"/>
  <c r="V447" i="5" s="1"/>
  <c r="F447" i="4"/>
  <c r="F447" i="5" s="1"/>
  <c r="J447" i="4"/>
  <c r="J447" i="5" s="1"/>
  <c r="H447" i="4"/>
  <c r="H447" i="5" s="1"/>
  <c r="E447" i="6"/>
  <c r="M447" i="6"/>
  <c r="U447" i="4"/>
  <c r="U447" i="5" s="1"/>
  <c r="H447" i="6"/>
  <c r="R447" i="4"/>
  <c r="R447" i="5" s="1"/>
  <c r="P447" i="4"/>
  <c r="P447" i="5" s="1"/>
  <c r="K447" i="6"/>
  <c r="E447" i="4"/>
  <c r="E447" i="5" s="1"/>
  <c r="J447" i="6"/>
  <c r="F447" i="6"/>
  <c r="T447" i="4"/>
  <c r="T447" i="5" s="1"/>
  <c r="I361" i="4"/>
  <c r="I361" i="5" s="1"/>
  <c r="Q361" i="6"/>
  <c r="E361" i="6"/>
  <c r="G361" i="6"/>
  <c r="I361" i="6"/>
  <c r="S361" i="4"/>
  <c r="S361" i="5" s="1"/>
  <c r="S361" i="6"/>
  <c r="N361" i="4"/>
  <c r="N361" i="5" s="1"/>
  <c r="J361" i="6"/>
  <c r="F361" i="6"/>
  <c r="R361" i="6"/>
  <c r="T361" i="4"/>
  <c r="T361" i="5" s="1"/>
  <c r="L361" i="6"/>
  <c r="H361" i="6"/>
  <c r="D361" i="4"/>
  <c r="D361" i="5" s="1"/>
  <c r="Q361" i="4"/>
  <c r="Q361" i="5" s="1"/>
  <c r="G361" i="4"/>
  <c r="G361" i="5" s="1"/>
  <c r="D361" i="6"/>
  <c r="U361" i="4"/>
  <c r="U361" i="5" s="1"/>
  <c r="K361" i="4"/>
  <c r="K361" i="5" s="1"/>
  <c r="F361" i="4"/>
  <c r="F361" i="5" s="1"/>
  <c r="R361" i="4"/>
  <c r="R361" i="5" s="1"/>
  <c r="V361" i="4"/>
  <c r="V361" i="5" s="1"/>
  <c r="T361" i="6"/>
  <c r="H361" i="4"/>
  <c r="H361" i="5" s="1"/>
  <c r="L361" i="4"/>
  <c r="L361" i="5" s="1"/>
  <c r="M361" i="4"/>
  <c r="M361" i="5" s="1"/>
  <c r="O361" i="6"/>
  <c r="U361" i="6"/>
  <c r="J361" i="4"/>
  <c r="J361" i="5" s="1"/>
  <c r="V361" i="6"/>
  <c r="N361" i="6"/>
  <c r="M361" i="6"/>
  <c r="O361" i="4"/>
  <c r="O361" i="5" s="1"/>
  <c r="E361" i="4"/>
  <c r="E361" i="5" s="1"/>
  <c r="K361" i="6"/>
  <c r="P361" i="4"/>
  <c r="P361" i="5" s="1"/>
  <c r="P361" i="6"/>
  <c r="L279" i="6"/>
  <c r="E279" i="4"/>
  <c r="E279" i="5" s="1"/>
  <c r="D279" i="6"/>
  <c r="Q279" i="6"/>
  <c r="F279" i="4"/>
  <c r="F279" i="5" s="1"/>
  <c r="J279" i="6"/>
  <c r="I279" i="4"/>
  <c r="I279" i="5" s="1"/>
  <c r="F279" i="6"/>
  <c r="Q279" i="4"/>
  <c r="Q279" i="5" s="1"/>
  <c r="D279" i="4"/>
  <c r="D279" i="5" s="1"/>
  <c r="V279" i="4"/>
  <c r="V279" i="5" s="1"/>
  <c r="T279" i="4"/>
  <c r="T279" i="5" s="1"/>
  <c r="M279" i="4"/>
  <c r="M279" i="5" s="1"/>
  <c r="K279" i="6"/>
  <c r="S279" i="4"/>
  <c r="S279" i="5" s="1"/>
  <c r="K279" i="4"/>
  <c r="K279" i="5" s="1"/>
  <c r="O279" i="6"/>
  <c r="E279" i="6"/>
  <c r="J279" i="4"/>
  <c r="J279" i="5" s="1"/>
  <c r="N279" i="6"/>
  <c r="V279" i="6"/>
  <c r="R279" i="4"/>
  <c r="R279" i="5" s="1"/>
  <c r="M279" i="6"/>
  <c r="P279" i="4"/>
  <c r="P279" i="5" s="1"/>
  <c r="R279" i="6"/>
  <c r="G279" i="4"/>
  <c r="G279" i="5" s="1"/>
  <c r="G279" i="6"/>
  <c r="U279" i="4"/>
  <c r="U279" i="5" s="1"/>
  <c r="S279" i="6"/>
  <c r="P279" i="6"/>
  <c r="N279" i="4"/>
  <c r="N279" i="5" s="1"/>
  <c r="U279" i="6"/>
  <c r="H279" i="6"/>
  <c r="T279" i="6"/>
  <c r="H279" i="4"/>
  <c r="H279" i="5" s="1"/>
  <c r="L279" i="4"/>
  <c r="L279" i="5" s="1"/>
  <c r="I279" i="6"/>
  <c r="O279" i="4"/>
  <c r="O279" i="5" s="1"/>
  <c r="M253" i="4"/>
  <c r="M253" i="5" s="1"/>
  <c r="D253" i="4"/>
  <c r="D253" i="5" s="1"/>
  <c r="U253" i="4"/>
  <c r="U253" i="5" s="1"/>
  <c r="V253" i="4"/>
  <c r="V253" i="5" s="1"/>
  <c r="L253" i="6"/>
  <c r="E253" i="6"/>
  <c r="K253" i="4"/>
  <c r="K253" i="5" s="1"/>
  <c r="J253" i="4"/>
  <c r="J253" i="5" s="1"/>
  <c r="P253" i="4"/>
  <c r="P253" i="5" s="1"/>
  <c r="I253" i="6"/>
  <c r="U253" i="6"/>
  <c r="N253" i="4"/>
  <c r="N253" i="5" s="1"/>
  <c r="G253" i="4"/>
  <c r="G253" i="5" s="1"/>
  <c r="T253" i="4"/>
  <c r="T253" i="5" s="1"/>
  <c r="L253" i="4"/>
  <c r="L253" i="5" s="1"/>
  <c r="O253" i="4"/>
  <c r="O253" i="5" s="1"/>
  <c r="Q253" i="4"/>
  <c r="Q253" i="5" s="1"/>
  <c r="E253" i="4"/>
  <c r="E253" i="5" s="1"/>
  <c r="L230" i="4"/>
  <c r="L230" i="5" s="1"/>
  <c r="P230" i="4"/>
  <c r="P230" i="5" s="1"/>
  <c r="J230" i="4"/>
  <c r="J230" i="5" s="1"/>
  <c r="T230" i="6"/>
  <c r="D230" i="6"/>
  <c r="R230" i="6"/>
  <c r="G230" i="4"/>
  <c r="G230" i="5" s="1"/>
  <c r="U230" i="4"/>
  <c r="U230" i="5" s="1"/>
  <c r="S230" i="4"/>
  <c r="S230" i="5" s="1"/>
  <c r="H230" i="4"/>
  <c r="H230" i="5" s="1"/>
  <c r="L230" i="6"/>
  <c r="J230" i="6"/>
  <c r="Q230" i="6"/>
  <c r="D230" i="4"/>
  <c r="D230" i="5" s="1"/>
  <c r="P230" i="6"/>
  <c r="I230" i="4"/>
  <c r="I230" i="5" s="1"/>
  <c r="F230" i="6"/>
  <c r="E230" i="6"/>
  <c r="I185" i="6"/>
  <c r="D185" i="6"/>
  <c r="M185" i="4"/>
  <c r="M185" i="5" s="1"/>
  <c r="F185" i="4"/>
  <c r="F185" i="5" s="1"/>
  <c r="N185" i="4"/>
  <c r="N185" i="5" s="1"/>
  <c r="R185" i="4"/>
  <c r="R185" i="5" s="1"/>
  <c r="H185" i="4"/>
  <c r="H185" i="5" s="1"/>
  <c r="V185" i="6"/>
  <c r="H185" i="6"/>
  <c r="V185" i="4"/>
  <c r="V185" i="5" s="1"/>
  <c r="F185" i="6"/>
  <c r="Q185" i="4"/>
  <c r="Q185" i="5" s="1"/>
  <c r="K185" i="6"/>
  <c r="E185" i="4"/>
  <c r="E185" i="5" s="1"/>
  <c r="K185" i="4"/>
  <c r="K185" i="5" s="1"/>
  <c r="L185" i="6"/>
  <c r="O185" i="6"/>
  <c r="I185" i="4"/>
  <c r="I185" i="5" s="1"/>
  <c r="O185" i="4"/>
  <c r="O185" i="5" s="1"/>
  <c r="U185" i="6"/>
  <c r="M185" i="6"/>
  <c r="P185" i="4"/>
  <c r="P185" i="5" s="1"/>
  <c r="T185" i="4"/>
  <c r="T185" i="5" s="1"/>
  <c r="T185" i="6"/>
  <c r="U185" i="4"/>
  <c r="U185" i="5" s="1"/>
  <c r="Q185" i="6"/>
  <c r="J185" i="4"/>
  <c r="J185" i="5" s="1"/>
  <c r="G185" i="6"/>
  <c r="G185" i="4"/>
  <c r="G185" i="5" s="1"/>
  <c r="L185" i="4"/>
  <c r="L185" i="5" s="1"/>
  <c r="N185" i="6"/>
  <c r="E185" i="6"/>
  <c r="R185" i="6"/>
  <c r="S185" i="6"/>
  <c r="P185" i="6"/>
  <c r="J185" i="6"/>
  <c r="S185" i="4"/>
  <c r="S185" i="5" s="1"/>
  <c r="D185" i="4"/>
  <c r="D185" i="5" s="1"/>
  <c r="J140" i="4"/>
  <c r="J140" i="5" s="1"/>
  <c r="I140" i="6"/>
  <c r="K140" i="4"/>
  <c r="K140" i="5" s="1"/>
  <c r="M140" i="6"/>
  <c r="R140" i="6"/>
  <c r="O140" i="6"/>
  <c r="U140" i="4"/>
  <c r="U140" i="5" s="1"/>
  <c r="E140" i="4"/>
  <c r="E140" i="5" s="1"/>
  <c r="O140" i="4"/>
  <c r="O140" i="5" s="1"/>
  <c r="U140" i="6"/>
  <c r="K140" i="6"/>
  <c r="G140" i="6"/>
  <c r="T140" i="6"/>
  <c r="L140" i="4"/>
  <c r="L140" i="5" s="1"/>
  <c r="H140" i="6"/>
  <c r="N140" i="6"/>
  <c r="H140" i="4"/>
  <c r="H140" i="5" s="1"/>
  <c r="L140" i="6"/>
  <c r="N140" i="4"/>
  <c r="N140" i="5" s="1"/>
  <c r="Q140" i="4"/>
  <c r="Q140" i="5" s="1"/>
  <c r="F140" i="4"/>
  <c r="F140" i="5" s="1"/>
  <c r="I140" i="4"/>
  <c r="I140" i="5" s="1"/>
  <c r="M140" i="4"/>
  <c r="M140" i="5" s="1"/>
  <c r="G140" i="4"/>
  <c r="G140" i="5" s="1"/>
  <c r="Q140" i="6"/>
  <c r="P140" i="6"/>
  <c r="R140" i="4"/>
  <c r="R140" i="5" s="1"/>
  <c r="V140" i="6"/>
  <c r="T140" i="4"/>
  <c r="T140" i="5" s="1"/>
  <c r="S140" i="4"/>
  <c r="S140" i="5" s="1"/>
  <c r="D140" i="4"/>
  <c r="D140" i="5" s="1"/>
  <c r="E140" i="6"/>
  <c r="F140" i="6"/>
  <c r="P140" i="4"/>
  <c r="P140" i="5" s="1"/>
  <c r="S140" i="6"/>
  <c r="D140" i="6"/>
  <c r="V140" i="4"/>
  <c r="V140" i="5" s="1"/>
  <c r="J140" i="6"/>
  <c r="T17" i="6"/>
  <c r="D17" i="4"/>
  <c r="D17" i="5" s="1"/>
  <c r="S17" i="6"/>
  <c r="S17" i="4"/>
  <c r="S17" i="5" s="1"/>
  <c r="I17" i="6"/>
  <c r="T17" i="4"/>
  <c r="T17" i="5" s="1"/>
  <c r="K17" i="6"/>
  <c r="R17" i="6"/>
  <c r="L17" i="4"/>
  <c r="L17" i="5" s="1"/>
  <c r="P17" i="6"/>
  <c r="F17" i="4"/>
  <c r="F17" i="5" s="1"/>
  <c r="E17" i="6"/>
  <c r="K17" i="4"/>
  <c r="K17" i="5" s="1"/>
  <c r="R17" i="4"/>
  <c r="R17" i="5" s="1"/>
  <c r="P17" i="4"/>
  <c r="P17" i="5" s="1"/>
  <c r="N17" i="4"/>
  <c r="N17" i="5" s="1"/>
  <c r="O17" i="6"/>
  <c r="F17" i="6"/>
  <c r="E17" i="4"/>
  <c r="E17" i="5" s="1"/>
  <c r="D17" i="6"/>
  <c r="Q17" i="6"/>
  <c r="V17" i="6"/>
  <c r="M17" i="6"/>
  <c r="L17" i="6"/>
  <c r="V17" i="4"/>
  <c r="V17" i="5" s="1"/>
  <c r="M17" i="4"/>
  <c r="M17" i="5" s="1"/>
  <c r="U17" i="4"/>
  <c r="U17" i="5" s="1"/>
  <c r="J17" i="4"/>
  <c r="J17" i="5" s="1"/>
  <c r="N17" i="6"/>
  <c r="I17" i="4"/>
  <c r="I17" i="5" s="1"/>
  <c r="H17" i="4"/>
  <c r="H17" i="5" s="1"/>
  <c r="G17" i="6"/>
  <c r="J17" i="6"/>
  <c r="Q17" i="4"/>
  <c r="Q17" i="5" s="1"/>
  <c r="G17" i="4"/>
  <c r="G17" i="5" s="1"/>
  <c r="U17" i="6"/>
  <c r="H17" i="6"/>
  <c r="O17" i="4"/>
  <c r="O17" i="5" s="1"/>
  <c r="K72" i="6"/>
  <c r="U72" i="6"/>
  <c r="M72" i="6"/>
  <c r="K72" i="4"/>
  <c r="K72" i="5" s="1"/>
  <c r="U72" i="4"/>
  <c r="U72" i="5" s="1"/>
  <c r="I72" i="6"/>
  <c r="N72" i="4"/>
  <c r="N72" i="5" s="1"/>
  <c r="S72" i="4"/>
  <c r="S72" i="5" s="1"/>
  <c r="M72" i="4"/>
  <c r="M72" i="5" s="1"/>
  <c r="J72" i="4"/>
  <c r="J72" i="5" s="1"/>
  <c r="L72" i="6"/>
  <c r="V72" i="6"/>
  <c r="P72" i="6"/>
  <c r="F72" i="6"/>
  <c r="T72" i="6"/>
  <c r="H72" i="4"/>
  <c r="H72" i="5" s="1"/>
  <c r="R72" i="6"/>
  <c r="H72" i="6"/>
  <c r="Q72" i="6"/>
  <c r="S72" i="6"/>
  <c r="Q72" i="4"/>
  <c r="Q72" i="5" s="1"/>
  <c r="O72" i="4"/>
  <c r="O72" i="5" s="1"/>
  <c r="O72" i="6"/>
  <c r="T72" i="4"/>
  <c r="T72" i="5" s="1"/>
  <c r="F72" i="4"/>
  <c r="F72" i="5" s="1"/>
  <c r="V72" i="4"/>
  <c r="V72" i="5" s="1"/>
  <c r="N72" i="6"/>
  <c r="G72" i="6"/>
  <c r="G72" i="4"/>
  <c r="G72" i="5" s="1"/>
  <c r="P72" i="4"/>
  <c r="P72" i="5" s="1"/>
  <c r="L72" i="4"/>
  <c r="L72" i="5" s="1"/>
  <c r="D72" i="6"/>
  <c r="D72" i="4"/>
  <c r="D72" i="5" s="1"/>
  <c r="I72" i="4"/>
  <c r="I72" i="5" s="1"/>
  <c r="J72" i="6"/>
  <c r="R72" i="4"/>
  <c r="R72" i="5" s="1"/>
  <c r="R278" i="6"/>
  <c r="H278" i="4"/>
  <c r="H278" i="5" s="1"/>
  <c r="J278" i="4"/>
  <c r="J278" i="5" s="1"/>
  <c r="R278" i="4"/>
  <c r="R278" i="5" s="1"/>
  <c r="M278" i="6"/>
  <c r="Q278" i="4"/>
  <c r="Q278" i="5" s="1"/>
  <c r="K278" i="4"/>
  <c r="K278" i="5" s="1"/>
  <c r="M278" i="4"/>
  <c r="M278" i="5" s="1"/>
  <c r="N278" i="6"/>
  <c r="F278" i="6"/>
  <c r="F278" i="4"/>
  <c r="F278" i="5" s="1"/>
  <c r="V278" i="4"/>
  <c r="V278" i="5" s="1"/>
  <c r="Q278" i="6"/>
  <c r="O278" i="6"/>
  <c r="G278" i="6"/>
  <c r="I278" i="4"/>
  <c r="I278" i="5" s="1"/>
  <c r="U278" i="4"/>
  <c r="U278" i="5" s="1"/>
  <c r="J278" i="6"/>
  <c r="U278" i="6"/>
  <c r="S278" i="6"/>
  <c r="S278" i="4"/>
  <c r="S278" i="5" s="1"/>
  <c r="N278" i="4"/>
  <c r="N278" i="5" s="1"/>
  <c r="D278" i="6"/>
  <c r="I278" i="6"/>
  <c r="E278" i="4"/>
  <c r="E278" i="5" s="1"/>
  <c r="L278" i="4"/>
  <c r="L278" i="5" s="1"/>
  <c r="L278" i="6"/>
  <c r="T278" i="4"/>
  <c r="T278" i="5" s="1"/>
  <c r="G278" i="4"/>
  <c r="G278" i="5" s="1"/>
  <c r="K278" i="6"/>
  <c r="E278" i="6"/>
  <c r="O278" i="4"/>
  <c r="O278" i="5" s="1"/>
  <c r="D278" i="4"/>
  <c r="D278" i="5" s="1"/>
  <c r="V278" i="6"/>
  <c r="O434" i="6"/>
  <c r="E434" i="6"/>
  <c r="K434" i="4"/>
  <c r="K434" i="5" s="1"/>
  <c r="M434" i="4"/>
  <c r="M434" i="5" s="1"/>
  <c r="J434" i="6"/>
  <c r="V434" i="6"/>
  <c r="F434" i="4"/>
  <c r="F434" i="5" s="1"/>
  <c r="U434" i="6"/>
  <c r="Q434" i="4"/>
  <c r="Q434" i="5" s="1"/>
  <c r="S434" i="4"/>
  <c r="S434" i="5" s="1"/>
  <c r="I434" i="6"/>
  <c r="D434" i="6"/>
  <c r="D434" i="4"/>
  <c r="D434" i="5" s="1"/>
  <c r="L434" i="4"/>
  <c r="L434" i="5" s="1"/>
  <c r="P434" i="4"/>
  <c r="P434" i="5" s="1"/>
  <c r="G434" i="4"/>
  <c r="G434" i="5" s="1"/>
  <c r="Q434" i="6"/>
  <c r="F434" i="6"/>
  <c r="H434" i="4"/>
  <c r="H434" i="5" s="1"/>
  <c r="E434" i="4"/>
  <c r="E434" i="5" s="1"/>
  <c r="M434" i="6"/>
  <c r="U434" i="4"/>
  <c r="U434" i="5" s="1"/>
  <c r="V434" i="4"/>
  <c r="V434" i="5" s="1"/>
  <c r="K434" i="6"/>
  <c r="S434" i="6"/>
  <c r="I434" i="4"/>
  <c r="I434" i="5" s="1"/>
  <c r="L434" i="6"/>
  <c r="H434" i="6"/>
  <c r="J434" i="4"/>
  <c r="J434" i="5" s="1"/>
  <c r="O434" i="4"/>
  <c r="O434" i="5" s="1"/>
  <c r="G434" i="6"/>
  <c r="V150" i="4"/>
  <c r="V150" i="5" s="1"/>
  <c r="G150" i="6"/>
  <c r="M150" i="4"/>
  <c r="M150" i="5" s="1"/>
  <c r="U150" i="6"/>
  <c r="I150" i="6"/>
  <c r="G150" i="4"/>
  <c r="G150" i="5" s="1"/>
  <c r="R150" i="4"/>
  <c r="R150" i="5" s="1"/>
  <c r="T150" i="6"/>
  <c r="V150" i="6"/>
  <c r="O150" i="6"/>
  <c r="S150" i="4"/>
  <c r="S150" i="5" s="1"/>
  <c r="J150" i="6"/>
  <c r="D150" i="4"/>
  <c r="D150" i="5" s="1"/>
  <c r="U150" i="4"/>
  <c r="U150" i="5" s="1"/>
  <c r="H150" i="4"/>
  <c r="H150" i="5" s="1"/>
  <c r="Q150" i="6"/>
  <c r="L150" i="4"/>
  <c r="L150" i="5" s="1"/>
  <c r="N150" i="4"/>
  <c r="N150" i="5" s="1"/>
  <c r="R150" i="6"/>
  <c r="P150" i="6"/>
  <c r="E150" i="4"/>
  <c r="E150" i="5" s="1"/>
  <c r="L150" i="6"/>
  <c r="T150" i="4"/>
  <c r="T150" i="5" s="1"/>
  <c r="F150" i="6"/>
  <c r="I150" i="4"/>
  <c r="I150" i="5" s="1"/>
  <c r="S150" i="6"/>
  <c r="P150" i="4"/>
  <c r="P150" i="5" s="1"/>
  <c r="Q150" i="4"/>
  <c r="Q150" i="5" s="1"/>
  <c r="J150" i="4"/>
  <c r="J150" i="5" s="1"/>
  <c r="E150" i="6"/>
  <c r="F150" i="4"/>
  <c r="F150" i="5" s="1"/>
  <c r="M150" i="6"/>
  <c r="D150" i="6"/>
  <c r="N150" i="6"/>
  <c r="K150" i="6"/>
  <c r="O150" i="4"/>
  <c r="O150" i="5" s="1"/>
  <c r="K150" i="4"/>
  <c r="K150" i="5" s="1"/>
  <c r="H150" i="6"/>
  <c r="S26" i="4"/>
  <c r="S26" i="5" s="1"/>
  <c r="V26" i="4"/>
  <c r="V26" i="5" s="1"/>
  <c r="K26" i="6"/>
  <c r="K26" i="4"/>
  <c r="K26" i="5" s="1"/>
  <c r="G26" i="4"/>
  <c r="G26" i="5" s="1"/>
  <c r="I26" i="4"/>
  <c r="I26" i="5" s="1"/>
  <c r="S26" i="6"/>
  <c r="U26" i="6"/>
  <c r="I26" i="6"/>
  <c r="D26" i="4"/>
  <c r="D26" i="5" s="1"/>
  <c r="Q26" i="4"/>
  <c r="Q26" i="5" s="1"/>
  <c r="J26" i="6"/>
  <c r="P26" i="4"/>
  <c r="P26" i="5" s="1"/>
  <c r="E26" i="4"/>
  <c r="E26" i="5" s="1"/>
  <c r="F26" i="4"/>
  <c r="F26" i="5" s="1"/>
  <c r="P26" i="6"/>
  <c r="H26" i="6"/>
  <c r="O26" i="6"/>
  <c r="N26" i="6"/>
  <c r="J26" i="4"/>
  <c r="J26" i="5" s="1"/>
  <c r="M26" i="6"/>
  <c r="G26" i="6"/>
  <c r="T26" i="4"/>
  <c r="T26" i="5" s="1"/>
  <c r="V26" i="6"/>
  <c r="F26" i="6"/>
  <c r="L26" i="4"/>
  <c r="L26" i="5" s="1"/>
  <c r="D26" i="6"/>
  <c r="H26" i="4"/>
  <c r="H26" i="5" s="1"/>
  <c r="R26" i="6"/>
  <c r="E26" i="6"/>
  <c r="Q26" i="6"/>
  <c r="R26" i="4"/>
  <c r="R26" i="5" s="1"/>
  <c r="N26" i="4"/>
  <c r="N26" i="5" s="1"/>
  <c r="U26" i="4"/>
  <c r="U26" i="5" s="1"/>
  <c r="O26" i="4"/>
  <c r="O26" i="5" s="1"/>
  <c r="L26" i="6"/>
  <c r="T26" i="6"/>
  <c r="M26" i="4"/>
  <c r="M26" i="5" s="1"/>
  <c r="T533" i="6"/>
  <c r="T533" i="4"/>
  <c r="T533" i="5" s="1"/>
  <c r="L533" i="4"/>
  <c r="L533" i="5" s="1"/>
  <c r="S533" i="4"/>
  <c r="S533" i="5" s="1"/>
  <c r="D533" i="6"/>
  <c r="K533" i="6"/>
  <c r="R533" i="6"/>
  <c r="E533" i="4"/>
  <c r="E533" i="5" s="1"/>
  <c r="M533" i="4"/>
  <c r="M533" i="5" s="1"/>
  <c r="U533" i="4"/>
  <c r="U533" i="5" s="1"/>
  <c r="M533" i="6"/>
  <c r="G533" i="6"/>
  <c r="P533" i="6"/>
  <c r="H533" i="6"/>
  <c r="J533" i="4"/>
  <c r="J533" i="5" s="1"/>
  <c r="O533" i="4"/>
  <c r="O533" i="5" s="1"/>
  <c r="Q533" i="6"/>
  <c r="N533" i="6"/>
  <c r="F533" i="4"/>
  <c r="F533" i="5" s="1"/>
  <c r="H533" i="4"/>
  <c r="H533" i="5" s="1"/>
  <c r="P533" i="4"/>
  <c r="P533" i="5" s="1"/>
  <c r="I533" i="6"/>
  <c r="N533" i="4"/>
  <c r="N533" i="5" s="1"/>
  <c r="I533" i="4"/>
  <c r="I533" i="5" s="1"/>
  <c r="E533" i="6"/>
  <c r="F533" i="6"/>
  <c r="R533" i="4"/>
  <c r="R533" i="5" s="1"/>
  <c r="D533" i="4"/>
  <c r="D533" i="5" s="1"/>
  <c r="V533" i="4"/>
  <c r="V533" i="5" s="1"/>
  <c r="K533" i="4"/>
  <c r="K533" i="5" s="1"/>
  <c r="J533" i="6"/>
  <c r="U533" i="6"/>
  <c r="G533" i="4"/>
  <c r="G533" i="5" s="1"/>
  <c r="L533" i="6"/>
  <c r="O533" i="6"/>
  <c r="Q533" i="4"/>
  <c r="Q533" i="5" s="1"/>
  <c r="S533" i="6"/>
  <c r="V533" i="6"/>
  <c r="O127" i="6"/>
  <c r="Q127" i="4"/>
  <c r="Q127" i="5" s="1"/>
  <c r="J127" i="4"/>
  <c r="J127" i="5" s="1"/>
  <c r="G127" i="4"/>
  <c r="G127" i="5" s="1"/>
  <c r="T127" i="6"/>
  <c r="M127" i="4"/>
  <c r="M127" i="5" s="1"/>
  <c r="S127" i="6"/>
  <c r="L127" i="4"/>
  <c r="L127" i="5" s="1"/>
  <c r="F127" i="6"/>
  <c r="H127" i="4"/>
  <c r="H127" i="5" s="1"/>
  <c r="H127" i="6"/>
  <c r="U127" i="6"/>
  <c r="V127" i="6"/>
  <c r="E127" i="4"/>
  <c r="E127" i="5" s="1"/>
  <c r="V127" i="4"/>
  <c r="V127" i="5" s="1"/>
  <c r="R127" i="6"/>
  <c r="P127" i="6"/>
  <c r="L127" i="6"/>
  <c r="J127" i="6"/>
  <c r="Q127" i="6"/>
  <c r="M127" i="6"/>
  <c r="U127" i="4"/>
  <c r="U127" i="5" s="1"/>
  <c r="F127" i="4"/>
  <c r="F127" i="5" s="1"/>
  <c r="R127" i="4"/>
  <c r="R127" i="5" s="1"/>
  <c r="D127" i="4"/>
  <c r="D127" i="5" s="1"/>
  <c r="T127" i="4"/>
  <c r="T127" i="5" s="1"/>
  <c r="E127" i="6"/>
  <c r="O127" i="4"/>
  <c r="O127" i="5" s="1"/>
  <c r="G127" i="6"/>
  <c r="N127" i="6"/>
  <c r="I127" i="6"/>
  <c r="S127" i="4"/>
  <c r="S127" i="5" s="1"/>
  <c r="D127" i="6"/>
  <c r="N127" i="4"/>
  <c r="N127" i="5" s="1"/>
  <c r="I127" i="4"/>
  <c r="I127" i="5" s="1"/>
  <c r="P127" i="4"/>
  <c r="P127" i="5" s="1"/>
  <c r="D510" i="6"/>
  <c r="N510" i="6"/>
  <c r="T510" i="6"/>
  <c r="T510" i="4"/>
  <c r="T510" i="5" s="1"/>
  <c r="D510" i="4"/>
  <c r="D510" i="5" s="1"/>
  <c r="J510" i="4"/>
  <c r="J510" i="5" s="1"/>
  <c r="R510" i="6"/>
  <c r="M510" i="6"/>
  <c r="H510" i="6"/>
  <c r="H510" i="4"/>
  <c r="H510" i="5" s="1"/>
  <c r="N510" i="4"/>
  <c r="N510" i="5" s="1"/>
  <c r="U510" i="6"/>
  <c r="M510" i="4"/>
  <c r="M510" i="5" s="1"/>
  <c r="I510" i="6"/>
  <c r="S510" i="6"/>
  <c r="G510" i="6"/>
  <c r="U510" i="4"/>
  <c r="U510" i="5" s="1"/>
  <c r="E510" i="4"/>
  <c r="E510" i="5" s="1"/>
  <c r="Q510" i="4"/>
  <c r="Q510" i="5" s="1"/>
  <c r="F510" i="6"/>
  <c r="L510" i="4"/>
  <c r="L510" i="5" s="1"/>
  <c r="K510" i="6"/>
  <c r="L510" i="6"/>
  <c r="V510" i="4"/>
  <c r="V510" i="5" s="1"/>
  <c r="Q510" i="6"/>
  <c r="E510" i="6"/>
  <c r="G510" i="4"/>
  <c r="G510" i="5" s="1"/>
  <c r="S510" i="4"/>
  <c r="S510" i="5" s="1"/>
  <c r="P510" i="6"/>
  <c r="J510" i="6"/>
  <c r="F510" i="4"/>
  <c r="F510" i="5" s="1"/>
  <c r="O510" i="6"/>
  <c r="I510" i="4"/>
  <c r="I510" i="5" s="1"/>
  <c r="V510" i="6"/>
  <c r="P510" i="4"/>
  <c r="P510" i="5" s="1"/>
  <c r="O510" i="4"/>
  <c r="O510" i="5" s="1"/>
  <c r="R510" i="4"/>
  <c r="R510" i="5" s="1"/>
  <c r="K510" i="4"/>
  <c r="K510" i="5" s="1"/>
  <c r="N22" i="4"/>
  <c r="N22" i="5" s="1"/>
  <c r="H22" i="4"/>
  <c r="H22" i="5" s="1"/>
  <c r="U22" i="4"/>
  <c r="U22" i="5" s="1"/>
  <c r="I22" i="4"/>
  <c r="I22" i="5" s="1"/>
  <c r="L22" i="6"/>
  <c r="L22" i="4"/>
  <c r="L22" i="5" s="1"/>
  <c r="Q22" i="6"/>
  <c r="J22" i="4"/>
  <c r="J22" i="5" s="1"/>
  <c r="J22" i="6"/>
  <c r="M22" i="4"/>
  <c r="M22" i="5" s="1"/>
  <c r="F22" i="6"/>
  <c r="E22" i="4"/>
  <c r="E22" i="5" s="1"/>
  <c r="T22" i="6"/>
  <c r="P22" i="6"/>
  <c r="D22" i="4"/>
  <c r="D22" i="5" s="1"/>
  <c r="N22" i="6"/>
  <c r="S22" i="4"/>
  <c r="S22" i="5" s="1"/>
  <c r="V22" i="6"/>
  <c r="S22" i="6"/>
  <c r="G22" i="6"/>
  <c r="O22" i="6"/>
  <c r="D22" i="6"/>
  <c r="K22" i="6"/>
  <c r="R22" i="4"/>
  <c r="R22" i="5" s="1"/>
  <c r="I22" i="6"/>
  <c r="Q22" i="4"/>
  <c r="Q22" i="5" s="1"/>
  <c r="M22" i="6"/>
  <c r="G22" i="4"/>
  <c r="G22" i="5" s="1"/>
  <c r="U22" i="6"/>
  <c r="E22" i="6"/>
  <c r="O22" i="4"/>
  <c r="O22" i="5" s="1"/>
  <c r="R22" i="6"/>
  <c r="K22" i="4"/>
  <c r="K22" i="5" s="1"/>
  <c r="V22" i="4"/>
  <c r="V22" i="5" s="1"/>
  <c r="R349" i="4"/>
  <c r="R349" i="5" s="1"/>
  <c r="J349" i="4"/>
  <c r="J349" i="5" s="1"/>
  <c r="L349" i="4"/>
  <c r="L349" i="5" s="1"/>
  <c r="F349" i="4"/>
  <c r="F349" i="5" s="1"/>
  <c r="V349" i="4"/>
  <c r="V349" i="5" s="1"/>
  <c r="R349" i="6"/>
  <c r="H349" i="6"/>
  <c r="L349" i="6"/>
  <c r="S349" i="6"/>
  <c r="J349" i="6"/>
  <c r="I349" i="4"/>
  <c r="I349" i="5" s="1"/>
  <c r="Q349" i="4"/>
  <c r="Q349" i="5" s="1"/>
  <c r="G349" i="4"/>
  <c r="G349" i="5" s="1"/>
  <c r="O349" i="4"/>
  <c r="O349" i="5" s="1"/>
  <c r="I349" i="6"/>
  <c r="O349" i="6"/>
  <c r="G349" i="6"/>
  <c r="U349" i="6"/>
  <c r="H349" i="4"/>
  <c r="H349" i="5" s="1"/>
  <c r="D349" i="4"/>
  <c r="D349" i="5" s="1"/>
  <c r="N349" i="4"/>
  <c r="N349" i="5" s="1"/>
  <c r="D349" i="6"/>
  <c r="P349" i="6"/>
  <c r="V349" i="6"/>
  <c r="U349" i="4"/>
  <c r="U349" i="5" s="1"/>
  <c r="S349" i="4"/>
  <c r="S349" i="5" s="1"/>
  <c r="M349" i="6"/>
  <c r="T349" i="4"/>
  <c r="T349" i="5" s="1"/>
  <c r="T349" i="6"/>
  <c r="M349" i="4"/>
  <c r="M349" i="5" s="1"/>
  <c r="K349" i="6"/>
  <c r="P349" i="4"/>
  <c r="P349" i="5" s="1"/>
  <c r="F349" i="6"/>
  <c r="Q349" i="6"/>
  <c r="N349" i="6"/>
  <c r="K349" i="4"/>
  <c r="K349" i="5" s="1"/>
  <c r="V64" i="4"/>
  <c r="V64" i="5" s="1"/>
  <c r="K64" i="4"/>
  <c r="K64" i="5" s="1"/>
  <c r="S64" i="4"/>
  <c r="S64" i="5" s="1"/>
  <c r="P64" i="4"/>
  <c r="P64" i="5" s="1"/>
  <c r="V64" i="6"/>
  <c r="G64" i="4"/>
  <c r="G64" i="5" s="1"/>
  <c r="G64" i="6"/>
  <c r="L64" i="4"/>
  <c r="L64" i="5" s="1"/>
  <c r="F64" i="6"/>
  <c r="U64" i="4"/>
  <c r="U64" i="5" s="1"/>
  <c r="M64" i="6"/>
  <c r="P64" i="6"/>
  <c r="N64" i="4"/>
  <c r="N64" i="5" s="1"/>
  <c r="I64" i="6"/>
  <c r="T64" i="4"/>
  <c r="T64" i="5" s="1"/>
  <c r="E64" i="4"/>
  <c r="E64" i="5" s="1"/>
  <c r="N64" i="6"/>
  <c r="O64" i="6"/>
  <c r="S64" i="6"/>
  <c r="H64" i="4"/>
  <c r="H64" i="5" s="1"/>
  <c r="D64" i="6"/>
  <c r="R64" i="4"/>
  <c r="R64" i="5" s="1"/>
  <c r="T64" i="6"/>
  <c r="K64" i="6"/>
  <c r="R64" i="6"/>
  <c r="H64" i="6"/>
  <c r="U64" i="6"/>
  <c r="D64" i="4"/>
  <c r="D64" i="5" s="1"/>
  <c r="O64" i="4"/>
  <c r="O64" i="5" s="1"/>
  <c r="E64" i="6"/>
  <c r="M64" i="4"/>
  <c r="M64" i="5" s="1"/>
  <c r="L64" i="6"/>
  <c r="F64" i="4"/>
  <c r="F64" i="5" s="1"/>
  <c r="J64" i="4"/>
  <c r="J64" i="5" s="1"/>
  <c r="J64" i="6"/>
  <c r="F286" i="4"/>
  <c r="F286" i="5" s="1"/>
  <c r="N286" i="4"/>
  <c r="N286" i="5" s="1"/>
  <c r="H286" i="4"/>
  <c r="H286" i="5" s="1"/>
  <c r="P286" i="4"/>
  <c r="P286" i="5" s="1"/>
  <c r="V286" i="4"/>
  <c r="V286" i="5" s="1"/>
  <c r="E286" i="6"/>
  <c r="V286" i="6"/>
  <c r="U286" i="6"/>
  <c r="O286" i="6"/>
  <c r="M286" i="4"/>
  <c r="M286" i="5" s="1"/>
  <c r="S286" i="4"/>
  <c r="S286" i="5" s="1"/>
  <c r="K286" i="4"/>
  <c r="K286" i="5" s="1"/>
  <c r="G286" i="6"/>
  <c r="Q286" i="4"/>
  <c r="Q286" i="5" s="1"/>
  <c r="F286" i="6"/>
  <c r="R286" i="6"/>
  <c r="R286" i="4"/>
  <c r="R286" i="5" s="1"/>
  <c r="T286" i="6"/>
  <c r="P286" i="6"/>
  <c r="H286" i="6"/>
  <c r="D286" i="4"/>
  <c r="D286" i="5" s="1"/>
  <c r="T286" i="4"/>
  <c r="T286" i="5" s="1"/>
  <c r="O286" i="4"/>
  <c r="O286" i="5" s="1"/>
  <c r="E286" i="4"/>
  <c r="E286" i="5" s="1"/>
  <c r="U286" i="4"/>
  <c r="U286" i="5" s="1"/>
  <c r="G286" i="4"/>
  <c r="G286" i="5" s="1"/>
  <c r="I286" i="4"/>
  <c r="I286" i="5" s="1"/>
  <c r="J286" i="6"/>
  <c r="N286" i="6"/>
  <c r="J286" i="4"/>
  <c r="J286" i="5" s="1"/>
  <c r="Q286" i="6"/>
  <c r="S286" i="6"/>
  <c r="K286" i="6"/>
  <c r="D286" i="6"/>
  <c r="L286" i="4"/>
  <c r="L286" i="5" s="1"/>
  <c r="I286" i="6"/>
  <c r="M286" i="6"/>
  <c r="L286" i="6"/>
  <c r="E77" i="6"/>
  <c r="U77" i="6"/>
  <c r="O77" i="6"/>
  <c r="U77" i="4"/>
  <c r="U77" i="5" s="1"/>
  <c r="I77" i="6"/>
  <c r="Q77" i="4"/>
  <c r="Q77" i="5" s="1"/>
  <c r="D77" i="6"/>
  <c r="I77" i="4"/>
  <c r="I77" i="5" s="1"/>
  <c r="F77" i="6"/>
  <c r="H77" i="4"/>
  <c r="H77" i="5" s="1"/>
  <c r="L77" i="6"/>
  <c r="H77" i="6"/>
  <c r="J77" i="4"/>
  <c r="J77" i="5" s="1"/>
  <c r="G77" i="4"/>
  <c r="G77" i="5" s="1"/>
  <c r="J77" i="6"/>
  <c r="P77" i="4"/>
  <c r="P77" i="5" s="1"/>
  <c r="L77" i="4"/>
  <c r="L77" i="5" s="1"/>
  <c r="F77" i="4"/>
  <c r="F77" i="5" s="1"/>
  <c r="G77" i="6"/>
  <c r="D77" i="4"/>
  <c r="D77" i="5" s="1"/>
  <c r="E77" i="4"/>
  <c r="E77" i="5" s="1"/>
  <c r="O77" i="4"/>
  <c r="O77" i="5" s="1"/>
  <c r="N77" i="4"/>
  <c r="N77" i="5" s="1"/>
  <c r="N77" i="6"/>
  <c r="M77" i="4"/>
  <c r="M77" i="5" s="1"/>
  <c r="P77" i="6"/>
  <c r="V77" i="4"/>
  <c r="V77" i="5" s="1"/>
  <c r="M77" i="6"/>
  <c r="Q77" i="6"/>
  <c r="R77" i="6"/>
  <c r="T77" i="6"/>
  <c r="R77" i="4"/>
  <c r="R77" i="5" s="1"/>
  <c r="S77" i="4"/>
  <c r="S77" i="5" s="1"/>
  <c r="S77" i="6"/>
  <c r="V77" i="6"/>
  <c r="T77" i="4"/>
  <c r="T77" i="5" s="1"/>
  <c r="N202" i="6"/>
  <c r="L202" i="6"/>
  <c r="P202" i="4"/>
  <c r="P202" i="5" s="1"/>
  <c r="P202" i="6"/>
  <c r="H202" i="4"/>
  <c r="H202" i="5" s="1"/>
  <c r="M202" i="4"/>
  <c r="M202" i="5" s="1"/>
  <c r="S202" i="4"/>
  <c r="S202" i="5" s="1"/>
  <c r="G202" i="4"/>
  <c r="G202" i="5" s="1"/>
  <c r="G202" i="6"/>
  <c r="Q202" i="4"/>
  <c r="Q202" i="5" s="1"/>
  <c r="S202" i="6"/>
  <c r="Q202" i="6"/>
  <c r="O202" i="4"/>
  <c r="O202" i="5" s="1"/>
  <c r="O202" i="6"/>
  <c r="D202" i="4"/>
  <c r="D202" i="5" s="1"/>
  <c r="F202" i="4"/>
  <c r="F202" i="5" s="1"/>
  <c r="T202" i="6"/>
  <c r="I202" i="4"/>
  <c r="I202" i="5" s="1"/>
  <c r="I202" i="6"/>
  <c r="E202" i="6"/>
  <c r="E202" i="4"/>
  <c r="E202" i="5" s="1"/>
  <c r="M202" i="6"/>
  <c r="H202" i="6"/>
  <c r="L202" i="4"/>
  <c r="L202" i="5" s="1"/>
  <c r="U202" i="4"/>
  <c r="U202" i="5" s="1"/>
  <c r="K202" i="6"/>
  <c r="D202" i="6"/>
  <c r="K202" i="4"/>
  <c r="K202" i="5" s="1"/>
  <c r="U202" i="6"/>
  <c r="T202" i="4"/>
  <c r="T202" i="5" s="1"/>
  <c r="K389" i="6"/>
  <c r="U389" i="6"/>
  <c r="H389" i="6"/>
  <c r="S389" i="4"/>
  <c r="S389" i="5" s="1"/>
  <c r="S389" i="6"/>
  <c r="Q389" i="4"/>
  <c r="Q389" i="5" s="1"/>
  <c r="H389" i="4"/>
  <c r="H389" i="5" s="1"/>
  <c r="P389" i="4"/>
  <c r="P389" i="5" s="1"/>
  <c r="K389" i="4"/>
  <c r="K389" i="5" s="1"/>
  <c r="Q389" i="6"/>
  <c r="M389" i="4"/>
  <c r="M389" i="5" s="1"/>
  <c r="L389" i="4"/>
  <c r="L389" i="5" s="1"/>
  <c r="J389" i="6"/>
  <c r="T389" i="6"/>
  <c r="V389" i="6"/>
  <c r="F389" i="4"/>
  <c r="F389" i="5" s="1"/>
  <c r="J389" i="4"/>
  <c r="J389" i="5" s="1"/>
  <c r="R389" i="4"/>
  <c r="R389" i="5" s="1"/>
  <c r="P389" i="6"/>
  <c r="E389" i="6"/>
  <c r="G389" i="4"/>
  <c r="G389" i="5" s="1"/>
  <c r="I389" i="4"/>
  <c r="I389" i="5" s="1"/>
  <c r="O389" i="4"/>
  <c r="O389" i="5" s="1"/>
  <c r="U389" i="4"/>
  <c r="U389" i="5" s="1"/>
  <c r="V389" i="4"/>
  <c r="V389" i="5" s="1"/>
  <c r="M389" i="6"/>
  <c r="F389" i="6"/>
  <c r="T389" i="4"/>
  <c r="T389" i="5" s="1"/>
  <c r="D389" i="4"/>
  <c r="D389" i="5" s="1"/>
  <c r="L389" i="6"/>
  <c r="E389" i="4"/>
  <c r="E389" i="5" s="1"/>
  <c r="D389" i="6"/>
  <c r="R389" i="6"/>
  <c r="O389" i="6"/>
  <c r="I389" i="6"/>
  <c r="G389" i="6"/>
  <c r="N389" i="4"/>
  <c r="N389" i="5" s="1"/>
  <c r="N389" i="6"/>
  <c r="D70" i="4"/>
  <c r="D70" i="5" s="1"/>
  <c r="S70" i="4"/>
  <c r="S70" i="5" s="1"/>
  <c r="K70" i="6"/>
  <c r="U70" i="4"/>
  <c r="U70" i="5" s="1"/>
  <c r="E70" i="4"/>
  <c r="E70" i="5" s="1"/>
  <c r="Q70" i="4"/>
  <c r="Q70" i="5" s="1"/>
  <c r="O70" i="6"/>
  <c r="O70" i="4"/>
  <c r="O70" i="5" s="1"/>
  <c r="Q70" i="6"/>
  <c r="H70" i="4"/>
  <c r="H70" i="5" s="1"/>
  <c r="F70" i="6"/>
  <c r="J70" i="4"/>
  <c r="J70" i="5" s="1"/>
  <c r="T70" i="6"/>
  <c r="V70" i="4"/>
  <c r="V70" i="5" s="1"/>
  <c r="P70" i="4"/>
  <c r="P70" i="5" s="1"/>
  <c r="H70" i="6"/>
  <c r="L70" i="6"/>
  <c r="R70" i="6"/>
  <c r="G70" i="6"/>
  <c r="E70" i="6"/>
  <c r="M70" i="6"/>
  <c r="G70" i="4"/>
  <c r="G70" i="5" s="1"/>
  <c r="U70" i="6"/>
  <c r="R70" i="4"/>
  <c r="R70" i="5" s="1"/>
  <c r="N70" i="4"/>
  <c r="N70" i="5" s="1"/>
  <c r="T70" i="4"/>
  <c r="T70" i="5" s="1"/>
  <c r="N70" i="6"/>
  <c r="M70" i="4"/>
  <c r="M70" i="5" s="1"/>
  <c r="S70" i="6"/>
  <c r="J70" i="6"/>
  <c r="L70" i="4"/>
  <c r="L70" i="5" s="1"/>
  <c r="D70" i="6"/>
  <c r="K70" i="4"/>
  <c r="K70" i="5" s="1"/>
  <c r="P70" i="6"/>
  <c r="V70" i="6"/>
  <c r="F70" i="4"/>
  <c r="F70" i="5" s="1"/>
  <c r="E216" i="6"/>
  <c r="S216" i="6"/>
  <c r="K216" i="4"/>
  <c r="K216" i="5" s="1"/>
  <c r="D216" i="6"/>
  <c r="O216" i="4"/>
  <c r="O216" i="5" s="1"/>
  <c r="D216" i="4"/>
  <c r="D216" i="5" s="1"/>
  <c r="I216" i="6"/>
  <c r="P216" i="6"/>
  <c r="H216" i="4"/>
  <c r="H216" i="5" s="1"/>
  <c r="P216" i="4"/>
  <c r="P216" i="5" s="1"/>
  <c r="R216" i="4"/>
  <c r="R216" i="5" s="1"/>
  <c r="N216" i="6"/>
  <c r="Q216" i="4"/>
  <c r="Q216" i="5" s="1"/>
  <c r="M216" i="4"/>
  <c r="M216" i="5" s="1"/>
  <c r="U216" i="4"/>
  <c r="U216" i="5" s="1"/>
  <c r="R216" i="6"/>
  <c r="O216" i="6"/>
  <c r="M216" i="6"/>
  <c r="E216" i="4"/>
  <c r="E216" i="5" s="1"/>
  <c r="F216" i="4"/>
  <c r="F216" i="5" s="1"/>
  <c r="L216" i="4"/>
  <c r="L216" i="5" s="1"/>
  <c r="L216" i="6"/>
  <c r="T216" i="6"/>
  <c r="U216" i="6"/>
  <c r="G216" i="4"/>
  <c r="G216" i="5" s="1"/>
  <c r="N216" i="4"/>
  <c r="N216" i="5" s="1"/>
  <c r="T216" i="4"/>
  <c r="T216" i="5" s="1"/>
  <c r="I216" i="4"/>
  <c r="I216" i="5" s="1"/>
  <c r="G216" i="6"/>
  <c r="Q216" i="6"/>
  <c r="H216" i="6"/>
  <c r="F216" i="6"/>
  <c r="D178" i="6"/>
  <c r="J178" i="6"/>
  <c r="D178" i="4"/>
  <c r="D178" i="5" s="1"/>
  <c r="T178" i="6"/>
  <c r="V178" i="6"/>
  <c r="M178" i="4"/>
  <c r="M178" i="5" s="1"/>
  <c r="O178" i="4"/>
  <c r="O178" i="5" s="1"/>
  <c r="U178" i="4"/>
  <c r="U178" i="5" s="1"/>
  <c r="G178" i="4"/>
  <c r="G178" i="5" s="1"/>
  <c r="K178" i="6"/>
  <c r="G178" i="6"/>
  <c r="E178" i="4"/>
  <c r="E178" i="5" s="1"/>
  <c r="S178" i="6"/>
  <c r="J178" i="4"/>
  <c r="J178" i="5" s="1"/>
  <c r="P178" i="6"/>
  <c r="R178" i="4"/>
  <c r="R178" i="5" s="1"/>
  <c r="P178" i="4"/>
  <c r="P178" i="5" s="1"/>
  <c r="T178" i="4"/>
  <c r="T178" i="5" s="1"/>
  <c r="Q178" i="4"/>
  <c r="Q178" i="5" s="1"/>
  <c r="S178" i="4"/>
  <c r="S178" i="5" s="1"/>
  <c r="U178" i="6"/>
  <c r="H178" i="6"/>
  <c r="V178" i="4"/>
  <c r="V178" i="5" s="1"/>
  <c r="H178" i="4"/>
  <c r="H178" i="5" s="1"/>
  <c r="F178" i="6"/>
  <c r="M178" i="6"/>
  <c r="E178" i="6"/>
  <c r="Q178" i="6"/>
  <c r="R178" i="6"/>
  <c r="N178" i="4"/>
  <c r="N178" i="5" s="1"/>
  <c r="L178" i="6"/>
  <c r="O178" i="6"/>
  <c r="I178" i="4"/>
  <c r="I178" i="5" s="1"/>
  <c r="K178" i="4"/>
  <c r="K178" i="5" s="1"/>
  <c r="I178" i="6"/>
  <c r="N178" i="6"/>
  <c r="F178" i="4"/>
  <c r="F178" i="5" s="1"/>
  <c r="L178" i="4"/>
  <c r="L178" i="5" s="1"/>
  <c r="G132" i="6"/>
  <c r="O132" i="6"/>
  <c r="D132" i="6"/>
  <c r="I132" i="6"/>
  <c r="Q132" i="6"/>
  <c r="T132" i="4"/>
  <c r="T132" i="5" s="1"/>
  <c r="H132" i="6"/>
  <c r="H132" i="4"/>
  <c r="H132" i="5" s="1"/>
  <c r="R132" i="6"/>
  <c r="O132" i="4"/>
  <c r="O132" i="5" s="1"/>
  <c r="J132" i="6"/>
  <c r="R132" i="4"/>
  <c r="R132" i="5" s="1"/>
  <c r="V132" i="4"/>
  <c r="V132" i="5" s="1"/>
  <c r="N132" i="6"/>
  <c r="N132" i="4"/>
  <c r="N132" i="5" s="1"/>
  <c r="M132" i="4"/>
  <c r="M132" i="5" s="1"/>
  <c r="U132" i="4"/>
  <c r="U132" i="5" s="1"/>
  <c r="S132" i="4"/>
  <c r="S132" i="5" s="1"/>
  <c r="E132" i="4"/>
  <c r="E132" i="5" s="1"/>
  <c r="D132" i="4"/>
  <c r="D132" i="5" s="1"/>
  <c r="S132" i="6"/>
  <c r="M132" i="6"/>
  <c r="L132" i="4"/>
  <c r="L132" i="5" s="1"/>
  <c r="F132" i="6"/>
  <c r="J132" i="4"/>
  <c r="J132" i="5" s="1"/>
  <c r="L132" i="6"/>
  <c r="P132" i="4"/>
  <c r="P132" i="5" s="1"/>
  <c r="K132" i="4"/>
  <c r="K132" i="5" s="1"/>
  <c r="I132" i="4"/>
  <c r="I132" i="5" s="1"/>
  <c r="E132" i="6"/>
  <c r="P132" i="6"/>
  <c r="F132" i="4"/>
  <c r="F132" i="5" s="1"/>
  <c r="T132" i="6"/>
  <c r="K132" i="6"/>
  <c r="U132" i="6"/>
  <c r="G132" i="4"/>
  <c r="G132" i="5" s="1"/>
  <c r="V132" i="6"/>
  <c r="Q132" i="4"/>
  <c r="Q132" i="5" s="1"/>
  <c r="N508" i="4"/>
  <c r="N508" i="5" s="1"/>
  <c r="L508" i="6"/>
  <c r="R508" i="6"/>
  <c r="D508" i="6"/>
  <c r="F508" i="6"/>
  <c r="J508" i="6"/>
  <c r="L508" i="4"/>
  <c r="L508" i="5" s="1"/>
  <c r="H508" i="4"/>
  <c r="H508" i="5" s="1"/>
  <c r="Q508" i="6"/>
  <c r="I508" i="6"/>
  <c r="S508" i="6"/>
  <c r="G508" i="6"/>
  <c r="U508" i="6"/>
  <c r="M508" i="4"/>
  <c r="M508" i="5" s="1"/>
  <c r="E508" i="4"/>
  <c r="E508" i="5" s="1"/>
  <c r="O508" i="6"/>
  <c r="S508" i="4"/>
  <c r="S508" i="5" s="1"/>
  <c r="R508" i="4"/>
  <c r="R508" i="5" s="1"/>
  <c r="V508" i="4"/>
  <c r="V508" i="5" s="1"/>
  <c r="F508" i="4"/>
  <c r="F508" i="5" s="1"/>
  <c r="V508" i="6"/>
  <c r="P508" i="6"/>
  <c r="D508" i="4"/>
  <c r="D508" i="5" s="1"/>
  <c r="P508" i="4"/>
  <c r="P508" i="5" s="1"/>
  <c r="E508" i="6"/>
  <c r="U508" i="4"/>
  <c r="U508" i="5" s="1"/>
  <c r="G508" i="4"/>
  <c r="G508" i="5" s="1"/>
  <c r="I508" i="4"/>
  <c r="I508" i="5" s="1"/>
  <c r="J508" i="4"/>
  <c r="J508" i="5" s="1"/>
  <c r="T508" i="6"/>
  <c r="N508" i="6"/>
  <c r="K508" i="4"/>
  <c r="K508" i="5" s="1"/>
  <c r="Q508" i="4"/>
  <c r="Q508" i="5" s="1"/>
  <c r="H508" i="6"/>
  <c r="T508" i="4"/>
  <c r="T508" i="5" s="1"/>
  <c r="M508" i="6"/>
  <c r="K508" i="6"/>
  <c r="O508" i="4"/>
  <c r="O508" i="5" s="1"/>
  <c r="V50" i="6"/>
  <c r="R50" i="6"/>
  <c r="G50" i="6"/>
  <c r="E50" i="6"/>
  <c r="Q50" i="6"/>
  <c r="G50" i="4"/>
  <c r="G50" i="5" s="1"/>
  <c r="V50" i="4"/>
  <c r="V50" i="5" s="1"/>
  <c r="H50" i="6"/>
  <c r="J50" i="4"/>
  <c r="J50" i="5" s="1"/>
  <c r="S50" i="4"/>
  <c r="S50" i="5" s="1"/>
  <c r="I50" i="4"/>
  <c r="I50" i="5" s="1"/>
  <c r="J50" i="6"/>
  <c r="I50" i="6"/>
  <c r="N50" i="6"/>
  <c r="Q50" i="4"/>
  <c r="Q50" i="5" s="1"/>
  <c r="D189" i="6"/>
  <c r="U189" i="6"/>
  <c r="I189" i="6"/>
  <c r="S189" i="4"/>
  <c r="S189" i="5" s="1"/>
  <c r="Q189" i="4"/>
  <c r="Q189" i="5" s="1"/>
  <c r="Q189" i="6"/>
  <c r="M189" i="4"/>
  <c r="M189" i="5" s="1"/>
  <c r="M189" i="6"/>
  <c r="I189" i="4"/>
  <c r="I189" i="5" s="1"/>
  <c r="K189" i="4"/>
  <c r="K189" i="5" s="1"/>
  <c r="L189" i="6"/>
  <c r="T189" i="6"/>
  <c r="J189" i="6"/>
  <c r="R189" i="6"/>
  <c r="J189" i="4"/>
  <c r="J189" i="5" s="1"/>
  <c r="L189" i="4"/>
  <c r="L189" i="5" s="1"/>
  <c r="P189" i="4"/>
  <c r="P189" i="5" s="1"/>
  <c r="H189" i="4"/>
  <c r="H189" i="5" s="1"/>
  <c r="E189" i="4"/>
  <c r="E189" i="5" s="1"/>
  <c r="K189" i="6"/>
  <c r="U189" i="4"/>
  <c r="U189" i="5" s="1"/>
  <c r="G189" i="6"/>
  <c r="S189" i="6"/>
  <c r="D189" i="4"/>
  <c r="D189" i="5" s="1"/>
  <c r="P189" i="6"/>
  <c r="N189" i="6"/>
  <c r="F189" i="6"/>
  <c r="R189" i="4"/>
  <c r="R189" i="5" s="1"/>
  <c r="G189" i="4"/>
  <c r="G189" i="5" s="1"/>
  <c r="N189" i="4"/>
  <c r="N189" i="5" s="1"/>
  <c r="O189" i="4"/>
  <c r="O189" i="5" s="1"/>
  <c r="F189" i="4"/>
  <c r="F189" i="5" s="1"/>
  <c r="O189" i="6"/>
  <c r="E189" i="6"/>
  <c r="H189" i="6"/>
  <c r="V189" i="6"/>
  <c r="V189" i="4"/>
  <c r="V189" i="5" s="1"/>
  <c r="T189" i="4"/>
  <c r="T189" i="5" s="1"/>
  <c r="F495" i="4"/>
  <c r="F495" i="5" s="1"/>
  <c r="G495" i="6"/>
  <c r="O495" i="6"/>
  <c r="U495" i="4"/>
  <c r="U495" i="5" s="1"/>
  <c r="M495" i="4"/>
  <c r="M495" i="5" s="1"/>
  <c r="E495" i="4"/>
  <c r="E495" i="5" s="1"/>
  <c r="H495" i="6"/>
  <c r="P495" i="6"/>
  <c r="S495" i="4"/>
  <c r="S495" i="5" s="1"/>
  <c r="K495" i="4"/>
  <c r="K495" i="5" s="1"/>
  <c r="P495" i="4"/>
  <c r="P495" i="5" s="1"/>
  <c r="E495" i="6"/>
  <c r="M495" i="6"/>
  <c r="U495" i="6"/>
  <c r="R495" i="6"/>
  <c r="R495" i="4"/>
  <c r="R495" i="5" s="1"/>
  <c r="H495" i="4"/>
  <c r="H495" i="5" s="1"/>
  <c r="L495" i="4"/>
  <c r="L495" i="5" s="1"/>
  <c r="K495" i="6"/>
  <c r="Q495" i="4"/>
  <c r="Q495" i="5" s="1"/>
  <c r="D495" i="6"/>
  <c r="T495" i="6"/>
  <c r="G495" i="4"/>
  <c r="G495" i="5" s="1"/>
  <c r="I495" i="6"/>
  <c r="N495" i="6"/>
  <c r="N495" i="4"/>
  <c r="N495" i="5" s="1"/>
  <c r="L495" i="6"/>
  <c r="V495" i="4"/>
  <c r="V495" i="5" s="1"/>
  <c r="D495" i="4"/>
  <c r="D495" i="5" s="1"/>
  <c r="I495" i="4"/>
  <c r="I495" i="5" s="1"/>
  <c r="O495" i="4"/>
  <c r="O495" i="5" s="1"/>
  <c r="Q495" i="6"/>
  <c r="J495" i="4"/>
  <c r="J495" i="5" s="1"/>
  <c r="S495" i="6"/>
  <c r="T495" i="4"/>
  <c r="T495" i="5" s="1"/>
  <c r="G66" i="4"/>
  <c r="G66" i="5" s="1"/>
  <c r="I66" i="4"/>
  <c r="I66" i="5" s="1"/>
  <c r="S66" i="4"/>
  <c r="S66" i="5" s="1"/>
  <c r="M66" i="6"/>
  <c r="U66" i="6"/>
  <c r="S66" i="6"/>
  <c r="E66" i="4"/>
  <c r="E66" i="5" s="1"/>
  <c r="M66" i="4"/>
  <c r="M66" i="5" s="1"/>
  <c r="P66" i="6"/>
  <c r="H66" i="6"/>
  <c r="H66" i="4"/>
  <c r="H66" i="5" s="1"/>
  <c r="J66" i="6"/>
  <c r="L66" i="6"/>
  <c r="F66" i="6"/>
  <c r="J66" i="4"/>
  <c r="J66" i="5" s="1"/>
  <c r="L66" i="4"/>
  <c r="L66" i="5" s="1"/>
  <c r="R66" i="6"/>
  <c r="O66" i="4"/>
  <c r="O66" i="5" s="1"/>
  <c r="D66" i="6"/>
  <c r="I66" i="6"/>
  <c r="U66" i="4"/>
  <c r="U66" i="5" s="1"/>
  <c r="K66" i="6"/>
  <c r="T66" i="6"/>
  <c r="N66" i="4"/>
  <c r="N66" i="5" s="1"/>
  <c r="V66" i="4"/>
  <c r="V66" i="5" s="1"/>
  <c r="R66" i="4"/>
  <c r="R66" i="5" s="1"/>
  <c r="O66" i="6"/>
  <c r="D66" i="4"/>
  <c r="D66" i="5" s="1"/>
  <c r="V66" i="6"/>
  <c r="K66" i="4"/>
  <c r="K66" i="5" s="1"/>
  <c r="G66" i="6"/>
  <c r="T66" i="4"/>
  <c r="T66" i="5" s="1"/>
  <c r="F66" i="4"/>
  <c r="F66" i="5" s="1"/>
  <c r="P66" i="4"/>
  <c r="P66" i="5" s="1"/>
  <c r="E66" i="6"/>
  <c r="N66" i="6"/>
  <c r="F504" i="4"/>
  <c r="F504" i="5" s="1"/>
  <c r="U504" i="6"/>
  <c r="M504" i="4"/>
  <c r="M504" i="5" s="1"/>
  <c r="I504" i="4"/>
  <c r="I504" i="5" s="1"/>
  <c r="L504" i="6"/>
  <c r="K504" i="6"/>
  <c r="N504" i="6"/>
  <c r="S504" i="4"/>
  <c r="S504" i="5" s="1"/>
  <c r="O504" i="6"/>
  <c r="Q504" i="4"/>
  <c r="Q504" i="5" s="1"/>
  <c r="P504" i="6"/>
  <c r="T504" i="6"/>
  <c r="P504" i="4"/>
  <c r="P504" i="5" s="1"/>
  <c r="L504" i="4"/>
  <c r="L504" i="5" s="1"/>
  <c r="D504" i="4"/>
  <c r="D504" i="5" s="1"/>
  <c r="M504" i="6"/>
  <c r="E504" i="6"/>
  <c r="J504" i="4"/>
  <c r="J504" i="5" s="1"/>
  <c r="V504" i="6"/>
  <c r="F504" i="6"/>
  <c r="G504" i="4"/>
  <c r="G504" i="5" s="1"/>
  <c r="J504" i="6"/>
  <c r="S504" i="6"/>
  <c r="V504" i="4"/>
  <c r="V504" i="5" s="1"/>
  <c r="E504" i="4"/>
  <c r="E504" i="5" s="1"/>
  <c r="G504" i="6"/>
  <c r="N504" i="4"/>
  <c r="N504" i="5" s="1"/>
  <c r="Q504" i="6"/>
  <c r="D504" i="6"/>
  <c r="O504" i="4"/>
  <c r="O504" i="5" s="1"/>
  <c r="U504" i="4"/>
  <c r="U504" i="5" s="1"/>
  <c r="K504" i="4"/>
  <c r="K504" i="5" s="1"/>
  <c r="I504" i="6"/>
  <c r="U467" i="6"/>
  <c r="Q467" i="4"/>
  <c r="Q467" i="5" s="1"/>
  <c r="I467" i="4"/>
  <c r="I467" i="5" s="1"/>
  <c r="D467" i="4"/>
  <c r="D467" i="5" s="1"/>
  <c r="Q467" i="6"/>
  <c r="S467" i="4"/>
  <c r="S467" i="5" s="1"/>
  <c r="K467" i="4"/>
  <c r="K467" i="5" s="1"/>
  <c r="K467" i="6"/>
  <c r="D467" i="6"/>
  <c r="N467" i="4"/>
  <c r="N467" i="5" s="1"/>
  <c r="J467" i="4"/>
  <c r="J467" i="5" s="1"/>
  <c r="L467" i="6"/>
  <c r="J467" i="6"/>
  <c r="T467" i="4"/>
  <c r="T467" i="5" s="1"/>
  <c r="N467" i="6"/>
  <c r="E467" i="6"/>
  <c r="U467" i="4"/>
  <c r="U467" i="5" s="1"/>
  <c r="S467" i="6"/>
  <c r="O467" i="4"/>
  <c r="O467" i="5" s="1"/>
  <c r="I467" i="6"/>
  <c r="P467" i="4"/>
  <c r="P467" i="5" s="1"/>
  <c r="T467" i="6"/>
  <c r="F467" i="4"/>
  <c r="F467" i="5" s="1"/>
  <c r="E467" i="4"/>
  <c r="E467" i="5" s="1"/>
  <c r="M467" i="4"/>
  <c r="M467" i="5" s="1"/>
  <c r="M467" i="6"/>
  <c r="G467" i="6"/>
  <c r="G467" i="4"/>
  <c r="G467" i="5" s="1"/>
  <c r="L467" i="4"/>
  <c r="L467" i="5" s="1"/>
  <c r="P467" i="6"/>
  <c r="O467" i="6"/>
  <c r="H467" i="4"/>
  <c r="H467" i="5" s="1"/>
  <c r="E458" i="6"/>
  <c r="I458" i="4"/>
  <c r="I458" i="5" s="1"/>
  <c r="Q458" i="6"/>
  <c r="M458" i="6"/>
  <c r="D458" i="4"/>
  <c r="D458" i="5" s="1"/>
  <c r="G458" i="6"/>
  <c r="K458" i="6"/>
  <c r="R458" i="4"/>
  <c r="R458" i="5" s="1"/>
  <c r="P458" i="4"/>
  <c r="P458" i="5" s="1"/>
  <c r="G458" i="4"/>
  <c r="G458" i="5" s="1"/>
  <c r="J458" i="6"/>
  <c r="M458" i="4"/>
  <c r="M458" i="5" s="1"/>
  <c r="Q458" i="4"/>
  <c r="Q458" i="5" s="1"/>
  <c r="J458" i="4"/>
  <c r="J458" i="5" s="1"/>
  <c r="T458" i="6"/>
  <c r="N458" i="6"/>
  <c r="H458" i="4"/>
  <c r="H458" i="5" s="1"/>
  <c r="V458" i="6"/>
  <c r="S458" i="4"/>
  <c r="S458" i="5" s="1"/>
  <c r="K458" i="4"/>
  <c r="K458" i="5" s="1"/>
  <c r="O458" i="6"/>
  <c r="I458" i="6"/>
  <c r="N458" i="4"/>
  <c r="N458" i="5" s="1"/>
  <c r="E458" i="4"/>
  <c r="E458" i="5" s="1"/>
  <c r="P458" i="6"/>
  <c r="F458" i="6"/>
  <c r="V458" i="4"/>
  <c r="V458" i="5" s="1"/>
  <c r="T458" i="4"/>
  <c r="T458" i="5" s="1"/>
  <c r="U458" i="4"/>
  <c r="U458" i="5" s="1"/>
  <c r="D458" i="6"/>
  <c r="F458" i="4"/>
  <c r="F458" i="5" s="1"/>
  <c r="R458" i="6"/>
  <c r="U458" i="6"/>
  <c r="L458" i="4"/>
  <c r="L458" i="5" s="1"/>
  <c r="O458" i="4"/>
  <c r="O458" i="5" s="1"/>
  <c r="L458" i="6"/>
  <c r="S458" i="6"/>
  <c r="H458" i="6"/>
  <c r="G406" i="6"/>
  <c r="G406" i="4"/>
  <c r="G406" i="5" s="1"/>
  <c r="K406" i="6"/>
  <c r="K406" i="4"/>
  <c r="K406" i="5" s="1"/>
  <c r="J406" i="6"/>
  <c r="R406" i="4"/>
  <c r="R406" i="5" s="1"/>
  <c r="E406" i="6"/>
  <c r="V406" i="6"/>
  <c r="E406" i="4"/>
  <c r="E406" i="5" s="1"/>
  <c r="D406" i="6"/>
  <c r="M406" i="4"/>
  <c r="M406" i="5" s="1"/>
  <c r="H406" i="4"/>
  <c r="H406" i="5" s="1"/>
  <c r="V406" i="4"/>
  <c r="V406" i="5" s="1"/>
  <c r="T406" i="6"/>
  <c r="M406" i="6"/>
  <c r="P406" i="4"/>
  <c r="P406" i="5" s="1"/>
  <c r="L406" i="4"/>
  <c r="L406" i="5" s="1"/>
  <c r="Q406" i="6"/>
  <c r="U406" i="6"/>
  <c r="O406" i="6"/>
  <c r="S406" i="6"/>
  <c r="L406" i="6"/>
  <c r="R406" i="6"/>
  <c r="I406" i="4"/>
  <c r="I406" i="5" s="1"/>
  <c r="U406" i="4"/>
  <c r="U406" i="5" s="1"/>
  <c r="H406" i="6"/>
  <c r="N406" i="4"/>
  <c r="N406" i="5" s="1"/>
  <c r="J406" i="4"/>
  <c r="J406" i="5" s="1"/>
  <c r="D406" i="4"/>
  <c r="D406" i="5" s="1"/>
  <c r="S406" i="4"/>
  <c r="S406" i="5" s="1"/>
  <c r="F406" i="4"/>
  <c r="F406" i="5" s="1"/>
  <c r="O406" i="4"/>
  <c r="O406" i="5" s="1"/>
  <c r="N406" i="6"/>
  <c r="I406" i="6"/>
  <c r="T406" i="4"/>
  <c r="T406" i="5" s="1"/>
  <c r="Q406" i="4"/>
  <c r="Q406" i="5" s="1"/>
  <c r="F406" i="6"/>
  <c r="P406" i="6"/>
  <c r="Q363" i="4"/>
  <c r="Q363" i="5" s="1"/>
  <c r="I363" i="4"/>
  <c r="I363" i="5" s="1"/>
  <c r="U363" i="6"/>
  <c r="E363" i="6"/>
  <c r="I363" i="6"/>
  <c r="F363" i="4"/>
  <c r="F363" i="5" s="1"/>
  <c r="K363" i="6"/>
  <c r="P363" i="6"/>
  <c r="S363" i="6"/>
  <c r="N363" i="6"/>
  <c r="S363" i="4"/>
  <c r="S363" i="5" s="1"/>
  <c r="G363" i="6"/>
  <c r="N363" i="4"/>
  <c r="N363" i="5" s="1"/>
  <c r="V363" i="6"/>
  <c r="T363" i="4"/>
  <c r="T363" i="5" s="1"/>
  <c r="R363" i="4"/>
  <c r="R363" i="5" s="1"/>
  <c r="H363" i="6"/>
  <c r="D363" i="4"/>
  <c r="D363" i="5" s="1"/>
  <c r="G363" i="4"/>
  <c r="G363" i="5" s="1"/>
  <c r="U363" i="4"/>
  <c r="U363" i="5" s="1"/>
  <c r="E363" i="4"/>
  <c r="E363" i="5" s="1"/>
  <c r="Q363" i="6"/>
  <c r="R363" i="6"/>
  <c r="O363" i="6"/>
  <c r="O363" i="4"/>
  <c r="O363" i="5" s="1"/>
  <c r="J363" i="6"/>
  <c r="L363" i="4"/>
  <c r="L363" i="5" s="1"/>
  <c r="L363" i="6"/>
  <c r="K363" i="4"/>
  <c r="K363" i="5" s="1"/>
  <c r="P363" i="4"/>
  <c r="P363" i="5" s="1"/>
  <c r="D363" i="6"/>
  <c r="M363" i="4"/>
  <c r="M363" i="5" s="1"/>
  <c r="H363" i="4"/>
  <c r="H363" i="5" s="1"/>
  <c r="J363" i="4"/>
  <c r="J363" i="5" s="1"/>
  <c r="V363" i="4"/>
  <c r="V363" i="5" s="1"/>
  <c r="F363" i="6"/>
  <c r="M363" i="6"/>
  <c r="T363" i="6"/>
  <c r="F204" i="6"/>
  <c r="J204" i="6"/>
  <c r="G204" i="4"/>
  <c r="G204" i="5" s="1"/>
  <c r="V204" i="4"/>
  <c r="V204" i="5" s="1"/>
  <c r="F204" i="4"/>
  <c r="F204" i="5" s="1"/>
  <c r="S204" i="4"/>
  <c r="S204" i="5" s="1"/>
  <c r="J204" i="4"/>
  <c r="J204" i="5" s="1"/>
  <c r="H204" i="6"/>
  <c r="M204" i="6"/>
  <c r="O204" i="6"/>
  <c r="O204" i="4"/>
  <c r="O204" i="5" s="1"/>
  <c r="G204" i="6"/>
  <c r="M204" i="4"/>
  <c r="M204" i="5" s="1"/>
  <c r="E204" i="6"/>
  <c r="K204" i="4"/>
  <c r="K204" i="5" s="1"/>
  <c r="E204" i="4"/>
  <c r="E204" i="5" s="1"/>
  <c r="R204" i="6"/>
  <c r="H204" i="4"/>
  <c r="H204" i="5" s="1"/>
  <c r="T204" i="4"/>
  <c r="T204" i="5" s="1"/>
  <c r="D204" i="6"/>
  <c r="S204" i="6"/>
  <c r="K204" i="6"/>
  <c r="I204" i="6"/>
  <c r="I204" i="4"/>
  <c r="I204" i="5" s="1"/>
  <c r="V204" i="6"/>
  <c r="D204" i="4"/>
  <c r="D204" i="5" s="1"/>
  <c r="N204" i="4"/>
  <c r="N204" i="5" s="1"/>
  <c r="R204" i="4"/>
  <c r="R204" i="5" s="1"/>
  <c r="N204" i="6"/>
  <c r="U204" i="6"/>
  <c r="Q204" i="6"/>
  <c r="U204" i="4"/>
  <c r="U204" i="5" s="1"/>
  <c r="Q204" i="4"/>
  <c r="Q204" i="5" s="1"/>
  <c r="U409" i="6"/>
  <c r="E409" i="6"/>
  <c r="D409" i="4"/>
  <c r="D409" i="5" s="1"/>
  <c r="G409" i="6"/>
  <c r="Q409" i="6"/>
  <c r="K409" i="4"/>
  <c r="K409" i="5" s="1"/>
  <c r="I409" i="4"/>
  <c r="I409" i="5" s="1"/>
  <c r="G409" i="4"/>
  <c r="G409" i="5" s="1"/>
  <c r="K409" i="6"/>
  <c r="I409" i="6"/>
  <c r="J409" i="6"/>
  <c r="L409" i="6"/>
  <c r="P409" i="6"/>
  <c r="H409" i="4"/>
  <c r="H409" i="5" s="1"/>
  <c r="N409" i="4"/>
  <c r="N409" i="5" s="1"/>
  <c r="V409" i="4"/>
  <c r="V409" i="5" s="1"/>
  <c r="R409" i="4"/>
  <c r="R409" i="5" s="1"/>
  <c r="T409" i="6"/>
  <c r="P409" i="4"/>
  <c r="P409" i="5" s="1"/>
  <c r="Q409" i="4"/>
  <c r="Q409" i="5" s="1"/>
  <c r="O409" i="4"/>
  <c r="O409" i="5" s="1"/>
  <c r="U409" i="4"/>
  <c r="U409" i="5" s="1"/>
  <c r="M409" i="4"/>
  <c r="M409" i="5" s="1"/>
  <c r="S409" i="6"/>
  <c r="R409" i="6"/>
  <c r="L409" i="4"/>
  <c r="L409" i="5" s="1"/>
  <c r="T409" i="4"/>
  <c r="T409" i="5" s="1"/>
  <c r="N409" i="6"/>
  <c r="J409" i="4"/>
  <c r="J409" i="5" s="1"/>
  <c r="M409" i="6"/>
  <c r="O409" i="6"/>
  <c r="E409" i="4"/>
  <c r="E409" i="5" s="1"/>
  <c r="S409" i="4"/>
  <c r="S409" i="5" s="1"/>
  <c r="D409" i="6"/>
  <c r="F409" i="4"/>
  <c r="F409" i="5" s="1"/>
  <c r="H409" i="6"/>
  <c r="V409" i="6"/>
  <c r="F409" i="6"/>
  <c r="E397" i="6"/>
  <c r="M397" i="6"/>
  <c r="Q397" i="4"/>
  <c r="Q397" i="5" s="1"/>
  <c r="K397" i="4"/>
  <c r="K397" i="5" s="1"/>
  <c r="K397" i="6"/>
  <c r="Q397" i="6"/>
  <c r="M397" i="4"/>
  <c r="M397" i="5" s="1"/>
  <c r="G397" i="4"/>
  <c r="G397" i="5" s="1"/>
  <c r="G397" i="6"/>
  <c r="I397" i="6"/>
  <c r="N397" i="4"/>
  <c r="N397" i="5" s="1"/>
  <c r="L397" i="6"/>
  <c r="P397" i="4"/>
  <c r="P397" i="5" s="1"/>
  <c r="J397" i="6"/>
  <c r="H397" i="6"/>
  <c r="P397" i="6"/>
  <c r="J397" i="4"/>
  <c r="J397" i="5" s="1"/>
  <c r="V397" i="6"/>
  <c r="N397" i="6"/>
  <c r="D397" i="6"/>
  <c r="D397" i="4"/>
  <c r="D397" i="5" s="1"/>
  <c r="S397" i="6"/>
  <c r="E397" i="4"/>
  <c r="E397" i="5" s="1"/>
  <c r="O397" i="6"/>
  <c r="V397" i="4"/>
  <c r="V397" i="5" s="1"/>
  <c r="F397" i="4"/>
  <c r="F397" i="5" s="1"/>
  <c r="R397" i="6"/>
  <c r="T397" i="6"/>
  <c r="I397" i="4"/>
  <c r="I397" i="5" s="1"/>
  <c r="R397" i="4"/>
  <c r="R397" i="5" s="1"/>
  <c r="U397" i="6"/>
  <c r="U397" i="4"/>
  <c r="U397" i="5" s="1"/>
  <c r="H397" i="4"/>
  <c r="H397" i="5" s="1"/>
  <c r="T397" i="4"/>
  <c r="T397" i="5" s="1"/>
  <c r="L397" i="4"/>
  <c r="L397" i="5" s="1"/>
  <c r="S397" i="4"/>
  <c r="S397" i="5" s="1"/>
  <c r="O397" i="4"/>
  <c r="O397" i="5" s="1"/>
  <c r="F397" i="6"/>
  <c r="D338" i="6"/>
  <c r="V338" i="6"/>
  <c r="Q338" i="4"/>
  <c r="Q338" i="5" s="1"/>
  <c r="K338" i="4"/>
  <c r="K338" i="5" s="1"/>
  <c r="P338" i="6"/>
  <c r="M338" i="6"/>
  <c r="J338" i="6"/>
  <c r="Q338" i="6"/>
  <c r="N206" i="6"/>
  <c r="D206" i="6"/>
  <c r="J206" i="4"/>
  <c r="J206" i="5" s="1"/>
  <c r="T206" i="6"/>
  <c r="H206" i="6"/>
  <c r="H206" i="4"/>
  <c r="H206" i="5" s="1"/>
  <c r="K206" i="6"/>
  <c r="I206" i="4"/>
  <c r="I206" i="5" s="1"/>
  <c r="U206" i="4"/>
  <c r="U206" i="5" s="1"/>
  <c r="S206" i="6"/>
  <c r="S206" i="4"/>
  <c r="S206" i="5" s="1"/>
  <c r="G206" i="6"/>
  <c r="O206" i="4"/>
  <c r="O206" i="5" s="1"/>
  <c r="E206" i="4"/>
  <c r="E206" i="5" s="1"/>
  <c r="I206" i="6"/>
  <c r="V206" i="4"/>
  <c r="V206" i="5" s="1"/>
  <c r="N206" i="4"/>
  <c r="N206" i="5" s="1"/>
  <c r="D206" i="4"/>
  <c r="D206" i="5" s="1"/>
  <c r="P206" i="6"/>
  <c r="U206" i="6"/>
  <c r="E206" i="6"/>
  <c r="M206" i="6"/>
  <c r="Q206" i="4"/>
  <c r="Q206" i="5" s="1"/>
  <c r="Q206" i="6"/>
  <c r="T206" i="4"/>
  <c r="T206" i="5" s="1"/>
  <c r="L206" i="6"/>
  <c r="R206" i="6"/>
  <c r="P206" i="4"/>
  <c r="P206" i="5" s="1"/>
  <c r="M206" i="4"/>
  <c r="M206" i="5" s="1"/>
  <c r="K206" i="4"/>
  <c r="K206" i="5" s="1"/>
  <c r="G206" i="4"/>
  <c r="G206" i="5" s="1"/>
  <c r="O206" i="6"/>
  <c r="L206" i="4"/>
  <c r="L206" i="5" s="1"/>
  <c r="L49" i="4"/>
  <c r="L49" i="5" s="1"/>
  <c r="P49" i="4"/>
  <c r="P49" i="5" s="1"/>
  <c r="P49" i="6"/>
  <c r="J49" i="6"/>
  <c r="D49" i="6"/>
  <c r="N49" i="4"/>
  <c r="N49" i="5" s="1"/>
  <c r="H49" i="6"/>
  <c r="U49" i="4"/>
  <c r="U49" i="5" s="1"/>
  <c r="K49" i="6"/>
  <c r="G49" i="4"/>
  <c r="G49" i="5" s="1"/>
  <c r="O49" i="6"/>
  <c r="U49" i="6"/>
  <c r="I49" i="4"/>
  <c r="I49" i="5" s="1"/>
  <c r="M49" i="6"/>
  <c r="T49" i="4"/>
  <c r="T49" i="5" s="1"/>
  <c r="S49" i="6"/>
  <c r="F49" i="6"/>
  <c r="O49" i="4"/>
  <c r="O49" i="5" s="1"/>
  <c r="R49" i="6"/>
  <c r="V49" i="4"/>
  <c r="V49" i="5" s="1"/>
  <c r="J49" i="4"/>
  <c r="J49" i="5" s="1"/>
  <c r="K49" i="4"/>
  <c r="K49" i="5" s="1"/>
  <c r="Q49" i="6"/>
  <c r="M49" i="4"/>
  <c r="M49" i="5" s="1"/>
  <c r="T49" i="6"/>
  <c r="F49" i="4"/>
  <c r="F49" i="5" s="1"/>
  <c r="Q49" i="4"/>
  <c r="Q49" i="5" s="1"/>
  <c r="D49" i="4"/>
  <c r="D49" i="5" s="1"/>
  <c r="H49" i="4"/>
  <c r="H49" i="5" s="1"/>
  <c r="R49" i="4"/>
  <c r="R49" i="5" s="1"/>
  <c r="G49" i="6"/>
  <c r="L49" i="6"/>
  <c r="S49" i="4"/>
  <c r="S49" i="5" s="1"/>
  <c r="I49" i="6"/>
  <c r="N49" i="6"/>
  <c r="V49" i="6"/>
  <c r="P431" i="3"/>
  <c r="K45" i="2"/>
  <c r="K72" i="2" s="1"/>
  <c r="E126" i="6"/>
  <c r="P126" i="6"/>
  <c r="M126" i="4"/>
  <c r="M126" i="5" s="1"/>
  <c r="R126" i="4"/>
  <c r="R126" i="5" s="1"/>
  <c r="G126" i="6"/>
  <c r="G126" i="4"/>
  <c r="G126" i="5" s="1"/>
  <c r="Q126" i="6"/>
  <c r="V126" i="4"/>
  <c r="V126" i="5" s="1"/>
  <c r="H126" i="4"/>
  <c r="H126" i="5" s="1"/>
  <c r="M126" i="6"/>
  <c r="Q388" i="6"/>
  <c r="S388" i="6"/>
  <c r="S388" i="4"/>
  <c r="S388" i="5" s="1"/>
  <c r="O388" i="6"/>
  <c r="O388" i="4"/>
  <c r="O388" i="5" s="1"/>
  <c r="J388" i="6"/>
  <c r="F388" i="6"/>
  <c r="V388" i="6"/>
  <c r="M388" i="6"/>
  <c r="F388" i="4"/>
  <c r="F388" i="5" s="1"/>
  <c r="U388" i="6"/>
  <c r="V388" i="4"/>
  <c r="V388" i="5" s="1"/>
  <c r="U388" i="4"/>
  <c r="U388" i="5" s="1"/>
  <c r="R388" i="4"/>
  <c r="R388" i="5" s="1"/>
  <c r="I388" i="6"/>
  <c r="H388" i="6"/>
  <c r="P388" i="4"/>
  <c r="P388" i="5" s="1"/>
  <c r="L388" i="6"/>
  <c r="E388" i="4"/>
  <c r="E388" i="5" s="1"/>
  <c r="Q388" i="4"/>
  <c r="Q388" i="5" s="1"/>
  <c r="K388" i="4"/>
  <c r="K388" i="5" s="1"/>
  <c r="G388" i="4"/>
  <c r="G388" i="5" s="1"/>
  <c r="L388" i="4"/>
  <c r="L388" i="5" s="1"/>
  <c r="N388" i="6"/>
  <c r="H388" i="4"/>
  <c r="H388" i="5" s="1"/>
  <c r="N388" i="4"/>
  <c r="N388" i="5" s="1"/>
  <c r="E388" i="6"/>
  <c r="J388" i="4"/>
  <c r="J388" i="5" s="1"/>
  <c r="T388" i="6"/>
  <c r="T388" i="4"/>
  <c r="T388" i="5" s="1"/>
  <c r="D388" i="4"/>
  <c r="D388" i="5" s="1"/>
  <c r="G388" i="6"/>
  <c r="M388" i="4"/>
  <c r="M388" i="5" s="1"/>
  <c r="D388" i="6"/>
  <c r="P388" i="6"/>
  <c r="K388" i="6"/>
  <c r="I388" i="4"/>
  <c r="I388" i="5" s="1"/>
  <c r="R388" i="6"/>
  <c r="H341" i="4"/>
  <c r="H341" i="5" s="1"/>
  <c r="R341" i="6"/>
  <c r="T341" i="4"/>
  <c r="T341" i="5" s="1"/>
  <c r="V341" i="4"/>
  <c r="V341" i="5" s="1"/>
  <c r="F341" i="4"/>
  <c r="F341" i="5" s="1"/>
  <c r="N341" i="6"/>
  <c r="L341" i="6"/>
  <c r="V341" i="6"/>
  <c r="J341" i="6"/>
  <c r="M341" i="4"/>
  <c r="M341" i="5" s="1"/>
  <c r="U341" i="4"/>
  <c r="U341" i="5" s="1"/>
  <c r="R341" i="4"/>
  <c r="R341" i="5" s="1"/>
  <c r="G341" i="4"/>
  <c r="G341" i="5" s="1"/>
  <c r="G341" i="6"/>
  <c r="E341" i="4"/>
  <c r="E341" i="5" s="1"/>
  <c r="O341" i="6"/>
  <c r="K341" i="6"/>
  <c r="S341" i="6"/>
  <c r="M341" i="6"/>
  <c r="P341" i="4"/>
  <c r="P341" i="5" s="1"/>
  <c r="L341" i="4"/>
  <c r="L341" i="5" s="1"/>
  <c r="D341" i="4"/>
  <c r="D341" i="5" s="1"/>
  <c r="D341" i="6"/>
  <c r="I341" i="4"/>
  <c r="I341" i="5" s="1"/>
  <c r="J341" i="4"/>
  <c r="J341" i="5" s="1"/>
  <c r="Q341" i="6"/>
  <c r="E341" i="6"/>
  <c r="O341" i="4"/>
  <c r="O341" i="5" s="1"/>
  <c r="I341" i="6"/>
  <c r="F341" i="6"/>
  <c r="N341" i="4"/>
  <c r="N341" i="5" s="1"/>
  <c r="H341" i="6"/>
  <c r="P341" i="6"/>
  <c r="K341" i="4"/>
  <c r="K341" i="5" s="1"/>
  <c r="T341" i="6"/>
  <c r="Q341" i="4"/>
  <c r="Q341" i="5" s="1"/>
  <c r="S341" i="4"/>
  <c r="S341" i="5" s="1"/>
  <c r="U341" i="6"/>
  <c r="T446" i="4"/>
  <c r="T446" i="5" s="1"/>
  <c r="M446" i="4"/>
  <c r="M446" i="5" s="1"/>
  <c r="V446" i="4"/>
  <c r="V446" i="5" s="1"/>
  <c r="R307" i="4"/>
  <c r="R307" i="5" s="1"/>
  <c r="Q307" i="6"/>
  <c r="M307" i="6"/>
  <c r="S307" i="4"/>
  <c r="S307" i="5" s="1"/>
  <c r="U307" i="4"/>
  <c r="U307" i="5" s="1"/>
  <c r="J307" i="4"/>
  <c r="J307" i="5" s="1"/>
  <c r="N307" i="4"/>
  <c r="N307" i="5" s="1"/>
  <c r="K307" i="6"/>
  <c r="G307" i="4"/>
  <c r="G307" i="5" s="1"/>
  <c r="G307" i="6"/>
  <c r="J307" i="6"/>
  <c r="N307" i="6"/>
  <c r="H307" i="6"/>
  <c r="V307" i="4"/>
  <c r="V307" i="5" s="1"/>
  <c r="S307" i="6"/>
  <c r="M307" i="4"/>
  <c r="M307" i="5" s="1"/>
  <c r="K307" i="4"/>
  <c r="K307" i="5" s="1"/>
  <c r="E307" i="4"/>
  <c r="E307" i="5" s="1"/>
  <c r="D307" i="6"/>
  <c r="Q307" i="4"/>
  <c r="Q307" i="5" s="1"/>
  <c r="O307" i="6"/>
  <c r="L307" i="6"/>
  <c r="E307" i="6"/>
  <c r="I307" i="6"/>
  <c r="H307" i="4"/>
  <c r="H307" i="5" s="1"/>
  <c r="R307" i="6"/>
  <c r="U307" i="6"/>
  <c r="I307" i="4"/>
  <c r="I307" i="5" s="1"/>
  <c r="L307" i="4"/>
  <c r="L307" i="5" s="1"/>
  <c r="O307" i="4"/>
  <c r="O307" i="5" s="1"/>
  <c r="D307" i="4"/>
  <c r="D307" i="5" s="1"/>
  <c r="V307" i="6"/>
  <c r="F210" i="4"/>
  <c r="F210" i="5" s="1"/>
  <c r="F210" i="6"/>
  <c r="D210" i="6"/>
  <c r="R210" i="4"/>
  <c r="R210" i="5" s="1"/>
  <c r="D210" i="4"/>
  <c r="D210" i="5" s="1"/>
  <c r="N210" i="4"/>
  <c r="N210" i="5" s="1"/>
  <c r="I210" i="6"/>
  <c r="E210" i="6"/>
  <c r="G210" i="6"/>
  <c r="O210" i="6"/>
  <c r="Q210" i="6"/>
  <c r="S210" i="6"/>
  <c r="I210" i="4"/>
  <c r="I210" i="5" s="1"/>
  <c r="K210" i="4"/>
  <c r="K210" i="5" s="1"/>
  <c r="U210" i="4"/>
  <c r="U210" i="5" s="1"/>
  <c r="J210" i="4"/>
  <c r="J210" i="5" s="1"/>
  <c r="R210" i="6"/>
  <c r="J210" i="6"/>
  <c r="U210" i="6"/>
  <c r="Q210" i="4"/>
  <c r="Q210" i="5" s="1"/>
  <c r="M210" i="4"/>
  <c r="M210" i="5" s="1"/>
  <c r="O210" i="4"/>
  <c r="O210" i="5" s="1"/>
  <c r="E210" i="4"/>
  <c r="E210" i="5" s="1"/>
  <c r="V210" i="6"/>
  <c r="N210" i="6"/>
  <c r="V210" i="4"/>
  <c r="V210" i="5" s="1"/>
  <c r="K210" i="6"/>
  <c r="S210" i="4"/>
  <c r="S210" i="5" s="1"/>
  <c r="G210" i="4"/>
  <c r="G210" i="5" s="1"/>
  <c r="M210" i="6"/>
  <c r="T210" i="6"/>
  <c r="O124" i="4"/>
  <c r="O124" i="5" s="1"/>
  <c r="K124" i="6"/>
  <c r="V124" i="6"/>
  <c r="D124" i="6"/>
  <c r="E124" i="4"/>
  <c r="E124" i="5" s="1"/>
  <c r="D124" i="4"/>
  <c r="D124" i="5" s="1"/>
  <c r="T124" i="4"/>
  <c r="T124" i="5" s="1"/>
  <c r="J124" i="6"/>
  <c r="J124" i="4"/>
  <c r="J124" i="5" s="1"/>
  <c r="S124" i="4"/>
  <c r="S124" i="5" s="1"/>
  <c r="G124" i="4"/>
  <c r="G124" i="5" s="1"/>
  <c r="F124" i="6"/>
  <c r="Q124" i="6"/>
  <c r="U124" i="4"/>
  <c r="U124" i="5" s="1"/>
  <c r="Q124" i="4"/>
  <c r="Q124" i="5" s="1"/>
  <c r="N124" i="6"/>
  <c r="U124" i="6"/>
  <c r="G124" i="6"/>
  <c r="F124" i="4"/>
  <c r="F124" i="5" s="1"/>
  <c r="L98" i="6"/>
  <c r="K98" i="6"/>
  <c r="M193" i="6"/>
  <c r="U193" i="6"/>
  <c r="T193" i="6"/>
  <c r="R193" i="6"/>
  <c r="I193" i="4"/>
  <c r="I193" i="5" s="1"/>
  <c r="F193" i="6"/>
  <c r="L193" i="4"/>
  <c r="L193" i="5" s="1"/>
  <c r="O193" i="6"/>
  <c r="S80" i="6"/>
  <c r="P80" i="6"/>
  <c r="H80" i="4"/>
  <c r="H80" i="5" s="1"/>
  <c r="J80" i="6"/>
  <c r="E80" i="6"/>
  <c r="G80" i="4"/>
  <c r="G80" i="5" s="1"/>
  <c r="K80" i="6"/>
  <c r="U80" i="4"/>
  <c r="U80" i="5" s="1"/>
  <c r="J80" i="4"/>
  <c r="J80" i="5" s="1"/>
  <c r="L80" i="6"/>
  <c r="D80" i="4"/>
  <c r="D80" i="5" s="1"/>
  <c r="R80" i="6"/>
  <c r="N80" i="4"/>
  <c r="N80" i="5" s="1"/>
  <c r="K80" i="4"/>
  <c r="K80" i="5" s="1"/>
  <c r="M80" i="6"/>
  <c r="H80" i="6"/>
  <c r="E80" i="4"/>
  <c r="E80" i="5" s="1"/>
  <c r="N80" i="6"/>
  <c r="U80" i="6"/>
  <c r="D80" i="6"/>
  <c r="F80" i="4"/>
  <c r="F80" i="5" s="1"/>
  <c r="V80" i="6"/>
  <c r="O80" i="6"/>
  <c r="V80" i="4"/>
  <c r="V80" i="5" s="1"/>
  <c r="S80" i="4"/>
  <c r="S80" i="5" s="1"/>
  <c r="P80" i="4"/>
  <c r="P80" i="5" s="1"/>
  <c r="G80" i="6"/>
  <c r="O80" i="4"/>
  <c r="O80" i="5" s="1"/>
  <c r="M80" i="4"/>
  <c r="M80" i="5" s="1"/>
  <c r="L80" i="4"/>
  <c r="L80" i="5" s="1"/>
  <c r="F80" i="6"/>
  <c r="O437" i="4"/>
  <c r="O437" i="5" s="1"/>
  <c r="I437" i="6"/>
  <c r="M437" i="4"/>
  <c r="M437" i="5" s="1"/>
  <c r="F437" i="4"/>
  <c r="F437" i="5" s="1"/>
  <c r="U437" i="4"/>
  <c r="U437" i="5" s="1"/>
  <c r="Q437" i="4"/>
  <c r="Q437" i="5" s="1"/>
  <c r="E437" i="4"/>
  <c r="E437" i="5" s="1"/>
  <c r="K437" i="6"/>
  <c r="S437" i="6"/>
  <c r="G437" i="6"/>
  <c r="L437" i="6"/>
  <c r="T437" i="6"/>
  <c r="J437" i="6"/>
  <c r="R437" i="6"/>
  <c r="L437" i="4"/>
  <c r="L437" i="5" s="1"/>
  <c r="H437" i="4"/>
  <c r="H437" i="5" s="1"/>
  <c r="T437" i="4"/>
  <c r="T437" i="5" s="1"/>
  <c r="K437" i="4"/>
  <c r="K437" i="5" s="1"/>
  <c r="J437" i="4"/>
  <c r="J437" i="5" s="1"/>
  <c r="D437" i="6"/>
  <c r="U437" i="6"/>
  <c r="D437" i="4"/>
  <c r="D437" i="5" s="1"/>
  <c r="M437" i="6"/>
  <c r="O437" i="6"/>
  <c r="P437" i="6"/>
  <c r="N437" i="6"/>
  <c r="V437" i="4"/>
  <c r="V437" i="5" s="1"/>
  <c r="I437" i="4"/>
  <c r="I437" i="5" s="1"/>
  <c r="N437" i="4"/>
  <c r="N437" i="5" s="1"/>
  <c r="F437" i="6"/>
  <c r="Q437" i="6"/>
  <c r="R437" i="4"/>
  <c r="R437" i="5" s="1"/>
  <c r="H437" i="6"/>
  <c r="V437" i="6"/>
  <c r="G437" i="4"/>
  <c r="G437" i="5" s="1"/>
  <c r="S437" i="4"/>
  <c r="S437" i="5" s="1"/>
  <c r="E437" i="6"/>
  <c r="P437" i="4"/>
  <c r="P437" i="5" s="1"/>
  <c r="I442" i="4"/>
  <c r="I442" i="5" s="1"/>
  <c r="N442" i="4"/>
  <c r="N442" i="5" s="1"/>
  <c r="Q442" i="4"/>
  <c r="Q442" i="5" s="1"/>
  <c r="U442" i="4"/>
  <c r="U442" i="5" s="1"/>
  <c r="G442" i="4"/>
  <c r="G442" i="5" s="1"/>
  <c r="E442" i="4"/>
  <c r="E442" i="5" s="1"/>
  <c r="G442" i="6"/>
  <c r="H442" i="4"/>
  <c r="H442" i="5" s="1"/>
  <c r="T442" i="4"/>
  <c r="T442" i="5" s="1"/>
  <c r="M442" i="6"/>
  <c r="O442" i="6"/>
  <c r="J442" i="4"/>
  <c r="J442" i="5" s="1"/>
  <c r="F442" i="4"/>
  <c r="F442" i="5" s="1"/>
  <c r="L442" i="4"/>
  <c r="L442" i="5" s="1"/>
  <c r="R442" i="6"/>
  <c r="L442" i="6"/>
  <c r="T442" i="6"/>
  <c r="K442" i="6"/>
  <c r="U442" i="6"/>
  <c r="O442" i="4"/>
  <c r="O442" i="5" s="1"/>
  <c r="Q442" i="6"/>
  <c r="M442" i="4"/>
  <c r="M442" i="5" s="1"/>
  <c r="P442" i="4"/>
  <c r="P442" i="5" s="1"/>
  <c r="D442" i="6"/>
  <c r="E442" i="6"/>
  <c r="S442" i="4"/>
  <c r="S442" i="5" s="1"/>
  <c r="K442" i="4"/>
  <c r="K442" i="5" s="1"/>
  <c r="I442" i="6"/>
  <c r="V442" i="4"/>
  <c r="V442" i="5" s="1"/>
  <c r="N442" i="6"/>
  <c r="F442" i="6"/>
  <c r="H442" i="6"/>
  <c r="V442" i="6"/>
  <c r="S442" i="6"/>
  <c r="D442" i="4"/>
  <c r="D442" i="5" s="1"/>
  <c r="J442" i="6"/>
  <c r="R442" i="4"/>
  <c r="R442" i="5" s="1"/>
  <c r="P442" i="6"/>
  <c r="D523" i="6"/>
  <c r="J523" i="4"/>
  <c r="J523" i="5" s="1"/>
  <c r="R523" i="6"/>
  <c r="H523" i="4"/>
  <c r="H523" i="5" s="1"/>
  <c r="L523" i="6"/>
  <c r="N523" i="4"/>
  <c r="N523" i="5" s="1"/>
  <c r="H523" i="6"/>
  <c r="P523" i="4"/>
  <c r="P523" i="5" s="1"/>
  <c r="J523" i="6"/>
  <c r="D523" i="4"/>
  <c r="D523" i="5" s="1"/>
  <c r="O523" i="4"/>
  <c r="O523" i="5" s="1"/>
  <c r="G523" i="4"/>
  <c r="G523" i="5" s="1"/>
  <c r="Q523" i="6"/>
  <c r="I523" i="6"/>
  <c r="Q523" i="4"/>
  <c r="Q523" i="5" s="1"/>
  <c r="I523" i="4"/>
  <c r="I523" i="5" s="1"/>
  <c r="S523" i="6"/>
  <c r="K523" i="6"/>
  <c r="R523" i="4"/>
  <c r="R523" i="5" s="1"/>
  <c r="V523" i="6"/>
  <c r="F523" i="6"/>
  <c r="V523" i="4"/>
  <c r="V523" i="5" s="1"/>
  <c r="N523" i="6"/>
  <c r="S523" i="4"/>
  <c r="S523" i="5" s="1"/>
  <c r="U523" i="6"/>
  <c r="U523" i="4"/>
  <c r="U523" i="5" s="1"/>
  <c r="E523" i="4"/>
  <c r="E523" i="5" s="1"/>
  <c r="G523" i="6"/>
  <c r="L523" i="4"/>
  <c r="L523" i="5" s="1"/>
  <c r="T523" i="4"/>
  <c r="T523" i="5" s="1"/>
  <c r="K523" i="4"/>
  <c r="K523" i="5" s="1"/>
  <c r="M523" i="4"/>
  <c r="M523" i="5" s="1"/>
  <c r="P523" i="6"/>
  <c r="T523" i="6"/>
  <c r="F523" i="4"/>
  <c r="F523" i="5" s="1"/>
  <c r="E523" i="6"/>
  <c r="M523" i="6"/>
  <c r="O523" i="6"/>
  <c r="M85" i="4"/>
  <c r="M85" i="5" s="1"/>
  <c r="P85" i="6"/>
  <c r="M85" i="6"/>
  <c r="N85" i="6"/>
  <c r="D94" i="4"/>
  <c r="D94" i="5" s="1"/>
  <c r="U94" i="6"/>
  <c r="K94" i="4"/>
  <c r="K94" i="5" s="1"/>
  <c r="F94" i="4"/>
  <c r="F94" i="5" s="1"/>
  <c r="U94" i="4"/>
  <c r="U94" i="5" s="1"/>
  <c r="L94" i="6"/>
  <c r="M94" i="6"/>
  <c r="J94" i="6"/>
  <c r="D84" i="6"/>
  <c r="U84" i="6"/>
  <c r="P84" i="4"/>
  <c r="P84" i="5" s="1"/>
  <c r="U84" i="4"/>
  <c r="U84" i="5" s="1"/>
  <c r="E84" i="4"/>
  <c r="E84" i="5" s="1"/>
  <c r="V84" i="4"/>
  <c r="V84" i="5" s="1"/>
  <c r="D84" i="4"/>
  <c r="D84" i="5" s="1"/>
  <c r="R84" i="6"/>
  <c r="L84" i="6"/>
  <c r="O84" i="6"/>
  <c r="I84" i="4"/>
  <c r="I84" i="5" s="1"/>
  <c r="F84" i="4"/>
  <c r="F84" i="5" s="1"/>
  <c r="N84" i="4"/>
  <c r="N84" i="5" s="1"/>
  <c r="M84" i="6"/>
  <c r="M84" i="4"/>
  <c r="M84" i="5" s="1"/>
  <c r="L84" i="4"/>
  <c r="L84" i="5" s="1"/>
  <c r="J84" i="4"/>
  <c r="J84" i="5" s="1"/>
  <c r="H84" i="6"/>
  <c r="E41" i="6"/>
  <c r="M41" i="6"/>
  <c r="K41" i="6"/>
  <c r="G41" i="6"/>
  <c r="F41" i="4"/>
  <c r="F41" i="5" s="1"/>
  <c r="R41" i="6"/>
  <c r="R41" i="4"/>
  <c r="R41" i="5" s="1"/>
  <c r="E41" i="4"/>
  <c r="E41" i="5" s="1"/>
  <c r="Q41" i="4"/>
  <c r="Q41" i="5" s="1"/>
  <c r="P41" i="4"/>
  <c r="P41" i="5" s="1"/>
  <c r="O41" i="4"/>
  <c r="O41" i="5" s="1"/>
  <c r="V41" i="4"/>
  <c r="V41" i="5" s="1"/>
  <c r="H41" i="4"/>
  <c r="H41" i="5" s="1"/>
  <c r="N41" i="4"/>
  <c r="N41" i="5" s="1"/>
  <c r="N41" i="6"/>
  <c r="T41" i="4"/>
  <c r="T41" i="5" s="1"/>
  <c r="F41" i="6"/>
  <c r="H41" i="6"/>
  <c r="Q41" i="6"/>
  <c r="M41" i="4"/>
  <c r="M41" i="5" s="1"/>
  <c r="S41" i="4"/>
  <c r="S41" i="5" s="1"/>
  <c r="D41" i="4"/>
  <c r="D41" i="5" s="1"/>
  <c r="O41" i="6"/>
  <c r="L41" i="4"/>
  <c r="L41" i="5" s="1"/>
  <c r="T41" i="6"/>
  <c r="V41" i="6"/>
  <c r="L41" i="6"/>
  <c r="U41" i="6"/>
  <c r="G41" i="4"/>
  <c r="G41" i="5" s="1"/>
  <c r="D41" i="6"/>
  <c r="J41" i="4"/>
  <c r="J41" i="5" s="1"/>
  <c r="J41" i="6"/>
  <c r="S41" i="6"/>
  <c r="K41" i="4"/>
  <c r="K41" i="5" s="1"/>
  <c r="U41" i="4"/>
  <c r="U41" i="5" s="1"/>
  <c r="P41" i="6"/>
  <c r="L357" i="6"/>
  <c r="L357" i="4"/>
  <c r="L357" i="5" s="1"/>
  <c r="R357" i="6"/>
  <c r="I357" i="4"/>
  <c r="I357" i="5" s="1"/>
  <c r="E357" i="6"/>
  <c r="U357" i="4"/>
  <c r="U357" i="5" s="1"/>
  <c r="G357" i="4"/>
  <c r="G357" i="5" s="1"/>
  <c r="M357" i="4"/>
  <c r="M357" i="5" s="1"/>
  <c r="D357" i="4"/>
  <c r="D357" i="5" s="1"/>
  <c r="J357" i="4"/>
  <c r="J357" i="5" s="1"/>
  <c r="V357" i="6"/>
  <c r="P357" i="4"/>
  <c r="P357" i="5" s="1"/>
  <c r="H357" i="4"/>
  <c r="H357" i="5" s="1"/>
  <c r="V357" i="4"/>
  <c r="V357" i="5" s="1"/>
  <c r="U357" i="6"/>
  <c r="K357" i="6"/>
  <c r="O357" i="4"/>
  <c r="O357" i="5" s="1"/>
  <c r="I357" i="6"/>
  <c r="N357" i="6"/>
  <c r="N357" i="4"/>
  <c r="N357" i="5" s="1"/>
  <c r="F357" i="6"/>
  <c r="K357" i="4"/>
  <c r="K357" i="5" s="1"/>
  <c r="Q357" i="6"/>
  <c r="S357" i="6"/>
  <c r="J357" i="6"/>
  <c r="H357" i="6"/>
  <c r="M357" i="6"/>
  <c r="Q357" i="4"/>
  <c r="Q357" i="5" s="1"/>
  <c r="P357" i="6"/>
  <c r="R357" i="4"/>
  <c r="R357" i="5" s="1"/>
  <c r="E357" i="4"/>
  <c r="E357" i="5" s="1"/>
  <c r="F357" i="4"/>
  <c r="F357" i="5" s="1"/>
  <c r="T357" i="6"/>
  <c r="D357" i="6"/>
  <c r="O357" i="6"/>
  <c r="T357" i="4"/>
  <c r="T357" i="5" s="1"/>
  <c r="G357" i="6"/>
  <c r="S357" i="4"/>
  <c r="S357" i="5" s="1"/>
  <c r="D473" i="4"/>
  <c r="D473" i="5" s="1"/>
  <c r="S473" i="6"/>
  <c r="I473" i="4"/>
  <c r="I473" i="5" s="1"/>
  <c r="U473" i="4"/>
  <c r="U473" i="5" s="1"/>
  <c r="U473" i="6"/>
  <c r="I473" i="6"/>
  <c r="N473" i="6"/>
  <c r="F473" i="6"/>
  <c r="P473" i="6"/>
  <c r="N473" i="4"/>
  <c r="N473" i="5" s="1"/>
  <c r="D473" i="6"/>
  <c r="R473" i="4"/>
  <c r="R473" i="5" s="1"/>
  <c r="Q473" i="6"/>
  <c r="M473" i="4"/>
  <c r="M473" i="5" s="1"/>
  <c r="O473" i="4"/>
  <c r="O473" i="5" s="1"/>
  <c r="G473" i="6"/>
  <c r="T473" i="6"/>
  <c r="H473" i="6"/>
  <c r="J473" i="4"/>
  <c r="J473" i="5" s="1"/>
  <c r="G473" i="4"/>
  <c r="G473" i="5" s="1"/>
  <c r="J473" i="6"/>
  <c r="L473" i="6"/>
  <c r="Q473" i="4"/>
  <c r="Q473" i="5" s="1"/>
  <c r="M473" i="6"/>
  <c r="S473" i="4"/>
  <c r="S473" i="5" s="1"/>
  <c r="H473" i="4"/>
  <c r="H473" i="5" s="1"/>
  <c r="V473" i="4"/>
  <c r="V473" i="5" s="1"/>
  <c r="E473" i="4"/>
  <c r="E473" i="5" s="1"/>
  <c r="R473" i="6"/>
  <c r="K473" i="6"/>
  <c r="K473" i="4"/>
  <c r="K473" i="5" s="1"/>
  <c r="E473" i="6"/>
  <c r="O473" i="6"/>
  <c r="L473" i="4"/>
  <c r="L473" i="5" s="1"/>
  <c r="F473" i="4"/>
  <c r="F473" i="5" s="1"/>
  <c r="V473" i="6"/>
  <c r="K374" i="6"/>
  <c r="F374" i="4"/>
  <c r="F374" i="5" s="1"/>
  <c r="O374" i="6"/>
  <c r="U374" i="4"/>
  <c r="U374" i="5" s="1"/>
  <c r="S374" i="4"/>
  <c r="S374" i="5" s="1"/>
  <c r="D374" i="6"/>
  <c r="H374" i="4"/>
  <c r="H374" i="5" s="1"/>
  <c r="O374" i="4"/>
  <c r="O374" i="5" s="1"/>
  <c r="P374" i="4"/>
  <c r="P374" i="5" s="1"/>
  <c r="G374" i="6"/>
  <c r="N374" i="4"/>
  <c r="N374" i="5" s="1"/>
  <c r="M374" i="4"/>
  <c r="M374" i="5" s="1"/>
  <c r="Q374" i="4"/>
  <c r="Q374" i="5" s="1"/>
  <c r="R374" i="4"/>
  <c r="R374" i="5" s="1"/>
  <c r="M374" i="6"/>
  <c r="I374" i="6"/>
  <c r="T374" i="6"/>
  <c r="J374" i="4"/>
  <c r="J374" i="5" s="1"/>
  <c r="Q374" i="6"/>
  <c r="Q151" i="4"/>
  <c r="Q151" i="5" s="1"/>
  <c r="D151" i="6"/>
  <c r="S151" i="4"/>
  <c r="S151" i="5" s="1"/>
  <c r="K151" i="6"/>
  <c r="I151" i="6"/>
  <c r="I151" i="4"/>
  <c r="I151" i="5" s="1"/>
  <c r="O151" i="6"/>
  <c r="G151" i="4"/>
  <c r="G151" i="5" s="1"/>
  <c r="M151" i="6"/>
  <c r="E151" i="4"/>
  <c r="E151" i="5" s="1"/>
  <c r="N151" i="6"/>
  <c r="J151" i="6"/>
  <c r="R151" i="4"/>
  <c r="R151" i="5" s="1"/>
  <c r="T151" i="6"/>
  <c r="T151" i="4"/>
  <c r="T151" i="5" s="1"/>
  <c r="L151" i="6"/>
  <c r="F151" i="6"/>
  <c r="L151" i="4"/>
  <c r="L151" i="5" s="1"/>
  <c r="H151" i="6"/>
  <c r="K151" i="4"/>
  <c r="K151" i="5" s="1"/>
  <c r="D151" i="4"/>
  <c r="D151" i="5" s="1"/>
  <c r="Q151" i="6"/>
  <c r="U151" i="4"/>
  <c r="U151" i="5" s="1"/>
  <c r="U151" i="6"/>
  <c r="F151" i="4"/>
  <c r="F151" i="5" s="1"/>
  <c r="R151" i="6"/>
  <c r="P151" i="6"/>
  <c r="P151" i="4"/>
  <c r="P151" i="5" s="1"/>
  <c r="M151" i="4"/>
  <c r="M151" i="5" s="1"/>
  <c r="O151" i="4"/>
  <c r="O151" i="5" s="1"/>
  <c r="S151" i="6"/>
  <c r="G151" i="6"/>
  <c r="E151" i="6"/>
  <c r="J151" i="4"/>
  <c r="J151" i="5" s="1"/>
  <c r="V151" i="4"/>
  <c r="V151" i="5" s="1"/>
  <c r="V151" i="6"/>
  <c r="N151" i="4"/>
  <c r="N151" i="5" s="1"/>
  <c r="H151" i="4"/>
  <c r="H151" i="5" s="1"/>
  <c r="K377" i="6"/>
  <c r="H377" i="4"/>
  <c r="H377" i="5" s="1"/>
  <c r="R377" i="4"/>
  <c r="R377" i="5" s="1"/>
  <c r="M377" i="6"/>
  <c r="G162" i="6"/>
  <c r="O162" i="6"/>
  <c r="E162" i="4"/>
  <c r="E162" i="5" s="1"/>
  <c r="M162" i="4"/>
  <c r="M162" i="5" s="1"/>
  <c r="H162" i="6"/>
  <c r="Q162" i="4"/>
  <c r="Q162" i="5" s="1"/>
  <c r="E162" i="6"/>
  <c r="M162" i="6"/>
  <c r="U162" i="6"/>
  <c r="K162" i="4"/>
  <c r="K162" i="5" s="1"/>
  <c r="V162" i="4"/>
  <c r="V162" i="5" s="1"/>
  <c r="R162" i="4"/>
  <c r="R162" i="5" s="1"/>
  <c r="N162" i="4"/>
  <c r="N162" i="5" s="1"/>
  <c r="H162" i="4"/>
  <c r="H162" i="5" s="1"/>
  <c r="F162" i="4"/>
  <c r="F162" i="5" s="1"/>
  <c r="L162" i="4"/>
  <c r="L162" i="5" s="1"/>
  <c r="V162" i="6"/>
  <c r="F162" i="6"/>
  <c r="J162" i="6"/>
  <c r="O162" i="4"/>
  <c r="O162" i="5" s="1"/>
  <c r="S162" i="4"/>
  <c r="S162" i="5" s="1"/>
  <c r="D162" i="6"/>
  <c r="U162" i="4"/>
  <c r="U162" i="5" s="1"/>
  <c r="P162" i="4"/>
  <c r="P162" i="5" s="1"/>
  <c r="T162" i="6"/>
  <c r="K162" i="6"/>
  <c r="I162" i="4"/>
  <c r="I162" i="5" s="1"/>
  <c r="G162" i="4"/>
  <c r="G162" i="5" s="1"/>
  <c r="I162" i="6"/>
  <c r="D162" i="4"/>
  <c r="D162" i="5" s="1"/>
  <c r="T162" i="4"/>
  <c r="T162" i="5" s="1"/>
  <c r="L162" i="6"/>
  <c r="P162" i="6"/>
  <c r="N162" i="6"/>
  <c r="S162" i="6"/>
  <c r="Q162" i="6"/>
  <c r="J162" i="4"/>
  <c r="J162" i="5" s="1"/>
  <c r="R162" i="6"/>
  <c r="L393" i="6"/>
  <c r="G393" i="6"/>
  <c r="K146" i="6"/>
  <c r="G146" i="6"/>
  <c r="D146" i="6"/>
  <c r="S146" i="4"/>
  <c r="S146" i="5" s="1"/>
  <c r="K146" i="4"/>
  <c r="K146" i="5" s="1"/>
  <c r="U146" i="4"/>
  <c r="U146" i="5" s="1"/>
  <c r="M146" i="4"/>
  <c r="M146" i="5" s="1"/>
  <c r="E146" i="4"/>
  <c r="E146" i="5" s="1"/>
  <c r="Q146" i="6"/>
  <c r="U146" i="6"/>
  <c r="J146" i="4"/>
  <c r="J146" i="5" s="1"/>
  <c r="L146" i="4"/>
  <c r="L146" i="5" s="1"/>
  <c r="H146" i="6"/>
  <c r="N146" i="4"/>
  <c r="N146" i="5" s="1"/>
  <c r="R146" i="4"/>
  <c r="R146" i="5" s="1"/>
  <c r="N146" i="6"/>
  <c r="P146" i="4"/>
  <c r="P146" i="5" s="1"/>
  <c r="L146" i="6"/>
  <c r="T146" i="6"/>
  <c r="M146" i="6"/>
  <c r="O146" i="4"/>
  <c r="O146" i="5" s="1"/>
  <c r="Q146" i="4"/>
  <c r="Q146" i="5" s="1"/>
  <c r="S146" i="6"/>
  <c r="E146" i="6"/>
  <c r="H146" i="4"/>
  <c r="H146" i="5" s="1"/>
  <c r="V146" i="4"/>
  <c r="V146" i="5" s="1"/>
  <c r="T146" i="4"/>
  <c r="T146" i="5" s="1"/>
  <c r="J146" i="6"/>
  <c r="D146" i="4"/>
  <c r="D146" i="5" s="1"/>
  <c r="I146" i="4"/>
  <c r="I146" i="5" s="1"/>
  <c r="F146" i="4"/>
  <c r="F146" i="5" s="1"/>
  <c r="R146" i="6"/>
  <c r="F146" i="6"/>
  <c r="I146" i="6"/>
  <c r="G146" i="4"/>
  <c r="G146" i="5" s="1"/>
  <c r="O146" i="6"/>
  <c r="V146" i="6"/>
  <c r="P146" i="6"/>
  <c r="L386" i="6"/>
  <c r="G386" i="4"/>
  <c r="G386" i="5" s="1"/>
  <c r="P149" i="4"/>
  <c r="P149" i="5" s="1"/>
  <c r="S149" i="4"/>
  <c r="S149" i="5" s="1"/>
  <c r="V56" i="6"/>
  <c r="D56" i="4"/>
  <c r="D56" i="5" s="1"/>
  <c r="Q243" i="6"/>
  <c r="N243" i="4"/>
  <c r="N243" i="5" s="1"/>
  <c r="V243" i="6"/>
  <c r="U243" i="4"/>
  <c r="U243" i="5" s="1"/>
  <c r="L288" i="4"/>
  <c r="L288" i="5" s="1"/>
  <c r="L288" i="6"/>
  <c r="J288" i="6"/>
  <c r="R288" i="4"/>
  <c r="R288" i="5" s="1"/>
  <c r="Q288" i="4"/>
  <c r="Q288" i="5" s="1"/>
  <c r="V288" i="4"/>
  <c r="V288" i="5" s="1"/>
  <c r="K288" i="4"/>
  <c r="K288" i="5" s="1"/>
  <c r="S288" i="4"/>
  <c r="S288" i="5" s="1"/>
  <c r="E288" i="6"/>
  <c r="R288" i="6"/>
  <c r="U288" i="6"/>
  <c r="Q288" i="6"/>
  <c r="I288" i="4"/>
  <c r="I288" i="5" s="1"/>
  <c r="H288" i="6"/>
  <c r="K288" i="6"/>
  <c r="G288" i="6"/>
  <c r="M258" i="6"/>
  <c r="Q258" i="6"/>
  <c r="I258" i="6"/>
  <c r="H258" i="6"/>
  <c r="N258" i="6"/>
  <c r="L258" i="4"/>
  <c r="L258" i="5" s="1"/>
  <c r="T258" i="6"/>
  <c r="Q258" i="4"/>
  <c r="Q258" i="5" s="1"/>
  <c r="K258" i="4"/>
  <c r="K258" i="5" s="1"/>
  <c r="N258" i="4"/>
  <c r="N258" i="5" s="1"/>
  <c r="J258" i="4"/>
  <c r="J258" i="5" s="1"/>
  <c r="K258" i="6"/>
  <c r="P258" i="6"/>
  <c r="P258" i="4"/>
  <c r="P258" i="5" s="1"/>
  <c r="E258" i="4"/>
  <c r="E258" i="5" s="1"/>
  <c r="D439" i="6"/>
  <c r="M439" i="4"/>
  <c r="M439" i="5" s="1"/>
  <c r="E439" i="6"/>
  <c r="V439" i="4"/>
  <c r="V439" i="5" s="1"/>
  <c r="V439" i="6"/>
  <c r="K439" i="4"/>
  <c r="K439" i="5" s="1"/>
  <c r="G439" i="4"/>
  <c r="G439" i="5" s="1"/>
  <c r="F439" i="4"/>
  <c r="F439" i="5" s="1"/>
  <c r="H439" i="6"/>
  <c r="I439" i="4"/>
  <c r="I439" i="5" s="1"/>
  <c r="U439" i="6"/>
  <c r="J439" i="6"/>
  <c r="S439" i="4"/>
  <c r="S439" i="5" s="1"/>
  <c r="R439" i="6"/>
  <c r="I439" i="6"/>
  <c r="N439" i="4"/>
  <c r="N439" i="5" s="1"/>
  <c r="L439" i="6"/>
  <c r="H439" i="4"/>
  <c r="H439" i="5" s="1"/>
  <c r="U439" i="4"/>
  <c r="U439" i="5" s="1"/>
  <c r="L224" i="4"/>
  <c r="L224" i="5" s="1"/>
  <c r="K224" i="6"/>
  <c r="Q224" i="6"/>
  <c r="H224" i="4"/>
  <c r="H224" i="5" s="1"/>
  <c r="J224" i="4"/>
  <c r="J224" i="5" s="1"/>
  <c r="H224" i="6"/>
  <c r="I224" i="6"/>
  <c r="S224" i="4"/>
  <c r="S224" i="5" s="1"/>
  <c r="K224" i="4"/>
  <c r="K224" i="5" s="1"/>
  <c r="P224" i="6"/>
  <c r="J224" i="6"/>
  <c r="T224" i="4"/>
  <c r="T224" i="5" s="1"/>
  <c r="E224" i="6"/>
  <c r="M224" i="6"/>
  <c r="U224" i="6"/>
  <c r="G224" i="6"/>
  <c r="Q224" i="4"/>
  <c r="Q224" i="5" s="1"/>
  <c r="L224" i="6"/>
  <c r="E224" i="4"/>
  <c r="E224" i="5" s="1"/>
  <c r="S224" i="6"/>
  <c r="N224" i="4"/>
  <c r="N224" i="5" s="1"/>
  <c r="N224" i="6"/>
  <c r="O224" i="4"/>
  <c r="O224" i="5" s="1"/>
  <c r="O224" i="6"/>
  <c r="U224" i="4"/>
  <c r="U224" i="5" s="1"/>
  <c r="T224" i="6"/>
  <c r="P224" i="4"/>
  <c r="P224" i="5" s="1"/>
  <c r="I224" i="4"/>
  <c r="I224" i="5" s="1"/>
  <c r="D224" i="4"/>
  <c r="D224" i="5" s="1"/>
  <c r="D224" i="6"/>
  <c r="M224" i="4"/>
  <c r="M224" i="5" s="1"/>
  <c r="G224" i="4"/>
  <c r="G224" i="5" s="1"/>
  <c r="Q68" i="4"/>
  <c r="Q68" i="5" s="1"/>
  <c r="O68" i="4"/>
  <c r="O68" i="5" s="1"/>
  <c r="S68" i="4"/>
  <c r="S68" i="5" s="1"/>
  <c r="I68" i="4"/>
  <c r="I68" i="5" s="1"/>
  <c r="U68" i="4"/>
  <c r="U68" i="5" s="1"/>
  <c r="K68" i="4"/>
  <c r="K68" i="5" s="1"/>
  <c r="E68" i="6"/>
  <c r="G68" i="4"/>
  <c r="G68" i="5" s="1"/>
  <c r="F68" i="6"/>
  <c r="T68" i="4"/>
  <c r="T68" i="5" s="1"/>
  <c r="R68" i="4"/>
  <c r="R68" i="5" s="1"/>
  <c r="V68" i="6"/>
  <c r="D68" i="4"/>
  <c r="D68" i="5" s="1"/>
  <c r="J68" i="6"/>
  <c r="H68" i="4"/>
  <c r="H68" i="5" s="1"/>
  <c r="L68" i="6"/>
  <c r="H68" i="6"/>
  <c r="P68" i="6"/>
  <c r="U68" i="6"/>
  <c r="D68" i="6"/>
  <c r="Q68" i="6"/>
  <c r="G68" i="6"/>
  <c r="I68" i="6"/>
  <c r="R68" i="6"/>
  <c r="T68" i="6"/>
  <c r="L68" i="4"/>
  <c r="L68" i="5" s="1"/>
  <c r="N68" i="6"/>
  <c r="E68" i="4"/>
  <c r="E68" i="5" s="1"/>
  <c r="P68" i="4"/>
  <c r="P68" i="5" s="1"/>
  <c r="S68" i="6"/>
  <c r="N68" i="4"/>
  <c r="N68" i="5" s="1"/>
  <c r="O68" i="6"/>
  <c r="J68" i="4"/>
  <c r="J68" i="5" s="1"/>
  <c r="F68" i="4"/>
  <c r="F68" i="5" s="1"/>
  <c r="K68" i="6"/>
  <c r="V68" i="4"/>
  <c r="V68" i="5" s="1"/>
  <c r="K219" i="4"/>
  <c r="K219" i="5" s="1"/>
  <c r="M219" i="4"/>
  <c r="M219" i="5" s="1"/>
  <c r="U219" i="6"/>
  <c r="L219" i="4"/>
  <c r="L219" i="5" s="1"/>
  <c r="V219" i="6"/>
  <c r="R219" i="4"/>
  <c r="R219" i="5" s="1"/>
  <c r="F219" i="4"/>
  <c r="F219" i="5" s="1"/>
  <c r="U219" i="4"/>
  <c r="U219" i="5" s="1"/>
  <c r="N219" i="4"/>
  <c r="N219" i="5" s="1"/>
  <c r="O219" i="6"/>
  <c r="Q219" i="6"/>
  <c r="P219" i="6"/>
  <c r="D219" i="6"/>
  <c r="J219" i="6"/>
  <c r="I219" i="4"/>
  <c r="I219" i="5" s="1"/>
  <c r="M219" i="6"/>
  <c r="E219" i="4"/>
  <c r="E219" i="5" s="1"/>
  <c r="I219" i="6"/>
  <c r="L219" i="6"/>
  <c r="R219" i="6"/>
  <c r="V219" i="4"/>
  <c r="V219" i="5" s="1"/>
  <c r="S219" i="4"/>
  <c r="S219" i="5" s="1"/>
  <c r="D219" i="4"/>
  <c r="D219" i="5" s="1"/>
  <c r="J219" i="4"/>
  <c r="J219" i="5" s="1"/>
  <c r="Q219" i="4"/>
  <c r="Q219" i="5" s="1"/>
  <c r="G219" i="6"/>
  <c r="G219" i="4"/>
  <c r="G219" i="5" s="1"/>
  <c r="E219" i="6"/>
  <c r="O219" i="4"/>
  <c r="O219" i="5" s="1"/>
  <c r="F219" i="6"/>
  <c r="N219" i="6"/>
  <c r="K219" i="6"/>
  <c r="S219" i="6"/>
  <c r="T545" i="4"/>
  <c r="T545" i="5" s="1"/>
  <c r="L545" i="4"/>
  <c r="L545" i="5" s="1"/>
  <c r="D545" i="4"/>
  <c r="D545" i="5" s="1"/>
  <c r="J545" i="6"/>
  <c r="L545" i="6"/>
  <c r="V545" i="4"/>
  <c r="V545" i="5" s="1"/>
  <c r="N545" i="4"/>
  <c r="N545" i="5" s="1"/>
  <c r="F545" i="4"/>
  <c r="F545" i="5" s="1"/>
  <c r="N545" i="6"/>
  <c r="P545" i="6"/>
  <c r="S545" i="4"/>
  <c r="S545" i="5" s="1"/>
  <c r="G545" i="4"/>
  <c r="G545" i="5" s="1"/>
  <c r="O545" i="6"/>
  <c r="Q545" i="4"/>
  <c r="Q545" i="5" s="1"/>
  <c r="I545" i="6"/>
  <c r="E545" i="4"/>
  <c r="E545" i="5" s="1"/>
  <c r="U545" i="4"/>
  <c r="U545" i="5" s="1"/>
  <c r="M545" i="6"/>
  <c r="M545" i="4"/>
  <c r="M545" i="5" s="1"/>
  <c r="H545" i="4"/>
  <c r="H545" i="5" s="1"/>
  <c r="T545" i="6"/>
  <c r="R545" i="4"/>
  <c r="R545" i="5" s="1"/>
  <c r="V545" i="6"/>
  <c r="H545" i="6"/>
  <c r="O545" i="4"/>
  <c r="O545" i="5" s="1"/>
  <c r="Q545" i="6"/>
  <c r="E545" i="6"/>
  <c r="K545" i="6"/>
  <c r="R545" i="6"/>
  <c r="J545" i="4"/>
  <c r="J545" i="5" s="1"/>
  <c r="K545" i="4"/>
  <c r="K545" i="5" s="1"/>
  <c r="I545" i="4"/>
  <c r="I545" i="5" s="1"/>
  <c r="S545" i="6"/>
  <c r="P545" i="4"/>
  <c r="P545" i="5" s="1"/>
  <c r="D545" i="6"/>
  <c r="F545" i="6"/>
  <c r="G545" i="6"/>
  <c r="U545" i="6"/>
  <c r="R497" i="4"/>
  <c r="R497" i="5" s="1"/>
  <c r="J497" i="4"/>
  <c r="J497" i="5" s="1"/>
  <c r="U497" i="4"/>
  <c r="U497" i="5" s="1"/>
  <c r="K497" i="6"/>
  <c r="Q497" i="6"/>
  <c r="I497" i="6"/>
  <c r="S497" i="4"/>
  <c r="S497" i="5" s="1"/>
  <c r="E497" i="6"/>
  <c r="G497" i="4"/>
  <c r="G497" i="5" s="1"/>
  <c r="K497" i="4"/>
  <c r="K497" i="5" s="1"/>
  <c r="U497" i="6"/>
  <c r="V497" i="6"/>
  <c r="F497" i="6"/>
  <c r="Q497" i="4"/>
  <c r="Q497" i="5" s="1"/>
  <c r="J497" i="6"/>
  <c r="N497" i="4"/>
  <c r="N497" i="5" s="1"/>
  <c r="O497" i="6"/>
  <c r="M497" i="4"/>
  <c r="M497" i="5" s="1"/>
  <c r="S497" i="6"/>
  <c r="O497" i="4"/>
  <c r="O497" i="5" s="1"/>
  <c r="M497" i="6"/>
  <c r="I497" i="4"/>
  <c r="I497" i="5" s="1"/>
  <c r="F497" i="4"/>
  <c r="F497" i="5" s="1"/>
  <c r="E497" i="4"/>
  <c r="E497" i="5" s="1"/>
  <c r="D497" i="6"/>
  <c r="R497" i="6"/>
  <c r="V497" i="4"/>
  <c r="V497" i="5" s="1"/>
  <c r="G497" i="6"/>
  <c r="D497" i="4"/>
  <c r="D497" i="5" s="1"/>
  <c r="N497" i="6"/>
  <c r="R311" i="6"/>
  <c r="O311" i="4"/>
  <c r="O311" i="5" s="1"/>
  <c r="K311" i="6"/>
  <c r="I311" i="4"/>
  <c r="I311" i="5" s="1"/>
  <c r="R311" i="4"/>
  <c r="R311" i="5" s="1"/>
  <c r="H311" i="6"/>
  <c r="D311" i="6"/>
  <c r="D311" i="4"/>
  <c r="D311" i="5" s="1"/>
  <c r="S311" i="4"/>
  <c r="S311" i="5" s="1"/>
  <c r="U311" i="6"/>
  <c r="I311" i="6"/>
  <c r="V311" i="4"/>
  <c r="V311" i="5" s="1"/>
  <c r="J311" i="4"/>
  <c r="J311" i="5" s="1"/>
  <c r="L311" i="6"/>
  <c r="P311" i="4"/>
  <c r="P311" i="5" s="1"/>
  <c r="F311" i="4"/>
  <c r="F311" i="5" s="1"/>
  <c r="J311" i="6"/>
  <c r="P311" i="6"/>
  <c r="M311" i="4"/>
  <c r="M311" i="5" s="1"/>
  <c r="E311" i="6"/>
  <c r="U311" i="4"/>
  <c r="U311" i="5" s="1"/>
  <c r="K311" i="4"/>
  <c r="K311" i="5" s="1"/>
  <c r="G311" i="4"/>
  <c r="G311" i="5" s="1"/>
  <c r="V311" i="6"/>
  <c r="N311" i="6"/>
  <c r="F311" i="6"/>
  <c r="T311" i="4"/>
  <c r="T311" i="5" s="1"/>
  <c r="E311" i="4"/>
  <c r="E311" i="5" s="1"/>
  <c r="G311" i="6"/>
  <c r="O311" i="6"/>
  <c r="L311" i="4"/>
  <c r="L311" i="5" s="1"/>
  <c r="N311" i="4"/>
  <c r="N311" i="5" s="1"/>
  <c r="M311" i="6"/>
  <c r="S311" i="6"/>
  <c r="H311" i="4"/>
  <c r="H311" i="5" s="1"/>
  <c r="T311" i="6"/>
  <c r="D40" i="4"/>
  <c r="D40" i="5" s="1"/>
  <c r="P40" i="4"/>
  <c r="P40" i="5" s="1"/>
  <c r="H40" i="6"/>
  <c r="P40" i="6"/>
  <c r="N40" i="4"/>
  <c r="N40" i="5" s="1"/>
  <c r="H40" i="4"/>
  <c r="H40" i="5" s="1"/>
  <c r="L40" i="4"/>
  <c r="L40" i="5" s="1"/>
  <c r="V40" i="6"/>
  <c r="E40" i="6"/>
  <c r="U40" i="6"/>
  <c r="I40" i="6"/>
  <c r="S40" i="4"/>
  <c r="S40" i="5" s="1"/>
  <c r="G40" i="4"/>
  <c r="G40" i="5" s="1"/>
  <c r="E40" i="4"/>
  <c r="E40" i="5" s="1"/>
  <c r="Q40" i="6"/>
  <c r="K40" i="4"/>
  <c r="K40" i="5" s="1"/>
  <c r="J40" i="6"/>
  <c r="T40" i="4"/>
  <c r="T40" i="5" s="1"/>
  <c r="T40" i="6"/>
  <c r="K40" i="6"/>
  <c r="O40" i="6"/>
  <c r="G40" i="6"/>
  <c r="U40" i="4"/>
  <c r="U40" i="5" s="1"/>
  <c r="O40" i="4"/>
  <c r="O40" i="5" s="1"/>
  <c r="L40" i="6"/>
  <c r="J40" i="4"/>
  <c r="J40" i="5" s="1"/>
  <c r="M40" i="6"/>
  <c r="M40" i="4"/>
  <c r="M40" i="5" s="1"/>
  <c r="N40" i="6"/>
  <c r="D40" i="6"/>
  <c r="Q40" i="4"/>
  <c r="Q40" i="5" s="1"/>
  <c r="S40" i="6"/>
  <c r="S137" i="6"/>
  <c r="H137" i="6"/>
  <c r="K137" i="4"/>
  <c r="K137" i="5" s="1"/>
  <c r="Q137" i="4"/>
  <c r="Q137" i="5" s="1"/>
  <c r="K137" i="6"/>
  <c r="V137" i="4"/>
  <c r="V137" i="5" s="1"/>
  <c r="S137" i="4"/>
  <c r="S137" i="5" s="1"/>
  <c r="D137" i="4"/>
  <c r="D137" i="5" s="1"/>
  <c r="D137" i="6"/>
  <c r="I137" i="6"/>
  <c r="J137" i="4"/>
  <c r="J137" i="5" s="1"/>
  <c r="O137" i="6"/>
  <c r="R137" i="6"/>
  <c r="H137" i="4"/>
  <c r="H137" i="5" s="1"/>
  <c r="U137" i="4"/>
  <c r="U137" i="5" s="1"/>
  <c r="G137" i="4"/>
  <c r="G137" i="5" s="1"/>
  <c r="R137" i="4"/>
  <c r="R137" i="5" s="1"/>
  <c r="P137" i="6"/>
  <c r="J137" i="6"/>
  <c r="M137" i="6"/>
  <c r="E137" i="4"/>
  <c r="E137" i="5" s="1"/>
  <c r="Q137" i="6"/>
  <c r="N137" i="6"/>
  <c r="I137" i="4"/>
  <c r="I137" i="5" s="1"/>
  <c r="P137" i="4"/>
  <c r="P137" i="5" s="1"/>
  <c r="T137" i="6"/>
  <c r="F137" i="6"/>
  <c r="N137" i="4"/>
  <c r="N137" i="5" s="1"/>
  <c r="F137" i="4"/>
  <c r="F137" i="5" s="1"/>
  <c r="O137" i="4"/>
  <c r="O137" i="5" s="1"/>
  <c r="E137" i="6"/>
  <c r="G137" i="6"/>
  <c r="U137" i="6"/>
  <c r="M137" i="4"/>
  <c r="M137" i="5" s="1"/>
  <c r="L137" i="6"/>
  <c r="T137" i="4"/>
  <c r="T137" i="5" s="1"/>
  <c r="L137" i="4"/>
  <c r="L137" i="5" s="1"/>
  <c r="V137" i="6"/>
  <c r="D412" i="6"/>
  <c r="M412" i="6"/>
  <c r="I412" i="4"/>
  <c r="I412" i="5" s="1"/>
  <c r="K412" i="6"/>
  <c r="L412" i="6"/>
  <c r="H412" i="4"/>
  <c r="H412" i="5" s="1"/>
  <c r="G412" i="4"/>
  <c r="G412" i="5" s="1"/>
  <c r="K412" i="4"/>
  <c r="K412" i="5" s="1"/>
  <c r="T412" i="6"/>
  <c r="Q412" i="4"/>
  <c r="Q412" i="5" s="1"/>
  <c r="J412" i="6"/>
  <c r="U412" i="6"/>
  <c r="T512" i="6"/>
  <c r="R512" i="6"/>
  <c r="F512" i="6"/>
  <c r="P512" i="6"/>
  <c r="J512" i="6"/>
  <c r="D512" i="4"/>
  <c r="D512" i="5" s="1"/>
  <c r="V512" i="4"/>
  <c r="V512" i="5" s="1"/>
  <c r="J512" i="4"/>
  <c r="J512" i="5" s="1"/>
  <c r="T512" i="4"/>
  <c r="T512" i="5" s="1"/>
  <c r="P512" i="4"/>
  <c r="P512" i="5" s="1"/>
  <c r="O512" i="4"/>
  <c r="O512" i="5" s="1"/>
  <c r="M512" i="4"/>
  <c r="M512" i="5" s="1"/>
  <c r="S512" i="4"/>
  <c r="S512" i="5" s="1"/>
  <c r="I512" i="6"/>
  <c r="S512" i="6"/>
  <c r="U512" i="4"/>
  <c r="U512" i="5" s="1"/>
  <c r="E512" i="6"/>
  <c r="U512" i="6"/>
  <c r="E512" i="4"/>
  <c r="E512" i="5" s="1"/>
  <c r="V512" i="6"/>
  <c r="H512" i="6"/>
  <c r="R512" i="4"/>
  <c r="R512" i="5" s="1"/>
  <c r="H512" i="4"/>
  <c r="H512" i="5" s="1"/>
  <c r="F512" i="4"/>
  <c r="F512" i="5" s="1"/>
  <c r="I512" i="4"/>
  <c r="I512" i="5" s="1"/>
  <c r="O512" i="6"/>
  <c r="Q512" i="4"/>
  <c r="Q512" i="5" s="1"/>
  <c r="Q512" i="6"/>
  <c r="N512" i="6"/>
  <c r="K512" i="6"/>
  <c r="D512" i="6"/>
  <c r="N512" i="4"/>
  <c r="N512" i="5" s="1"/>
  <c r="G512" i="4"/>
  <c r="G512" i="5" s="1"/>
  <c r="K512" i="4"/>
  <c r="K512" i="5" s="1"/>
  <c r="M512" i="6"/>
  <c r="L512" i="6"/>
  <c r="L512" i="4"/>
  <c r="L512" i="5" s="1"/>
  <c r="G512" i="6"/>
  <c r="I368" i="6"/>
  <c r="Q368" i="4"/>
  <c r="Q368" i="5" s="1"/>
  <c r="R368" i="4"/>
  <c r="R368" i="5" s="1"/>
  <c r="D368" i="4"/>
  <c r="D368" i="5" s="1"/>
  <c r="O368" i="4"/>
  <c r="O368" i="5" s="1"/>
  <c r="T368" i="6"/>
  <c r="M245" i="4"/>
  <c r="M245" i="5" s="1"/>
  <c r="S245" i="4"/>
  <c r="S245" i="5" s="1"/>
  <c r="Q143" i="4"/>
  <c r="Q143" i="5" s="1"/>
  <c r="I143" i="6"/>
  <c r="O143" i="6"/>
  <c r="G143" i="4"/>
  <c r="G143" i="5" s="1"/>
  <c r="O143" i="4"/>
  <c r="O143" i="5" s="1"/>
  <c r="E143" i="6"/>
  <c r="M143" i="4"/>
  <c r="M143" i="5" s="1"/>
  <c r="K143" i="6"/>
  <c r="U143" i="6"/>
  <c r="N143" i="4"/>
  <c r="N143" i="5" s="1"/>
  <c r="T143" i="4"/>
  <c r="T143" i="5" s="1"/>
  <c r="J143" i="6"/>
  <c r="L143" i="6"/>
  <c r="H143" i="6"/>
  <c r="L143" i="4"/>
  <c r="L143" i="5" s="1"/>
  <c r="H143" i="4"/>
  <c r="H143" i="5" s="1"/>
  <c r="R143" i="6"/>
  <c r="F143" i="6"/>
  <c r="T143" i="6"/>
  <c r="D143" i="6"/>
  <c r="G143" i="6"/>
  <c r="P143" i="4"/>
  <c r="P143" i="5" s="1"/>
  <c r="V143" i="6"/>
  <c r="F143" i="4"/>
  <c r="F143" i="5" s="1"/>
  <c r="S143" i="4"/>
  <c r="S143" i="5" s="1"/>
  <c r="I143" i="4"/>
  <c r="I143" i="5" s="1"/>
  <c r="K143" i="4"/>
  <c r="K143" i="5" s="1"/>
  <c r="U143" i="4"/>
  <c r="U143" i="5" s="1"/>
  <c r="Q143" i="6"/>
  <c r="J143" i="4"/>
  <c r="J143" i="5" s="1"/>
  <c r="D143" i="4"/>
  <c r="D143" i="5" s="1"/>
  <c r="M143" i="6"/>
  <c r="N143" i="6"/>
  <c r="P143" i="6"/>
  <c r="S143" i="6"/>
  <c r="E143" i="4"/>
  <c r="E143" i="5" s="1"/>
  <c r="R143" i="4"/>
  <c r="R143" i="5" s="1"/>
  <c r="V143" i="4"/>
  <c r="V143" i="5" s="1"/>
  <c r="F453" i="6"/>
  <c r="E453" i="6"/>
  <c r="U453" i="6"/>
  <c r="E453" i="4"/>
  <c r="E453" i="5" s="1"/>
  <c r="D453" i="4"/>
  <c r="D453" i="5" s="1"/>
  <c r="Q453" i="6"/>
  <c r="K453" i="4"/>
  <c r="K453" i="5" s="1"/>
  <c r="S453" i="4"/>
  <c r="S453" i="5" s="1"/>
  <c r="O453" i="6"/>
  <c r="F453" i="4"/>
  <c r="F453" i="5" s="1"/>
  <c r="R453" i="4"/>
  <c r="R453" i="5" s="1"/>
  <c r="R453" i="6"/>
  <c r="P453" i="4"/>
  <c r="P453" i="5" s="1"/>
  <c r="L453" i="6"/>
  <c r="H453" i="6"/>
  <c r="N453" i="4"/>
  <c r="N453" i="5" s="1"/>
  <c r="N453" i="6"/>
  <c r="T453" i="6"/>
  <c r="K453" i="6"/>
  <c r="Q453" i="4"/>
  <c r="Q453" i="5" s="1"/>
  <c r="I453" i="6"/>
  <c r="M453" i="4"/>
  <c r="M453" i="5" s="1"/>
  <c r="J453" i="6"/>
  <c r="V453" i="6"/>
  <c r="M453" i="6"/>
  <c r="U453" i="4"/>
  <c r="U453" i="5" s="1"/>
  <c r="G453" i="4"/>
  <c r="G453" i="5" s="1"/>
  <c r="D453" i="6"/>
  <c r="T453" i="4"/>
  <c r="T453" i="5" s="1"/>
  <c r="J453" i="4"/>
  <c r="J453" i="5" s="1"/>
  <c r="H453" i="4"/>
  <c r="H453" i="5" s="1"/>
  <c r="V453" i="4"/>
  <c r="V453" i="5" s="1"/>
  <c r="S453" i="6"/>
  <c r="G453" i="6"/>
  <c r="O453" i="4"/>
  <c r="O453" i="5" s="1"/>
  <c r="L453" i="4"/>
  <c r="L453" i="5" s="1"/>
  <c r="P453" i="6"/>
  <c r="I453" i="4"/>
  <c r="I453" i="5" s="1"/>
  <c r="T367" i="4"/>
  <c r="T367" i="5" s="1"/>
  <c r="E367" i="6"/>
  <c r="N367" i="6"/>
  <c r="S256" i="4"/>
  <c r="S256" i="5" s="1"/>
  <c r="O256" i="6"/>
  <c r="O256" i="4"/>
  <c r="O256" i="5" s="1"/>
  <c r="K256" i="4"/>
  <c r="K256" i="5" s="1"/>
  <c r="G256" i="4"/>
  <c r="G256" i="5" s="1"/>
  <c r="M256" i="6"/>
  <c r="Q256" i="4"/>
  <c r="Q256" i="5" s="1"/>
  <c r="Q256" i="6"/>
  <c r="M256" i="4"/>
  <c r="M256" i="5" s="1"/>
  <c r="T256" i="6"/>
  <c r="N256" i="4"/>
  <c r="N256" i="5" s="1"/>
  <c r="H256" i="6"/>
  <c r="P256" i="6"/>
  <c r="J256" i="6"/>
  <c r="T256" i="4"/>
  <c r="T256" i="5" s="1"/>
  <c r="G256" i="6"/>
  <c r="K256" i="6"/>
  <c r="U256" i="6"/>
  <c r="D256" i="6"/>
  <c r="E256" i="4"/>
  <c r="E256" i="5" s="1"/>
  <c r="J256" i="4"/>
  <c r="J256" i="5" s="1"/>
  <c r="P256" i="4"/>
  <c r="P256" i="5" s="1"/>
  <c r="N256" i="6"/>
  <c r="S256" i="6"/>
  <c r="E256" i="6"/>
  <c r="L256" i="6"/>
  <c r="L256" i="4"/>
  <c r="L256" i="5" s="1"/>
  <c r="D256" i="4"/>
  <c r="D256" i="5" s="1"/>
  <c r="U256" i="4"/>
  <c r="U256" i="5" s="1"/>
  <c r="H256" i="4"/>
  <c r="H256" i="5" s="1"/>
  <c r="D21" i="4"/>
  <c r="D21" i="5" s="1"/>
  <c r="J21" i="6"/>
  <c r="K21" i="6"/>
  <c r="I21" i="6"/>
  <c r="P21" i="4"/>
  <c r="P21" i="5" s="1"/>
  <c r="U21" i="6"/>
  <c r="V21" i="6"/>
  <c r="N21" i="6"/>
  <c r="T21" i="6"/>
  <c r="E21" i="6"/>
  <c r="L21" i="6"/>
  <c r="S21" i="6"/>
  <c r="M21" i="6"/>
  <c r="F21" i="6"/>
  <c r="G21" i="6"/>
  <c r="O21" i="4"/>
  <c r="O21" i="5" s="1"/>
  <c r="F21" i="4"/>
  <c r="F21" i="5" s="1"/>
  <c r="Q21" i="6"/>
  <c r="G21" i="4"/>
  <c r="G21" i="5" s="1"/>
  <c r="D21" i="6"/>
  <c r="T21" i="4"/>
  <c r="T21" i="5" s="1"/>
  <c r="S21" i="4"/>
  <c r="S21" i="5" s="1"/>
  <c r="J21" i="4"/>
  <c r="J21" i="5" s="1"/>
  <c r="E21" i="4"/>
  <c r="E21" i="5" s="1"/>
  <c r="P21" i="6"/>
  <c r="R21" i="4"/>
  <c r="R21" i="5" s="1"/>
  <c r="O21" i="6"/>
  <c r="H21" i="6"/>
  <c r="K21" i="4"/>
  <c r="K21" i="5" s="1"/>
  <c r="L21" i="4"/>
  <c r="L21" i="5" s="1"/>
  <c r="H21" i="4"/>
  <c r="H21" i="5" s="1"/>
  <c r="U21" i="4"/>
  <c r="U21" i="5" s="1"/>
  <c r="R21" i="6"/>
  <c r="N21" i="4"/>
  <c r="N21" i="5" s="1"/>
  <c r="V21" i="4"/>
  <c r="V21" i="5" s="1"/>
  <c r="I21" i="4"/>
  <c r="I21" i="5" s="1"/>
  <c r="Q21" i="4"/>
  <c r="Q21" i="5" s="1"/>
  <c r="M21" i="4"/>
  <c r="M21" i="5" s="1"/>
  <c r="P498" i="4"/>
  <c r="P498" i="5" s="1"/>
  <c r="T498" i="4"/>
  <c r="T498" i="5" s="1"/>
  <c r="J332" i="4"/>
  <c r="J332" i="5" s="1"/>
  <c r="N332" i="6"/>
  <c r="L332" i="4"/>
  <c r="L332" i="5" s="1"/>
  <c r="T332" i="4"/>
  <c r="T332" i="5" s="1"/>
  <c r="L332" i="6"/>
  <c r="D332" i="6"/>
  <c r="M332" i="4"/>
  <c r="M332" i="5" s="1"/>
  <c r="G332" i="4"/>
  <c r="G332" i="5" s="1"/>
  <c r="U332" i="4"/>
  <c r="U332" i="5" s="1"/>
  <c r="S332" i="6"/>
  <c r="Q332" i="4"/>
  <c r="Q332" i="5" s="1"/>
  <c r="O332" i="6"/>
  <c r="K332" i="6"/>
  <c r="M332" i="6"/>
  <c r="N332" i="4"/>
  <c r="N332" i="5" s="1"/>
  <c r="D332" i="4"/>
  <c r="D332" i="5" s="1"/>
  <c r="P332" i="6"/>
  <c r="G332" i="6"/>
  <c r="Q332" i="6"/>
  <c r="I332" i="4"/>
  <c r="I332" i="5" s="1"/>
  <c r="S332" i="4"/>
  <c r="S332" i="5" s="1"/>
  <c r="J332" i="6"/>
  <c r="T332" i="6"/>
  <c r="O332" i="4"/>
  <c r="O332" i="5" s="1"/>
  <c r="K332" i="4"/>
  <c r="K332" i="5" s="1"/>
  <c r="P332" i="4"/>
  <c r="P332" i="5" s="1"/>
  <c r="I332" i="6"/>
  <c r="U332" i="6"/>
  <c r="S138" i="6"/>
  <c r="N138" i="6"/>
  <c r="Q138" i="4"/>
  <c r="Q138" i="5" s="1"/>
  <c r="I71" i="6"/>
  <c r="T71" i="4"/>
  <c r="T71" i="5" s="1"/>
  <c r="S71" i="6"/>
  <c r="J71" i="6"/>
  <c r="D421" i="4"/>
  <c r="D421" i="5" s="1"/>
  <c r="R421" i="4"/>
  <c r="R421" i="5" s="1"/>
  <c r="F421" i="4"/>
  <c r="F421" i="5" s="1"/>
  <c r="N421" i="6"/>
  <c r="J421" i="6"/>
  <c r="V421" i="6"/>
  <c r="R421" i="6"/>
  <c r="Q421" i="4"/>
  <c r="Q421" i="5" s="1"/>
  <c r="I421" i="6"/>
  <c r="S421" i="6"/>
  <c r="K421" i="6"/>
  <c r="K421" i="4"/>
  <c r="K421" i="5" s="1"/>
  <c r="O421" i="4"/>
  <c r="O421" i="5" s="1"/>
  <c r="E421" i="4"/>
  <c r="E421" i="5" s="1"/>
  <c r="Q421" i="6"/>
  <c r="J421" i="4"/>
  <c r="J421" i="5" s="1"/>
  <c r="N421" i="4"/>
  <c r="N421" i="5" s="1"/>
  <c r="F421" i="6"/>
  <c r="M421" i="6"/>
  <c r="O421" i="6"/>
  <c r="M421" i="4"/>
  <c r="M421" i="5" s="1"/>
  <c r="G421" i="4"/>
  <c r="G421" i="5" s="1"/>
  <c r="S421" i="4"/>
  <c r="S421" i="5" s="1"/>
  <c r="U421" i="6"/>
  <c r="G421" i="6"/>
  <c r="U421" i="4"/>
  <c r="U421" i="5" s="1"/>
  <c r="D421" i="6"/>
  <c r="V421" i="4"/>
  <c r="V421" i="5" s="1"/>
  <c r="E421" i="6"/>
  <c r="I421" i="4"/>
  <c r="I421" i="5" s="1"/>
  <c r="I229" i="6"/>
  <c r="M229" i="4"/>
  <c r="M229" i="5" s="1"/>
  <c r="E134" i="4"/>
  <c r="E134" i="5" s="1"/>
  <c r="U134" i="6"/>
  <c r="Q134" i="6"/>
  <c r="R134" i="4"/>
  <c r="R134" i="5" s="1"/>
  <c r="T134" i="4"/>
  <c r="T134" i="5" s="1"/>
  <c r="D134" i="6"/>
  <c r="H134" i="6"/>
  <c r="R134" i="6"/>
  <c r="P134" i="4"/>
  <c r="P134" i="5" s="1"/>
  <c r="F134" i="6"/>
  <c r="Q134" i="4"/>
  <c r="Q134" i="5" s="1"/>
  <c r="L134" i="6"/>
  <c r="P134" i="6"/>
  <c r="O134" i="6"/>
  <c r="J134" i="4"/>
  <c r="J134" i="5" s="1"/>
  <c r="F463" i="4"/>
  <c r="F463" i="5" s="1"/>
  <c r="I463" i="6"/>
  <c r="N343" i="4"/>
  <c r="N343" i="5" s="1"/>
  <c r="L343" i="4"/>
  <c r="L343" i="5" s="1"/>
  <c r="F343" i="6"/>
  <c r="V343" i="6"/>
  <c r="P343" i="6"/>
  <c r="J343" i="4"/>
  <c r="J343" i="5" s="1"/>
  <c r="H343" i="4"/>
  <c r="H343" i="5" s="1"/>
  <c r="D343" i="6"/>
  <c r="T343" i="6"/>
  <c r="N343" i="6"/>
  <c r="G343" i="4"/>
  <c r="G343" i="5" s="1"/>
  <c r="O343" i="4"/>
  <c r="O343" i="5" s="1"/>
  <c r="E343" i="4"/>
  <c r="E343" i="5" s="1"/>
  <c r="M343" i="4"/>
  <c r="M343" i="5" s="1"/>
  <c r="U343" i="4"/>
  <c r="U343" i="5" s="1"/>
  <c r="U343" i="6"/>
  <c r="K343" i="6"/>
  <c r="M343" i="6"/>
  <c r="Q343" i="6"/>
  <c r="V343" i="4"/>
  <c r="V343" i="5" s="1"/>
  <c r="J343" i="6"/>
  <c r="D343" i="4"/>
  <c r="D343" i="5" s="1"/>
  <c r="P343" i="4"/>
  <c r="P343" i="5" s="1"/>
  <c r="S343" i="6"/>
  <c r="K343" i="4"/>
  <c r="K343" i="5" s="1"/>
  <c r="I343" i="4"/>
  <c r="I343" i="5" s="1"/>
  <c r="G343" i="6"/>
  <c r="E343" i="6"/>
  <c r="T343" i="4"/>
  <c r="T343" i="5" s="1"/>
  <c r="R343" i="4"/>
  <c r="R343" i="5" s="1"/>
  <c r="R343" i="6"/>
  <c r="Q343" i="4"/>
  <c r="Q343" i="5" s="1"/>
  <c r="I343" i="6"/>
  <c r="F343" i="4"/>
  <c r="F343" i="5" s="1"/>
  <c r="L343" i="6"/>
  <c r="H343" i="6"/>
  <c r="S343" i="4"/>
  <c r="S343" i="5" s="1"/>
  <c r="O343" i="6"/>
  <c r="D250" i="4"/>
  <c r="D250" i="5" s="1"/>
  <c r="S250" i="4"/>
  <c r="S250" i="5" s="1"/>
  <c r="N250" i="4"/>
  <c r="N250" i="5" s="1"/>
  <c r="J250" i="6"/>
  <c r="Q250" i="4"/>
  <c r="Q250" i="5" s="1"/>
  <c r="G250" i="4"/>
  <c r="G250" i="5" s="1"/>
  <c r="M250" i="6"/>
  <c r="Q250" i="6"/>
  <c r="L250" i="6"/>
  <c r="H250" i="6"/>
  <c r="T250" i="6"/>
  <c r="U250" i="6"/>
  <c r="S250" i="6"/>
  <c r="E250" i="4"/>
  <c r="E250" i="5" s="1"/>
  <c r="E250" i="6"/>
  <c r="L250" i="4"/>
  <c r="L250" i="5" s="1"/>
  <c r="K76" i="6"/>
  <c r="F76" i="4"/>
  <c r="F76" i="5" s="1"/>
  <c r="G76" i="6"/>
  <c r="S76" i="4"/>
  <c r="S76" i="5" s="1"/>
  <c r="K76" i="4"/>
  <c r="K76" i="5" s="1"/>
  <c r="R76" i="4"/>
  <c r="R76" i="5" s="1"/>
  <c r="T76" i="6"/>
  <c r="P76" i="6"/>
  <c r="U76" i="6"/>
  <c r="M76" i="6"/>
  <c r="M76" i="4"/>
  <c r="M76" i="5" s="1"/>
  <c r="T76" i="4"/>
  <c r="T76" i="5" s="1"/>
  <c r="N76" i="4"/>
  <c r="N76" i="5" s="1"/>
  <c r="G76" i="4"/>
  <c r="G76" i="5" s="1"/>
  <c r="E76" i="6"/>
  <c r="V76" i="6"/>
  <c r="D76" i="4"/>
  <c r="D76" i="5" s="1"/>
  <c r="L76" i="6"/>
  <c r="L76" i="4"/>
  <c r="L76" i="5" s="1"/>
  <c r="I376" i="6"/>
  <c r="U376" i="4"/>
  <c r="U376" i="5" s="1"/>
  <c r="O376" i="6"/>
  <c r="M376" i="6"/>
  <c r="D376" i="6"/>
  <c r="P376" i="6"/>
  <c r="H376" i="4"/>
  <c r="H376" i="5" s="1"/>
  <c r="N376" i="6"/>
  <c r="R376" i="6"/>
  <c r="E376" i="4"/>
  <c r="E376" i="5" s="1"/>
  <c r="D376" i="4"/>
  <c r="D376" i="5" s="1"/>
  <c r="R376" i="4"/>
  <c r="R376" i="5" s="1"/>
  <c r="L376" i="4"/>
  <c r="L376" i="5" s="1"/>
  <c r="V376" i="4"/>
  <c r="V376" i="5" s="1"/>
  <c r="I376" i="4"/>
  <c r="I376" i="5" s="1"/>
  <c r="F376" i="4"/>
  <c r="F376" i="5" s="1"/>
  <c r="G376" i="4"/>
  <c r="G376" i="5" s="1"/>
  <c r="J376" i="6"/>
  <c r="S257" i="6"/>
  <c r="K257" i="6"/>
  <c r="U257" i="4"/>
  <c r="U257" i="5" s="1"/>
  <c r="M257" i="4"/>
  <c r="M257" i="5" s="1"/>
  <c r="E257" i="4"/>
  <c r="E257" i="5" s="1"/>
  <c r="D257" i="6"/>
  <c r="Q257" i="6"/>
  <c r="I257" i="6"/>
  <c r="S257" i="4"/>
  <c r="S257" i="5" s="1"/>
  <c r="K257" i="4"/>
  <c r="K257" i="5" s="1"/>
  <c r="R257" i="6"/>
  <c r="V257" i="6"/>
  <c r="J257" i="6"/>
  <c r="L257" i="6"/>
  <c r="N257" i="4"/>
  <c r="N257" i="5" s="1"/>
  <c r="J257" i="4"/>
  <c r="J257" i="5" s="1"/>
  <c r="O257" i="6"/>
  <c r="Q257" i="4"/>
  <c r="Q257" i="5" s="1"/>
  <c r="D257" i="4"/>
  <c r="D257" i="5" s="1"/>
  <c r="M257" i="6"/>
  <c r="O257" i="4"/>
  <c r="O257" i="5" s="1"/>
  <c r="N257" i="6"/>
  <c r="F257" i="6"/>
  <c r="V257" i="4"/>
  <c r="V257" i="5" s="1"/>
  <c r="T257" i="6"/>
  <c r="I257" i="4"/>
  <c r="I257" i="5" s="1"/>
  <c r="E257" i="6"/>
  <c r="L257" i="4"/>
  <c r="L257" i="5" s="1"/>
  <c r="R257" i="4"/>
  <c r="R257" i="5" s="1"/>
  <c r="G257" i="6"/>
  <c r="G257" i="4"/>
  <c r="G257" i="5" s="1"/>
  <c r="F257" i="4"/>
  <c r="F257" i="5" s="1"/>
  <c r="U257" i="6"/>
  <c r="V192" i="4"/>
  <c r="V192" i="5" s="1"/>
  <c r="D192" i="6"/>
  <c r="R192" i="6"/>
  <c r="L192" i="6"/>
  <c r="R192" i="4"/>
  <c r="R192" i="5" s="1"/>
  <c r="N192" i="6"/>
  <c r="H192" i="6"/>
  <c r="U192" i="6"/>
  <c r="N192" i="4"/>
  <c r="N192" i="5" s="1"/>
  <c r="F192" i="4"/>
  <c r="F192" i="5" s="1"/>
  <c r="L192" i="4"/>
  <c r="L192" i="5" s="1"/>
  <c r="G192" i="4"/>
  <c r="G192" i="5" s="1"/>
  <c r="O192" i="4"/>
  <c r="O192" i="5" s="1"/>
  <c r="I192" i="4"/>
  <c r="I192" i="5" s="1"/>
  <c r="Q192" i="4"/>
  <c r="Q192" i="5" s="1"/>
  <c r="E192" i="6"/>
  <c r="S192" i="6"/>
  <c r="O192" i="6"/>
  <c r="M192" i="6"/>
  <c r="J192" i="6"/>
  <c r="T192" i="6"/>
  <c r="V192" i="6"/>
  <c r="D192" i="4"/>
  <c r="D192" i="5" s="1"/>
  <c r="P192" i="4"/>
  <c r="P192" i="5" s="1"/>
  <c r="K192" i="4"/>
  <c r="K192" i="5" s="1"/>
  <c r="M192" i="4"/>
  <c r="M192" i="5" s="1"/>
  <c r="K192" i="6"/>
  <c r="E192" i="4"/>
  <c r="E192" i="5" s="1"/>
  <c r="T192" i="4"/>
  <c r="T192" i="5" s="1"/>
  <c r="F192" i="6"/>
  <c r="J192" i="4"/>
  <c r="J192" i="5" s="1"/>
  <c r="S192" i="4"/>
  <c r="S192" i="5" s="1"/>
  <c r="Q192" i="6"/>
  <c r="I192" i="6"/>
  <c r="H192" i="4"/>
  <c r="H192" i="5" s="1"/>
  <c r="G192" i="6"/>
  <c r="P192" i="6"/>
  <c r="U192" i="4"/>
  <c r="U192" i="5" s="1"/>
  <c r="N23" i="4"/>
  <c r="N23" i="5" s="1"/>
  <c r="F23" i="4"/>
  <c r="F23" i="5" s="1"/>
  <c r="J23" i="4"/>
  <c r="J23" i="5" s="1"/>
  <c r="P23" i="4"/>
  <c r="P23" i="5" s="1"/>
  <c r="T23" i="4"/>
  <c r="T23" i="5" s="1"/>
  <c r="F23" i="6"/>
  <c r="D23" i="6"/>
  <c r="J23" i="6"/>
  <c r="T23" i="6"/>
  <c r="G23" i="4"/>
  <c r="G23" i="5" s="1"/>
  <c r="L23" i="6"/>
  <c r="L23" i="4"/>
  <c r="L23" i="5" s="1"/>
  <c r="H23" i="6"/>
  <c r="P23" i="6"/>
  <c r="D23" i="4"/>
  <c r="D23" i="5" s="1"/>
  <c r="E23" i="4"/>
  <c r="E23" i="5" s="1"/>
  <c r="R23" i="6"/>
  <c r="R23" i="4"/>
  <c r="R23" i="5" s="1"/>
  <c r="G23" i="6"/>
  <c r="V23" i="4"/>
  <c r="V23" i="5" s="1"/>
  <c r="V23" i="6"/>
  <c r="H23" i="4"/>
  <c r="H23" i="5" s="1"/>
  <c r="E23" i="6"/>
  <c r="N23" i="6"/>
  <c r="P289" i="6"/>
  <c r="S289" i="6"/>
  <c r="R289" i="4"/>
  <c r="R289" i="5" s="1"/>
  <c r="J289" i="4"/>
  <c r="J289" i="5" s="1"/>
  <c r="K289" i="6"/>
  <c r="H289" i="4"/>
  <c r="H289" i="5" s="1"/>
  <c r="D289" i="6"/>
  <c r="L289" i="4"/>
  <c r="L289" i="5" s="1"/>
  <c r="M289" i="4"/>
  <c r="M289" i="5" s="1"/>
  <c r="G289" i="4"/>
  <c r="G289" i="5" s="1"/>
  <c r="U289" i="6"/>
  <c r="T289" i="6"/>
  <c r="F289" i="4"/>
  <c r="F289" i="5" s="1"/>
  <c r="V289" i="4"/>
  <c r="V289" i="5" s="1"/>
  <c r="H289" i="6"/>
  <c r="M289" i="6"/>
  <c r="Q289" i="4"/>
  <c r="Q289" i="5" s="1"/>
  <c r="U289" i="4"/>
  <c r="U289" i="5" s="1"/>
  <c r="S289" i="4"/>
  <c r="S289" i="5" s="1"/>
  <c r="E289" i="4"/>
  <c r="E289" i="5" s="1"/>
  <c r="N289" i="6"/>
  <c r="T289" i="4"/>
  <c r="T289" i="5" s="1"/>
  <c r="R289" i="6"/>
  <c r="O289" i="6"/>
  <c r="F289" i="6"/>
  <c r="N289" i="4"/>
  <c r="N289" i="5" s="1"/>
  <c r="I289" i="4"/>
  <c r="I289" i="5" s="1"/>
  <c r="Q289" i="6"/>
  <c r="P289" i="4"/>
  <c r="P289" i="5" s="1"/>
  <c r="L289" i="6"/>
  <c r="K289" i="4"/>
  <c r="K289" i="5" s="1"/>
  <c r="J289" i="6"/>
  <c r="G289" i="6"/>
  <c r="E289" i="6"/>
  <c r="V289" i="6"/>
  <c r="I289" i="6"/>
  <c r="D289" i="4"/>
  <c r="D289" i="5" s="1"/>
  <c r="O289" i="4"/>
  <c r="O289" i="5" s="1"/>
  <c r="R362" i="4"/>
  <c r="R362" i="5" s="1"/>
  <c r="L362" i="4"/>
  <c r="L362" i="5" s="1"/>
  <c r="U362" i="4"/>
  <c r="U362" i="5" s="1"/>
  <c r="S362" i="6"/>
  <c r="N362" i="6"/>
  <c r="L362" i="6"/>
  <c r="N362" i="4"/>
  <c r="N362" i="5" s="1"/>
  <c r="D362" i="4"/>
  <c r="D362" i="5" s="1"/>
  <c r="M362" i="6"/>
  <c r="G362" i="4"/>
  <c r="G362" i="5" s="1"/>
  <c r="E362" i="6"/>
  <c r="P362" i="6"/>
  <c r="T362" i="6"/>
  <c r="T362" i="4"/>
  <c r="T362" i="5" s="1"/>
  <c r="F362" i="4"/>
  <c r="F362" i="5" s="1"/>
  <c r="K362" i="4"/>
  <c r="K362" i="5" s="1"/>
  <c r="U362" i="6"/>
  <c r="V362" i="4"/>
  <c r="V362" i="5" s="1"/>
  <c r="H362" i="6"/>
  <c r="Q362" i="4"/>
  <c r="Q362" i="5" s="1"/>
  <c r="H362" i="4"/>
  <c r="H362" i="5" s="1"/>
  <c r="P362" i="4"/>
  <c r="P362" i="5" s="1"/>
  <c r="K362" i="6"/>
  <c r="E362" i="4"/>
  <c r="E362" i="5" s="1"/>
  <c r="R362" i="6"/>
  <c r="D362" i="6"/>
  <c r="V362" i="6"/>
  <c r="J362" i="6"/>
  <c r="S362" i="4"/>
  <c r="S362" i="5" s="1"/>
  <c r="M362" i="4"/>
  <c r="M362" i="5" s="1"/>
  <c r="O362" i="6"/>
  <c r="G362" i="6"/>
  <c r="Q362" i="6"/>
  <c r="F362" i="6"/>
  <c r="O362" i="4"/>
  <c r="O362" i="5" s="1"/>
  <c r="J362" i="4"/>
  <c r="J362" i="5" s="1"/>
  <c r="O417" i="4"/>
  <c r="O417" i="5" s="1"/>
  <c r="P417" i="4"/>
  <c r="P417" i="5" s="1"/>
  <c r="F417" i="6"/>
  <c r="S417" i="4"/>
  <c r="S417" i="5" s="1"/>
  <c r="S417" i="6"/>
  <c r="Q417" i="4"/>
  <c r="Q417" i="5" s="1"/>
  <c r="M417" i="4"/>
  <c r="M417" i="5" s="1"/>
  <c r="T417" i="4"/>
  <c r="T417" i="5" s="1"/>
  <c r="V417" i="4"/>
  <c r="V417" i="5" s="1"/>
  <c r="F417" i="4"/>
  <c r="F417" i="5" s="1"/>
  <c r="N417" i="6"/>
  <c r="L417" i="6"/>
  <c r="J417" i="6"/>
  <c r="K417" i="6"/>
  <c r="Q417" i="6"/>
  <c r="J417" i="4"/>
  <c r="J417" i="5" s="1"/>
  <c r="D417" i="6"/>
  <c r="R417" i="6"/>
  <c r="U417" i="4"/>
  <c r="U417" i="5" s="1"/>
  <c r="L417" i="4"/>
  <c r="L417" i="5" s="1"/>
  <c r="M417" i="6"/>
  <c r="G417" i="4"/>
  <c r="G417" i="5" s="1"/>
  <c r="H417" i="4"/>
  <c r="H417" i="5" s="1"/>
  <c r="N417" i="4"/>
  <c r="N417" i="5" s="1"/>
  <c r="D417" i="4"/>
  <c r="D417" i="5" s="1"/>
  <c r="I417" i="6"/>
  <c r="O417" i="6"/>
  <c r="H417" i="6"/>
  <c r="E417" i="4"/>
  <c r="E417" i="5" s="1"/>
  <c r="G417" i="6"/>
  <c r="R417" i="4"/>
  <c r="R417" i="5" s="1"/>
  <c r="I417" i="4"/>
  <c r="I417" i="5" s="1"/>
  <c r="P417" i="6"/>
  <c r="T417" i="6"/>
  <c r="U417" i="6"/>
  <c r="V417" i="6"/>
  <c r="K417" i="4"/>
  <c r="K417" i="5" s="1"/>
  <c r="E417" i="6"/>
  <c r="J37" i="6"/>
  <c r="M37" i="6"/>
  <c r="K37" i="6"/>
  <c r="G37" i="6"/>
  <c r="G37" i="4"/>
  <c r="G37" i="5" s="1"/>
  <c r="S37" i="4"/>
  <c r="S37" i="5" s="1"/>
  <c r="F37" i="4"/>
  <c r="F37" i="5" s="1"/>
  <c r="N37" i="6"/>
  <c r="H37" i="4"/>
  <c r="H37" i="5" s="1"/>
  <c r="Q37" i="6"/>
  <c r="M37" i="4"/>
  <c r="M37" i="5" s="1"/>
  <c r="O37" i="4"/>
  <c r="O37" i="5" s="1"/>
  <c r="U37" i="4"/>
  <c r="U37" i="5" s="1"/>
  <c r="R37" i="6"/>
  <c r="V37" i="6"/>
  <c r="D37" i="4"/>
  <c r="D37" i="5" s="1"/>
  <c r="K37" i="4"/>
  <c r="K37" i="5" s="1"/>
  <c r="O37" i="6"/>
  <c r="F37" i="6"/>
  <c r="E37" i="4"/>
  <c r="E37" i="5" s="1"/>
  <c r="E37" i="6"/>
  <c r="V37" i="4"/>
  <c r="V37" i="5" s="1"/>
  <c r="J37" i="4"/>
  <c r="J37" i="5" s="1"/>
  <c r="U37" i="6"/>
  <c r="S37" i="6"/>
  <c r="Q37" i="4"/>
  <c r="Q37" i="5" s="1"/>
  <c r="I37" i="4"/>
  <c r="I37" i="5" s="1"/>
  <c r="D37" i="6"/>
  <c r="N37" i="4"/>
  <c r="N37" i="5" s="1"/>
  <c r="R37" i="4"/>
  <c r="R37" i="5" s="1"/>
  <c r="Q11" i="4"/>
  <c r="Q11" i="5" s="1"/>
  <c r="L11" i="4"/>
  <c r="L11" i="5" s="1"/>
  <c r="G11" i="6"/>
  <c r="P11" i="4"/>
  <c r="P11" i="5" s="1"/>
  <c r="R11" i="6"/>
  <c r="I11" i="4"/>
  <c r="I11" i="5" s="1"/>
  <c r="T11" i="4"/>
  <c r="T11" i="5" s="1"/>
  <c r="N11" i="4"/>
  <c r="N11" i="5" s="1"/>
  <c r="V11" i="4"/>
  <c r="V11" i="5" s="1"/>
  <c r="K11" i="6"/>
  <c r="F11" i="6"/>
  <c r="O11" i="6"/>
  <c r="M11" i="6"/>
  <c r="G11" i="4"/>
  <c r="G11" i="5" s="1"/>
  <c r="L11" i="6"/>
  <c r="E11" i="6"/>
  <c r="S11" i="4"/>
  <c r="S11" i="5" s="1"/>
  <c r="S11" i="6"/>
  <c r="V11" i="6"/>
  <c r="H11" i="6"/>
  <c r="P11" i="6"/>
  <c r="J11" i="4"/>
  <c r="J11" i="5" s="1"/>
  <c r="T11" i="6"/>
  <c r="O11" i="4"/>
  <c r="O11" i="5" s="1"/>
  <c r="D11" i="6"/>
  <c r="K11" i="4"/>
  <c r="K11" i="5" s="1"/>
  <c r="Q11" i="6"/>
  <c r="N11" i="6"/>
  <c r="R11" i="4"/>
  <c r="R11" i="5" s="1"/>
  <c r="I11" i="6"/>
  <c r="F11" i="4"/>
  <c r="F11" i="5" s="1"/>
  <c r="D11" i="4"/>
  <c r="D11" i="5" s="1"/>
  <c r="H11" i="4"/>
  <c r="H11" i="5" s="1"/>
  <c r="E11" i="4"/>
  <c r="E11" i="5" s="1"/>
  <c r="J11" i="6"/>
  <c r="G81" i="4"/>
  <c r="G81" i="5" s="1"/>
  <c r="G81" i="6"/>
  <c r="Q81" i="4"/>
  <c r="Q81" i="5" s="1"/>
  <c r="K81" i="6"/>
  <c r="O81" i="6"/>
  <c r="T81" i="6"/>
  <c r="Q81" i="6"/>
  <c r="U81" i="6"/>
  <c r="I81" i="4"/>
  <c r="I81" i="5" s="1"/>
  <c r="L81" i="6"/>
  <c r="P81" i="4"/>
  <c r="P81" i="5" s="1"/>
  <c r="M81" i="6"/>
  <c r="H81" i="4"/>
  <c r="H81" i="5" s="1"/>
  <c r="J81" i="6"/>
  <c r="R81" i="4"/>
  <c r="R81" i="5" s="1"/>
  <c r="V81" i="6"/>
  <c r="J81" i="4"/>
  <c r="J81" i="5" s="1"/>
  <c r="V81" i="4"/>
  <c r="V81" i="5" s="1"/>
  <c r="T81" i="4"/>
  <c r="T81" i="5" s="1"/>
  <c r="S81" i="4"/>
  <c r="S81" i="5" s="1"/>
  <c r="O81" i="4"/>
  <c r="O81" i="5" s="1"/>
  <c r="E81" i="6"/>
  <c r="D81" i="6"/>
  <c r="U81" i="4"/>
  <c r="U81" i="5" s="1"/>
  <c r="H81" i="6"/>
  <c r="L81" i="4"/>
  <c r="L81" i="5" s="1"/>
  <c r="N81" i="4"/>
  <c r="N81" i="5" s="1"/>
  <c r="F81" i="6"/>
  <c r="F81" i="4"/>
  <c r="F81" i="5" s="1"/>
  <c r="D81" i="4"/>
  <c r="D81" i="5" s="1"/>
  <c r="I81" i="6"/>
  <c r="M81" i="4"/>
  <c r="M81" i="5" s="1"/>
  <c r="R81" i="6"/>
  <c r="K81" i="4"/>
  <c r="K81" i="5" s="1"/>
  <c r="E81" i="4"/>
  <c r="E81" i="5" s="1"/>
  <c r="S81" i="6"/>
  <c r="P81" i="6"/>
  <c r="N81" i="6"/>
  <c r="P524" i="6"/>
  <c r="M524" i="6"/>
  <c r="Q524" i="4"/>
  <c r="Q524" i="5" s="1"/>
  <c r="D524" i="4"/>
  <c r="D524" i="5" s="1"/>
  <c r="V524" i="4"/>
  <c r="V524" i="5" s="1"/>
  <c r="N524" i="4"/>
  <c r="N524" i="5" s="1"/>
  <c r="F524" i="4"/>
  <c r="F524" i="5" s="1"/>
  <c r="H524" i="4"/>
  <c r="H524" i="5" s="1"/>
  <c r="T524" i="4"/>
  <c r="T524" i="5" s="1"/>
  <c r="L524" i="6"/>
  <c r="F524" i="6"/>
  <c r="Q524" i="6"/>
  <c r="K524" i="6"/>
  <c r="S524" i="6"/>
  <c r="G524" i="6"/>
  <c r="E524" i="4"/>
  <c r="E524" i="5" s="1"/>
  <c r="U524" i="4"/>
  <c r="U524" i="5" s="1"/>
  <c r="O524" i="4"/>
  <c r="O524" i="5" s="1"/>
  <c r="S524" i="4"/>
  <c r="S524" i="5" s="1"/>
  <c r="D524" i="6"/>
  <c r="J524" i="6"/>
  <c r="H524" i="6"/>
  <c r="J524" i="4"/>
  <c r="J524" i="5" s="1"/>
  <c r="R524" i="6"/>
  <c r="N524" i="6"/>
  <c r="M524" i="4"/>
  <c r="M524" i="5" s="1"/>
  <c r="O524" i="6"/>
  <c r="I524" i="6"/>
  <c r="K524" i="4"/>
  <c r="K524" i="5" s="1"/>
  <c r="V524" i="6"/>
  <c r="T524" i="6"/>
  <c r="U524" i="6"/>
  <c r="I524" i="4"/>
  <c r="I524" i="5" s="1"/>
  <c r="P524" i="4"/>
  <c r="P524" i="5" s="1"/>
  <c r="R524" i="4"/>
  <c r="R524" i="5" s="1"/>
  <c r="L524" i="4"/>
  <c r="L524" i="5" s="1"/>
  <c r="E524" i="6"/>
  <c r="G524" i="4"/>
  <c r="G524" i="5" s="1"/>
  <c r="Q366" i="6"/>
  <c r="U366" i="4"/>
  <c r="U366" i="5" s="1"/>
  <c r="K366" i="6"/>
  <c r="G366" i="4"/>
  <c r="G366" i="5" s="1"/>
  <c r="O366" i="4"/>
  <c r="O366" i="5" s="1"/>
  <c r="E366" i="6"/>
  <c r="Q366" i="4"/>
  <c r="Q366" i="5" s="1"/>
  <c r="G366" i="6"/>
  <c r="V366" i="6"/>
  <c r="I366" i="4"/>
  <c r="I366" i="5" s="1"/>
  <c r="H366" i="6"/>
  <c r="T366" i="6"/>
  <c r="V366" i="4"/>
  <c r="V366" i="5" s="1"/>
  <c r="P366" i="4"/>
  <c r="P366" i="5" s="1"/>
  <c r="R366" i="6"/>
  <c r="P366" i="6"/>
  <c r="N366" i="6"/>
  <c r="J366" i="6"/>
  <c r="M366" i="4"/>
  <c r="M366" i="5" s="1"/>
  <c r="I366" i="6"/>
  <c r="S366" i="6"/>
  <c r="S366" i="4"/>
  <c r="S366" i="5" s="1"/>
  <c r="E366" i="4"/>
  <c r="E366" i="5" s="1"/>
  <c r="M366" i="6"/>
  <c r="N366" i="4"/>
  <c r="N366" i="5" s="1"/>
  <c r="F366" i="6"/>
  <c r="F366" i="4"/>
  <c r="F366" i="5" s="1"/>
  <c r="J366" i="4"/>
  <c r="J366" i="5" s="1"/>
  <c r="D366" i="4"/>
  <c r="D366" i="5" s="1"/>
  <c r="D366" i="6"/>
  <c r="U366" i="6"/>
  <c r="H366" i="4"/>
  <c r="H366" i="5" s="1"/>
  <c r="R366" i="4"/>
  <c r="R366" i="5" s="1"/>
  <c r="L366" i="4"/>
  <c r="L366" i="5" s="1"/>
  <c r="K366" i="4"/>
  <c r="K366" i="5" s="1"/>
  <c r="O366" i="6"/>
  <c r="L366" i="6"/>
  <c r="T366" i="4"/>
  <c r="T366" i="5" s="1"/>
  <c r="S356" i="4"/>
  <c r="S356" i="5" s="1"/>
  <c r="T356" i="6"/>
  <c r="T356" i="4"/>
  <c r="T356" i="5" s="1"/>
  <c r="K356" i="4"/>
  <c r="K356" i="5" s="1"/>
  <c r="N356" i="4"/>
  <c r="N356" i="5" s="1"/>
  <c r="F356" i="4"/>
  <c r="F356" i="5" s="1"/>
  <c r="R356" i="6"/>
  <c r="U356" i="4"/>
  <c r="U356" i="5" s="1"/>
  <c r="O356" i="6"/>
  <c r="F356" i="6"/>
  <c r="I356" i="6"/>
  <c r="V356" i="4"/>
  <c r="V356" i="5" s="1"/>
  <c r="S356" i="6"/>
  <c r="P356" i="6"/>
  <c r="E356" i="6"/>
  <c r="D356" i="4"/>
  <c r="D356" i="5" s="1"/>
  <c r="Q356" i="4"/>
  <c r="Q356" i="5" s="1"/>
  <c r="J356" i="6"/>
  <c r="N356" i="6"/>
  <c r="M356" i="4"/>
  <c r="M356" i="5" s="1"/>
  <c r="L356" i="4"/>
  <c r="L356" i="5" s="1"/>
  <c r="I356" i="4"/>
  <c r="I356" i="5" s="1"/>
  <c r="M356" i="6"/>
  <c r="G356" i="6"/>
  <c r="D356" i="6"/>
  <c r="R356" i="4"/>
  <c r="R356" i="5" s="1"/>
  <c r="U356" i="6"/>
  <c r="G356" i="4"/>
  <c r="G356" i="5" s="1"/>
  <c r="J356" i="4"/>
  <c r="J356" i="5" s="1"/>
  <c r="E356" i="4"/>
  <c r="E356" i="5" s="1"/>
  <c r="P356" i="4"/>
  <c r="P356" i="5" s="1"/>
  <c r="K356" i="6"/>
  <c r="H356" i="4"/>
  <c r="H356" i="5" s="1"/>
  <c r="L356" i="6"/>
  <c r="V356" i="6"/>
  <c r="H356" i="6"/>
  <c r="O356" i="4"/>
  <c r="O356" i="5" s="1"/>
  <c r="Q356" i="6"/>
  <c r="J174" i="4"/>
  <c r="J174" i="5" s="1"/>
  <c r="H174" i="6"/>
  <c r="F174" i="6"/>
  <c r="I174" i="6"/>
  <c r="D174" i="6"/>
  <c r="T174" i="6"/>
  <c r="R174" i="6"/>
  <c r="L174" i="4"/>
  <c r="L174" i="5" s="1"/>
  <c r="H174" i="4"/>
  <c r="H174" i="5" s="1"/>
  <c r="P174" i="4"/>
  <c r="P174" i="5" s="1"/>
  <c r="E174" i="6"/>
  <c r="M174" i="4"/>
  <c r="M174" i="5" s="1"/>
  <c r="U174" i="6"/>
  <c r="K174" i="4"/>
  <c r="K174" i="5" s="1"/>
  <c r="S174" i="6"/>
  <c r="G174" i="6"/>
  <c r="S174" i="4"/>
  <c r="S174" i="5" s="1"/>
  <c r="O174" i="4"/>
  <c r="O174" i="5" s="1"/>
  <c r="U174" i="4"/>
  <c r="U174" i="5" s="1"/>
  <c r="P174" i="6"/>
  <c r="V174" i="6"/>
  <c r="J174" i="6"/>
  <c r="N174" i="4"/>
  <c r="N174" i="5" s="1"/>
  <c r="F174" i="4"/>
  <c r="F174" i="5" s="1"/>
  <c r="Q174" i="6"/>
  <c r="O174" i="6"/>
  <c r="K174" i="6"/>
  <c r="E174" i="4"/>
  <c r="E174" i="5" s="1"/>
  <c r="D174" i="4"/>
  <c r="D174" i="5" s="1"/>
  <c r="N174" i="6"/>
  <c r="L174" i="6"/>
  <c r="T174" i="4"/>
  <c r="T174" i="5" s="1"/>
  <c r="V174" i="4"/>
  <c r="V174" i="5" s="1"/>
  <c r="I174" i="4"/>
  <c r="I174" i="5" s="1"/>
  <c r="G174" i="4"/>
  <c r="G174" i="5" s="1"/>
  <c r="M174" i="6"/>
  <c r="Q174" i="4"/>
  <c r="Q174" i="5" s="1"/>
  <c r="R174" i="4"/>
  <c r="R174" i="5" s="1"/>
  <c r="N285" i="4"/>
  <c r="N285" i="5" s="1"/>
  <c r="D285" i="4"/>
  <c r="D285" i="5" s="1"/>
  <c r="F285" i="4"/>
  <c r="F285" i="5" s="1"/>
  <c r="V285" i="4"/>
  <c r="V285" i="5" s="1"/>
  <c r="D285" i="6"/>
  <c r="S285" i="4"/>
  <c r="S285" i="5" s="1"/>
  <c r="G285" i="6"/>
  <c r="E285" i="6"/>
  <c r="J285" i="4"/>
  <c r="J285" i="5" s="1"/>
  <c r="F285" i="6"/>
  <c r="L285" i="6"/>
  <c r="I285" i="4"/>
  <c r="I285" i="5" s="1"/>
  <c r="O285" i="6"/>
  <c r="M285" i="6"/>
  <c r="K285" i="4"/>
  <c r="K285" i="5" s="1"/>
  <c r="U285" i="6"/>
  <c r="T285" i="6"/>
  <c r="L285" i="4"/>
  <c r="L285" i="5" s="1"/>
  <c r="G285" i="4"/>
  <c r="G285" i="5" s="1"/>
  <c r="I285" i="6"/>
  <c r="V285" i="6"/>
  <c r="O285" i="4"/>
  <c r="O285" i="5" s="1"/>
  <c r="U285" i="4"/>
  <c r="U285" i="5" s="1"/>
  <c r="J285" i="6"/>
  <c r="N285" i="6"/>
  <c r="R285" i="4"/>
  <c r="R285" i="5" s="1"/>
  <c r="K285" i="6"/>
  <c r="R285" i="6"/>
  <c r="E285" i="4"/>
  <c r="E285" i="5" s="1"/>
  <c r="S285" i="6"/>
  <c r="M285" i="4"/>
  <c r="M285" i="5" s="1"/>
  <c r="K133" i="4"/>
  <c r="K133" i="5" s="1"/>
  <c r="E133" i="4"/>
  <c r="E133" i="5" s="1"/>
  <c r="G133" i="6"/>
  <c r="O133" i="6"/>
  <c r="D133" i="6"/>
  <c r="O133" i="4"/>
  <c r="O133" i="5" s="1"/>
  <c r="M133" i="4"/>
  <c r="M133" i="5" s="1"/>
  <c r="E133" i="6"/>
  <c r="M133" i="6"/>
  <c r="U133" i="6"/>
  <c r="R133" i="4"/>
  <c r="R133" i="5" s="1"/>
  <c r="J133" i="4"/>
  <c r="J133" i="5" s="1"/>
  <c r="T133" i="4"/>
  <c r="T133" i="5" s="1"/>
  <c r="L133" i="4"/>
  <c r="L133" i="5" s="1"/>
  <c r="H133" i="6"/>
  <c r="P133" i="6"/>
  <c r="R133" i="6"/>
  <c r="V133" i="6"/>
  <c r="F133" i="6"/>
  <c r="S133" i="4"/>
  <c r="S133" i="5" s="1"/>
  <c r="Q133" i="4"/>
  <c r="Q133" i="5" s="1"/>
  <c r="S133" i="6"/>
  <c r="G133" i="4"/>
  <c r="G133" i="5" s="1"/>
  <c r="I133" i="6"/>
  <c r="V133" i="4"/>
  <c r="V133" i="5" s="1"/>
  <c r="H133" i="4"/>
  <c r="H133" i="5" s="1"/>
  <c r="F133" i="4"/>
  <c r="F133" i="5" s="1"/>
  <c r="T133" i="6"/>
  <c r="N133" i="6"/>
  <c r="U133" i="4"/>
  <c r="U133" i="5" s="1"/>
  <c r="K133" i="6"/>
  <c r="D133" i="4"/>
  <c r="D133" i="5" s="1"/>
  <c r="I133" i="4"/>
  <c r="I133" i="5" s="1"/>
  <c r="Q133" i="6"/>
  <c r="N133" i="4"/>
  <c r="N133" i="5" s="1"/>
  <c r="P133" i="4"/>
  <c r="P133" i="5" s="1"/>
  <c r="L133" i="6"/>
  <c r="J133" i="6"/>
  <c r="D83" i="4"/>
  <c r="D83" i="5" s="1"/>
  <c r="Q83" i="4"/>
  <c r="Q83" i="5" s="1"/>
  <c r="S83" i="6"/>
  <c r="S83" i="4"/>
  <c r="S83" i="5" s="1"/>
  <c r="D83" i="6"/>
  <c r="I83" i="4"/>
  <c r="I83" i="5" s="1"/>
  <c r="I83" i="6"/>
  <c r="M83" i="4"/>
  <c r="M83" i="5" s="1"/>
  <c r="O83" i="6"/>
  <c r="O83" i="4"/>
  <c r="O83" i="5" s="1"/>
  <c r="P83" i="4"/>
  <c r="P83" i="5" s="1"/>
  <c r="R83" i="4"/>
  <c r="R83" i="5" s="1"/>
  <c r="R83" i="6"/>
  <c r="J83" i="6"/>
  <c r="H83" i="4"/>
  <c r="H83" i="5" s="1"/>
  <c r="T83" i="4"/>
  <c r="T83" i="5" s="1"/>
  <c r="N83" i="4"/>
  <c r="N83" i="5" s="1"/>
  <c r="L83" i="4"/>
  <c r="L83" i="5" s="1"/>
  <c r="F83" i="6"/>
  <c r="M83" i="6"/>
  <c r="K83" i="6"/>
  <c r="G83" i="4"/>
  <c r="G83" i="5" s="1"/>
  <c r="E83" i="4"/>
  <c r="E83" i="5" s="1"/>
  <c r="G83" i="6"/>
  <c r="V83" i="4"/>
  <c r="V83" i="5" s="1"/>
  <c r="T83" i="6"/>
  <c r="N83" i="6"/>
  <c r="V83" i="6"/>
  <c r="U83" i="6"/>
  <c r="Q83" i="6"/>
  <c r="K83" i="4"/>
  <c r="K83" i="5" s="1"/>
  <c r="E83" i="6"/>
  <c r="U83" i="4"/>
  <c r="U83" i="5" s="1"/>
  <c r="H83" i="6"/>
  <c r="L83" i="6"/>
  <c r="P83" i="6"/>
  <c r="J83" i="4"/>
  <c r="J83" i="5" s="1"/>
  <c r="F83" i="4"/>
  <c r="F83" i="5" s="1"/>
  <c r="G469" i="6"/>
  <c r="S469" i="4"/>
  <c r="S469" i="5" s="1"/>
  <c r="O469" i="4"/>
  <c r="O469" i="5" s="1"/>
  <c r="Q469" i="6"/>
  <c r="D469" i="4"/>
  <c r="D469" i="5" s="1"/>
  <c r="J469" i="4"/>
  <c r="J469" i="5" s="1"/>
  <c r="K469" i="6"/>
  <c r="Q469" i="4"/>
  <c r="Q469" i="5" s="1"/>
  <c r="H469" i="6"/>
  <c r="J469" i="6"/>
  <c r="T469" i="4"/>
  <c r="T469" i="5" s="1"/>
  <c r="P469" i="4"/>
  <c r="P469" i="5" s="1"/>
  <c r="R469" i="6"/>
  <c r="V469" i="6"/>
  <c r="E469" i="6"/>
  <c r="E469" i="4"/>
  <c r="E469" i="5" s="1"/>
  <c r="I469" i="6"/>
  <c r="K469" i="4"/>
  <c r="K469" i="5" s="1"/>
  <c r="G469" i="4"/>
  <c r="G469" i="5" s="1"/>
  <c r="T469" i="6"/>
  <c r="O469" i="6"/>
  <c r="N469" i="4"/>
  <c r="N469" i="5" s="1"/>
  <c r="P469" i="6"/>
  <c r="S469" i="6"/>
  <c r="D469" i="6"/>
  <c r="U469" i="4"/>
  <c r="U469" i="5" s="1"/>
  <c r="L469" i="4"/>
  <c r="L469" i="5" s="1"/>
  <c r="I469" i="4"/>
  <c r="I469" i="5" s="1"/>
  <c r="M469" i="4"/>
  <c r="M469" i="5" s="1"/>
  <c r="N469" i="6"/>
  <c r="U469" i="6"/>
  <c r="M469" i="6"/>
  <c r="L469" i="6"/>
  <c r="E408" i="4"/>
  <c r="E408" i="5" s="1"/>
  <c r="Q408" i="6"/>
  <c r="O408" i="6"/>
  <c r="O408" i="4"/>
  <c r="O408" i="5" s="1"/>
  <c r="D408" i="4"/>
  <c r="D408" i="5" s="1"/>
  <c r="I408" i="6"/>
  <c r="U408" i="6"/>
  <c r="K408" i="6"/>
  <c r="K408" i="4"/>
  <c r="K408" i="5" s="1"/>
  <c r="V408" i="4"/>
  <c r="V408" i="5" s="1"/>
  <c r="T408" i="4"/>
  <c r="T408" i="5" s="1"/>
  <c r="R408" i="6"/>
  <c r="N408" i="6"/>
  <c r="H408" i="4"/>
  <c r="H408" i="5" s="1"/>
  <c r="R408" i="4"/>
  <c r="R408" i="5" s="1"/>
  <c r="L408" i="6"/>
  <c r="V408" i="6"/>
  <c r="L408" i="4"/>
  <c r="L408" i="5" s="1"/>
  <c r="F408" i="6"/>
  <c r="U408" i="4"/>
  <c r="U408" i="5" s="1"/>
  <c r="G408" i="6"/>
  <c r="M408" i="4"/>
  <c r="M408" i="5" s="1"/>
  <c r="S408" i="6"/>
  <c r="F408" i="4"/>
  <c r="F408" i="5" s="1"/>
  <c r="D408" i="6"/>
  <c r="M408" i="6"/>
  <c r="J408" i="4"/>
  <c r="J408" i="5" s="1"/>
  <c r="J408" i="6"/>
  <c r="N408" i="4"/>
  <c r="N408" i="5" s="1"/>
  <c r="P408" i="4"/>
  <c r="P408" i="5" s="1"/>
  <c r="Q408" i="4"/>
  <c r="Q408" i="5" s="1"/>
  <c r="G408" i="4"/>
  <c r="G408" i="5" s="1"/>
  <c r="S408" i="4"/>
  <c r="S408" i="5" s="1"/>
  <c r="T408" i="6"/>
  <c r="P408" i="6"/>
  <c r="E408" i="6"/>
  <c r="I408" i="4"/>
  <c r="I408" i="5" s="1"/>
  <c r="H408" i="6"/>
  <c r="N207" i="6"/>
  <c r="V207" i="6"/>
  <c r="E207" i="6"/>
  <c r="J207" i="6"/>
  <c r="R207" i="4"/>
  <c r="R207" i="5" s="1"/>
  <c r="V207" i="4"/>
  <c r="V207" i="5" s="1"/>
  <c r="M207" i="4"/>
  <c r="M207" i="5" s="1"/>
  <c r="E207" i="4"/>
  <c r="E207" i="5" s="1"/>
  <c r="S207" i="6"/>
  <c r="O207" i="4"/>
  <c r="O207" i="5" s="1"/>
  <c r="R207" i="6"/>
  <c r="S207" i="4"/>
  <c r="S207" i="5" s="1"/>
  <c r="O207" i="6"/>
  <c r="I207" i="4"/>
  <c r="I207" i="5" s="1"/>
  <c r="M207" i="6"/>
  <c r="G207" i="6"/>
  <c r="F207" i="6"/>
  <c r="J207" i="4"/>
  <c r="J207" i="5" s="1"/>
  <c r="U207" i="4"/>
  <c r="U207" i="5" s="1"/>
  <c r="K207" i="6"/>
  <c r="Q207" i="4"/>
  <c r="Q207" i="5" s="1"/>
  <c r="I207" i="6"/>
  <c r="F207" i="4"/>
  <c r="F207" i="5" s="1"/>
  <c r="K207" i="4"/>
  <c r="K207" i="5" s="1"/>
  <c r="D207" i="6"/>
  <c r="G207" i="4"/>
  <c r="G207" i="5" s="1"/>
  <c r="U207" i="6"/>
  <c r="N207" i="4"/>
  <c r="N207" i="5" s="1"/>
  <c r="D207" i="4"/>
  <c r="D207" i="5" s="1"/>
  <c r="Q207" i="6"/>
  <c r="V423" i="6"/>
  <c r="L423" i="4"/>
  <c r="L423" i="5" s="1"/>
  <c r="T423" i="6"/>
  <c r="D423" i="4"/>
  <c r="D423" i="5" s="1"/>
  <c r="H423" i="4"/>
  <c r="H423" i="5" s="1"/>
  <c r="J423" i="6"/>
  <c r="D423" i="6"/>
  <c r="O423" i="6"/>
  <c r="U423" i="6"/>
  <c r="M423" i="6"/>
  <c r="K423" i="6"/>
  <c r="G423" i="4"/>
  <c r="G423" i="5" s="1"/>
  <c r="O423" i="4"/>
  <c r="O423" i="5" s="1"/>
  <c r="E423" i="4"/>
  <c r="E423" i="5" s="1"/>
  <c r="I423" i="6"/>
  <c r="H423" i="6"/>
  <c r="P423" i="4"/>
  <c r="P423" i="5" s="1"/>
  <c r="P423" i="6"/>
  <c r="I423" i="4"/>
  <c r="I423" i="5" s="1"/>
  <c r="K423" i="4"/>
  <c r="K423" i="5" s="1"/>
  <c r="G423" i="6"/>
  <c r="E423" i="6"/>
  <c r="S423" i="4"/>
  <c r="S423" i="5" s="1"/>
  <c r="M423" i="4"/>
  <c r="M423" i="5" s="1"/>
  <c r="L423" i="6"/>
  <c r="S423" i="6"/>
  <c r="Q423" i="6"/>
  <c r="U423" i="4"/>
  <c r="U423" i="5" s="1"/>
  <c r="T423" i="4"/>
  <c r="T423" i="5" s="1"/>
  <c r="Q423" i="4"/>
  <c r="Q423" i="5" s="1"/>
  <c r="S372" i="6"/>
  <c r="E372" i="6"/>
  <c r="U372" i="6"/>
  <c r="O372" i="4"/>
  <c r="O372" i="5" s="1"/>
  <c r="D372" i="4"/>
  <c r="D372" i="5" s="1"/>
  <c r="Q372" i="6"/>
  <c r="I372" i="4"/>
  <c r="I372" i="5" s="1"/>
  <c r="Q372" i="4"/>
  <c r="Q372" i="5" s="1"/>
  <c r="G372" i="6"/>
  <c r="S372" i="4"/>
  <c r="S372" i="5" s="1"/>
  <c r="T372" i="6"/>
  <c r="J372" i="4"/>
  <c r="J372" i="5" s="1"/>
  <c r="H372" i="6"/>
  <c r="V372" i="4"/>
  <c r="V372" i="5" s="1"/>
  <c r="T372" i="4"/>
  <c r="T372" i="5" s="1"/>
  <c r="J372" i="6"/>
  <c r="R372" i="4"/>
  <c r="R372" i="5" s="1"/>
  <c r="N372" i="4"/>
  <c r="N372" i="5" s="1"/>
  <c r="F372" i="6"/>
  <c r="G372" i="4"/>
  <c r="G372" i="5" s="1"/>
  <c r="U372" i="4"/>
  <c r="U372" i="5" s="1"/>
  <c r="H372" i="4"/>
  <c r="H372" i="5" s="1"/>
  <c r="L372" i="6"/>
  <c r="K372" i="6"/>
  <c r="O372" i="6"/>
  <c r="I372" i="6"/>
  <c r="M372" i="4"/>
  <c r="M372" i="5" s="1"/>
  <c r="K372" i="4"/>
  <c r="K372" i="5" s="1"/>
  <c r="P372" i="6"/>
  <c r="L372" i="4"/>
  <c r="L372" i="5" s="1"/>
  <c r="R372" i="6"/>
  <c r="P372" i="4"/>
  <c r="P372" i="5" s="1"/>
  <c r="D372" i="6"/>
  <c r="M372" i="6"/>
  <c r="E372" i="4"/>
  <c r="E372" i="5" s="1"/>
  <c r="F372" i="4"/>
  <c r="F372" i="5" s="1"/>
  <c r="V372" i="6"/>
  <c r="N372" i="6"/>
  <c r="D268" i="6"/>
  <c r="G268" i="4"/>
  <c r="G268" i="5" s="1"/>
  <c r="L268" i="6"/>
  <c r="U268" i="4"/>
  <c r="U268" i="5" s="1"/>
  <c r="T268" i="4"/>
  <c r="T268" i="5" s="1"/>
  <c r="F268" i="4"/>
  <c r="F268" i="5" s="1"/>
  <c r="E268" i="6"/>
  <c r="N268" i="6"/>
  <c r="K268" i="6"/>
  <c r="G268" i="6"/>
  <c r="H268" i="6"/>
  <c r="R268" i="4"/>
  <c r="R268" i="5" s="1"/>
  <c r="P268" i="6"/>
  <c r="I268" i="4"/>
  <c r="I268" i="5" s="1"/>
  <c r="R268" i="6"/>
  <c r="S268" i="4"/>
  <c r="S268" i="5" s="1"/>
  <c r="S268" i="6"/>
  <c r="V268" i="4"/>
  <c r="V268" i="5" s="1"/>
  <c r="U268" i="6"/>
  <c r="D223" i="4"/>
  <c r="D223" i="5" s="1"/>
  <c r="H223" i="6"/>
  <c r="P223" i="4"/>
  <c r="P223" i="5" s="1"/>
  <c r="D223" i="6"/>
  <c r="R223" i="6"/>
  <c r="J223" i="4"/>
  <c r="J223" i="5" s="1"/>
  <c r="R223" i="4"/>
  <c r="R223" i="5" s="1"/>
  <c r="F223" i="6"/>
  <c r="V223" i="6"/>
  <c r="O223" i="6"/>
  <c r="G223" i="6"/>
  <c r="S223" i="4"/>
  <c r="S223" i="5" s="1"/>
  <c r="I223" i="4"/>
  <c r="I223" i="5" s="1"/>
  <c r="I223" i="6"/>
  <c r="M223" i="6"/>
  <c r="G223" i="4"/>
  <c r="G223" i="5" s="1"/>
  <c r="O223" i="4"/>
  <c r="O223" i="5" s="1"/>
  <c r="L223" i="4"/>
  <c r="L223" i="5" s="1"/>
  <c r="V223" i="4"/>
  <c r="V223" i="5" s="1"/>
  <c r="K223" i="6"/>
  <c r="L223" i="6"/>
  <c r="J223" i="6"/>
  <c r="N223" i="4"/>
  <c r="N223" i="5" s="1"/>
  <c r="N223" i="6"/>
  <c r="K223" i="4"/>
  <c r="K223" i="5" s="1"/>
  <c r="E223" i="4"/>
  <c r="E223" i="5" s="1"/>
  <c r="M223" i="4"/>
  <c r="M223" i="5" s="1"/>
  <c r="Q223" i="4"/>
  <c r="Q223" i="5" s="1"/>
  <c r="P223" i="6"/>
  <c r="F223" i="4"/>
  <c r="F223" i="5" s="1"/>
  <c r="E223" i="6"/>
  <c r="S223" i="6"/>
  <c r="Q223" i="6"/>
  <c r="G152" i="4"/>
  <c r="G152" i="5" s="1"/>
  <c r="R152" i="4"/>
  <c r="R152" i="5" s="1"/>
  <c r="J465" i="6"/>
  <c r="D436" i="4"/>
  <c r="D436" i="5" s="1"/>
  <c r="J436" i="4"/>
  <c r="J436" i="5" s="1"/>
  <c r="D436" i="6"/>
  <c r="F436" i="6"/>
  <c r="O371" i="4"/>
  <c r="O371" i="5" s="1"/>
  <c r="U371" i="4"/>
  <c r="U371" i="5" s="1"/>
  <c r="M371" i="4"/>
  <c r="M371" i="5" s="1"/>
  <c r="E371" i="4"/>
  <c r="E371" i="5" s="1"/>
  <c r="P371" i="4"/>
  <c r="P371" i="5" s="1"/>
  <c r="G371" i="6"/>
  <c r="D371" i="6"/>
  <c r="E371" i="6"/>
  <c r="T371" i="4"/>
  <c r="T371" i="5" s="1"/>
  <c r="V371" i="4"/>
  <c r="V371" i="5" s="1"/>
  <c r="H371" i="6"/>
  <c r="D371" i="4"/>
  <c r="D371" i="5" s="1"/>
  <c r="S371" i="4"/>
  <c r="S371" i="5" s="1"/>
  <c r="O371" i="6"/>
  <c r="L371" i="4"/>
  <c r="L371" i="5" s="1"/>
  <c r="N371" i="6"/>
  <c r="J371" i="6"/>
  <c r="F371" i="6"/>
  <c r="P371" i="6"/>
  <c r="Q371" i="4"/>
  <c r="Q371" i="5" s="1"/>
  <c r="K371" i="4"/>
  <c r="K371" i="5" s="1"/>
  <c r="H371" i="4"/>
  <c r="H371" i="5" s="1"/>
  <c r="M371" i="6"/>
  <c r="V371" i="6"/>
  <c r="I371" i="6"/>
  <c r="I371" i="4"/>
  <c r="I371" i="5" s="1"/>
  <c r="R371" i="4"/>
  <c r="R371" i="5" s="1"/>
  <c r="U371" i="6"/>
  <c r="T371" i="6"/>
  <c r="R371" i="6"/>
  <c r="G371" i="4"/>
  <c r="G371" i="5" s="1"/>
  <c r="L371" i="6"/>
  <c r="F371" i="4"/>
  <c r="F371" i="5" s="1"/>
  <c r="S371" i="6"/>
  <c r="Q371" i="6"/>
  <c r="N371" i="4"/>
  <c r="N371" i="5" s="1"/>
  <c r="K371" i="6"/>
  <c r="J371" i="4"/>
  <c r="J371" i="5" s="1"/>
  <c r="L303" i="4"/>
  <c r="L303" i="5" s="1"/>
  <c r="F303" i="6"/>
  <c r="P506" i="6"/>
  <c r="J506" i="4"/>
  <c r="J506" i="5" s="1"/>
  <c r="N506" i="4"/>
  <c r="N506" i="5" s="1"/>
  <c r="V506" i="6"/>
  <c r="D506" i="4"/>
  <c r="D506" i="5" s="1"/>
  <c r="O506" i="4"/>
  <c r="O506" i="5" s="1"/>
  <c r="S506" i="4"/>
  <c r="S506" i="5" s="1"/>
  <c r="I506" i="6"/>
  <c r="Q506" i="6"/>
  <c r="N506" i="6"/>
  <c r="T506" i="6"/>
  <c r="M506" i="4"/>
  <c r="M506" i="5" s="1"/>
  <c r="F506" i="4"/>
  <c r="F506" i="5" s="1"/>
  <c r="G506" i="6"/>
  <c r="R506" i="4"/>
  <c r="R506" i="5" s="1"/>
  <c r="J506" i="6"/>
  <c r="E506" i="6"/>
  <c r="L506" i="4"/>
  <c r="L506" i="5" s="1"/>
  <c r="O506" i="6"/>
  <c r="T456" i="6"/>
  <c r="Q456" i="4"/>
  <c r="Q456" i="5" s="1"/>
  <c r="D373" i="4"/>
  <c r="D373" i="5" s="1"/>
  <c r="S373" i="4"/>
  <c r="S373" i="5" s="1"/>
  <c r="G373" i="4"/>
  <c r="G373" i="5" s="1"/>
  <c r="Q373" i="4"/>
  <c r="Q373" i="5" s="1"/>
  <c r="U373" i="6"/>
  <c r="F373" i="6"/>
  <c r="N373" i="6"/>
  <c r="H373" i="6"/>
  <c r="I373" i="6"/>
  <c r="I373" i="4"/>
  <c r="I373" i="5" s="1"/>
  <c r="V373" i="6"/>
  <c r="S373" i="6"/>
  <c r="E373" i="6"/>
  <c r="G373" i="6"/>
  <c r="V373" i="4"/>
  <c r="V373" i="5" s="1"/>
  <c r="D242" i="4"/>
  <c r="D242" i="5" s="1"/>
  <c r="D242" i="6"/>
  <c r="T242" i="4"/>
  <c r="T242" i="5" s="1"/>
  <c r="J242" i="4"/>
  <c r="J242" i="5" s="1"/>
  <c r="S242" i="4"/>
  <c r="S242" i="5" s="1"/>
  <c r="U242" i="6"/>
  <c r="L242" i="4"/>
  <c r="L242" i="5" s="1"/>
  <c r="I242" i="6"/>
  <c r="G242" i="4"/>
  <c r="G242" i="5" s="1"/>
  <c r="G242" i="6"/>
  <c r="P242" i="6"/>
  <c r="K242" i="4"/>
  <c r="K242" i="5" s="1"/>
  <c r="M242" i="4"/>
  <c r="M242" i="5" s="1"/>
  <c r="E242" i="6"/>
  <c r="O242" i="6"/>
  <c r="Q242" i="6"/>
  <c r="H242" i="6"/>
  <c r="O242" i="4"/>
  <c r="O242" i="5" s="1"/>
  <c r="M142" i="6"/>
  <c r="Q142" i="4"/>
  <c r="Q142" i="5" s="1"/>
  <c r="O142" i="4"/>
  <c r="O142" i="5" s="1"/>
  <c r="Q142" i="6"/>
  <c r="V142" i="6"/>
  <c r="T142" i="4"/>
  <c r="T142" i="5" s="1"/>
  <c r="K142" i="6"/>
  <c r="S142" i="4"/>
  <c r="S142" i="5" s="1"/>
  <c r="N142" i="6"/>
  <c r="R142" i="4"/>
  <c r="R142" i="5" s="1"/>
  <c r="K142" i="4"/>
  <c r="K142" i="5" s="1"/>
  <c r="M142" i="4"/>
  <c r="M142" i="5" s="1"/>
  <c r="P142" i="4"/>
  <c r="P142" i="5" s="1"/>
  <c r="N20" i="4"/>
  <c r="N20" i="5" s="1"/>
  <c r="K20" i="6"/>
  <c r="U20" i="4"/>
  <c r="U20" i="5" s="1"/>
  <c r="I20" i="4"/>
  <c r="I20" i="5" s="1"/>
  <c r="T20" i="6"/>
  <c r="L20" i="4"/>
  <c r="L20" i="5" s="1"/>
  <c r="P20" i="4"/>
  <c r="P20" i="5" s="1"/>
  <c r="M20" i="4"/>
  <c r="M20" i="5" s="1"/>
  <c r="I20" i="6"/>
  <c r="L20" i="6"/>
  <c r="F20" i="6"/>
  <c r="S20" i="4"/>
  <c r="S20" i="5" s="1"/>
  <c r="J20" i="4"/>
  <c r="J20" i="5" s="1"/>
  <c r="U20" i="6"/>
  <c r="K20" i="4"/>
  <c r="K20" i="5" s="1"/>
  <c r="N20" i="6"/>
  <c r="H20" i="4"/>
  <c r="H20" i="5" s="1"/>
  <c r="J20" i="6"/>
  <c r="V20" i="6"/>
  <c r="O20" i="4"/>
  <c r="O20" i="5" s="1"/>
  <c r="I75" i="6"/>
  <c r="S75" i="6"/>
  <c r="G75" i="6"/>
  <c r="J75" i="6"/>
  <c r="T75" i="4"/>
  <c r="T75" i="5" s="1"/>
  <c r="G75" i="4"/>
  <c r="G75" i="5" s="1"/>
  <c r="F75" i="6"/>
  <c r="L75" i="4"/>
  <c r="L75" i="5" s="1"/>
  <c r="H75" i="6"/>
  <c r="V75" i="4"/>
  <c r="V75" i="5" s="1"/>
  <c r="D75" i="6"/>
  <c r="F75" i="4"/>
  <c r="F75" i="5" s="1"/>
  <c r="U75" i="4"/>
  <c r="U75" i="5" s="1"/>
  <c r="M75" i="4"/>
  <c r="M75" i="5" s="1"/>
  <c r="N75" i="4"/>
  <c r="N75" i="5" s="1"/>
  <c r="M75" i="6"/>
  <c r="K75" i="4"/>
  <c r="K75" i="5" s="1"/>
  <c r="P75" i="4"/>
  <c r="P75" i="5" s="1"/>
  <c r="Q75" i="4"/>
  <c r="Q75" i="5" s="1"/>
  <c r="S75" i="4"/>
  <c r="S75" i="5" s="1"/>
  <c r="R75" i="6"/>
  <c r="R530" i="6"/>
  <c r="O530" i="6"/>
  <c r="P530" i="4"/>
  <c r="P530" i="5" s="1"/>
  <c r="G530" i="4"/>
  <c r="G530" i="5" s="1"/>
  <c r="H530" i="6"/>
  <c r="N425" i="4"/>
  <c r="N425" i="5" s="1"/>
  <c r="Q425" i="4"/>
  <c r="Q425" i="5" s="1"/>
  <c r="O425" i="6"/>
  <c r="R425" i="6"/>
  <c r="I425" i="4"/>
  <c r="I425" i="5" s="1"/>
  <c r="Q425" i="6"/>
  <c r="J425" i="4"/>
  <c r="J425" i="5" s="1"/>
  <c r="E375" i="4"/>
  <c r="E375" i="5" s="1"/>
  <c r="R375" i="4"/>
  <c r="R375" i="5" s="1"/>
  <c r="N375" i="4"/>
  <c r="N375" i="5" s="1"/>
  <c r="N375" i="6"/>
  <c r="U375" i="4"/>
  <c r="U375" i="5" s="1"/>
  <c r="J375" i="4"/>
  <c r="J375" i="5" s="1"/>
  <c r="P375" i="4"/>
  <c r="P375" i="5" s="1"/>
  <c r="J375" i="6"/>
  <c r="F375" i="6"/>
  <c r="F337" i="6"/>
  <c r="D337" i="4"/>
  <c r="D337" i="5" s="1"/>
  <c r="Q337" i="4"/>
  <c r="Q337" i="5" s="1"/>
  <c r="J337" i="4"/>
  <c r="J337" i="5" s="1"/>
  <c r="K337" i="6"/>
  <c r="L337" i="4"/>
  <c r="L337" i="5" s="1"/>
  <c r="T337" i="6"/>
  <c r="L337" i="6"/>
  <c r="R337" i="4"/>
  <c r="R337" i="5" s="1"/>
  <c r="O337" i="4"/>
  <c r="O337" i="5" s="1"/>
  <c r="M302" i="6"/>
  <c r="M302" i="4"/>
  <c r="M302" i="5" s="1"/>
  <c r="O302" i="4"/>
  <c r="O302" i="5" s="1"/>
  <c r="E302" i="6"/>
  <c r="S302" i="4"/>
  <c r="S302" i="5" s="1"/>
  <c r="N302" i="4"/>
  <c r="N302" i="5" s="1"/>
  <c r="L302" i="4"/>
  <c r="L302" i="5" s="1"/>
  <c r="J302" i="4"/>
  <c r="J302" i="5" s="1"/>
  <c r="U302" i="6"/>
  <c r="O302" i="6"/>
  <c r="S302" i="6"/>
  <c r="H302" i="4"/>
  <c r="H302" i="5" s="1"/>
  <c r="I302" i="6"/>
  <c r="V302" i="4"/>
  <c r="V302" i="5" s="1"/>
  <c r="D302" i="6"/>
  <c r="N302" i="6"/>
  <c r="D234" i="6"/>
  <c r="V234" i="4"/>
  <c r="V234" i="5" s="1"/>
  <c r="J234" i="4"/>
  <c r="J234" i="5" s="1"/>
  <c r="L234" i="4"/>
  <c r="L234" i="5" s="1"/>
  <c r="N234" i="4"/>
  <c r="N234" i="5" s="1"/>
  <c r="M234" i="6"/>
  <c r="I234" i="4"/>
  <c r="I234" i="5" s="1"/>
  <c r="N234" i="6"/>
  <c r="O234" i="4"/>
  <c r="O234" i="5" s="1"/>
  <c r="T234" i="6"/>
  <c r="H234" i="6"/>
  <c r="L234" i="6"/>
  <c r="O234" i="6"/>
  <c r="G234" i="6"/>
  <c r="G234" i="4"/>
  <c r="G234" i="5" s="1"/>
  <c r="U234" i="4"/>
  <c r="U234" i="5" s="1"/>
  <c r="M234" i="4"/>
  <c r="M234" i="5" s="1"/>
  <c r="R234" i="6"/>
  <c r="P234" i="4"/>
  <c r="P234" i="5" s="1"/>
  <c r="H234" i="4"/>
  <c r="H234" i="5" s="1"/>
  <c r="R234" i="4"/>
  <c r="R234" i="5" s="1"/>
  <c r="J234" i="6"/>
  <c r="S234" i="4"/>
  <c r="S234" i="5" s="1"/>
  <c r="D234" i="4"/>
  <c r="D234" i="5" s="1"/>
  <c r="S234" i="6"/>
  <c r="Q234" i="4"/>
  <c r="Q234" i="5" s="1"/>
  <c r="F234" i="6"/>
  <c r="T234" i="4"/>
  <c r="T234" i="5" s="1"/>
  <c r="K234" i="6"/>
  <c r="K234" i="4"/>
  <c r="K234" i="5" s="1"/>
  <c r="U234" i="6"/>
  <c r="F234" i="4"/>
  <c r="F234" i="5" s="1"/>
  <c r="V234" i="6"/>
  <c r="I234" i="6"/>
  <c r="Q234" i="6"/>
  <c r="L182" i="6"/>
  <c r="D182" i="4"/>
  <c r="D182" i="5" s="1"/>
  <c r="T182" i="6"/>
  <c r="K182" i="4"/>
  <c r="K182" i="5" s="1"/>
  <c r="S182" i="4"/>
  <c r="S182" i="5" s="1"/>
  <c r="M182" i="6"/>
  <c r="Q182" i="6"/>
  <c r="M182" i="4"/>
  <c r="M182" i="5" s="1"/>
  <c r="Q182" i="4"/>
  <c r="Q182" i="5" s="1"/>
  <c r="G182" i="6"/>
  <c r="H182" i="6"/>
  <c r="J182" i="6"/>
  <c r="V182" i="4"/>
  <c r="V182" i="5" s="1"/>
  <c r="L182" i="4"/>
  <c r="L182" i="5" s="1"/>
  <c r="G182" i="4"/>
  <c r="G182" i="5" s="1"/>
  <c r="K182" i="6"/>
  <c r="V182" i="6"/>
  <c r="R182" i="4"/>
  <c r="R182" i="5" s="1"/>
  <c r="T182" i="4"/>
  <c r="T182" i="5" s="1"/>
  <c r="D182" i="6"/>
  <c r="O182" i="4"/>
  <c r="O182" i="5" s="1"/>
  <c r="U182" i="6"/>
  <c r="S182" i="6"/>
  <c r="O182" i="6"/>
  <c r="J182" i="4"/>
  <c r="J182" i="5" s="1"/>
  <c r="H182" i="4"/>
  <c r="H182" i="5" s="1"/>
  <c r="P182" i="6"/>
  <c r="P182" i="4"/>
  <c r="P182" i="5" s="1"/>
  <c r="N182" i="6"/>
  <c r="U182" i="4"/>
  <c r="U182" i="5" s="1"/>
  <c r="E182" i="4"/>
  <c r="E182" i="5" s="1"/>
  <c r="F182" i="4"/>
  <c r="F182" i="5" s="1"/>
  <c r="R182" i="6"/>
  <c r="I182" i="4"/>
  <c r="I182" i="5" s="1"/>
  <c r="E182" i="6"/>
  <c r="F182" i="6"/>
  <c r="I182" i="6"/>
  <c r="N182" i="4"/>
  <c r="N182" i="5" s="1"/>
  <c r="U141" i="6"/>
  <c r="S141" i="6"/>
  <c r="Q141" i="6"/>
  <c r="D141" i="6"/>
  <c r="R141" i="6"/>
  <c r="H141" i="4"/>
  <c r="H141" i="5" s="1"/>
  <c r="P141" i="6"/>
  <c r="M141" i="4"/>
  <c r="M141" i="5" s="1"/>
  <c r="U141" i="4"/>
  <c r="U141" i="5" s="1"/>
  <c r="E141" i="4"/>
  <c r="E141" i="5" s="1"/>
  <c r="T141" i="4"/>
  <c r="T141" i="5" s="1"/>
  <c r="M141" i="6"/>
  <c r="O141" i="6"/>
  <c r="Q141" i="4"/>
  <c r="Q141" i="5" s="1"/>
  <c r="V141" i="6"/>
  <c r="J141" i="6"/>
  <c r="N141" i="6"/>
  <c r="L141" i="6"/>
  <c r="P141" i="4"/>
  <c r="P141" i="5" s="1"/>
  <c r="S141" i="4"/>
  <c r="S141" i="5" s="1"/>
  <c r="G141" i="6"/>
  <c r="F141" i="4"/>
  <c r="F141" i="5" s="1"/>
  <c r="K141" i="6"/>
  <c r="V141" i="4"/>
  <c r="V141" i="5" s="1"/>
  <c r="D141" i="4"/>
  <c r="D141" i="5" s="1"/>
  <c r="G141" i="4"/>
  <c r="G141" i="5" s="1"/>
  <c r="H141" i="6"/>
  <c r="J141" i="4"/>
  <c r="J141" i="5" s="1"/>
  <c r="I141" i="4"/>
  <c r="I141" i="5" s="1"/>
  <c r="K141" i="4"/>
  <c r="K141" i="5" s="1"/>
  <c r="T141" i="6"/>
  <c r="L141" i="4"/>
  <c r="L141" i="5" s="1"/>
  <c r="F141" i="6"/>
  <c r="O141" i="4"/>
  <c r="O141" i="5" s="1"/>
  <c r="N141" i="4"/>
  <c r="N141" i="5" s="1"/>
  <c r="E141" i="6"/>
  <c r="I141" i="6"/>
  <c r="R141" i="4"/>
  <c r="R141" i="5" s="1"/>
  <c r="Q39" i="6"/>
  <c r="G39" i="6"/>
  <c r="S39" i="6"/>
  <c r="M39" i="4"/>
  <c r="M39" i="5" s="1"/>
  <c r="G39" i="4"/>
  <c r="G39" i="5" s="1"/>
  <c r="E39" i="4"/>
  <c r="E39" i="5" s="1"/>
  <c r="K39" i="6"/>
  <c r="V39" i="6"/>
  <c r="T39" i="4"/>
  <c r="T39" i="5" s="1"/>
  <c r="R39" i="6"/>
  <c r="O39" i="6"/>
  <c r="J39" i="4"/>
  <c r="J39" i="5" s="1"/>
  <c r="P39" i="4"/>
  <c r="P39" i="5" s="1"/>
  <c r="D39" i="4"/>
  <c r="D39" i="5" s="1"/>
  <c r="T39" i="6"/>
  <c r="L39" i="6"/>
  <c r="N39" i="4"/>
  <c r="N39" i="5" s="1"/>
  <c r="L39" i="4"/>
  <c r="L39" i="5" s="1"/>
  <c r="U39" i="6"/>
  <c r="K39" i="4"/>
  <c r="K39" i="5" s="1"/>
  <c r="D39" i="6"/>
  <c r="P39" i="6"/>
  <c r="F39" i="6"/>
  <c r="V39" i="4"/>
  <c r="V39" i="5" s="1"/>
  <c r="M39" i="6"/>
  <c r="H39" i="4"/>
  <c r="H39" i="5" s="1"/>
  <c r="H39" i="6"/>
  <c r="Q39" i="4"/>
  <c r="Q39" i="5" s="1"/>
  <c r="O39" i="4"/>
  <c r="O39" i="5" s="1"/>
  <c r="R39" i="4"/>
  <c r="R39" i="5" s="1"/>
  <c r="U39" i="4"/>
  <c r="U39" i="5" s="1"/>
  <c r="N39" i="6"/>
  <c r="E39" i="6"/>
  <c r="J39" i="6"/>
  <c r="S39" i="4"/>
  <c r="S39" i="5" s="1"/>
  <c r="F39" i="4"/>
  <c r="F39" i="5" s="1"/>
  <c r="O31" i="6"/>
  <c r="T31" i="4"/>
  <c r="T31" i="5" s="1"/>
  <c r="U31" i="4"/>
  <c r="U31" i="5" s="1"/>
  <c r="S31" i="4"/>
  <c r="S31" i="5" s="1"/>
  <c r="O31" i="4"/>
  <c r="O31" i="5" s="1"/>
  <c r="M31" i="4"/>
  <c r="M31" i="5" s="1"/>
  <c r="D31" i="4"/>
  <c r="D31" i="5" s="1"/>
  <c r="M31" i="6"/>
  <c r="R31" i="4"/>
  <c r="R31" i="5" s="1"/>
  <c r="K31" i="6"/>
  <c r="V31" i="4"/>
  <c r="V31" i="5" s="1"/>
  <c r="P31" i="4"/>
  <c r="P31" i="5" s="1"/>
  <c r="Q31" i="4"/>
  <c r="Q31" i="5" s="1"/>
  <c r="V31" i="6"/>
  <c r="I31" i="4"/>
  <c r="I31" i="5" s="1"/>
  <c r="J31" i="6"/>
  <c r="K31" i="4"/>
  <c r="K31" i="5" s="1"/>
  <c r="N31" i="4"/>
  <c r="N31" i="5" s="1"/>
  <c r="U31" i="6"/>
  <c r="N31" i="6"/>
  <c r="E31" i="4"/>
  <c r="E31" i="5" s="1"/>
  <c r="R31" i="6"/>
  <c r="D31" i="6"/>
  <c r="P31" i="6"/>
  <c r="S31" i="6"/>
  <c r="L31" i="4"/>
  <c r="L31" i="5" s="1"/>
  <c r="E31" i="6"/>
  <c r="L31" i="6"/>
  <c r="M440" i="4"/>
  <c r="M440" i="5" s="1"/>
  <c r="E440" i="4"/>
  <c r="E440" i="5" s="1"/>
  <c r="D440" i="6"/>
  <c r="I440" i="6"/>
  <c r="S440" i="6"/>
  <c r="U440" i="6"/>
  <c r="E440" i="6"/>
  <c r="Q440" i="4"/>
  <c r="Q440" i="5" s="1"/>
  <c r="H440" i="4"/>
  <c r="H440" i="5" s="1"/>
  <c r="V440" i="6"/>
  <c r="T440" i="6"/>
  <c r="J440" i="6"/>
  <c r="T440" i="4"/>
  <c r="T440" i="5" s="1"/>
  <c r="N440" i="6"/>
  <c r="L440" i="6"/>
  <c r="P440" i="4"/>
  <c r="P440" i="5" s="1"/>
  <c r="F440" i="6"/>
  <c r="Q440" i="6"/>
  <c r="S440" i="4"/>
  <c r="S440" i="5" s="1"/>
  <c r="O440" i="4"/>
  <c r="O440" i="5" s="1"/>
  <c r="M440" i="6"/>
  <c r="G440" i="6"/>
  <c r="U440" i="4"/>
  <c r="U440" i="5" s="1"/>
  <c r="P440" i="6"/>
  <c r="J440" i="4"/>
  <c r="J440" i="5" s="1"/>
  <c r="R440" i="4"/>
  <c r="R440" i="5" s="1"/>
  <c r="H440" i="6"/>
  <c r="G440" i="4"/>
  <c r="G440" i="5" s="1"/>
  <c r="I440" i="4"/>
  <c r="I440" i="5" s="1"/>
  <c r="K440" i="6"/>
  <c r="F440" i="4"/>
  <c r="F440" i="5" s="1"/>
  <c r="N440" i="4"/>
  <c r="N440" i="5" s="1"/>
  <c r="V440" i="4"/>
  <c r="V440" i="5" s="1"/>
  <c r="D440" i="4"/>
  <c r="D440" i="5" s="1"/>
  <c r="O440" i="6"/>
  <c r="R440" i="6"/>
  <c r="L440" i="4"/>
  <c r="L440" i="5" s="1"/>
  <c r="K440" i="4"/>
  <c r="K440" i="5" s="1"/>
  <c r="V351" i="4"/>
  <c r="V351" i="5" s="1"/>
  <c r="P351" i="4"/>
  <c r="P351" i="5" s="1"/>
  <c r="L351" i="6"/>
  <c r="V351" i="6"/>
  <c r="P351" i="6"/>
  <c r="K351" i="4"/>
  <c r="K351" i="5" s="1"/>
  <c r="Q351" i="6"/>
  <c r="M351" i="4"/>
  <c r="M351" i="5" s="1"/>
  <c r="I351" i="6"/>
  <c r="D351" i="4"/>
  <c r="D351" i="5" s="1"/>
  <c r="F351" i="6"/>
  <c r="E351" i="4"/>
  <c r="E351" i="5" s="1"/>
  <c r="U351" i="4"/>
  <c r="U351" i="5" s="1"/>
  <c r="O351" i="6"/>
  <c r="F351" i="4"/>
  <c r="F351" i="5" s="1"/>
  <c r="N351" i="6"/>
  <c r="E351" i="6"/>
  <c r="R351" i="4"/>
  <c r="R351" i="5" s="1"/>
  <c r="S351" i="4"/>
  <c r="S351" i="5" s="1"/>
  <c r="O301" i="6"/>
  <c r="F301" i="4"/>
  <c r="F301" i="5" s="1"/>
  <c r="J301" i="4"/>
  <c r="J301" i="5" s="1"/>
  <c r="F301" i="6"/>
  <c r="D301" i="4"/>
  <c r="D301" i="5" s="1"/>
  <c r="Q301" i="4"/>
  <c r="Q301" i="5" s="1"/>
  <c r="L301" i="4"/>
  <c r="L301" i="5" s="1"/>
  <c r="P301" i="6"/>
  <c r="S301" i="6"/>
  <c r="Q301" i="6"/>
  <c r="G301" i="6"/>
  <c r="I301" i="4"/>
  <c r="I301" i="5" s="1"/>
  <c r="T301" i="6"/>
  <c r="J301" i="6"/>
  <c r="E301" i="6"/>
  <c r="G301" i="4"/>
  <c r="G301" i="5" s="1"/>
  <c r="K301" i="6"/>
  <c r="E254" i="4"/>
  <c r="E254" i="5" s="1"/>
  <c r="O254" i="6"/>
  <c r="O254" i="4"/>
  <c r="O254" i="5" s="1"/>
  <c r="U254" i="6"/>
  <c r="S254" i="6"/>
  <c r="Q254" i="6"/>
  <c r="F254" i="6"/>
  <c r="R254" i="4"/>
  <c r="R254" i="5" s="1"/>
  <c r="L254" i="6"/>
  <c r="J254" i="4"/>
  <c r="J254" i="5" s="1"/>
  <c r="N254" i="6"/>
  <c r="T254" i="6"/>
  <c r="H254" i="4"/>
  <c r="H254" i="5" s="1"/>
  <c r="F254" i="4"/>
  <c r="F254" i="5" s="1"/>
  <c r="I254" i="6"/>
  <c r="P254" i="6"/>
  <c r="M254" i="6"/>
  <c r="I254" i="4"/>
  <c r="I254" i="5" s="1"/>
  <c r="G254" i="6"/>
  <c r="U254" i="4"/>
  <c r="U254" i="5" s="1"/>
  <c r="Q254" i="4"/>
  <c r="Q254" i="5" s="1"/>
  <c r="N254" i="4"/>
  <c r="N254" i="5" s="1"/>
  <c r="H254" i="6"/>
  <c r="J254" i="6"/>
  <c r="V254" i="4"/>
  <c r="V254" i="5" s="1"/>
  <c r="D254" i="6"/>
  <c r="D254" i="4"/>
  <c r="D254" i="5" s="1"/>
  <c r="S254" i="4"/>
  <c r="S254" i="5" s="1"/>
  <c r="T254" i="4"/>
  <c r="T254" i="5" s="1"/>
  <c r="P254" i="4"/>
  <c r="P254" i="5" s="1"/>
  <c r="G254" i="4"/>
  <c r="G254" i="5" s="1"/>
  <c r="M254" i="4"/>
  <c r="M254" i="5" s="1"/>
  <c r="L254" i="4"/>
  <c r="L254" i="5" s="1"/>
  <c r="E254" i="6"/>
  <c r="E187" i="6"/>
  <c r="O187" i="4"/>
  <c r="O187" i="5" s="1"/>
  <c r="I187" i="6"/>
  <c r="O187" i="6"/>
  <c r="M187" i="4"/>
  <c r="M187" i="5" s="1"/>
  <c r="D187" i="4"/>
  <c r="D187" i="5" s="1"/>
  <c r="E187" i="4"/>
  <c r="E187" i="5" s="1"/>
  <c r="K187" i="4"/>
  <c r="K187" i="5" s="1"/>
  <c r="G187" i="6"/>
  <c r="Q187" i="4"/>
  <c r="Q187" i="5" s="1"/>
  <c r="U187" i="4"/>
  <c r="U187" i="5" s="1"/>
  <c r="L187" i="6"/>
  <c r="T187" i="6"/>
  <c r="J187" i="6"/>
  <c r="R187" i="6"/>
  <c r="L187" i="4"/>
  <c r="L187" i="5" s="1"/>
  <c r="V187" i="4"/>
  <c r="V187" i="5" s="1"/>
  <c r="F187" i="6"/>
  <c r="T187" i="4"/>
  <c r="T187" i="5" s="1"/>
  <c r="D187" i="6"/>
  <c r="U187" i="6"/>
  <c r="M187" i="6"/>
  <c r="G187" i="4"/>
  <c r="G187" i="5" s="1"/>
  <c r="K187" i="6"/>
  <c r="H187" i="6"/>
  <c r="F187" i="4"/>
  <c r="F187" i="5" s="1"/>
  <c r="V187" i="6"/>
  <c r="H187" i="4"/>
  <c r="H187" i="5" s="1"/>
  <c r="R187" i="4"/>
  <c r="R187" i="5" s="1"/>
  <c r="S187" i="6"/>
  <c r="S187" i="4"/>
  <c r="S187" i="5" s="1"/>
  <c r="P187" i="6"/>
  <c r="J187" i="4"/>
  <c r="J187" i="5" s="1"/>
  <c r="Q187" i="6"/>
  <c r="N187" i="4"/>
  <c r="N187" i="5" s="1"/>
  <c r="I187" i="4"/>
  <c r="I187" i="5" s="1"/>
  <c r="N187" i="6"/>
  <c r="P187" i="4"/>
  <c r="P187" i="5" s="1"/>
  <c r="D51" i="6"/>
  <c r="T51" i="6"/>
  <c r="K51" i="4"/>
  <c r="K51" i="5" s="1"/>
  <c r="G51" i="6"/>
  <c r="N51" i="4"/>
  <c r="N51" i="5" s="1"/>
  <c r="H51" i="6"/>
  <c r="F51" i="6"/>
  <c r="O51" i="6"/>
  <c r="L51" i="4"/>
  <c r="L51" i="5" s="1"/>
  <c r="N51" i="6"/>
  <c r="R51" i="4"/>
  <c r="R51" i="5" s="1"/>
  <c r="M51" i="6"/>
  <c r="P51" i="4"/>
  <c r="P51" i="5" s="1"/>
  <c r="Q51" i="6"/>
  <c r="J51" i="6"/>
  <c r="E51" i="6"/>
  <c r="L51" i="6"/>
  <c r="S51" i="6"/>
  <c r="O51" i="4"/>
  <c r="O51" i="5" s="1"/>
  <c r="F51" i="4"/>
  <c r="F51" i="5" s="1"/>
  <c r="M51" i="4"/>
  <c r="M51" i="5" s="1"/>
  <c r="E51" i="4"/>
  <c r="E51" i="5" s="1"/>
  <c r="J51" i="4"/>
  <c r="J51" i="5" s="1"/>
  <c r="U51" i="4"/>
  <c r="U51" i="5" s="1"/>
  <c r="S51" i="4"/>
  <c r="S51" i="5" s="1"/>
  <c r="G51" i="4"/>
  <c r="G51" i="5" s="1"/>
  <c r="V51" i="6"/>
  <c r="V51" i="4"/>
  <c r="V51" i="5" s="1"/>
  <c r="T51" i="4"/>
  <c r="T51" i="5" s="1"/>
  <c r="U51" i="6"/>
  <c r="Q51" i="4"/>
  <c r="Q51" i="5" s="1"/>
  <c r="K51" i="6"/>
  <c r="D51" i="4"/>
  <c r="D51" i="5" s="1"/>
  <c r="P51" i="6"/>
  <c r="H51" i="4"/>
  <c r="H51" i="5" s="1"/>
  <c r="T544" i="4"/>
  <c r="T544" i="5" s="1"/>
  <c r="D544" i="6"/>
  <c r="E544" i="6"/>
  <c r="R544" i="6"/>
  <c r="R544" i="4"/>
  <c r="R544" i="5" s="1"/>
  <c r="F544" i="6"/>
  <c r="U544" i="6"/>
  <c r="K544" i="6"/>
  <c r="P544" i="4"/>
  <c r="P544" i="5" s="1"/>
  <c r="I544" i="4"/>
  <c r="I544" i="5" s="1"/>
  <c r="D544" i="4"/>
  <c r="D544" i="5" s="1"/>
  <c r="N544" i="4"/>
  <c r="N544" i="5" s="1"/>
  <c r="V544" i="6"/>
  <c r="Q544" i="6"/>
  <c r="S544" i="4"/>
  <c r="S544" i="5" s="1"/>
  <c r="S544" i="6"/>
  <c r="G544" i="4"/>
  <c r="G544" i="5" s="1"/>
  <c r="G544" i="6"/>
  <c r="M544" i="4"/>
  <c r="M544" i="5" s="1"/>
  <c r="Q392" i="4"/>
  <c r="Q392" i="5" s="1"/>
  <c r="K392" i="6"/>
  <c r="K392" i="4"/>
  <c r="K392" i="5" s="1"/>
  <c r="G392" i="6"/>
  <c r="G392" i="4"/>
  <c r="G392" i="5" s="1"/>
  <c r="V392" i="4"/>
  <c r="V392" i="5" s="1"/>
  <c r="N392" i="4"/>
  <c r="N392" i="5" s="1"/>
  <c r="M392" i="4"/>
  <c r="M392" i="5" s="1"/>
  <c r="M392" i="6"/>
  <c r="R392" i="6"/>
  <c r="E392" i="6"/>
  <c r="E392" i="4"/>
  <c r="E392" i="5" s="1"/>
  <c r="D392" i="6"/>
  <c r="J392" i="6"/>
  <c r="L392" i="4"/>
  <c r="L392" i="5" s="1"/>
  <c r="P392" i="6"/>
  <c r="H392" i="4"/>
  <c r="H392" i="5" s="1"/>
  <c r="F392" i="6"/>
  <c r="S392" i="6"/>
  <c r="O392" i="6"/>
  <c r="F392" i="4"/>
  <c r="F392" i="5" s="1"/>
  <c r="D392" i="4"/>
  <c r="D392" i="5" s="1"/>
  <c r="J392" i="4"/>
  <c r="J392" i="5" s="1"/>
  <c r="N392" i="6"/>
  <c r="I392" i="4"/>
  <c r="I392" i="5" s="1"/>
  <c r="T392" i="4"/>
  <c r="T392" i="5" s="1"/>
  <c r="P392" i="4"/>
  <c r="P392" i="5" s="1"/>
  <c r="L392" i="6"/>
  <c r="S392" i="4"/>
  <c r="S392" i="5" s="1"/>
  <c r="Q392" i="6"/>
  <c r="T392" i="6"/>
  <c r="R392" i="4"/>
  <c r="R392" i="5" s="1"/>
  <c r="V392" i="6"/>
  <c r="U392" i="6"/>
  <c r="O392" i="4"/>
  <c r="O392" i="5" s="1"/>
  <c r="I392" i="6"/>
  <c r="U392" i="4"/>
  <c r="U392" i="5" s="1"/>
  <c r="H392" i="6"/>
  <c r="P325" i="6"/>
  <c r="T325" i="6"/>
  <c r="O325" i="6"/>
  <c r="T325" i="4"/>
  <c r="T325" i="5" s="1"/>
  <c r="J325" i="4"/>
  <c r="J325" i="5" s="1"/>
  <c r="D325" i="4"/>
  <c r="D325" i="5" s="1"/>
  <c r="Q325" i="6"/>
  <c r="I325" i="6"/>
  <c r="H325" i="4"/>
  <c r="H325" i="5" s="1"/>
  <c r="G325" i="4"/>
  <c r="G325" i="5" s="1"/>
  <c r="Q325" i="4"/>
  <c r="Q325" i="5" s="1"/>
  <c r="U325" i="4"/>
  <c r="U325" i="5" s="1"/>
  <c r="K325" i="4"/>
  <c r="K325" i="5" s="1"/>
  <c r="S325" i="6"/>
  <c r="F325" i="6"/>
  <c r="I325" i="4"/>
  <c r="I325" i="5" s="1"/>
  <c r="J325" i="6"/>
  <c r="E325" i="6"/>
  <c r="O325" i="4"/>
  <c r="O325" i="5" s="1"/>
  <c r="G325" i="6"/>
  <c r="M325" i="6"/>
  <c r="U325" i="6"/>
  <c r="D325" i="6"/>
  <c r="L325" i="6"/>
  <c r="E325" i="4"/>
  <c r="E325" i="5" s="1"/>
  <c r="S325" i="4"/>
  <c r="S325" i="5" s="1"/>
  <c r="N325" i="6"/>
  <c r="K325" i="6"/>
  <c r="L325" i="4"/>
  <c r="L325" i="5" s="1"/>
  <c r="E262" i="6"/>
  <c r="D262" i="6"/>
  <c r="G262" i="6"/>
  <c r="K262" i="6"/>
  <c r="O262" i="4"/>
  <c r="O262" i="5" s="1"/>
  <c r="G262" i="4"/>
  <c r="G262" i="5" s="1"/>
  <c r="F262" i="4"/>
  <c r="F262" i="5" s="1"/>
  <c r="T262" i="6"/>
  <c r="U262" i="4"/>
  <c r="U262" i="5" s="1"/>
  <c r="R262" i="6"/>
  <c r="Q262" i="6"/>
  <c r="N262" i="6"/>
  <c r="L262" i="4"/>
  <c r="L262" i="5" s="1"/>
  <c r="J262" i="4"/>
  <c r="J262" i="5" s="1"/>
  <c r="T262" i="4"/>
  <c r="T262" i="5" s="1"/>
  <c r="J262" i="6"/>
  <c r="V262" i="6"/>
  <c r="M262" i="6"/>
  <c r="Q262" i="4"/>
  <c r="Q262" i="5" s="1"/>
  <c r="D262" i="4"/>
  <c r="D262" i="5" s="1"/>
  <c r="O262" i="6"/>
  <c r="S262" i="4"/>
  <c r="S262" i="5" s="1"/>
  <c r="V262" i="4"/>
  <c r="V262" i="5" s="1"/>
  <c r="I262" i="4"/>
  <c r="I262" i="5" s="1"/>
  <c r="N262" i="4"/>
  <c r="N262" i="5" s="1"/>
  <c r="P262" i="4"/>
  <c r="P262" i="5" s="1"/>
  <c r="H262" i="6"/>
  <c r="H262" i="4"/>
  <c r="H262" i="5" s="1"/>
  <c r="U262" i="6"/>
  <c r="S262" i="6"/>
  <c r="F262" i="6"/>
  <c r="R262" i="4"/>
  <c r="R262" i="5" s="1"/>
  <c r="P262" i="6"/>
  <c r="I262" i="6"/>
  <c r="K262" i="4"/>
  <c r="K262" i="5" s="1"/>
  <c r="E262" i="4"/>
  <c r="E262" i="5" s="1"/>
  <c r="L262" i="6"/>
  <c r="M262" i="4"/>
  <c r="M262" i="5" s="1"/>
  <c r="S240" i="4"/>
  <c r="S240" i="5" s="1"/>
  <c r="D240" i="6"/>
  <c r="I240" i="4"/>
  <c r="I240" i="5" s="1"/>
  <c r="E240" i="6"/>
  <c r="T240" i="6"/>
  <c r="L240" i="4"/>
  <c r="L240" i="5" s="1"/>
  <c r="L240" i="6"/>
  <c r="J240" i="6"/>
  <c r="G240" i="4"/>
  <c r="G240" i="5" s="1"/>
  <c r="M240" i="4"/>
  <c r="M240" i="5" s="1"/>
  <c r="O240" i="4"/>
  <c r="O240" i="5" s="1"/>
  <c r="R240" i="6"/>
  <c r="J240" i="4"/>
  <c r="J240" i="5" s="1"/>
  <c r="E240" i="4"/>
  <c r="E240" i="5" s="1"/>
  <c r="R240" i="4"/>
  <c r="R240" i="5" s="1"/>
  <c r="I240" i="6"/>
  <c r="T240" i="4"/>
  <c r="T240" i="5" s="1"/>
  <c r="D209" i="4"/>
  <c r="D209" i="5" s="1"/>
  <c r="P209" i="6"/>
  <c r="V209" i="6"/>
  <c r="J209" i="4"/>
  <c r="J209" i="5" s="1"/>
  <c r="H209" i="4"/>
  <c r="H209" i="5" s="1"/>
  <c r="L209" i="6"/>
  <c r="L209" i="4"/>
  <c r="L209" i="5" s="1"/>
  <c r="S209" i="6"/>
  <c r="M209" i="4"/>
  <c r="M209" i="5" s="1"/>
  <c r="I209" i="4"/>
  <c r="I209" i="5" s="1"/>
  <c r="E209" i="4"/>
  <c r="E209" i="5" s="1"/>
  <c r="O209" i="6"/>
  <c r="K209" i="6"/>
  <c r="Q209" i="4"/>
  <c r="Q209" i="5" s="1"/>
  <c r="G209" i="6"/>
  <c r="T209" i="4"/>
  <c r="T209" i="5" s="1"/>
  <c r="H209" i="6"/>
  <c r="P209" i="4"/>
  <c r="P209" i="5" s="1"/>
  <c r="R209" i="6"/>
  <c r="O209" i="4"/>
  <c r="O209" i="5" s="1"/>
  <c r="G209" i="4"/>
  <c r="G209" i="5" s="1"/>
  <c r="M209" i="6"/>
  <c r="S209" i="4"/>
  <c r="S209" i="5" s="1"/>
  <c r="I209" i="6"/>
  <c r="U209" i="4"/>
  <c r="U209" i="5" s="1"/>
  <c r="Q209" i="6"/>
  <c r="U209" i="6"/>
  <c r="D209" i="6"/>
  <c r="T209" i="6"/>
  <c r="K209" i="4"/>
  <c r="K209" i="5" s="1"/>
  <c r="E209" i="6"/>
  <c r="O157" i="4"/>
  <c r="O157" i="5" s="1"/>
  <c r="I157" i="6"/>
  <c r="Q157" i="6"/>
  <c r="S157" i="4"/>
  <c r="S157" i="5" s="1"/>
  <c r="E157" i="4"/>
  <c r="E157" i="5" s="1"/>
  <c r="I157" i="4"/>
  <c r="I157" i="5" s="1"/>
  <c r="K157" i="6"/>
  <c r="S157" i="6"/>
  <c r="M157" i="4"/>
  <c r="M157" i="5" s="1"/>
  <c r="N157" i="4"/>
  <c r="N157" i="5" s="1"/>
  <c r="U157" i="4"/>
  <c r="U157" i="5" s="1"/>
  <c r="T157" i="4"/>
  <c r="T157" i="5" s="1"/>
  <c r="J157" i="6"/>
  <c r="L157" i="4"/>
  <c r="L157" i="5" s="1"/>
  <c r="F157" i="6"/>
  <c r="P157" i="4"/>
  <c r="P157" i="5" s="1"/>
  <c r="F157" i="4"/>
  <c r="F157" i="5" s="1"/>
  <c r="V157" i="6"/>
  <c r="J157" i="4"/>
  <c r="J157" i="5" s="1"/>
  <c r="M157" i="6"/>
  <c r="G157" i="4"/>
  <c r="G157" i="5" s="1"/>
  <c r="G157" i="6"/>
  <c r="Q157" i="4"/>
  <c r="Q157" i="5" s="1"/>
  <c r="K157" i="4"/>
  <c r="K157" i="5" s="1"/>
  <c r="N157" i="6"/>
  <c r="H157" i="4"/>
  <c r="H157" i="5" s="1"/>
  <c r="R157" i="4"/>
  <c r="R157" i="5" s="1"/>
  <c r="R157" i="6"/>
  <c r="E157" i="6"/>
  <c r="D157" i="6"/>
  <c r="T157" i="6"/>
  <c r="P157" i="6"/>
  <c r="V157" i="4"/>
  <c r="V157" i="5" s="1"/>
  <c r="U157" i="6"/>
  <c r="O157" i="6"/>
  <c r="D157" i="4"/>
  <c r="D157" i="5" s="1"/>
  <c r="L157" i="6"/>
  <c r="H157" i="6"/>
  <c r="G113" i="6"/>
  <c r="G113" i="4"/>
  <c r="G113" i="5" s="1"/>
  <c r="E113" i="4"/>
  <c r="E113" i="5" s="1"/>
  <c r="U113" i="4"/>
  <c r="U113" i="5" s="1"/>
  <c r="E113" i="6"/>
  <c r="R113" i="4"/>
  <c r="R113" i="5" s="1"/>
  <c r="J113" i="4"/>
  <c r="J113" i="5" s="1"/>
  <c r="T113" i="6"/>
  <c r="V113" i="6"/>
  <c r="M113" i="6"/>
  <c r="I113" i="4"/>
  <c r="I113" i="5" s="1"/>
  <c r="Q113" i="6"/>
  <c r="J113" i="6"/>
  <c r="H113" i="4"/>
  <c r="H113" i="5" s="1"/>
  <c r="Q113" i="4"/>
  <c r="Q113" i="5" s="1"/>
  <c r="H113" i="6"/>
  <c r="O113" i="6"/>
  <c r="U113" i="6"/>
  <c r="P113" i="4"/>
  <c r="P113" i="5" s="1"/>
  <c r="Q36" i="6"/>
  <c r="L36" i="4"/>
  <c r="L36" i="5" s="1"/>
  <c r="H36" i="6"/>
  <c r="L36" i="6"/>
  <c r="G36" i="4"/>
  <c r="G36" i="5" s="1"/>
  <c r="Q36" i="4"/>
  <c r="Q36" i="5" s="1"/>
  <c r="H36" i="4"/>
  <c r="H36" i="5" s="1"/>
  <c r="E36" i="4"/>
  <c r="E36" i="5" s="1"/>
  <c r="O36" i="4"/>
  <c r="O36" i="5" s="1"/>
  <c r="U36" i="4"/>
  <c r="U36" i="5" s="1"/>
  <c r="D36" i="4"/>
  <c r="D36" i="5" s="1"/>
  <c r="R36" i="6"/>
  <c r="T36" i="6"/>
  <c r="F36" i="6"/>
  <c r="P36" i="6"/>
  <c r="T36" i="4"/>
  <c r="T36" i="5" s="1"/>
  <c r="P36" i="4"/>
  <c r="P36" i="5" s="1"/>
  <c r="I36" i="4"/>
  <c r="I36" i="5" s="1"/>
  <c r="E36" i="6"/>
  <c r="U36" i="6"/>
  <c r="K36" i="4"/>
  <c r="K36" i="5" s="1"/>
  <c r="M36" i="4"/>
  <c r="M36" i="5" s="1"/>
  <c r="J36" i="4"/>
  <c r="J36" i="5" s="1"/>
  <c r="G36" i="6"/>
  <c r="N36" i="6"/>
  <c r="I36" i="6"/>
  <c r="F36" i="4"/>
  <c r="F36" i="5" s="1"/>
  <c r="R36" i="4"/>
  <c r="R36" i="5" s="1"/>
  <c r="M36" i="6"/>
  <c r="V36" i="4"/>
  <c r="V36" i="5" s="1"/>
  <c r="D36" i="6"/>
  <c r="J36" i="6"/>
  <c r="N36" i="4"/>
  <c r="N36" i="5" s="1"/>
  <c r="S36" i="6"/>
  <c r="O36" i="6"/>
  <c r="K36" i="6"/>
  <c r="V36" i="6"/>
  <c r="E87" i="4"/>
  <c r="E87" i="5" s="1"/>
  <c r="G87" i="6"/>
  <c r="S87" i="6"/>
  <c r="D87" i="6"/>
  <c r="M87" i="6"/>
  <c r="U87" i="6"/>
  <c r="P87" i="6"/>
  <c r="R87" i="4"/>
  <c r="R87" i="5" s="1"/>
  <c r="I87" i="4"/>
  <c r="I87" i="5" s="1"/>
  <c r="O87" i="4"/>
  <c r="O87" i="5" s="1"/>
  <c r="M87" i="4"/>
  <c r="M87" i="5" s="1"/>
  <c r="E87" i="6"/>
  <c r="V87" i="6"/>
  <c r="T87" i="6"/>
  <c r="L87" i="6"/>
  <c r="R87" i="6"/>
  <c r="L87" i="4"/>
  <c r="L87" i="5" s="1"/>
  <c r="H87" i="4"/>
  <c r="H87" i="5" s="1"/>
  <c r="D87" i="4"/>
  <c r="D87" i="5" s="1"/>
  <c r="U87" i="4"/>
  <c r="U87" i="5" s="1"/>
  <c r="Q87" i="6"/>
  <c r="J87" i="4"/>
  <c r="J87" i="5" s="1"/>
  <c r="S87" i="4"/>
  <c r="S87" i="5" s="1"/>
  <c r="H87" i="6"/>
  <c r="F87" i="4"/>
  <c r="F87" i="5" s="1"/>
  <c r="N87" i="6"/>
  <c r="T87" i="4"/>
  <c r="T87" i="5" s="1"/>
  <c r="J87" i="6"/>
  <c r="I87" i="6"/>
  <c r="G87" i="4"/>
  <c r="G87" i="5" s="1"/>
  <c r="V87" i="4"/>
  <c r="V87" i="5" s="1"/>
  <c r="F87" i="6"/>
  <c r="O87" i="6"/>
  <c r="P87" i="4"/>
  <c r="P87" i="5" s="1"/>
  <c r="Q87" i="4"/>
  <c r="Q87" i="5" s="1"/>
  <c r="N87" i="4"/>
  <c r="N87" i="5" s="1"/>
  <c r="S200" i="6"/>
  <c r="O200" i="4"/>
  <c r="O200" i="5" s="1"/>
  <c r="K200" i="4"/>
  <c r="K200" i="5" s="1"/>
  <c r="N200" i="6"/>
  <c r="R200" i="4"/>
  <c r="R200" i="5" s="1"/>
  <c r="F200" i="4"/>
  <c r="F200" i="5" s="1"/>
  <c r="R200" i="6"/>
  <c r="U200" i="6"/>
  <c r="D200" i="6"/>
  <c r="D200" i="4"/>
  <c r="D200" i="5" s="1"/>
  <c r="V200" i="4"/>
  <c r="V200" i="5" s="1"/>
  <c r="V200" i="6"/>
  <c r="Q200" i="6"/>
  <c r="S200" i="4"/>
  <c r="S200" i="5" s="1"/>
  <c r="G200" i="4"/>
  <c r="G200" i="5" s="1"/>
  <c r="E200" i="4"/>
  <c r="E200" i="5" s="1"/>
  <c r="E200" i="6"/>
  <c r="P200" i="4"/>
  <c r="P200" i="5" s="1"/>
  <c r="U200" i="4"/>
  <c r="U200" i="5" s="1"/>
  <c r="Q200" i="4"/>
  <c r="Q200" i="5" s="1"/>
  <c r="J200" i="4"/>
  <c r="J200" i="5" s="1"/>
  <c r="M200" i="6"/>
  <c r="I200" i="4"/>
  <c r="I200" i="5" s="1"/>
  <c r="M200" i="4"/>
  <c r="M200" i="5" s="1"/>
  <c r="O200" i="6"/>
  <c r="T200" i="4"/>
  <c r="T200" i="5" s="1"/>
  <c r="F200" i="6"/>
  <c r="K200" i="6"/>
  <c r="G200" i="6"/>
  <c r="I200" i="6"/>
  <c r="J200" i="6"/>
  <c r="N200" i="4"/>
  <c r="N200" i="5" s="1"/>
  <c r="S336" i="6"/>
  <c r="I336" i="6"/>
  <c r="O336" i="4"/>
  <c r="O336" i="5" s="1"/>
  <c r="Q336" i="4"/>
  <c r="Q336" i="5" s="1"/>
  <c r="L336" i="4"/>
  <c r="L336" i="5" s="1"/>
  <c r="G336" i="6"/>
  <c r="G336" i="4"/>
  <c r="G336" i="5" s="1"/>
  <c r="D336" i="4"/>
  <c r="D336" i="5" s="1"/>
  <c r="S336" i="4"/>
  <c r="S336" i="5" s="1"/>
  <c r="N336" i="6"/>
  <c r="K336" i="6"/>
  <c r="F336" i="6"/>
  <c r="V336" i="6"/>
  <c r="L336" i="6"/>
  <c r="P336" i="6"/>
  <c r="N336" i="4"/>
  <c r="N336" i="5" s="1"/>
  <c r="D336" i="6"/>
  <c r="O336" i="6"/>
  <c r="M336" i="6"/>
  <c r="P336" i="4"/>
  <c r="P336" i="5" s="1"/>
  <c r="T336" i="4"/>
  <c r="T336" i="5" s="1"/>
  <c r="F336" i="4"/>
  <c r="F336" i="5" s="1"/>
  <c r="Q336" i="6"/>
  <c r="M336" i="4"/>
  <c r="M336" i="5" s="1"/>
  <c r="E336" i="4"/>
  <c r="E336" i="5" s="1"/>
  <c r="U336" i="4"/>
  <c r="U336" i="5" s="1"/>
  <c r="J336" i="4"/>
  <c r="J336" i="5" s="1"/>
  <c r="K336" i="4"/>
  <c r="K336" i="5" s="1"/>
  <c r="T336" i="6"/>
  <c r="I336" i="4"/>
  <c r="I336" i="5" s="1"/>
  <c r="U336" i="6"/>
  <c r="J336" i="6"/>
  <c r="E336" i="6"/>
  <c r="E522" i="4"/>
  <c r="E522" i="5" s="1"/>
  <c r="V522" i="6"/>
  <c r="J522" i="4"/>
  <c r="J522" i="5" s="1"/>
  <c r="N522" i="6"/>
  <c r="P522" i="4"/>
  <c r="P522" i="5" s="1"/>
  <c r="M522" i="6"/>
  <c r="O522" i="4"/>
  <c r="O522" i="5" s="1"/>
  <c r="R522" i="6"/>
  <c r="L522" i="4"/>
  <c r="L522" i="5" s="1"/>
  <c r="D522" i="4"/>
  <c r="D522" i="5" s="1"/>
  <c r="R522" i="4"/>
  <c r="R522" i="5" s="1"/>
  <c r="I522" i="4"/>
  <c r="I522" i="5" s="1"/>
  <c r="E522" i="6"/>
  <c r="Q522" i="6"/>
  <c r="I522" i="6"/>
  <c r="O522" i="6"/>
  <c r="D522" i="6"/>
  <c r="T522" i="6"/>
  <c r="U522" i="4"/>
  <c r="U522" i="5" s="1"/>
  <c r="M522" i="4"/>
  <c r="M522" i="5" s="1"/>
  <c r="V522" i="4"/>
  <c r="V522" i="5" s="1"/>
  <c r="K522" i="6"/>
  <c r="U522" i="6"/>
  <c r="H522" i="4"/>
  <c r="H522" i="5" s="1"/>
  <c r="P522" i="6"/>
  <c r="Q522" i="4"/>
  <c r="Q522" i="5" s="1"/>
  <c r="G522" i="4"/>
  <c r="G522" i="5" s="1"/>
  <c r="F522" i="4"/>
  <c r="F522" i="5" s="1"/>
  <c r="S522" i="4"/>
  <c r="S522" i="5" s="1"/>
  <c r="J522" i="6"/>
  <c r="H522" i="6"/>
  <c r="T522" i="4"/>
  <c r="T522" i="5" s="1"/>
  <c r="N522" i="4"/>
  <c r="N522" i="5" s="1"/>
  <c r="K522" i="4"/>
  <c r="K522" i="5" s="1"/>
  <c r="G522" i="6"/>
  <c r="L522" i="6"/>
  <c r="F522" i="6"/>
  <c r="S522" i="6"/>
  <c r="S385" i="6"/>
  <c r="O385" i="6"/>
  <c r="G385" i="6"/>
  <c r="R385" i="6"/>
  <c r="H385" i="4"/>
  <c r="H385" i="5" s="1"/>
  <c r="J385" i="6"/>
  <c r="Q385" i="4"/>
  <c r="Q385" i="5" s="1"/>
  <c r="G385" i="4"/>
  <c r="G385" i="5" s="1"/>
  <c r="O385" i="4"/>
  <c r="O385" i="5" s="1"/>
  <c r="K385" i="6"/>
  <c r="D385" i="6"/>
  <c r="E385" i="4"/>
  <c r="E385" i="5" s="1"/>
  <c r="M385" i="6"/>
  <c r="I385" i="6"/>
  <c r="F385" i="4"/>
  <c r="F385" i="5" s="1"/>
  <c r="L385" i="6"/>
  <c r="R385" i="4"/>
  <c r="R385" i="5" s="1"/>
  <c r="T385" i="6"/>
  <c r="H385" i="6"/>
  <c r="U385" i="6"/>
  <c r="N385" i="6"/>
  <c r="J385" i="4"/>
  <c r="J385" i="5" s="1"/>
  <c r="E385" i="6"/>
  <c r="K385" i="4"/>
  <c r="K385" i="5" s="1"/>
  <c r="Q385" i="6"/>
  <c r="U385" i="4"/>
  <c r="U385" i="5" s="1"/>
  <c r="N385" i="4"/>
  <c r="N385" i="5" s="1"/>
  <c r="V385" i="6"/>
  <c r="V385" i="4"/>
  <c r="V385" i="5" s="1"/>
  <c r="I385" i="4"/>
  <c r="I385" i="5" s="1"/>
  <c r="P385" i="6"/>
  <c r="S385" i="4"/>
  <c r="S385" i="5" s="1"/>
  <c r="L385" i="4"/>
  <c r="L385" i="5" s="1"/>
  <c r="F385" i="6"/>
  <c r="T385" i="4"/>
  <c r="T385" i="5" s="1"/>
  <c r="M385" i="4"/>
  <c r="M385" i="5" s="1"/>
  <c r="D385" i="4"/>
  <c r="D385" i="5" s="1"/>
  <c r="P385" i="4"/>
  <c r="P385" i="5" s="1"/>
  <c r="H315" i="6"/>
  <c r="P315" i="4"/>
  <c r="P315" i="5" s="1"/>
  <c r="T315" i="6"/>
  <c r="I315" i="4"/>
  <c r="I315" i="5" s="1"/>
  <c r="U315" i="6"/>
  <c r="R315" i="6"/>
  <c r="H315" i="4"/>
  <c r="H315" i="5" s="1"/>
  <c r="L315" i="6"/>
  <c r="T315" i="4"/>
  <c r="T315" i="5" s="1"/>
  <c r="S315" i="6"/>
  <c r="M315" i="4"/>
  <c r="M315" i="5" s="1"/>
  <c r="U315" i="4"/>
  <c r="U315" i="5" s="1"/>
  <c r="O315" i="6"/>
  <c r="I315" i="6"/>
  <c r="Q315" i="6"/>
  <c r="F315" i="4"/>
  <c r="F315" i="5" s="1"/>
  <c r="Q315" i="4"/>
  <c r="Q315" i="5" s="1"/>
  <c r="S315" i="4"/>
  <c r="S315" i="5" s="1"/>
  <c r="J315" i="4"/>
  <c r="J315" i="5" s="1"/>
  <c r="N315" i="4"/>
  <c r="N315" i="5" s="1"/>
  <c r="V315" i="6"/>
  <c r="K315" i="6"/>
  <c r="L315" i="4"/>
  <c r="L315" i="5" s="1"/>
  <c r="R315" i="4"/>
  <c r="R315" i="5" s="1"/>
  <c r="G315" i="4"/>
  <c r="G315" i="5" s="1"/>
  <c r="D315" i="6"/>
  <c r="V315" i="4"/>
  <c r="V315" i="5" s="1"/>
  <c r="E315" i="6"/>
  <c r="P315" i="6"/>
  <c r="F315" i="6"/>
  <c r="E315" i="4"/>
  <c r="E315" i="5" s="1"/>
  <c r="K315" i="4"/>
  <c r="K315" i="5" s="1"/>
  <c r="G315" i="6"/>
  <c r="J315" i="6"/>
  <c r="O315" i="4"/>
  <c r="O315" i="5" s="1"/>
  <c r="N315" i="6"/>
  <c r="M315" i="6"/>
  <c r="D315" i="4"/>
  <c r="D315" i="5" s="1"/>
  <c r="F65" i="6"/>
  <c r="Q65" i="6"/>
  <c r="U65" i="6"/>
  <c r="M65" i="4"/>
  <c r="M65" i="5" s="1"/>
  <c r="T65" i="6"/>
  <c r="T65" i="4"/>
  <c r="T65" i="5" s="1"/>
  <c r="H65" i="6"/>
  <c r="J65" i="4"/>
  <c r="J65" i="5" s="1"/>
  <c r="H65" i="4"/>
  <c r="H65" i="5" s="1"/>
  <c r="I65" i="6"/>
  <c r="I65" i="4"/>
  <c r="I65" i="5" s="1"/>
  <c r="G65" i="4"/>
  <c r="G65" i="5" s="1"/>
  <c r="U65" i="4"/>
  <c r="U65" i="5" s="1"/>
  <c r="S65" i="4"/>
  <c r="S65" i="5" s="1"/>
  <c r="E65" i="6"/>
  <c r="J65" i="6"/>
  <c r="S65" i="6"/>
  <c r="R65" i="4"/>
  <c r="R65" i="5" s="1"/>
  <c r="V65" i="4"/>
  <c r="V65" i="5" s="1"/>
  <c r="R65" i="6"/>
  <c r="K65" i="6"/>
  <c r="N65" i="6"/>
  <c r="F65" i="4"/>
  <c r="F65" i="5" s="1"/>
  <c r="P65" i="4"/>
  <c r="P65" i="5" s="1"/>
  <c r="O65" i="4"/>
  <c r="O65" i="5" s="1"/>
  <c r="E65" i="4"/>
  <c r="E65" i="5" s="1"/>
  <c r="D65" i="6"/>
  <c r="L65" i="6"/>
  <c r="P65" i="6"/>
  <c r="D65" i="4"/>
  <c r="D65" i="5" s="1"/>
  <c r="V65" i="6"/>
  <c r="G65" i="6"/>
  <c r="M65" i="6"/>
  <c r="N65" i="4"/>
  <c r="N65" i="5" s="1"/>
  <c r="K65" i="4"/>
  <c r="K65" i="5" s="1"/>
  <c r="O65" i="6"/>
  <c r="Q65" i="4"/>
  <c r="Q65" i="5" s="1"/>
  <c r="L65" i="4"/>
  <c r="L65" i="5" s="1"/>
  <c r="I170" i="4"/>
  <c r="I170" i="5" s="1"/>
  <c r="E170" i="6"/>
  <c r="R170" i="4"/>
  <c r="R170" i="5" s="1"/>
  <c r="V170" i="6"/>
  <c r="H170" i="6"/>
  <c r="T170" i="6"/>
  <c r="F170" i="4"/>
  <c r="F170" i="5" s="1"/>
  <c r="J170" i="6"/>
  <c r="M170" i="6"/>
  <c r="U170" i="6"/>
  <c r="F170" i="6"/>
  <c r="L170" i="4"/>
  <c r="L170" i="5" s="1"/>
  <c r="D170" i="4"/>
  <c r="D170" i="5" s="1"/>
  <c r="G170" i="6"/>
  <c r="M170" i="4"/>
  <c r="M170" i="5" s="1"/>
  <c r="I170" i="6"/>
  <c r="L170" i="6"/>
  <c r="E170" i="4"/>
  <c r="E170" i="5" s="1"/>
  <c r="T170" i="4"/>
  <c r="T170" i="5" s="1"/>
  <c r="R170" i="6"/>
  <c r="P170" i="4"/>
  <c r="P170" i="5" s="1"/>
  <c r="O170" i="6"/>
  <c r="P170" i="6"/>
  <c r="O170" i="4"/>
  <c r="O170" i="5" s="1"/>
  <c r="Q170" i="4"/>
  <c r="Q170" i="5" s="1"/>
  <c r="N170" i="4"/>
  <c r="N170" i="5" s="1"/>
  <c r="V170" i="4"/>
  <c r="V170" i="5" s="1"/>
  <c r="G170" i="4"/>
  <c r="G170" i="5" s="1"/>
  <c r="K170" i="4"/>
  <c r="K170" i="5" s="1"/>
  <c r="J170" i="4"/>
  <c r="J170" i="5" s="1"/>
  <c r="Q170" i="6"/>
  <c r="H170" i="4"/>
  <c r="H170" i="5" s="1"/>
  <c r="N170" i="6"/>
  <c r="U170" i="4"/>
  <c r="U170" i="5" s="1"/>
  <c r="D170" i="6"/>
  <c r="K528" i="4"/>
  <c r="K528" i="5" s="1"/>
  <c r="T528" i="4"/>
  <c r="T528" i="5" s="1"/>
  <c r="P528" i="4"/>
  <c r="P528" i="5" s="1"/>
  <c r="L528" i="4"/>
  <c r="L528" i="5" s="1"/>
  <c r="H528" i="4"/>
  <c r="H528" i="5" s="1"/>
  <c r="D528" i="4"/>
  <c r="D528" i="5" s="1"/>
  <c r="R528" i="6"/>
  <c r="J528" i="6"/>
  <c r="T528" i="6"/>
  <c r="L528" i="6"/>
  <c r="D528" i="6"/>
  <c r="O528" i="6"/>
  <c r="E528" i="6"/>
  <c r="Q528" i="6"/>
  <c r="G528" i="6"/>
  <c r="U528" i="4"/>
  <c r="U528" i="5" s="1"/>
  <c r="E528" i="4"/>
  <c r="E528" i="5" s="1"/>
  <c r="I528" i="4"/>
  <c r="I528" i="5" s="1"/>
  <c r="Q528" i="4"/>
  <c r="Q528" i="5" s="1"/>
  <c r="V528" i="4"/>
  <c r="V528" i="5" s="1"/>
  <c r="N528" i="4"/>
  <c r="N528" i="5" s="1"/>
  <c r="F528" i="4"/>
  <c r="F528" i="5" s="1"/>
  <c r="N528" i="6"/>
  <c r="P528" i="6"/>
  <c r="S528" i="6"/>
  <c r="U528" i="6"/>
  <c r="M528" i="6"/>
  <c r="S528" i="4"/>
  <c r="S528" i="5" s="1"/>
  <c r="O528" i="4"/>
  <c r="O528" i="5" s="1"/>
  <c r="J528" i="4"/>
  <c r="J528" i="5" s="1"/>
  <c r="F528" i="6"/>
  <c r="I528" i="6"/>
  <c r="M528" i="4"/>
  <c r="M528" i="5" s="1"/>
  <c r="V528" i="6"/>
  <c r="K528" i="6"/>
  <c r="R528" i="4"/>
  <c r="R528" i="5" s="1"/>
  <c r="H528" i="6"/>
  <c r="G528" i="4"/>
  <c r="G528" i="5" s="1"/>
  <c r="F211" i="4"/>
  <c r="F211" i="5" s="1"/>
  <c r="R211" i="6"/>
  <c r="P211" i="4"/>
  <c r="P211" i="5" s="1"/>
  <c r="H211" i="4"/>
  <c r="H211" i="5" s="1"/>
  <c r="N211" i="6"/>
  <c r="T211" i="6"/>
  <c r="R211" i="4"/>
  <c r="R211" i="5" s="1"/>
  <c r="I211" i="4"/>
  <c r="I211" i="5" s="1"/>
  <c r="E211" i="4"/>
  <c r="E211" i="5" s="1"/>
  <c r="M211" i="6"/>
  <c r="Q211" i="6"/>
  <c r="I211" i="6"/>
  <c r="Q211" i="4"/>
  <c r="Q211" i="5" s="1"/>
  <c r="O211" i="6"/>
  <c r="U211" i="6"/>
  <c r="S211" i="6"/>
  <c r="N211" i="4"/>
  <c r="N211" i="5" s="1"/>
  <c r="D211" i="6"/>
  <c r="V211" i="4"/>
  <c r="V211" i="5" s="1"/>
  <c r="F211" i="6"/>
  <c r="S211" i="4"/>
  <c r="S211" i="5" s="1"/>
  <c r="U211" i="4"/>
  <c r="U211" i="5" s="1"/>
  <c r="K211" i="6"/>
  <c r="O211" i="4"/>
  <c r="O211" i="5" s="1"/>
  <c r="G211" i="6"/>
  <c r="V211" i="6"/>
  <c r="G211" i="4"/>
  <c r="G211" i="5" s="1"/>
  <c r="E211" i="6"/>
  <c r="D211" i="4"/>
  <c r="D211" i="5" s="1"/>
  <c r="J211" i="6"/>
  <c r="M211" i="4"/>
  <c r="M211" i="5" s="1"/>
  <c r="J211" i="4"/>
  <c r="J211" i="5" s="1"/>
  <c r="K211" i="4"/>
  <c r="K211" i="5" s="1"/>
  <c r="D116" i="4"/>
  <c r="D116" i="5" s="1"/>
  <c r="O116" i="6"/>
  <c r="M116" i="6"/>
  <c r="S116" i="4"/>
  <c r="S116" i="5" s="1"/>
  <c r="U116" i="4"/>
  <c r="U116" i="5" s="1"/>
  <c r="S116" i="6"/>
  <c r="U116" i="6"/>
  <c r="Q116" i="6"/>
  <c r="E116" i="4"/>
  <c r="E116" i="5" s="1"/>
  <c r="G116" i="4"/>
  <c r="G116" i="5" s="1"/>
  <c r="P116" i="6"/>
  <c r="K116" i="4"/>
  <c r="K116" i="5" s="1"/>
  <c r="G116" i="6"/>
  <c r="I116" i="4"/>
  <c r="I116" i="5" s="1"/>
  <c r="K116" i="6"/>
  <c r="O116" i="4"/>
  <c r="O116" i="5" s="1"/>
  <c r="T116" i="4"/>
  <c r="T116" i="5" s="1"/>
  <c r="H116" i="4"/>
  <c r="H116" i="5" s="1"/>
  <c r="R116" i="4"/>
  <c r="R116" i="5" s="1"/>
  <c r="J116" i="4"/>
  <c r="J116" i="5" s="1"/>
  <c r="T116" i="6"/>
  <c r="L116" i="6"/>
  <c r="R116" i="6"/>
  <c r="V116" i="6"/>
  <c r="F116" i="4"/>
  <c r="F116" i="5" s="1"/>
  <c r="D116" i="6"/>
  <c r="M116" i="4"/>
  <c r="M116" i="5" s="1"/>
  <c r="Q116" i="4"/>
  <c r="Q116" i="5" s="1"/>
  <c r="V116" i="4"/>
  <c r="V116" i="5" s="1"/>
  <c r="F116" i="6"/>
  <c r="H116" i="6"/>
  <c r="P116" i="4"/>
  <c r="P116" i="5" s="1"/>
  <c r="E116" i="6"/>
  <c r="N116" i="6"/>
  <c r="N116" i="4"/>
  <c r="N116" i="5" s="1"/>
  <c r="I116" i="6"/>
  <c r="L116" i="4"/>
  <c r="L116" i="5" s="1"/>
  <c r="J116" i="6"/>
  <c r="S109" i="6"/>
  <c r="L109" i="4"/>
  <c r="L109" i="5" s="1"/>
  <c r="Q109" i="4"/>
  <c r="Q109" i="5" s="1"/>
  <c r="E109" i="6"/>
  <c r="T109" i="6"/>
  <c r="V109" i="4"/>
  <c r="V109" i="5" s="1"/>
  <c r="O109" i="4"/>
  <c r="O109" i="5" s="1"/>
  <c r="D109" i="6"/>
  <c r="P109" i="4"/>
  <c r="P109" i="5" s="1"/>
  <c r="K109" i="4"/>
  <c r="K109" i="5" s="1"/>
  <c r="R109" i="6"/>
  <c r="D109" i="4"/>
  <c r="D109" i="5" s="1"/>
  <c r="V109" i="6"/>
  <c r="G109" i="4"/>
  <c r="G109" i="5" s="1"/>
  <c r="R516" i="4"/>
  <c r="R516" i="5" s="1"/>
  <c r="D516" i="6"/>
  <c r="J516" i="6"/>
  <c r="D516" i="4"/>
  <c r="D516" i="5" s="1"/>
  <c r="F516" i="4"/>
  <c r="F516" i="5" s="1"/>
  <c r="N516" i="6"/>
  <c r="H516" i="6"/>
  <c r="L516" i="4"/>
  <c r="L516" i="5" s="1"/>
  <c r="M516" i="6"/>
  <c r="Q516" i="4"/>
  <c r="Q516" i="5" s="1"/>
  <c r="K516" i="4"/>
  <c r="K516" i="5" s="1"/>
  <c r="G516" i="4"/>
  <c r="G516" i="5" s="1"/>
  <c r="G516" i="6"/>
  <c r="Q516" i="6"/>
  <c r="U516" i="6"/>
  <c r="O516" i="4"/>
  <c r="O516" i="5" s="1"/>
  <c r="E516" i="4"/>
  <c r="E516" i="5" s="1"/>
  <c r="J516" i="4"/>
  <c r="J516" i="5" s="1"/>
  <c r="T516" i="6"/>
  <c r="V516" i="6"/>
  <c r="L516" i="6"/>
  <c r="S516" i="4"/>
  <c r="S516" i="5" s="1"/>
  <c r="I516" i="4"/>
  <c r="I516" i="5" s="1"/>
  <c r="S516" i="6"/>
  <c r="K516" i="6"/>
  <c r="I516" i="6"/>
  <c r="R516" i="6"/>
  <c r="F516" i="6"/>
  <c r="O516" i="6"/>
  <c r="U516" i="4"/>
  <c r="U516" i="5" s="1"/>
  <c r="V516" i="4"/>
  <c r="V516" i="5" s="1"/>
  <c r="N516" i="4"/>
  <c r="N516" i="5" s="1"/>
  <c r="H516" i="4"/>
  <c r="H516" i="5" s="1"/>
  <c r="E516" i="6"/>
  <c r="M516" i="4"/>
  <c r="M516" i="5" s="1"/>
  <c r="J16" i="4"/>
  <c r="J16" i="5" s="1"/>
  <c r="Q16" i="6"/>
  <c r="G16" i="4"/>
  <c r="G16" i="5" s="1"/>
  <c r="G16" i="6"/>
  <c r="J16" i="6"/>
  <c r="V16" i="4"/>
  <c r="V16" i="5" s="1"/>
  <c r="R16" i="6"/>
  <c r="L16" i="4"/>
  <c r="L16" i="5" s="1"/>
  <c r="R16" i="4"/>
  <c r="R16" i="5" s="1"/>
  <c r="M16" i="6"/>
  <c r="H16" i="6"/>
  <c r="O16" i="4"/>
  <c r="O16" i="5" s="1"/>
  <c r="V16" i="6"/>
  <c r="T16" i="4"/>
  <c r="T16" i="5" s="1"/>
  <c r="P16" i="4"/>
  <c r="P16" i="5" s="1"/>
  <c r="U16" i="4"/>
  <c r="U16" i="5" s="1"/>
  <c r="N16" i="4"/>
  <c r="N16" i="5" s="1"/>
  <c r="N16" i="6"/>
  <c r="M16" i="4"/>
  <c r="M16" i="5" s="1"/>
  <c r="K16" i="6"/>
  <c r="S16" i="6"/>
  <c r="I16" i="4"/>
  <c r="I16" i="5" s="1"/>
  <c r="K16" i="4"/>
  <c r="K16" i="5" s="1"/>
  <c r="H16" i="4"/>
  <c r="H16" i="5" s="1"/>
  <c r="Q16" i="4"/>
  <c r="Q16" i="5" s="1"/>
  <c r="U16" i="6"/>
  <c r="T16" i="6"/>
  <c r="D16" i="4"/>
  <c r="D16" i="5" s="1"/>
  <c r="S16" i="4"/>
  <c r="S16" i="5" s="1"/>
  <c r="F16" i="6"/>
  <c r="I16" i="6"/>
  <c r="D16" i="6"/>
  <c r="F16" i="4"/>
  <c r="F16" i="5" s="1"/>
  <c r="P16" i="6"/>
  <c r="L16" i="6"/>
  <c r="O16" i="6"/>
  <c r="L326" i="6"/>
  <c r="T326" i="4"/>
  <c r="T326" i="5" s="1"/>
  <c r="F326" i="4"/>
  <c r="F326" i="5" s="1"/>
  <c r="V326" i="4"/>
  <c r="V326" i="5" s="1"/>
  <c r="V326" i="6"/>
  <c r="J326" i="4"/>
  <c r="J326" i="5" s="1"/>
  <c r="K326" i="4"/>
  <c r="K326" i="5" s="1"/>
  <c r="E326" i="6"/>
  <c r="G326" i="4"/>
  <c r="G326" i="5" s="1"/>
  <c r="K326" i="6"/>
  <c r="Q326" i="4"/>
  <c r="Q326" i="5" s="1"/>
  <c r="S326" i="6"/>
  <c r="I326" i="6"/>
  <c r="S326" i="4"/>
  <c r="S326" i="5" s="1"/>
  <c r="U326" i="4"/>
  <c r="U326" i="5" s="1"/>
  <c r="H326" i="4"/>
  <c r="H326" i="5" s="1"/>
  <c r="J326" i="6"/>
  <c r="D326" i="4"/>
  <c r="D326" i="5" s="1"/>
  <c r="D326" i="6"/>
  <c r="L326" i="4"/>
  <c r="L326" i="5" s="1"/>
  <c r="N326" i="4"/>
  <c r="N326" i="5" s="1"/>
  <c r="G326" i="6"/>
  <c r="N326" i="6"/>
  <c r="I326" i="4"/>
  <c r="I326" i="5" s="1"/>
  <c r="M326" i="4"/>
  <c r="M326" i="5" s="1"/>
  <c r="M326" i="6"/>
  <c r="P326" i="4"/>
  <c r="P326" i="5" s="1"/>
  <c r="E326" i="4"/>
  <c r="E326" i="5" s="1"/>
  <c r="R326" i="6"/>
  <c r="H326" i="6"/>
  <c r="R326" i="4"/>
  <c r="R326" i="5" s="1"/>
  <c r="U326" i="6"/>
  <c r="O326" i="4"/>
  <c r="O326" i="5" s="1"/>
  <c r="T326" i="6"/>
  <c r="F326" i="6"/>
  <c r="O326" i="6"/>
  <c r="Q326" i="6"/>
  <c r="P326" i="6"/>
  <c r="H97" i="4"/>
  <c r="H97" i="5" s="1"/>
  <c r="L97" i="6"/>
  <c r="L97" i="4"/>
  <c r="L97" i="5" s="1"/>
  <c r="P97" i="4"/>
  <c r="P97" i="5" s="1"/>
  <c r="V97" i="4"/>
  <c r="V97" i="5" s="1"/>
  <c r="D97" i="6"/>
  <c r="R97" i="6"/>
  <c r="D97" i="4"/>
  <c r="D97" i="5" s="1"/>
  <c r="T97" i="4"/>
  <c r="T97" i="5" s="1"/>
  <c r="G97" i="6"/>
  <c r="S97" i="6"/>
  <c r="F97" i="6"/>
  <c r="M97" i="6"/>
  <c r="G97" i="4"/>
  <c r="G97" i="5" s="1"/>
  <c r="O97" i="4"/>
  <c r="O97" i="5" s="1"/>
  <c r="S97" i="4"/>
  <c r="S97" i="5" s="1"/>
  <c r="E97" i="6"/>
  <c r="O97" i="6"/>
  <c r="I97" i="4"/>
  <c r="I97" i="5" s="1"/>
  <c r="N97" i="4"/>
  <c r="N97" i="5" s="1"/>
  <c r="T97" i="6"/>
  <c r="J97" i="4"/>
  <c r="J97" i="5" s="1"/>
  <c r="P97" i="6"/>
  <c r="N97" i="6"/>
  <c r="H97" i="6"/>
  <c r="U97" i="4"/>
  <c r="U97" i="5" s="1"/>
  <c r="Q97" i="6"/>
  <c r="M97" i="4"/>
  <c r="M97" i="5" s="1"/>
  <c r="E97" i="4"/>
  <c r="E97" i="5" s="1"/>
  <c r="J97" i="6"/>
  <c r="V97" i="6"/>
  <c r="I97" i="6"/>
  <c r="U97" i="6"/>
  <c r="R97" i="4"/>
  <c r="R97" i="5" s="1"/>
  <c r="F97" i="4"/>
  <c r="F97" i="5" s="1"/>
  <c r="K97" i="4"/>
  <c r="K97" i="5" s="1"/>
  <c r="K97" i="6"/>
  <c r="Q97" i="4"/>
  <c r="Q97" i="5" s="1"/>
  <c r="T427" i="6"/>
  <c r="H427" i="6"/>
  <c r="H427" i="4"/>
  <c r="H427" i="5" s="1"/>
  <c r="L427" i="6"/>
  <c r="D427" i="6"/>
  <c r="O427" i="6"/>
  <c r="U427" i="4"/>
  <c r="U427" i="5" s="1"/>
  <c r="I427" i="6"/>
  <c r="S427" i="4"/>
  <c r="S427" i="5" s="1"/>
  <c r="O427" i="4"/>
  <c r="O427" i="5" s="1"/>
  <c r="S427" i="6"/>
  <c r="K427" i="6"/>
  <c r="U427" i="6"/>
  <c r="Q427" i="4"/>
  <c r="Q427" i="5" s="1"/>
  <c r="L427" i="4"/>
  <c r="L427" i="5" s="1"/>
  <c r="D427" i="4"/>
  <c r="D427" i="5" s="1"/>
  <c r="T427" i="4"/>
  <c r="T427" i="5" s="1"/>
  <c r="Q427" i="6"/>
  <c r="K427" i="4"/>
  <c r="K427" i="5" s="1"/>
  <c r="I427" i="4"/>
  <c r="I427" i="5" s="1"/>
  <c r="M427" i="6"/>
  <c r="P427" i="4"/>
  <c r="P427" i="5" s="1"/>
  <c r="G427" i="6"/>
  <c r="E427" i="4"/>
  <c r="E427" i="5" s="1"/>
  <c r="G427" i="4"/>
  <c r="G427" i="5" s="1"/>
  <c r="P427" i="6"/>
  <c r="E427" i="6"/>
  <c r="M427" i="4"/>
  <c r="M427" i="5" s="1"/>
  <c r="H350" i="4"/>
  <c r="H350" i="5" s="1"/>
  <c r="F350" i="6"/>
  <c r="N350" i="4"/>
  <c r="N350" i="5" s="1"/>
  <c r="R350" i="4"/>
  <c r="R350" i="5" s="1"/>
  <c r="R350" i="6"/>
  <c r="T350" i="4"/>
  <c r="T350" i="5" s="1"/>
  <c r="F350" i="4"/>
  <c r="F350" i="5" s="1"/>
  <c r="V350" i="6"/>
  <c r="D350" i="6"/>
  <c r="L350" i="6"/>
  <c r="I350" i="6"/>
  <c r="G350" i="4"/>
  <c r="G350" i="5" s="1"/>
  <c r="S350" i="6"/>
  <c r="K350" i="6"/>
  <c r="E350" i="6"/>
  <c r="O350" i="4"/>
  <c r="O350" i="5" s="1"/>
  <c r="Q350" i="6"/>
  <c r="M350" i="6"/>
  <c r="S350" i="4"/>
  <c r="S350" i="5" s="1"/>
  <c r="J350" i="4"/>
  <c r="J350" i="5" s="1"/>
  <c r="D350" i="4"/>
  <c r="D350" i="5" s="1"/>
  <c r="J350" i="6"/>
  <c r="P350" i="6"/>
  <c r="T350" i="6"/>
  <c r="U350" i="6"/>
  <c r="E350" i="4"/>
  <c r="E350" i="5" s="1"/>
  <c r="K350" i="4"/>
  <c r="K350" i="5" s="1"/>
  <c r="G350" i="6"/>
  <c r="U350" i="4"/>
  <c r="U350" i="5" s="1"/>
  <c r="L350" i="4"/>
  <c r="L350" i="5" s="1"/>
  <c r="P350" i="4"/>
  <c r="P350" i="5" s="1"/>
  <c r="V350" i="4"/>
  <c r="V350" i="5" s="1"/>
  <c r="H350" i="6"/>
  <c r="N350" i="6"/>
  <c r="M350" i="4"/>
  <c r="M350" i="5" s="1"/>
  <c r="Q350" i="4"/>
  <c r="Q350" i="5" s="1"/>
  <c r="O350" i="6"/>
  <c r="I350" i="4"/>
  <c r="I350" i="5" s="1"/>
  <c r="P175" i="6"/>
  <c r="J175" i="6"/>
  <c r="N175" i="6"/>
  <c r="F175" i="6"/>
  <c r="F175" i="4"/>
  <c r="F175" i="5" s="1"/>
  <c r="N175" i="4"/>
  <c r="N175" i="5" s="1"/>
  <c r="T175" i="4"/>
  <c r="T175" i="5" s="1"/>
  <c r="D175" i="4"/>
  <c r="D175" i="5" s="1"/>
  <c r="L175" i="4"/>
  <c r="L175" i="5" s="1"/>
  <c r="V175" i="6"/>
  <c r="K175" i="6"/>
  <c r="S175" i="6"/>
  <c r="I175" i="6"/>
  <c r="Q175" i="6"/>
  <c r="U175" i="4"/>
  <c r="U175" i="5" s="1"/>
  <c r="Q175" i="4"/>
  <c r="Q175" i="5" s="1"/>
  <c r="S175" i="4"/>
  <c r="S175" i="5" s="1"/>
  <c r="E175" i="4"/>
  <c r="E175" i="5" s="1"/>
  <c r="M175" i="6"/>
  <c r="R175" i="6"/>
  <c r="T175" i="6"/>
  <c r="J175" i="4"/>
  <c r="J175" i="5" s="1"/>
  <c r="V175" i="4"/>
  <c r="V175" i="5" s="1"/>
  <c r="P175" i="4"/>
  <c r="P175" i="5" s="1"/>
  <c r="O175" i="6"/>
  <c r="M175" i="4"/>
  <c r="M175" i="5" s="1"/>
  <c r="G175" i="4"/>
  <c r="G175" i="5" s="1"/>
  <c r="K175" i="4"/>
  <c r="K175" i="5" s="1"/>
  <c r="H175" i="6"/>
  <c r="R175" i="4"/>
  <c r="R175" i="5" s="1"/>
  <c r="G175" i="6"/>
  <c r="U175" i="6"/>
  <c r="O175" i="4"/>
  <c r="O175" i="5" s="1"/>
  <c r="D175" i="6"/>
  <c r="L175" i="6"/>
  <c r="H175" i="4"/>
  <c r="H175" i="5" s="1"/>
  <c r="E175" i="6"/>
  <c r="I175" i="4"/>
  <c r="I175" i="5" s="1"/>
  <c r="D59" i="6"/>
  <c r="H59" i="6"/>
  <c r="P59" i="6"/>
  <c r="J59" i="4"/>
  <c r="J59" i="5" s="1"/>
  <c r="H59" i="4"/>
  <c r="H59" i="5" s="1"/>
  <c r="R59" i="4"/>
  <c r="R59" i="5" s="1"/>
  <c r="Q59" i="6"/>
  <c r="N59" i="4"/>
  <c r="N59" i="5" s="1"/>
  <c r="M59" i="4"/>
  <c r="M59" i="5" s="1"/>
  <c r="U59" i="4"/>
  <c r="U59" i="5" s="1"/>
  <c r="Q59" i="4"/>
  <c r="Q59" i="5" s="1"/>
  <c r="K59" i="4"/>
  <c r="K59" i="5" s="1"/>
  <c r="G59" i="6"/>
  <c r="D59" i="4"/>
  <c r="D59" i="5" s="1"/>
  <c r="I59" i="4"/>
  <c r="I59" i="5" s="1"/>
  <c r="T59" i="6"/>
  <c r="J59" i="6"/>
  <c r="L59" i="6"/>
  <c r="N59" i="6"/>
  <c r="O59" i="4"/>
  <c r="O59" i="5" s="1"/>
  <c r="I59" i="6"/>
  <c r="O59" i="6"/>
  <c r="S59" i="6"/>
  <c r="K59" i="6"/>
  <c r="T59" i="4"/>
  <c r="T59" i="5" s="1"/>
  <c r="R59" i="6"/>
  <c r="L59" i="4"/>
  <c r="L59" i="5" s="1"/>
  <c r="E59" i="4"/>
  <c r="E59" i="5" s="1"/>
  <c r="G59" i="4"/>
  <c r="G59" i="5" s="1"/>
  <c r="P59" i="4"/>
  <c r="P59" i="5" s="1"/>
  <c r="S59" i="4"/>
  <c r="S59" i="5" s="1"/>
  <c r="U59" i="6"/>
  <c r="E59" i="6"/>
  <c r="M42" i="4"/>
  <c r="M42" i="5" s="1"/>
  <c r="S42" i="4"/>
  <c r="S42" i="5" s="1"/>
  <c r="F42" i="6"/>
  <c r="R42" i="6"/>
  <c r="H42" i="6"/>
  <c r="T42" i="4"/>
  <c r="T42" i="5" s="1"/>
  <c r="D42" i="4"/>
  <c r="D42" i="5" s="1"/>
  <c r="E42" i="6"/>
  <c r="P42" i="6"/>
  <c r="L42" i="6"/>
  <c r="V42" i="4"/>
  <c r="V42" i="5" s="1"/>
  <c r="P42" i="4"/>
  <c r="P42" i="5" s="1"/>
  <c r="O42" i="6"/>
  <c r="U42" i="6"/>
  <c r="K42" i="6"/>
  <c r="Q42" i="6"/>
  <c r="E42" i="4"/>
  <c r="E42" i="5" s="1"/>
  <c r="G42" i="4"/>
  <c r="G42" i="5" s="1"/>
  <c r="R42" i="4"/>
  <c r="R42" i="5" s="1"/>
  <c r="N42" i="6"/>
  <c r="D42" i="6"/>
  <c r="T42" i="6"/>
  <c r="F42" i="4"/>
  <c r="F42" i="5" s="1"/>
  <c r="H42" i="4"/>
  <c r="H42" i="5" s="1"/>
  <c r="G42" i="6"/>
  <c r="O42" i="4"/>
  <c r="O42" i="5" s="1"/>
  <c r="Q42" i="4"/>
  <c r="Q42" i="5" s="1"/>
  <c r="K42" i="4"/>
  <c r="K42" i="5" s="1"/>
  <c r="J42" i="6"/>
  <c r="V42" i="6"/>
  <c r="N42" i="4"/>
  <c r="N42" i="5" s="1"/>
  <c r="L42" i="4"/>
  <c r="L42" i="5" s="1"/>
  <c r="J42" i="4"/>
  <c r="J42" i="5" s="1"/>
  <c r="M42" i="6"/>
  <c r="S42" i="6"/>
  <c r="U42" i="4"/>
  <c r="U42" i="5" s="1"/>
  <c r="P520" i="6"/>
  <c r="H520" i="6"/>
  <c r="V520" i="4"/>
  <c r="V520" i="5" s="1"/>
  <c r="N520" i="4"/>
  <c r="N520" i="5" s="1"/>
  <c r="F520" i="4"/>
  <c r="F520" i="5" s="1"/>
  <c r="R520" i="6"/>
  <c r="J520" i="6"/>
  <c r="O520" i="6"/>
  <c r="P520" i="4"/>
  <c r="P520" i="5" s="1"/>
  <c r="H520" i="4"/>
  <c r="H520" i="5" s="1"/>
  <c r="O520" i="4"/>
  <c r="O520" i="5" s="1"/>
  <c r="U520" i="4"/>
  <c r="U520" i="5" s="1"/>
  <c r="G520" i="6"/>
  <c r="Q520" i="6"/>
  <c r="E520" i="4"/>
  <c r="E520" i="5" s="1"/>
  <c r="Q520" i="4"/>
  <c r="Q520" i="5" s="1"/>
  <c r="E520" i="6"/>
  <c r="G520" i="4"/>
  <c r="G520" i="5" s="1"/>
  <c r="I520" i="4"/>
  <c r="I520" i="5" s="1"/>
  <c r="L520" i="6"/>
  <c r="R520" i="4"/>
  <c r="R520" i="5" s="1"/>
  <c r="V520" i="6"/>
  <c r="F520" i="6"/>
  <c r="L520" i="4"/>
  <c r="L520" i="5" s="1"/>
  <c r="I520" i="6"/>
  <c r="S520" i="6"/>
  <c r="S520" i="4"/>
  <c r="S520" i="5" s="1"/>
  <c r="M520" i="6"/>
  <c r="D520" i="6"/>
  <c r="N520" i="6"/>
  <c r="D520" i="4"/>
  <c r="D520" i="5" s="1"/>
  <c r="K520" i="4"/>
  <c r="K520" i="5" s="1"/>
  <c r="M520" i="4"/>
  <c r="M520" i="5" s="1"/>
  <c r="T520" i="6"/>
  <c r="J520" i="4"/>
  <c r="J520" i="5" s="1"/>
  <c r="T520" i="4"/>
  <c r="T520" i="5" s="1"/>
  <c r="K520" i="6"/>
  <c r="U520" i="6"/>
  <c r="L18" i="6"/>
  <c r="V18" i="4"/>
  <c r="V18" i="5" s="1"/>
  <c r="S18" i="4"/>
  <c r="S18" i="5" s="1"/>
  <c r="D18" i="4"/>
  <c r="D18" i="5" s="1"/>
  <c r="Q18" i="6"/>
  <c r="O18" i="4"/>
  <c r="O18" i="5" s="1"/>
  <c r="N18" i="6"/>
  <c r="U18" i="4"/>
  <c r="U18" i="5" s="1"/>
  <c r="I18" i="6"/>
  <c r="D18" i="6"/>
  <c r="E18" i="6"/>
  <c r="L18" i="4"/>
  <c r="L18" i="5" s="1"/>
  <c r="E18" i="4"/>
  <c r="E18" i="5" s="1"/>
  <c r="U18" i="6"/>
  <c r="I18" i="4"/>
  <c r="I18" i="5" s="1"/>
  <c r="G18" i="6"/>
  <c r="R18" i="6"/>
  <c r="R18" i="4"/>
  <c r="R18" i="5" s="1"/>
  <c r="G18" i="4"/>
  <c r="G18" i="5" s="1"/>
  <c r="O18" i="6"/>
  <c r="N18" i="4"/>
  <c r="N18" i="5" s="1"/>
  <c r="M18" i="4"/>
  <c r="M18" i="5" s="1"/>
  <c r="Q18" i="4"/>
  <c r="Q18" i="5" s="1"/>
  <c r="J18" i="6"/>
  <c r="S18" i="6"/>
  <c r="J18" i="4"/>
  <c r="J18" i="5" s="1"/>
  <c r="H18" i="6"/>
  <c r="K18" i="4"/>
  <c r="K18" i="5" s="1"/>
  <c r="M18" i="6"/>
  <c r="V18" i="6"/>
  <c r="K18" i="6"/>
  <c r="G378" i="6"/>
  <c r="Q378" i="4"/>
  <c r="Q378" i="5" s="1"/>
  <c r="E378" i="6"/>
  <c r="D378" i="6"/>
  <c r="U378" i="6"/>
  <c r="E378" i="4"/>
  <c r="E378" i="5" s="1"/>
  <c r="I378" i="6"/>
  <c r="K378" i="6"/>
  <c r="K378" i="4"/>
  <c r="K378" i="5" s="1"/>
  <c r="S378" i="4"/>
  <c r="S378" i="5" s="1"/>
  <c r="P378" i="4"/>
  <c r="P378" i="5" s="1"/>
  <c r="L378" i="6"/>
  <c r="H378" i="6"/>
  <c r="L378" i="4"/>
  <c r="L378" i="5" s="1"/>
  <c r="R378" i="4"/>
  <c r="R378" i="5" s="1"/>
  <c r="T378" i="4"/>
  <c r="T378" i="5" s="1"/>
  <c r="N378" i="4"/>
  <c r="N378" i="5" s="1"/>
  <c r="V378" i="6"/>
  <c r="F378" i="4"/>
  <c r="F378" i="5" s="1"/>
  <c r="O378" i="6"/>
  <c r="M378" i="6"/>
  <c r="U378" i="4"/>
  <c r="U378" i="5" s="1"/>
  <c r="Q378" i="6"/>
  <c r="O378" i="4"/>
  <c r="O378" i="5" s="1"/>
  <c r="J378" i="6"/>
  <c r="T378" i="6"/>
  <c r="R378" i="6"/>
  <c r="N378" i="6"/>
  <c r="I378" i="4"/>
  <c r="I378" i="5" s="1"/>
  <c r="M378" i="4"/>
  <c r="M378" i="5" s="1"/>
  <c r="S378" i="6"/>
  <c r="D378" i="4"/>
  <c r="D378" i="5" s="1"/>
  <c r="G378" i="4"/>
  <c r="G378" i="5" s="1"/>
  <c r="F378" i="6"/>
  <c r="J378" i="4"/>
  <c r="J378" i="5" s="1"/>
  <c r="H378" i="4"/>
  <c r="H378" i="5" s="1"/>
  <c r="P378" i="6"/>
  <c r="V378" i="4"/>
  <c r="V378" i="5" s="1"/>
  <c r="V479" i="6"/>
  <c r="F479" i="6"/>
  <c r="H479" i="6"/>
  <c r="L479" i="4"/>
  <c r="L479" i="5" s="1"/>
  <c r="R479" i="6"/>
  <c r="D479" i="4"/>
  <c r="D479" i="5" s="1"/>
  <c r="R479" i="4"/>
  <c r="R479" i="5" s="1"/>
  <c r="J479" i="4"/>
  <c r="J479" i="5" s="1"/>
  <c r="T479" i="6"/>
  <c r="D479" i="6"/>
  <c r="H479" i="4"/>
  <c r="H479" i="5" s="1"/>
  <c r="K479" i="6"/>
  <c r="Q479" i="6"/>
  <c r="E479" i="6"/>
  <c r="M479" i="6"/>
  <c r="M479" i="4"/>
  <c r="M479" i="5" s="1"/>
  <c r="Q479" i="4"/>
  <c r="Q479" i="5" s="1"/>
  <c r="G479" i="6"/>
  <c r="S479" i="4"/>
  <c r="S479" i="5" s="1"/>
  <c r="N479" i="6"/>
  <c r="T479" i="4"/>
  <c r="T479" i="5" s="1"/>
  <c r="J479" i="6"/>
  <c r="N479" i="4"/>
  <c r="N479" i="5" s="1"/>
  <c r="L479" i="6"/>
  <c r="G479" i="4"/>
  <c r="G479" i="5" s="1"/>
  <c r="U479" i="6"/>
  <c r="S479" i="6"/>
  <c r="O479" i="6"/>
  <c r="K479" i="4"/>
  <c r="K479" i="5" s="1"/>
  <c r="V479" i="4"/>
  <c r="V479" i="5" s="1"/>
  <c r="U479" i="4"/>
  <c r="U479" i="5" s="1"/>
  <c r="E479" i="4"/>
  <c r="E479" i="5" s="1"/>
  <c r="F479" i="4"/>
  <c r="F479" i="5" s="1"/>
  <c r="O479" i="4"/>
  <c r="O479" i="5" s="1"/>
  <c r="I479" i="4"/>
  <c r="I479" i="5" s="1"/>
  <c r="P479" i="6"/>
  <c r="P479" i="4"/>
  <c r="P479" i="5" s="1"/>
  <c r="I479" i="6"/>
  <c r="P438" i="4"/>
  <c r="P438" i="5" s="1"/>
  <c r="R438" i="4"/>
  <c r="R438" i="5" s="1"/>
  <c r="G438" i="4"/>
  <c r="G438" i="5" s="1"/>
  <c r="K438" i="6"/>
  <c r="E438" i="4"/>
  <c r="E438" i="5" s="1"/>
  <c r="M438" i="4"/>
  <c r="M438" i="5" s="1"/>
  <c r="L438" i="4"/>
  <c r="L438" i="5" s="1"/>
  <c r="Q438" i="6"/>
  <c r="T438" i="6"/>
  <c r="I438" i="6"/>
  <c r="O438" i="4"/>
  <c r="O438" i="5" s="1"/>
  <c r="Q438" i="4"/>
  <c r="Q438" i="5" s="1"/>
  <c r="F438" i="4"/>
  <c r="F438" i="5" s="1"/>
  <c r="N438" i="4"/>
  <c r="N438" i="5" s="1"/>
  <c r="V438" i="6"/>
  <c r="E438" i="6"/>
  <c r="J438" i="4"/>
  <c r="J438" i="5" s="1"/>
  <c r="R438" i="6"/>
  <c r="T438" i="4"/>
  <c r="T438" i="5" s="1"/>
  <c r="O438" i="6"/>
  <c r="M438" i="6"/>
  <c r="D438" i="6"/>
  <c r="L438" i="6"/>
  <c r="K438" i="4"/>
  <c r="K438" i="5" s="1"/>
  <c r="I438" i="4"/>
  <c r="I438" i="5" s="1"/>
  <c r="J438" i="6"/>
  <c r="H438" i="4"/>
  <c r="H438" i="5" s="1"/>
  <c r="N438" i="6"/>
  <c r="G438" i="6"/>
  <c r="P438" i="6"/>
  <c r="S438" i="4"/>
  <c r="S438" i="5" s="1"/>
  <c r="U438" i="4"/>
  <c r="U438" i="5" s="1"/>
  <c r="H438" i="6"/>
  <c r="S438" i="6"/>
  <c r="U438" i="6"/>
  <c r="V438" i="4"/>
  <c r="V438" i="5" s="1"/>
  <c r="F438" i="6"/>
  <c r="D438" i="4"/>
  <c r="D438" i="5" s="1"/>
  <c r="S470" i="4"/>
  <c r="S470" i="5" s="1"/>
  <c r="O470" i="6"/>
  <c r="E470" i="6"/>
  <c r="D470" i="4"/>
  <c r="D470" i="5" s="1"/>
  <c r="G470" i="6"/>
  <c r="K470" i="6"/>
  <c r="N470" i="4"/>
  <c r="N470" i="5" s="1"/>
  <c r="R470" i="4"/>
  <c r="R470" i="5" s="1"/>
  <c r="U470" i="4"/>
  <c r="U470" i="5" s="1"/>
  <c r="K470" i="4"/>
  <c r="K470" i="5" s="1"/>
  <c r="F470" i="4"/>
  <c r="F470" i="5" s="1"/>
  <c r="J470" i="4"/>
  <c r="J470" i="5" s="1"/>
  <c r="E470" i="4"/>
  <c r="E470" i="5" s="1"/>
  <c r="Q470" i="4"/>
  <c r="Q470" i="5" s="1"/>
  <c r="J470" i="6"/>
  <c r="H470" i="4"/>
  <c r="H470" i="5" s="1"/>
  <c r="V470" i="4"/>
  <c r="V470" i="5" s="1"/>
  <c r="L470" i="4"/>
  <c r="L470" i="5" s="1"/>
  <c r="P470" i="6"/>
  <c r="M470" i="6"/>
  <c r="I470" i="6"/>
  <c r="S470" i="6"/>
  <c r="I470" i="4"/>
  <c r="I470" i="5" s="1"/>
  <c r="R470" i="6"/>
  <c r="T470" i="6"/>
  <c r="N470" i="6"/>
  <c r="L470" i="6"/>
  <c r="V470" i="6"/>
  <c r="Q470" i="6"/>
  <c r="U470" i="6"/>
  <c r="D470" i="6"/>
  <c r="P470" i="4"/>
  <c r="P470" i="5" s="1"/>
  <c r="G470" i="4"/>
  <c r="G470" i="5" s="1"/>
  <c r="F470" i="6"/>
  <c r="M470" i="4"/>
  <c r="M470" i="5" s="1"/>
  <c r="T470" i="4"/>
  <c r="T470" i="5" s="1"/>
  <c r="H470" i="6"/>
  <c r="O470" i="4"/>
  <c r="O470" i="5" s="1"/>
  <c r="I460" i="6"/>
  <c r="M460" i="6"/>
  <c r="Q460" i="6"/>
  <c r="H460" i="4"/>
  <c r="H460" i="5" s="1"/>
  <c r="V460" i="4"/>
  <c r="V460" i="5" s="1"/>
  <c r="U460" i="6"/>
  <c r="O460" i="6"/>
  <c r="F460" i="6"/>
  <c r="N460" i="6"/>
  <c r="V460" i="6"/>
  <c r="L460" i="6"/>
  <c r="T460" i="6"/>
  <c r="P460" i="4"/>
  <c r="P460" i="5" s="1"/>
  <c r="L460" i="4"/>
  <c r="L460" i="5" s="1"/>
  <c r="I460" i="4"/>
  <c r="I460" i="5" s="1"/>
  <c r="O460" i="4"/>
  <c r="O460" i="5" s="1"/>
  <c r="G460" i="4"/>
  <c r="G460" i="5" s="1"/>
  <c r="R460" i="4"/>
  <c r="R460" i="5" s="1"/>
  <c r="E460" i="4"/>
  <c r="E460" i="5" s="1"/>
  <c r="K460" i="6"/>
  <c r="F460" i="4"/>
  <c r="F460" i="5" s="1"/>
  <c r="S460" i="6"/>
  <c r="J460" i="6"/>
  <c r="H460" i="6"/>
  <c r="N460" i="4"/>
  <c r="N460" i="5" s="1"/>
  <c r="Q460" i="4"/>
  <c r="Q460" i="5" s="1"/>
  <c r="K460" i="4"/>
  <c r="K460" i="5" s="1"/>
  <c r="T460" i="4"/>
  <c r="T460" i="5" s="1"/>
  <c r="D460" i="6"/>
  <c r="E460" i="6"/>
  <c r="J460" i="4"/>
  <c r="J460" i="5" s="1"/>
  <c r="G460" i="6"/>
  <c r="D460" i="4"/>
  <c r="D460" i="5" s="1"/>
  <c r="P460" i="6"/>
  <c r="S460" i="4"/>
  <c r="S460" i="5" s="1"/>
  <c r="U460" i="4"/>
  <c r="U460" i="5" s="1"/>
  <c r="R460" i="6"/>
  <c r="M460" i="4"/>
  <c r="M460" i="5" s="1"/>
  <c r="G410" i="6"/>
  <c r="G410" i="4"/>
  <c r="G410" i="5" s="1"/>
  <c r="K410" i="6"/>
  <c r="K410" i="4"/>
  <c r="K410" i="5" s="1"/>
  <c r="F410" i="4"/>
  <c r="F410" i="5" s="1"/>
  <c r="N410" i="4"/>
  <c r="N410" i="5" s="1"/>
  <c r="N410" i="6"/>
  <c r="D410" i="4"/>
  <c r="D410" i="5" s="1"/>
  <c r="R410" i="4"/>
  <c r="R410" i="5" s="1"/>
  <c r="E410" i="4"/>
  <c r="E410" i="5" s="1"/>
  <c r="E410" i="6"/>
  <c r="D410" i="6"/>
  <c r="T410" i="6"/>
  <c r="V410" i="6"/>
  <c r="H410" i="4"/>
  <c r="H410" i="5" s="1"/>
  <c r="J410" i="4"/>
  <c r="J410" i="5" s="1"/>
  <c r="P410" i="4"/>
  <c r="P410" i="5" s="1"/>
  <c r="U410" i="6"/>
  <c r="Q410" i="4"/>
  <c r="Q410" i="5" s="1"/>
  <c r="O410" i="6"/>
  <c r="S410" i="6"/>
  <c r="V410" i="4"/>
  <c r="V410" i="5" s="1"/>
  <c r="P410" i="6"/>
  <c r="I410" i="6"/>
  <c r="Q410" i="6"/>
  <c r="R410" i="6"/>
  <c r="L410" i="6"/>
  <c r="F410" i="6"/>
  <c r="I410" i="4"/>
  <c r="I410" i="5" s="1"/>
  <c r="O410" i="4"/>
  <c r="O410" i="5" s="1"/>
  <c r="T410" i="4"/>
  <c r="T410" i="5" s="1"/>
  <c r="U410" i="4"/>
  <c r="U410" i="5" s="1"/>
  <c r="S410" i="4"/>
  <c r="S410" i="5" s="1"/>
  <c r="M410" i="6"/>
  <c r="M410" i="4"/>
  <c r="M410" i="5" s="1"/>
  <c r="H410" i="6"/>
  <c r="L410" i="4"/>
  <c r="L410" i="5" s="1"/>
  <c r="J410" i="6"/>
  <c r="I391" i="6"/>
  <c r="U391" i="4"/>
  <c r="U391" i="5" s="1"/>
  <c r="K391" i="6"/>
  <c r="I391" i="4"/>
  <c r="I391" i="5" s="1"/>
  <c r="U391" i="6"/>
  <c r="D391" i="4"/>
  <c r="D391" i="5" s="1"/>
  <c r="K391" i="4"/>
  <c r="K391" i="5" s="1"/>
  <c r="S391" i="4"/>
  <c r="S391" i="5" s="1"/>
  <c r="O391" i="6"/>
  <c r="Q391" i="4"/>
  <c r="Q391" i="5" s="1"/>
  <c r="J391" i="4"/>
  <c r="J391" i="5" s="1"/>
  <c r="R391" i="4"/>
  <c r="R391" i="5" s="1"/>
  <c r="F391" i="4"/>
  <c r="F391" i="5" s="1"/>
  <c r="H391" i="6"/>
  <c r="N391" i="4"/>
  <c r="N391" i="5" s="1"/>
  <c r="J391" i="6"/>
  <c r="L391" i="6"/>
  <c r="R391" i="6"/>
  <c r="P391" i="6"/>
  <c r="E391" i="4"/>
  <c r="E391" i="5" s="1"/>
  <c r="E391" i="6"/>
  <c r="G391" i="4"/>
  <c r="G391" i="5" s="1"/>
  <c r="G391" i="6"/>
  <c r="M391" i="6"/>
  <c r="T391" i="4"/>
  <c r="T391" i="5" s="1"/>
  <c r="L391" i="4"/>
  <c r="L391" i="5" s="1"/>
  <c r="F391" i="6"/>
  <c r="V391" i="6"/>
  <c r="M391" i="4"/>
  <c r="M391" i="5" s="1"/>
  <c r="S391" i="6"/>
  <c r="Q391" i="6"/>
  <c r="O391" i="4"/>
  <c r="O391" i="5" s="1"/>
  <c r="D391" i="6"/>
  <c r="P391" i="4"/>
  <c r="P391" i="5" s="1"/>
  <c r="H391" i="4"/>
  <c r="H391" i="5" s="1"/>
  <c r="N391" i="6"/>
  <c r="V391" i="4"/>
  <c r="V391" i="5" s="1"/>
  <c r="T391" i="6"/>
  <c r="G297" i="4"/>
  <c r="G297" i="5" s="1"/>
  <c r="D297" i="6"/>
  <c r="O297" i="4"/>
  <c r="O297" i="5" s="1"/>
  <c r="K297" i="6"/>
  <c r="G297" i="6"/>
  <c r="M297" i="4"/>
  <c r="M297" i="5" s="1"/>
  <c r="I297" i="6"/>
  <c r="D297" i="4"/>
  <c r="D297" i="5" s="1"/>
  <c r="Q297" i="4"/>
  <c r="Q297" i="5" s="1"/>
  <c r="M297" i="6"/>
  <c r="N297" i="4"/>
  <c r="N297" i="5" s="1"/>
  <c r="L297" i="4"/>
  <c r="L297" i="5" s="1"/>
  <c r="P297" i="4"/>
  <c r="P297" i="5" s="1"/>
  <c r="T297" i="6"/>
  <c r="H297" i="4"/>
  <c r="H297" i="5" s="1"/>
  <c r="H297" i="6"/>
  <c r="V297" i="4"/>
  <c r="V297" i="5" s="1"/>
  <c r="L297" i="6"/>
  <c r="F297" i="6"/>
  <c r="O297" i="6"/>
  <c r="K297" i="4"/>
  <c r="K297" i="5" s="1"/>
  <c r="U297" i="4"/>
  <c r="U297" i="5" s="1"/>
  <c r="I297" i="4"/>
  <c r="I297" i="5" s="1"/>
  <c r="U297" i="6"/>
  <c r="R297" i="4"/>
  <c r="R297" i="5" s="1"/>
  <c r="R297" i="6"/>
  <c r="J297" i="4"/>
  <c r="J297" i="5" s="1"/>
  <c r="F297" i="4"/>
  <c r="F297" i="5" s="1"/>
  <c r="S297" i="6"/>
  <c r="S297" i="4"/>
  <c r="S297" i="5" s="1"/>
  <c r="E297" i="4"/>
  <c r="E297" i="5" s="1"/>
  <c r="Q297" i="6"/>
  <c r="E297" i="6"/>
  <c r="P297" i="6"/>
  <c r="T297" i="4"/>
  <c r="T297" i="5" s="1"/>
  <c r="J297" i="6"/>
  <c r="V297" i="6"/>
  <c r="N297" i="6"/>
  <c r="D91" i="6"/>
  <c r="M91" i="6"/>
  <c r="U91" i="6"/>
  <c r="O91" i="6"/>
  <c r="D91" i="4"/>
  <c r="D91" i="5" s="1"/>
  <c r="E91" i="4"/>
  <c r="E91" i="5" s="1"/>
  <c r="G91" i="4"/>
  <c r="G91" i="5" s="1"/>
  <c r="J91" i="6"/>
  <c r="V91" i="4"/>
  <c r="V91" i="5" s="1"/>
  <c r="I91" i="4"/>
  <c r="I91" i="5" s="1"/>
  <c r="T91" i="6"/>
  <c r="M91" i="4"/>
  <c r="M91" i="5" s="1"/>
  <c r="N91" i="4"/>
  <c r="N91" i="5" s="1"/>
  <c r="R91" i="6"/>
  <c r="F91" i="4"/>
  <c r="F91" i="5" s="1"/>
  <c r="P91" i="6"/>
  <c r="H91" i="4"/>
  <c r="H91" i="5" s="1"/>
  <c r="T91" i="4"/>
  <c r="T91" i="5" s="1"/>
  <c r="I91" i="6"/>
  <c r="G91" i="6"/>
  <c r="U91" i="4"/>
  <c r="U91" i="5" s="1"/>
  <c r="J91" i="4"/>
  <c r="J91" i="5" s="1"/>
  <c r="L91" i="6"/>
  <c r="E91" i="6"/>
  <c r="R91" i="4"/>
  <c r="R91" i="5" s="1"/>
  <c r="F91" i="6"/>
  <c r="L91" i="4"/>
  <c r="L91" i="5" s="1"/>
  <c r="S91" i="4"/>
  <c r="S91" i="5" s="1"/>
  <c r="V91" i="6"/>
  <c r="S91" i="6"/>
  <c r="N91" i="6"/>
  <c r="Q91" i="4"/>
  <c r="Q91" i="5" s="1"/>
  <c r="H91" i="6"/>
  <c r="Q91" i="6"/>
  <c r="O91" i="4"/>
  <c r="O91" i="5" s="1"/>
  <c r="P91" i="4"/>
  <c r="P91" i="5" s="1"/>
  <c r="K407" i="4"/>
  <c r="K407" i="5" s="1"/>
  <c r="E407" i="4"/>
  <c r="E407" i="5" s="1"/>
  <c r="I407" i="6"/>
  <c r="S407" i="6"/>
  <c r="O407" i="6"/>
  <c r="I407" i="4"/>
  <c r="I407" i="5" s="1"/>
  <c r="U407" i="4"/>
  <c r="U407" i="5" s="1"/>
  <c r="M407" i="4"/>
  <c r="M407" i="5" s="1"/>
  <c r="D407" i="4"/>
  <c r="D407" i="5" s="1"/>
  <c r="O407" i="4"/>
  <c r="O407" i="5" s="1"/>
  <c r="F407" i="6"/>
  <c r="P407" i="6"/>
  <c r="N407" i="4"/>
  <c r="N407" i="5" s="1"/>
  <c r="T407" i="4"/>
  <c r="T407" i="5" s="1"/>
  <c r="R407" i="6"/>
  <c r="L407" i="4"/>
  <c r="L407" i="5" s="1"/>
  <c r="J407" i="4"/>
  <c r="J407" i="5" s="1"/>
  <c r="F407" i="4"/>
  <c r="F407" i="5" s="1"/>
  <c r="H407" i="4"/>
  <c r="H407" i="5" s="1"/>
  <c r="M407" i="6"/>
  <c r="G407" i="6"/>
  <c r="Q407" i="4"/>
  <c r="Q407" i="5" s="1"/>
  <c r="Q407" i="6"/>
  <c r="K407" i="6"/>
  <c r="H407" i="6"/>
  <c r="N407" i="6"/>
  <c r="R407" i="4"/>
  <c r="R407" i="5" s="1"/>
  <c r="J407" i="6"/>
  <c r="S407" i="4"/>
  <c r="S407" i="5" s="1"/>
  <c r="U407" i="6"/>
  <c r="D407" i="6"/>
  <c r="E407" i="6"/>
  <c r="G407" i="4"/>
  <c r="G407" i="5" s="1"/>
  <c r="L407" i="6"/>
  <c r="V407" i="6"/>
  <c r="T407" i="6"/>
  <c r="P407" i="4"/>
  <c r="P407" i="5" s="1"/>
  <c r="V407" i="4"/>
  <c r="V407" i="5" s="1"/>
  <c r="I395" i="4"/>
  <c r="I395" i="5" s="1"/>
  <c r="M395" i="6"/>
  <c r="S395" i="6"/>
  <c r="D395" i="6"/>
  <c r="D395" i="4"/>
  <c r="D395" i="5" s="1"/>
  <c r="K395" i="4"/>
  <c r="K395" i="5" s="1"/>
  <c r="S395" i="4"/>
  <c r="S395" i="5" s="1"/>
  <c r="O395" i="6"/>
  <c r="M395" i="4"/>
  <c r="M395" i="5" s="1"/>
  <c r="I395" i="6"/>
  <c r="L395" i="6"/>
  <c r="R395" i="6"/>
  <c r="N395" i="6"/>
  <c r="F395" i="4"/>
  <c r="F395" i="5" s="1"/>
  <c r="T395" i="6"/>
  <c r="F395" i="6"/>
  <c r="P395" i="6"/>
  <c r="R395" i="4"/>
  <c r="R395" i="5" s="1"/>
  <c r="H395" i="6"/>
  <c r="U395" i="6"/>
  <c r="K395" i="6"/>
  <c r="Q395" i="4"/>
  <c r="Q395" i="5" s="1"/>
  <c r="O395" i="4"/>
  <c r="O395" i="5" s="1"/>
  <c r="E395" i="4"/>
  <c r="E395" i="5" s="1"/>
  <c r="H395" i="4"/>
  <c r="H395" i="5" s="1"/>
  <c r="J395" i="6"/>
  <c r="V395" i="4"/>
  <c r="V395" i="5" s="1"/>
  <c r="V395" i="6"/>
  <c r="J395" i="4"/>
  <c r="J395" i="5" s="1"/>
  <c r="E395" i="6"/>
  <c r="U395" i="4"/>
  <c r="U395" i="5" s="1"/>
  <c r="L395" i="4"/>
  <c r="L395" i="5" s="1"/>
  <c r="Q395" i="6"/>
  <c r="G395" i="6"/>
  <c r="P395" i="4"/>
  <c r="P395" i="5" s="1"/>
  <c r="N395" i="4"/>
  <c r="N395" i="5" s="1"/>
  <c r="G395" i="4"/>
  <c r="G395" i="5" s="1"/>
  <c r="T395" i="4"/>
  <c r="T395" i="5" s="1"/>
  <c r="D266" i="4"/>
  <c r="D266" i="5" s="1"/>
  <c r="S266" i="6"/>
  <c r="K266" i="6"/>
  <c r="L266" i="6"/>
  <c r="O266" i="4"/>
  <c r="O266" i="5" s="1"/>
  <c r="G266" i="4"/>
  <c r="G266" i="5" s="1"/>
  <c r="U266" i="6"/>
  <c r="M266" i="6"/>
  <c r="E266" i="6"/>
  <c r="Q266" i="4"/>
  <c r="Q266" i="5" s="1"/>
  <c r="I266" i="4"/>
  <c r="I266" i="5" s="1"/>
  <c r="V266" i="6"/>
  <c r="N266" i="4"/>
  <c r="N266" i="5" s="1"/>
  <c r="F266" i="6"/>
  <c r="P266" i="6"/>
  <c r="H266" i="6"/>
  <c r="F266" i="4"/>
  <c r="F266" i="5" s="1"/>
  <c r="H266" i="4"/>
  <c r="H266" i="5" s="1"/>
  <c r="J266" i="4"/>
  <c r="J266" i="5" s="1"/>
  <c r="N266" i="6"/>
  <c r="G266" i="6"/>
  <c r="K266" i="4"/>
  <c r="K266" i="5" s="1"/>
  <c r="Q266" i="6"/>
  <c r="U266" i="4"/>
  <c r="U266" i="5" s="1"/>
  <c r="E266" i="4"/>
  <c r="E266" i="5" s="1"/>
  <c r="J266" i="6"/>
  <c r="L266" i="4"/>
  <c r="L266" i="5" s="1"/>
  <c r="P266" i="4"/>
  <c r="P266" i="5" s="1"/>
  <c r="R266" i="4"/>
  <c r="R266" i="5" s="1"/>
  <c r="O266" i="6"/>
  <c r="S266" i="4"/>
  <c r="S266" i="5" s="1"/>
  <c r="D266" i="6"/>
  <c r="I266" i="6"/>
  <c r="M266" i="4"/>
  <c r="M266" i="5" s="1"/>
  <c r="R266" i="6"/>
  <c r="T266" i="4"/>
  <c r="T266" i="5" s="1"/>
  <c r="T266" i="6"/>
  <c r="V266" i="4"/>
  <c r="V266" i="5" s="1"/>
  <c r="H203" i="4"/>
  <c r="H203" i="5" s="1"/>
  <c r="J203" i="4"/>
  <c r="J203" i="5" s="1"/>
  <c r="D203" i="6"/>
  <c r="R203" i="6"/>
  <c r="F203" i="6"/>
  <c r="Q203" i="4"/>
  <c r="Q203" i="5" s="1"/>
  <c r="G203" i="4"/>
  <c r="G203" i="5" s="1"/>
  <c r="N203" i="4"/>
  <c r="N203" i="5" s="1"/>
  <c r="M203" i="4"/>
  <c r="M203" i="5" s="1"/>
  <c r="F203" i="4"/>
  <c r="F203" i="5" s="1"/>
  <c r="I203" i="4"/>
  <c r="I203" i="5" s="1"/>
  <c r="S203" i="4"/>
  <c r="S203" i="5" s="1"/>
  <c r="K203" i="6"/>
  <c r="U203" i="4"/>
  <c r="U203" i="5" s="1"/>
  <c r="O203" i="6"/>
  <c r="D203" i="4"/>
  <c r="D203" i="5" s="1"/>
  <c r="N203" i="6"/>
  <c r="V203" i="6"/>
  <c r="E203" i="6"/>
  <c r="I203" i="6"/>
  <c r="Q203" i="6"/>
  <c r="O203" i="4"/>
  <c r="O203" i="5" s="1"/>
  <c r="S203" i="6"/>
  <c r="J203" i="6"/>
  <c r="G203" i="6"/>
  <c r="V203" i="4"/>
  <c r="V203" i="5" s="1"/>
  <c r="E203" i="4"/>
  <c r="E203" i="5" s="1"/>
  <c r="U203" i="6"/>
  <c r="K203" i="4"/>
  <c r="K203" i="5" s="1"/>
  <c r="R203" i="4"/>
  <c r="R203" i="5" s="1"/>
  <c r="M203" i="6"/>
  <c r="S27" i="4"/>
  <c r="S27" i="5" s="1"/>
  <c r="N27" i="4"/>
  <c r="N27" i="5" s="1"/>
  <c r="L27" i="4"/>
  <c r="L27" i="5" s="1"/>
  <c r="Q27" i="4"/>
  <c r="Q27" i="5" s="1"/>
  <c r="Q27" i="6"/>
  <c r="F27" i="4"/>
  <c r="F27" i="5" s="1"/>
  <c r="V27" i="4"/>
  <c r="V27" i="5" s="1"/>
  <c r="U27" i="4"/>
  <c r="U27" i="5" s="1"/>
  <c r="D27" i="4"/>
  <c r="D27" i="5" s="1"/>
  <c r="O27" i="6"/>
  <c r="K27" i="6"/>
  <c r="R27" i="6"/>
  <c r="H27" i="4"/>
  <c r="H27" i="5" s="1"/>
  <c r="J27" i="4"/>
  <c r="J27" i="5" s="1"/>
  <c r="T27" i="4"/>
  <c r="T27" i="5" s="1"/>
  <c r="S27" i="6"/>
  <c r="I27" i="6"/>
  <c r="V27" i="6"/>
  <c r="O27" i="4"/>
  <c r="O27" i="5" s="1"/>
  <c r="K27" i="4"/>
  <c r="K27" i="5" s="1"/>
  <c r="D27" i="6"/>
  <c r="F27" i="6"/>
  <c r="E27" i="4"/>
  <c r="E27" i="5" s="1"/>
  <c r="L27" i="6"/>
  <c r="M27" i="4"/>
  <c r="M27" i="5" s="1"/>
  <c r="P27" i="4"/>
  <c r="P27" i="5" s="1"/>
  <c r="R27" i="4"/>
  <c r="R27" i="5" s="1"/>
  <c r="N27" i="6"/>
  <c r="U27" i="6"/>
  <c r="M27" i="6"/>
  <c r="E27" i="6"/>
  <c r="P27" i="6"/>
  <c r="I63" i="4"/>
  <c r="I63" i="5" s="1"/>
  <c r="E51" i="2"/>
  <c r="E78" i="2" s="1"/>
  <c r="I330" i="6"/>
  <c r="N330" i="4"/>
  <c r="N330" i="5" s="1"/>
  <c r="K330" i="4"/>
  <c r="K330" i="5" s="1"/>
  <c r="J330" i="4"/>
  <c r="J330" i="5" s="1"/>
  <c r="I411" i="6"/>
  <c r="K411" i="6"/>
  <c r="S411" i="6"/>
  <c r="D411" i="4"/>
  <c r="D411" i="5" s="1"/>
  <c r="O411" i="6"/>
  <c r="H411" i="6"/>
  <c r="J411" i="6"/>
  <c r="L411" i="4"/>
  <c r="L411" i="5" s="1"/>
  <c r="H411" i="4"/>
  <c r="H411" i="5" s="1"/>
  <c r="J411" i="4"/>
  <c r="J411" i="5" s="1"/>
  <c r="M411" i="4"/>
  <c r="M411" i="5" s="1"/>
  <c r="E411" i="4"/>
  <c r="E411" i="5" s="1"/>
  <c r="U411" i="6"/>
  <c r="E411" i="6"/>
  <c r="U411" i="4"/>
  <c r="U411" i="5" s="1"/>
  <c r="G411" i="4"/>
  <c r="G411" i="5" s="1"/>
  <c r="O411" i="4"/>
  <c r="O411" i="5" s="1"/>
  <c r="G411" i="6"/>
  <c r="D411" i="6"/>
  <c r="M411" i="6"/>
  <c r="P411" i="6"/>
  <c r="F411" i="6"/>
  <c r="R411" i="6"/>
  <c r="T411" i="4"/>
  <c r="T411" i="5" s="1"/>
  <c r="N411" i="4"/>
  <c r="N411" i="5" s="1"/>
  <c r="F411" i="4"/>
  <c r="F411" i="5" s="1"/>
  <c r="T411" i="6"/>
  <c r="R411" i="4"/>
  <c r="R411" i="5" s="1"/>
  <c r="P411" i="4"/>
  <c r="P411" i="5" s="1"/>
  <c r="Q411" i="6"/>
  <c r="I411" i="4"/>
  <c r="I411" i="5" s="1"/>
  <c r="K411" i="4"/>
  <c r="K411" i="5" s="1"/>
  <c r="S411" i="4"/>
  <c r="S411" i="5" s="1"/>
  <c r="Q411" i="4"/>
  <c r="Q411" i="5" s="1"/>
  <c r="V411" i="6"/>
  <c r="V411" i="4"/>
  <c r="V411" i="5" s="1"/>
  <c r="N411" i="6"/>
  <c r="L411" i="6"/>
  <c r="U365" i="6"/>
  <c r="E365" i="6"/>
  <c r="G365" i="4"/>
  <c r="G365" i="5" s="1"/>
  <c r="R365" i="6"/>
  <c r="L365" i="4"/>
  <c r="L365" i="5" s="1"/>
  <c r="N365" i="6"/>
  <c r="O365" i="6"/>
  <c r="D365" i="6"/>
  <c r="S365" i="4"/>
  <c r="S365" i="5" s="1"/>
  <c r="I365" i="4"/>
  <c r="I365" i="5" s="1"/>
  <c r="M365" i="6"/>
  <c r="D365" i="4"/>
  <c r="D365" i="5" s="1"/>
  <c r="K365" i="6"/>
  <c r="O365" i="4"/>
  <c r="O365" i="5" s="1"/>
  <c r="U365" i="4"/>
  <c r="U365" i="5" s="1"/>
  <c r="M365" i="4"/>
  <c r="M365" i="5" s="1"/>
  <c r="E365" i="4"/>
  <c r="E365" i="5" s="1"/>
  <c r="Q365" i="6"/>
  <c r="N365" i="4"/>
  <c r="N365" i="5" s="1"/>
  <c r="P365" i="4"/>
  <c r="P365" i="5" s="1"/>
  <c r="F365" i="6"/>
  <c r="F365" i="4"/>
  <c r="F365" i="5" s="1"/>
  <c r="H365" i="4"/>
  <c r="H365" i="5" s="1"/>
  <c r="H365" i="6"/>
  <c r="L365" i="6"/>
  <c r="T365" i="4"/>
  <c r="T365" i="5" s="1"/>
  <c r="V365" i="6"/>
  <c r="J365" i="6"/>
  <c r="P365" i="6"/>
  <c r="K365" i="4"/>
  <c r="K365" i="5" s="1"/>
  <c r="S365" i="6"/>
  <c r="Q365" i="4"/>
  <c r="Q365" i="5" s="1"/>
  <c r="G365" i="6"/>
  <c r="I365" i="6"/>
  <c r="R365" i="4"/>
  <c r="R365" i="5" s="1"/>
  <c r="J365" i="4"/>
  <c r="J365" i="5" s="1"/>
  <c r="T365" i="6"/>
  <c r="V365" i="4"/>
  <c r="V365" i="5" s="1"/>
  <c r="N345" i="4"/>
  <c r="N345" i="5" s="1"/>
  <c r="V345" i="6"/>
  <c r="T345" i="6"/>
  <c r="H345" i="6"/>
  <c r="S345" i="6"/>
  <c r="U345" i="4"/>
  <c r="U345" i="5" s="1"/>
  <c r="G345" i="6"/>
  <c r="M345" i="4"/>
  <c r="M345" i="5" s="1"/>
  <c r="L345" i="4"/>
  <c r="L345" i="5" s="1"/>
  <c r="D345" i="4"/>
  <c r="D345" i="5" s="1"/>
  <c r="P345" i="4"/>
  <c r="P345" i="5" s="1"/>
  <c r="H345" i="4"/>
  <c r="H345" i="5" s="1"/>
  <c r="T345" i="4"/>
  <c r="T345" i="5" s="1"/>
  <c r="F345" i="4"/>
  <c r="F345" i="5" s="1"/>
  <c r="N345" i="6"/>
  <c r="F345" i="6"/>
  <c r="J345" i="6"/>
  <c r="D345" i="6"/>
  <c r="O345" i="6"/>
  <c r="O345" i="4"/>
  <c r="O345" i="5" s="1"/>
  <c r="G345" i="4"/>
  <c r="G345" i="5" s="1"/>
  <c r="I345" i="6"/>
  <c r="U345" i="6"/>
  <c r="K345" i="6"/>
  <c r="Q345" i="6"/>
  <c r="M345" i="6"/>
  <c r="S345" i="4"/>
  <c r="S345" i="5" s="1"/>
  <c r="R345" i="6"/>
  <c r="R345" i="4"/>
  <c r="R345" i="5" s="1"/>
  <c r="J345" i="4"/>
  <c r="J345" i="5" s="1"/>
  <c r="V345" i="4"/>
  <c r="V345" i="5" s="1"/>
  <c r="L345" i="6"/>
  <c r="P345" i="6"/>
  <c r="E345" i="4"/>
  <c r="E345" i="5" s="1"/>
  <c r="K345" i="4"/>
  <c r="K345" i="5" s="1"/>
  <c r="Q345" i="4"/>
  <c r="Q345" i="5" s="1"/>
  <c r="I345" i="4"/>
  <c r="I345" i="5" s="1"/>
  <c r="E345" i="6"/>
  <c r="V205" i="6"/>
  <c r="U205" i="4"/>
  <c r="U205" i="5" s="1"/>
  <c r="G205" i="6"/>
  <c r="O205" i="6"/>
  <c r="M205" i="6"/>
  <c r="E205" i="4"/>
  <c r="E205" i="5" s="1"/>
  <c r="T205" i="6"/>
  <c r="D205" i="4"/>
  <c r="D205" i="5" s="1"/>
  <c r="L205" i="4"/>
  <c r="L205" i="5" s="1"/>
  <c r="T205" i="4"/>
  <c r="T205" i="5" s="1"/>
  <c r="D205" i="6"/>
  <c r="P205" i="6"/>
  <c r="L205" i="6"/>
  <c r="P205" i="4"/>
  <c r="P205" i="5" s="1"/>
  <c r="H205" i="4"/>
  <c r="H205" i="5" s="1"/>
  <c r="Q205" i="6"/>
  <c r="K205" i="6"/>
  <c r="S205" i="6"/>
  <c r="I205" i="4"/>
  <c r="I205" i="5" s="1"/>
  <c r="I205" i="6"/>
  <c r="K205" i="4"/>
  <c r="K205" i="5" s="1"/>
  <c r="G205" i="4"/>
  <c r="G205" i="5" s="1"/>
  <c r="Q205" i="4"/>
  <c r="Q205" i="5" s="1"/>
  <c r="O205" i="4"/>
  <c r="O205" i="5" s="1"/>
  <c r="H205" i="6"/>
  <c r="J205" i="6"/>
  <c r="N205" i="6"/>
  <c r="V205" i="4"/>
  <c r="V205" i="5" s="1"/>
  <c r="M205" i="4"/>
  <c r="M205" i="5" s="1"/>
  <c r="E205" i="6"/>
  <c r="U205" i="6"/>
  <c r="S205" i="4"/>
  <c r="S205" i="5" s="1"/>
  <c r="R208" i="4"/>
  <c r="R208" i="5" s="1"/>
  <c r="V208" i="4"/>
  <c r="V208" i="5" s="1"/>
  <c r="I208" i="4"/>
  <c r="I208" i="5" s="1"/>
  <c r="G208" i="4"/>
  <c r="G208" i="5" s="1"/>
  <c r="N208" i="4"/>
  <c r="N208" i="5" s="1"/>
  <c r="Q208" i="4"/>
  <c r="Q208" i="5" s="1"/>
  <c r="S208" i="4"/>
  <c r="S208" i="5" s="1"/>
  <c r="M208" i="4"/>
  <c r="M208" i="5" s="1"/>
  <c r="T208" i="6"/>
  <c r="J208" i="4"/>
  <c r="J208" i="5" s="1"/>
  <c r="F208" i="4"/>
  <c r="F208" i="5" s="1"/>
  <c r="K208" i="4"/>
  <c r="K208" i="5" s="1"/>
  <c r="K208" i="6"/>
  <c r="V208" i="6"/>
  <c r="U208" i="4"/>
  <c r="U208" i="5" s="1"/>
  <c r="F208" i="6"/>
  <c r="H208" i="6"/>
  <c r="P208" i="4"/>
  <c r="P208" i="5" s="1"/>
  <c r="P208" i="6"/>
  <c r="G208" i="6"/>
  <c r="R208" i="6"/>
  <c r="H208" i="4"/>
  <c r="H208" i="5" s="1"/>
  <c r="E208" i="6"/>
  <c r="O208" i="4"/>
  <c r="O208" i="5" s="1"/>
  <c r="M208" i="6"/>
  <c r="L208" i="6"/>
  <c r="J208" i="6"/>
  <c r="L208" i="4"/>
  <c r="L208" i="5" s="1"/>
  <c r="T208" i="4"/>
  <c r="T208" i="5" s="1"/>
  <c r="D208" i="4"/>
  <c r="D208" i="5" s="1"/>
  <c r="D208" i="6"/>
  <c r="Q208" i="6"/>
  <c r="U208" i="6"/>
  <c r="S208" i="6"/>
  <c r="N208" i="6"/>
  <c r="E208" i="4"/>
  <c r="E208" i="5" s="1"/>
  <c r="O208" i="6"/>
  <c r="I208" i="6"/>
  <c r="O293" i="3"/>
  <c r="L33" i="6"/>
  <c r="D33" i="4"/>
  <c r="D33" i="5" s="1"/>
  <c r="G33" i="6"/>
  <c r="I33" i="4"/>
  <c r="I33" i="5" s="1"/>
  <c r="I33" i="6"/>
  <c r="J33" i="6"/>
  <c r="T33" i="4"/>
  <c r="T33" i="5" s="1"/>
  <c r="F33" i="4"/>
  <c r="F33" i="5" s="1"/>
  <c r="H33" i="4"/>
  <c r="H33" i="5" s="1"/>
  <c r="G448" i="6"/>
  <c r="V448" i="6"/>
  <c r="H448" i="4"/>
  <c r="H448" i="5" s="1"/>
  <c r="I448" i="4"/>
  <c r="I448" i="5" s="1"/>
  <c r="I448" i="6"/>
  <c r="O448" i="4"/>
  <c r="O448" i="5" s="1"/>
  <c r="U448" i="4"/>
  <c r="U448" i="5" s="1"/>
  <c r="L448" i="6"/>
  <c r="H448" i="6"/>
  <c r="N448" i="6"/>
  <c r="J448" i="6"/>
  <c r="T448" i="4"/>
  <c r="T448" i="5" s="1"/>
  <c r="K448" i="4"/>
  <c r="K448" i="5" s="1"/>
  <c r="S448" i="6"/>
  <c r="T448" i="6"/>
  <c r="G448" i="4"/>
  <c r="G448" i="5" s="1"/>
  <c r="P448" i="6"/>
  <c r="V448" i="4"/>
  <c r="V448" i="5" s="1"/>
  <c r="M448" i="6"/>
  <c r="I369" i="6"/>
  <c r="E369" i="6"/>
  <c r="U369" i="6"/>
  <c r="G369" i="4"/>
  <c r="G369" i="5" s="1"/>
  <c r="R369" i="6"/>
  <c r="V369" i="4"/>
  <c r="V369" i="5" s="1"/>
  <c r="P369" i="4"/>
  <c r="P369" i="5" s="1"/>
  <c r="H369" i="4"/>
  <c r="H369" i="5" s="1"/>
  <c r="R369" i="4"/>
  <c r="R369" i="5" s="1"/>
  <c r="I369" i="4"/>
  <c r="I369" i="5" s="1"/>
  <c r="D369" i="4"/>
  <c r="D369" i="5" s="1"/>
  <c r="E369" i="4"/>
  <c r="E369" i="5" s="1"/>
  <c r="U369" i="4"/>
  <c r="U369" i="5" s="1"/>
  <c r="Q369" i="4"/>
  <c r="Q369" i="5" s="1"/>
  <c r="G369" i="6"/>
  <c r="Q369" i="6"/>
  <c r="S369" i="4"/>
  <c r="S369" i="5" s="1"/>
  <c r="K369" i="4"/>
  <c r="K369" i="5" s="1"/>
  <c r="S369" i="6"/>
  <c r="N369" i="6"/>
  <c r="J369" i="6"/>
  <c r="F369" i="4"/>
  <c r="F369" i="5" s="1"/>
  <c r="N369" i="4"/>
  <c r="N369" i="5" s="1"/>
  <c r="V369" i="6"/>
  <c r="H369" i="6"/>
  <c r="T369" i="6"/>
  <c r="L369" i="6"/>
  <c r="J369" i="4"/>
  <c r="J369" i="5" s="1"/>
  <c r="M369" i="6"/>
  <c r="M369" i="4"/>
  <c r="M369" i="5" s="1"/>
  <c r="O369" i="6"/>
  <c r="D369" i="6"/>
  <c r="O369" i="4"/>
  <c r="O369" i="5" s="1"/>
  <c r="K369" i="6"/>
  <c r="P369" i="6"/>
  <c r="F369" i="6"/>
  <c r="L369" i="4"/>
  <c r="L369" i="5" s="1"/>
  <c r="T369" i="4"/>
  <c r="T369" i="5" s="1"/>
  <c r="E348" i="6"/>
  <c r="D348" i="6"/>
  <c r="H348" i="6"/>
  <c r="N281" i="6"/>
  <c r="T281" i="4"/>
  <c r="T281" i="5" s="1"/>
  <c r="H281" i="6"/>
  <c r="K281" i="4"/>
  <c r="K281" i="5" s="1"/>
  <c r="F281" i="6"/>
  <c r="U281" i="6"/>
  <c r="E281" i="4"/>
  <c r="E281" i="5" s="1"/>
  <c r="R281" i="6"/>
  <c r="F281" i="4"/>
  <c r="F281" i="5" s="1"/>
  <c r="J281" i="6"/>
  <c r="L281" i="4"/>
  <c r="L281" i="5" s="1"/>
  <c r="L281" i="6"/>
  <c r="N281" i="4"/>
  <c r="N281" i="5" s="1"/>
  <c r="P281" i="4"/>
  <c r="P281" i="5" s="1"/>
  <c r="P281" i="6"/>
  <c r="I281" i="4"/>
  <c r="I281" i="5" s="1"/>
  <c r="O281" i="6"/>
  <c r="Q281" i="4"/>
  <c r="Q281" i="5" s="1"/>
  <c r="O281" i="4"/>
  <c r="O281" i="5" s="1"/>
  <c r="U281" i="4"/>
  <c r="U281" i="5" s="1"/>
  <c r="J281" i="4"/>
  <c r="J281" i="5" s="1"/>
  <c r="K281" i="6"/>
  <c r="E281" i="6"/>
  <c r="Q281" i="6"/>
  <c r="G281" i="6"/>
  <c r="D281" i="6"/>
  <c r="D281" i="4"/>
  <c r="D281" i="5" s="1"/>
  <c r="T281" i="6"/>
  <c r="H281" i="4"/>
  <c r="H281" i="5" s="1"/>
  <c r="G281" i="4"/>
  <c r="G281" i="5" s="1"/>
  <c r="S281" i="6"/>
  <c r="M281" i="4"/>
  <c r="M281" i="5" s="1"/>
  <c r="I281" i="6"/>
  <c r="M281" i="6"/>
  <c r="S281" i="4"/>
  <c r="S281" i="5" s="1"/>
  <c r="R281" i="4"/>
  <c r="R281" i="5" s="1"/>
  <c r="T284" i="6"/>
  <c r="P284" i="4"/>
  <c r="P284" i="5" s="1"/>
  <c r="J284" i="6"/>
  <c r="H284" i="6"/>
  <c r="R284" i="6"/>
  <c r="N284" i="6"/>
  <c r="S284" i="4"/>
  <c r="S284" i="5" s="1"/>
  <c r="K284" i="4"/>
  <c r="K284" i="5" s="1"/>
  <c r="M284" i="4"/>
  <c r="M284" i="5" s="1"/>
  <c r="E284" i="6"/>
  <c r="G284" i="4"/>
  <c r="G284" i="5" s="1"/>
  <c r="O284" i="4"/>
  <c r="O284" i="5" s="1"/>
  <c r="Q284" i="4"/>
  <c r="Q284" i="5" s="1"/>
  <c r="I284" i="6"/>
  <c r="J284" i="4"/>
  <c r="J284" i="5" s="1"/>
  <c r="L284" i="6"/>
  <c r="U284" i="6"/>
  <c r="Q284" i="6"/>
  <c r="H284" i="4"/>
  <c r="H284" i="5" s="1"/>
  <c r="N284" i="4"/>
  <c r="N284" i="5" s="1"/>
  <c r="D284" i="4"/>
  <c r="D284" i="5" s="1"/>
  <c r="T284" i="4"/>
  <c r="T284" i="5" s="1"/>
  <c r="P284" i="6"/>
  <c r="E284" i="4"/>
  <c r="E284" i="5" s="1"/>
  <c r="S284" i="6"/>
  <c r="I284" i="4"/>
  <c r="I284" i="5" s="1"/>
  <c r="G284" i="6"/>
  <c r="D284" i="6"/>
  <c r="L284" i="4"/>
  <c r="L284" i="5" s="1"/>
  <c r="M284" i="6"/>
  <c r="K284" i="6"/>
  <c r="O284" i="6"/>
  <c r="V199" i="6"/>
  <c r="H199" i="4"/>
  <c r="H199" i="5" s="1"/>
  <c r="P199" i="4"/>
  <c r="P199" i="5" s="1"/>
  <c r="T199" i="6"/>
  <c r="E199" i="4"/>
  <c r="E199" i="5" s="1"/>
  <c r="U199" i="4"/>
  <c r="U199" i="5" s="1"/>
  <c r="M199" i="4"/>
  <c r="M199" i="5" s="1"/>
  <c r="G199" i="6"/>
  <c r="H199" i="6"/>
  <c r="V199" i="4"/>
  <c r="V199" i="5" s="1"/>
  <c r="D199" i="4"/>
  <c r="D199" i="5" s="1"/>
  <c r="R199" i="4"/>
  <c r="R199" i="5" s="1"/>
  <c r="N199" i="4"/>
  <c r="N199" i="5" s="1"/>
  <c r="U199" i="6"/>
  <c r="L199" i="4"/>
  <c r="L199" i="5" s="1"/>
  <c r="F199" i="6"/>
  <c r="O199" i="6"/>
  <c r="G199" i="4"/>
  <c r="G199" i="5" s="1"/>
  <c r="E199" i="6"/>
  <c r="Q199" i="4"/>
  <c r="Q199" i="5" s="1"/>
  <c r="P199" i="6"/>
  <c r="T199" i="4"/>
  <c r="T199" i="5" s="1"/>
  <c r="M199" i="6"/>
  <c r="K199" i="6"/>
  <c r="J199" i="4"/>
  <c r="J199" i="5" s="1"/>
  <c r="I199" i="4"/>
  <c r="I199" i="5" s="1"/>
  <c r="I199" i="6"/>
  <c r="D199" i="6"/>
  <c r="Q199" i="6"/>
  <c r="F199" i="4"/>
  <c r="F199" i="5" s="1"/>
  <c r="K199" i="4"/>
  <c r="K199" i="5" s="1"/>
  <c r="N199" i="6"/>
  <c r="L199" i="6"/>
  <c r="O199" i="4"/>
  <c r="O199" i="5" s="1"/>
  <c r="J199" i="6"/>
  <c r="R199" i="6"/>
  <c r="J46" i="2"/>
  <c r="J73" i="2" s="1"/>
  <c r="Q381" i="3"/>
  <c r="D379" i="6"/>
  <c r="O379" i="6"/>
  <c r="I379" i="4"/>
  <c r="I379" i="5" s="1"/>
  <c r="D379" i="4"/>
  <c r="D379" i="5" s="1"/>
  <c r="R379" i="4"/>
  <c r="R379" i="5" s="1"/>
  <c r="L379" i="4"/>
  <c r="L379" i="5" s="1"/>
  <c r="P379" i="4"/>
  <c r="P379" i="5" s="1"/>
  <c r="V379" i="6"/>
  <c r="G379" i="4"/>
  <c r="G379" i="5" s="1"/>
  <c r="M379" i="4"/>
  <c r="M379" i="5" s="1"/>
  <c r="S379" i="4"/>
  <c r="S379" i="5" s="1"/>
  <c r="T379" i="4"/>
  <c r="T379" i="5" s="1"/>
  <c r="Q379" i="6"/>
  <c r="E379" i="6"/>
  <c r="F290" i="6"/>
  <c r="L290" i="4"/>
  <c r="L290" i="5" s="1"/>
  <c r="N290" i="6"/>
  <c r="U290" i="6"/>
  <c r="L290" i="6"/>
  <c r="N290" i="4"/>
  <c r="N290" i="5" s="1"/>
  <c r="K290" i="6"/>
  <c r="F290" i="4"/>
  <c r="F290" i="5" s="1"/>
  <c r="U290" i="4"/>
  <c r="U290" i="5" s="1"/>
  <c r="R501" i="6"/>
  <c r="P501" i="4"/>
  <c r="P501" i="5" s="1"/>
  <c r="U501" i="4"/>
  <c r="U501" i="5" s="1"/>
  <c r="E501" i="4"/>
  <c r="E501" i="5" s="1"/>
  <c r="K501" i="6"/>
  <c r="E501" i="6"/>
  <c r="N501" i="6"/>
  <c r="M501" i="4"/>
  <c r="M501" i="5" s="1"/>
  <c r="L501" i="6"/>
  <c r="H501" i="4"/>
  <c r="H501" i="5" s="1"/>
  <c r="G501" i="4"/>
  <c r="G501" i="5" s="1"/>
  <c r="T501" i="6"/>
  <c r="R509" i="4"/>
  <c r="R509" i="5" s="1"/>
  <c r="I509" i="4"/>
  <c r="I509" i="5" s="1"/>
  <c r="O509" i="6"/>
  <c r="S509" i="4"/>
  <c r="S509" i="5" s="1"/>
  <c r="F509" i="6"/>
  <c r="F513" i="4"/>
  <c r="F513" i="5" s="1"/>
  <c r="L513" i="4"/>
  <c r="L513" i="5" s="1"/>
  <c r="S513" i="6"/>
  <c r="V513" i="4"/>
  <c r="V513" i="5" s="1"/>
  <c r="G513" i="4"/>
  <c r="G513" i="5" s="1"/>
  <c r="Q513" i="6"/>
  <c r="D521" i="4"/>
  <c r="D521" i="5" s="1"/>
  <c r="G521" i="4"/>
  <c r="G521" i="5" s="1"/>
  <c r="H521" i="4"/>
  <c r="H521" i="5" s="1"/>
  <c r="U521" i="4"/>
  <c r="U521" i="5" s="1"/>
  <c r="G521" i="6"/>
  <c r="S521" i="4"/>
  <c r="S521" i="5" s="1"/>
  <c r="E521" i="4"/>
  <c r="E521" i="5" s="1"/>
  <c r="N527" i="4"/>
  <c r="N527" i="5" s="1"/>
  <c r="P527" i="4"/>
  <c r="P527" i="5" s="1"/>
  <c r="T527" i="4"/>
  <c r="T527" i="5" s="1"/>
  <c r="U527" i="4"/>
  <c r="U527" i="5" s="1"/>
  <c r="K527" i="4"/>
  <c r="K527" i="5" s="1"/>
  <c r="H527" i="4"/>
  <c r="H527" i="5" s="1"/>
  <c r="J527" i="6"/>
  <c r="D527" i="4"/>
  <c r="D527" i="5" s="1"/>
  <c r="E527" i="4"/>
  <c r="E527" i="5" s="1"/>
  <c r="E527" i="6"/>
  <c r="L532" i="4"/>
  <c r="L532" i="5" s="1"/>
  <c r="Q532" i="4"/>
  <c r="Q532" i="5" s="1"/>
  <c r="H532" i="6"/>
  <c r="F532" i="6"/>
  <c r="R532" i="6"/>
  <c r="T532" i="6"/>
  <c r="M532" i="4"/>
  <c r="M532" i="5" s="1"/>
  <c r="V532" i="6"/>
  <c r="T532" i="4"/>
  <c r="T532" i="5" s="1"/>
  <c r="N532" i="4"/>
  <c r="N532" i="5" s="1"/>
  <c r="U532" i="6"/>
  <c r="D532" i="4"/>
  <c r="D532" i="5" s="1"/>
  <c r="F532" i="4"/>
  <c r="F532" i="5" s="1"/>
  <c r="O532" i="4"/>
  <c r="O532" i="5" s="1"/>
  <c r="G532" i="6"/>
  <c r="V532" i="4"/>
  <c r="V532" i="5" s="1"/>
  <c r="J532" i="4"/>
  <c r="J532" i="5" s="1"/>
  <c r="E532" i="4"/>
  <c r="E532" i="5" s="1"/>
  <c r="N532" i="6"/>
  <c r="R532" i="4"/>
  <c r="R532" i="5" s="1"/>
  <c r="D468" i="6"/>
  <c r="K468" i="6"/>
  <c r="D468" i="4"/>
  <c r="D468" i="5" s="1"/>
  <c r="I468" i="4"/>
  <c r="I468" i="5" s="1"/>
  <c r="U468" i="6"/>
  <c r="G468" i="6"/>
  <c r="P468" i="6"/>
  <c r="H468" i="4"/>
  <c r="H468" i="5" s="1"/>
  <c r="R468" i="6"/>
  <c r="R468" i="4"/>
  <c r="R468" i="5" s="1"/>
  <c r="F468" i="4"/>
  <c r="F468" i="5" s="1"/>
  <c r="Q468" i="4"/>
  <c r="Q468" i="5" s="1"/>
  <c r="O468" i="4"/>
  <c r="O468" i="5" s="1"/>
  <c r="V468" i="4"/>
  <c r="V468" i="5" s="1"/>
  <c r="L468" i="4"/>
  <c r="L468" i="5" s="1"/>
  <c r="J468" i="4"/>
  <c r="J468" i="5" s="1"/>
  <c r="U468" i="4"/>
  <c r="U468" i="5" s="1"/>
  <c r="K468" i="4"/>
  <c r="K468" i="5" s="1"/>
  <c r="J468" i="6"/>
  <c r="I468" i="6"/>
  <c r="M468" i="6"/>
  <c r="Q468" i="6"/>
  <c r="M468" i="4"/>
  <c r="M468" i="5" s="1"/>
  <c r="E468" i="6"/>
  <c r="O468" i="6"/>
  <c r="F468" i="6"/>
  <c r="T468" i="6"/>
  <c r="N468" i="6"/>
  <c r="V468" i="6"/>
  <c r="P468" i="4"/>
  <c r="P468" i="5" s="1"/>
  <c r="N468" i="4"/>
  <c r="N468" i="5" s="1"/>
  <c r="E468" i="4"/>
  <c r="E468" i="5" s="1"/>
  <c r="G468" i="4"/>
  <c r="G468" i="5" s="1"/>
  <c r="T468" i="4"/>
  <c r="T468" i="5" s="1"/>
  <c r="L468" i="6"/>
  <c r="H468" i="6"/>
  <c r="O449" i="4"/>
  <c r="O449" i="5" s="1"/>
  <c r="S449" i="6"/>
  <c r="M449" i="6"/>
  <c r="D449" i="6"/>
  <c r="M449" i="4"/>
  <c r="M449" i="5" s="1"/>
  <c r="I449" i="6"/>
  <c r="T449" i="6"/>
  <c r="J449" i="4"/>
  <c r="J449" i="5" s="1"/>
  <c r="N449" i="6"/>
  <c r="V449" i="6"/>
  <c r="K449" i="6"/>
  <c r="D449" i="4"/>
  <c r="D449" i="5" s="1"/>
  <c r="G449" i="4"/>
  <c r="G449" i="5" s="1"/>
  <c r="E449" i="4"/>
  <c r="E449" i="5" s="1"/>
  <c r="U449" i="6"/>
  <c r="N449" i="4"/>
  <c r="N449" i="5" s="1"/>
  <c r="L449" i="4"/>
  <c r="L449" i="5" s="1"/>
  <c r="P449" i="6"/>
  <c r="F449" i="6"/>
  <c r="S394" i="6"/>
  <c r="D394" i="6"/>
  <c r="Q394" i="6"/>
  <c r="U394" i="4"/>
  <c r="U394" i="5" s="1"/>
  <c r="E394" i="4"/>
  <c r="E394" i="5" s="1"/>
  <c r="S394" i="4"/>
  <c r="S394" i="5" s="1"/>
  <c r="D394" i="4"/>
  <c r="D394" i="5" s="1"/>
  <c r="K394" i="6"/>
  <c r="M394" i="6"/>
  <c r="Q394" i="4"/>
  <c r="Q394" i="5" s="1"/>
  <c r="H394" i="6"/>
  <c r="L394" i="6"/>
  <c r="R394" i="6"/>
  <c r="T394" i="4"/>
  <c r="T394" i="5" s="1"/>
  <c r="H394" i="4"/>
  <c r="H394" i="5" s="1"/>
  <c r="P394" i="4"/>
  <c r="P394" i="5" s="1"/>
  <c r="J394" i="4"/>
  <c r="J394" i="5" s="1"/>
  <c r="N394" i="6"/>
  <c r="N394" i="4"/>
  <c r="N394" i="5" s="1"/>
  <c r="O394" i="6"/>
  <c r="M394" i="4"/>
  <c r="M394" i="5" s="1"/>
  <c r="G394" i="6"/>
  <c r="U394" i="6"/>
  <c r="I394" i="4"/>
  <c r="I394" i="5" s="1"/>
  <c r="V394" i="4"/>
  <c r="V394" i="5" s="1"/>
  <c r="T394" i="6"/>
  <c r="F394" i="4"/>
  <c r="F394" i="5" s="1"/>
  <c r="F394" i="6"/>
  <c r="G394" i="4"/>
  <c r="G394" i="5" s="1"/>
  <c r="I394" i="6"/>
  <c r="K394" i="4"/>
  <c r="K394" i="5" s="1"/>
  <c r="O394" i="4"/>
  <c r="O394" i="5" s="1"/>
  <c r="E394" i="6"/>
  <c r="R394" i="4"/>
  <c r="R394" i="5" s="1"/>
  <c r="P394" i="6"/>
  <c r="V394" i="6"/>
  <c r="J394" i="6"/>
  <c r="L394" i="4"/>
  <c r="L394" i="5" s="1"/>
  <c r="T331" i="4"/>
  <c r="T331" i="5" s="1"/>
  <c r="D331" i="4"/>
  <c r="D331" i="5" s="1"/>
  <c r="F331" i="4"/>
  <c r="F331" i="5" s="1"/>
  <c r="V331" i="4"/>
  <c r="V331" i="5" s="1"/>
  <c r="R331" i="6"/>
  <c r="L331" i="4"/>
  <c r="L331" i="5" s="1"/>
  <c r="L331" i="6"/>
  <c r="J331" i="4"/>
  <c r="J331" i="5" s="1"/>
  <c r="F331" i="6"/>
  <c r="V331" i="6"/>
  <c r="K331" i="6"/>
  <c r="Q331" i="6"/>
  <c r="U331" i="4"/>
  <c r="U331" i="5" s="1"/>
  <c r="G331" i="6"/>
  <c r="E331" i="6"/>
  <c r="G331" i="4"/>
  <c r="G331" i="5" s="1"/>
  <c r="E331" i="4"/>
  <c r="E331" i="5" s="1"/>
  <c r="Q331" i="4"/>
  <c r="Q331" i="5" s="1"/>
  <c r="U331" i="6"/>
  <c r="P331" i="4"/>
  <c r="P331" i="5" s="1"/>
  <c r="N331" i="4"/>
  <c r="N331" i="5" s="1"/>
  <c r="J331" i="6"/>
  <c r="P331" i="6"/>
  <c r="T331" i="6"/>
  <c r="D331" i="6"/>
  <c r="R331" i="4"/>
  <c r="R331" i="5" s="1"/>
  <c r="N331" i="6"/>
  <c r="I331" i="4"/>
  <c r="I331" i="5" s="1"/>
  <c r="O331" i="4"/>
  <c r="O331" i="5" s="1"/>
  <c r="M331" i="6"/>
  <c r="M331" i="4"/>
  <c r="M331" i="5" s="1"/>
  <c r="S331" i="4"/>
  <c r="S331" i="5" s="1"/>
  <c r="I331" i="6"/>
  <c r="S331" i="6"/>
  <c r="K331" i="4"/>
  <c r="K331" i="5" s="1"/>
  <c r="O331" i="6"/>
  <c r="U314" i="4"/>
  <c r="U314" i="5" s="1"/>
  <c r="D314" i="4"/>
  <c r="D314" i="5" s="1"/>
  <c r="M314" i="6"/>
  <c r="K314" i="6"/>
  <c r="M314" i="4"/>
  <c r="M314" i="5" s="1"/>
  <c r="I314" i="4"/>
  <c r="I314" i="5" s="1"/>
  <c r="U314" i="6"/>
  <c r="K314" i="4"/>
  <c r="K314" i="5" s="1"/>
  <c r="S314" i="4"/>
  <c r="S314" i="5" s="1"/>
  <c r="O314" i="6"/>
  <c r="V314" i="6"/>
  <c r="R314" i="6"/>
  <c r="N314" i="4"/>
  <c r="N314" i="5" s="1"/>
  <c r="V314" i="4"/>
  <c r="V314" i="5" s="1"/>
  <c r="F314" i="4"/>
  <c r="F314" i="5" s="1"/>
  <c r="N314" i="6"/>
  <c r="P314" i="4"/>
  <c r="P314" i="5" s="1"/>
  <c r="T314" i="4"/>
  <c r="T314" i="5" s="1"/>
  <c r="T314" i="6"/>
  <c r="J314" i="4"/>
  <c r="J314" i="5" s="1"/>
  <c r="E314" i="4"/>
  <c r="E314" i="5" s="1"/>
  <c r="Q314" i="6"/>
  <c r="Q314" i="4"/>
  <c r="Q314" i="5" s="1"/>
  <c r="D314" i="6"/>
  <c r="S314" i="6"/>
  <c r="I314" i="6"/>
  <c r="E314" i="6"/>
  <c r="G314" i="4"/>
  <c r="G314" i="5" s="1"/>
  <c r="O314" i="4"/>
  <c r="O314" i="5" s="1"/>
  <c r="G314" i="6"/>
  <c r="J314" i="6"/>
  <c r="L314" i="4"/>
  <c r="L314" i="5" s="1"/>
  <c r="F314" i="6"/>
  <c r="L314" i="6"/>
  <c r="R314" i="4"/>
  <c r="R314" i="5" s="1"/>
  <c r="P314" i="6"/>
  <c r="Q267" i="4"/>
  <c r="Q267" i="5" s="1"/>
  <c r="M267" i="6"/>
  <c r="M267" i="4"/>
  <c r="M267" i="5" s="1"/>
  <c r="Q267" i="6"/>
  <c r="S267" i="6"/>
  <c r="S267" i="4"/>
  <c r="S267" i="5" s="1"/>
  <c r="D267" i="4"/>
  <c r="D267" i="5" s="1"/>
  <c r="G267" i="4"/>
  <c r="G267" i="5" s="1"/>
  <c r="V267" i="6"/>
  <c r="J267" i="4"/>
  <c r="J267" i="5" s="1"/>
  <c r="F267" i="6"/>
  <c r="R267" i="4"/>
  <c r="R267" i="5" s="1"/>
  <c r="P267" i="6"/>
  <c r="R267" i="6"/>
  <c r="H267" i="6"/>
  <c r="N267" i="4"/>
  <c r="N267" i="5" s="1"/>
  <c r="T267" i="4"/>
  <c r="T267" i="5" s="1"/>
  <c r="V267" i="4"/>
  <c r="V267" i="5" s="1"/>
  <c r="D267" i="6"/>
  <c r="U267" i="4"/>
  <c r="U267" i="5" s="1"/>
  <c r="I267" i="6"/>
  <c r="K267" i="4"/>
  <c r="K267" i="5" s="1"/>
  <c r="N267" i="6"/>
  <c r="P267" i="4"/>
  <c r="P267" i="5" s="1"/>
  <c r="E267" i="6"/>
  <c r="L267" i="6"/>
  <c r="U267" i="6"/>
  <c r="E267" i="4"/>
  <c r="E267" i="5" s="1"/>
  <c r="K267" i="6"/>
  <c r="G267" i="6"/>
  <c r="L267" i="4"/>
  <c r="L267" i="5" s="1"/>
  <c r="J267" i="6"/>
  <c r="H267" i="4"/>
  <c r="H267" i="5" s="1"/>
  <c r="T267" i="6"/>
  <c r="F267" i="4"/>
  <c r="F267" i="5" s="1"/>
  <c r="I267" i="4"/>
  <c r="I267" i="5" s="1"/>
  <c r="D259" i="6"/>
  <c r="S259" i="4"/>
  <c r="S259" i="5" s="1"/>
  <c r="S259" i="6"/>
  <c r="M259" i="6"/>
  <c r="G259" i="4"/>
  <c r="G259" i="5" s="1"/>
  <c r="K259" i="4"/>
  <c r="K259" i="5" s="1"/>
  <c r="K259" i="6"/>
  <c r="E259" i="6"/>
  <c r="U259" i="6"/>
  <c r="O259" i="4"/>
  <c r="O259" i="5" s="1"/>
  <c r="G259" i="6"/>
  <c r="D259" i="4"/>
  <c r="D259" i="5" s="1"/>
  <c r="Q259" i="6"/>
  <c r="I259" i="4"/>
  <c r="I259" i="5" s="1"/>
  <c r="Q259" i="4"/>
  <c r="Q259" i="5" s="1"/>
  <c r="T259" i="4"/>
  <c r="T259" i="5" s="1"/>
  <c r="J259" i="6"/>
  <c r="J259" i="4"/>
  <c r="J259" i="5" s="1"/>
  <c r="N259" i="4"/>
  <c r="N259" i="5" s="1"/>
  <c r="P259" i="4"/>
  <c r="P259" i="5" s="1"/>
  <c r="H259" i="6"/>
  <c r="R259" i="6"/>
  <c r="V259" i="6"/>
  <c r="F259" i="4"/>
  <c r="F259" i="5" s="1"/>
  <c r="O259" i="6"/>
  <c r="I259" i="6"/>
  <c r="E259" i="4"/>
  <c r="E259" i="5" s="1"/>
  <c r="M259" i="4"/>
  <c r="M259" i="5" s="1"/>
  <c r="U259" i="4"/>
  <c r="U259" i="5" s="1"/>
  <c r="L259" i="4"/>
  <c r="L259" i="5" s="1"/>
  <c r="R259" i="4"/>
  <c r="R259" i="5" s="1"/>
  <c r="L259" i="6"/>
  <c r="N259" i="6"/>
  <c r="H259" i="4"/>
  <c r="H259" i="5" s="1"/>
  <c r="F259" i="6"/>
  <c r="V259" i="4"/>
  <c r="V259" i="5" s="1"/>
  <c r="P259" i="6"/>
  <c r="T259" i="6"/>
  <c r="F251" i="6"/>
  <c r="G251" i="6"/>
  <c r="S251" i="6"/>
  <c r="V251" i="4"/>
  <c r="V251" i="5" s="1"/>
  <c r="F251" i="4"/>
  <c r="F251" i="5" s="1"/>
  <c r="O251" i="4"/>
  <c r="O251" i="5" s="1"/>
  <c r="G251" i="4"/>
  <c r="G251" i="5" s="1"/>
  <c r="L251" i="6"/>
  <c r="T251" i="6"/>
  <c r="R251" i="6"/>
  <c r="E251" i="4"/>
  <c r="E251" i="5" s="1"/>
  <c r="M251" i="4"/>
  <c r="M251" i="5" s="1"/>
  <c r="U251" i="4"/>
  <c r="U251" i="5" s="1"/>
  <c r="R251" i="4"/>
  <c r="R251" i="5" s="1"/>
  <c r="I251" i="6"/>
  <c r="D251" i="6"/>
  <c r="T251" i="4"/>
  <c r="T251" i="5" s="1"/>
  <c r="Q251" i="4"/>
  <c r="Q251" i="5" s="1"/>
  <c r="E251" i="6"/>
  <c r="U251" i="6"/>
  <c r="P251" i="4"/>
  <c r="P251" i="5" s="1"/>
  <c r="D251" i="4"/>
  <c r="D251" i="5" s="1"/>
  <c r="O251" i="6"/>
  <c r="V251" i="6"/>
  <c r="K251" i="6"/>
  <c r="N251" i="4"/>
  <c r="N251" i="5" s="1"/>
  <c r="S251" i="4"/>
  <c r="S251" i="5" s="1"/>
  <c r="K251" i="4"/>
  <c r="K251" i="5" s="1"/>
  <c r="P251" i="6"/>
  <c r="N251" i="6"/>
  <c r="H251" i="6"/>
  <c r="J251" i="6"/>
  <c r="Q251" i="6"/>
  <c r="L251" i="4"/>
  <c r="L251" i="5" s="1"/>
  <c r="I251" i="4"/>
  <c r="I251" i="5" s="1"/>
  <c r="J251" i="4"/>
  <c r="J251" i="5" s="1"/>
  <c r="M251" i="6"/>
  <c r="H251" i="4"/>
  <c r="H251" i="5" s="1"/>
  <c r="J222" i="4"/>
  <c r="J222" i="5" s="1"/>
  <c r="L222" i="6"/>
  <c r="L222" i="4"/>
  <c r="L222" i="5" s="1"/>
  <c r="N222" i="6"/>
  <c r="P222" i="6"/>
  <c r="P222" i="4"/>
  <c r="P222" i="5" s="1"/>
  <c r="M222" i="6"/>
  <c r="K222" i="6"/>
  <c r="E222" i="4"/>
  <c r="E222" i="5" s="1"/>
  <c r="O222" i="6"/>
  <c r="V222" i="4"/>
  <c r="V222" i="5" s="1"/>
  <c r="O222" i="4"/>
  <c r="O222" i="5" s="1"/>
  <c r="I222" i="6"/>
  <c r="S222" i="4"/>
  <c r="S222" i="5" s="1"/>
  <c r="M222" i="4"/>
  <c r="M222" i="5" s="1"/>
  <c r="V222" i="6"/>
  <c r="T222" i="6"/>
  <c r="H222" i="6"/>
  <c r="E222" i="6"/>
  <c r="S222" i="6"/>
  <c r="U222" i="4"/>
  <c r="U222" i="5" s="1"/>
  <c r="U222" i="6"/>
  <c r="K222" i="4"/>
  <c r="K222" i="5" s="1"/>
  <c r="D222" i="6"/>
  <c r="D222" i="4"/>
  <c r="D222" i="5" s="1"/>
  <c r="T222" i="4"/>
  <c r="T222" i="5" s="1"/>
  <c r="H222" i="4"/>
  <c r="H222" i="5" s="1"/>
  <c r="I222" i="4"/>
  <c r="I222" i="5" s="1"/>
  <c r="F222" i="6"/>
  <c r="J222" i="6"/>
  <c r="Q222" i="4"/>
  <c r="Q222" i="5" s="1"/>
  <c r="Q222" i="6"/>
  <c r="N222" i="4"/>
  <c r="N222" i="5" s="1"/>
  <c r="T180" i="4"/>
  <c r="T180" i="5" s="1"/>
  <c r="N180" i="6"/>
  <c r="R180" i="6"/>
  <c r="P180" i="4"/>
  <c r="P180" i="5" s="1"/>
  <c r="H180" i="4"/>
  <c r="H180" i="5" s="1"/>
  <c r="N180" i="4"/>
  <c r="N180" i="5" s="1"/>
  <c r="F180" i="4"/>
  <c r="F180" i="5" s="1"/>
  <c r="F180" i="6"/>
  <c r="P180" i="6"/>
  <c r="T180" i="6"/>
  <c r="R180" i="4"/>
  <c r="R180" i="5" s="1"/>
  <c r="D180" i="4"/>
  <c r="D180" i="5" s="1"/>
  <c r="G180" i="4"/>
  <c r="G180" i="5" s="1"/>
  <c r="Q180" i="4"/>
  <c r="Q180" i="5" s="1"/>
  <c r="U180" i="6"/>
  <c r="U180" i="4"/>
  <c r="U180" i="5" s="1"/>
  <c r="M180" i="6"/>
  <c r="S180" i="4"/>
  <c r="S180" i="5" s="1"/>
  <c r="I180" i="4"/>
  <c r="I180" i="5" s="1"/>
  <c r="K180" i="6"/>
  <c r="V180" i="4"/>
  <c r="V180" i="5" s="1"/>
  <c r="D180" i="6"/>
  <c r="H180" i="6"/>
  <c r="J180" i="6"/>
  <c r="V180" i="6"/>
  <c r="L180" i="6"/>
  <c r="L180" i="4"/>
  <c r="L180" i="5" s="1"/>
  <c r="J180" i="4"/>
  <c r="J180" i="5" s="1"/>
  <c r="E180" i="4"/>
  <c r="E180" i="5" s="1"/>
  <c r="M180" i="4"/>
  <c r="M180" i="5" s="1"/>
  <c r="S180" i="6"/>
  <c r="Q180" i="6"/>
  <c r="K180" i="4"/>
  <c r="K180" i="5" s="1"/>
  <c r="G180" i="6"/>
  <c r="I180" i="6"/>
  <c r="E180" i="6"/>
  <c r="E166" i="6"/>
  <c r="U166" i="6"/>
  <c r="Q166" i="6"/>
  <c r="U166" i="4"/>
  <c r="U166" i="5" s="1"/>
  <c r="Q166" i="4"/>
  <c r="Q166" i="5" s="1"/>
  <c r="J166" i="6"/>
  <c r="P166" i="4"/>
  <c r="P166" i="5" s="1"/>
  <c r="H166" i="4"/>
  <c r="H166" i="5" s="1"/>
  <c r="N166" i="6"/>
  <c r="D166" i="4"/>
  <c r="D166" i="5" s="1"/>
  <c r="O166" i="6"/>
  <c r="R166" i="6"/>
  <c r="P166" i="6"/>
  <c r="K166" i="6"/>
  <c r="S166" i="4"/>
  <c r="S166" i="5" s="1"/>
  <c r="I166" i="4"/>
  <c r="I166" i="5" s="1"/>
  <c r="T166" i="4"/>
  <c r="T166" i="5" s="1"/>
  <c r="V166" i="6"/>
  <c r="L166" i="4"/>
  <c r="L166" i="5" s="1"/>
  <c r="M166" i="6"/>
  <c r="O166" i="4"/>
  <c r="O166" i="5" s="1"/>
  <c r="M166" i="4"/>
  <c r="M166" i="5" s="1"/>
  <c r="L166" i="6"/>
  <c r="F166" i="4"/>
  <c r="F166" i="5" s="1"/>
  <c r="D166" i="6"/>
  <c r="K166" i="4"/>
  <c r="K166" i="5" s="1"/>
  <c r="E166" i="4"/>
  <c r="E166" i="5" s="1"/>
  <c r="T166" i="6"/>
  <c r="H166" i="6"/>
  <c r="I166" i="6"/>
  <c r="G166" i="4"/>
  <c r="G166" i="5" s="1"/>
  <c r="V166" i="4"/>
  <c r="V166" i="5" s="1"/>
  <c r="N166" i="4"/>
  <c r="N166" i="5" s="1"/>
  <c r="G166" i="6"/>
  <c r="F166" i="6"/>
  <c r="S166" i="6"/>
  <c r="R166" i="4"/>
  <c r="R166" i="5" s="1"/>
  <c r="J166" i="4"/>
  <c r="J166" i="5" s="1"/>
  <c r="D119" i="6"/>
  <c r="G119" i="6"/>
  <c r="S119" i="6"/>
  <c r="G119" i="4"/>
  <c r="G119" i="5" s="1"/>
  <c r="O119" i="4"/>
  <c r="O119" i="5" s="1"/>
  <c r="E119" i="4"/>
  <c r="E119" i="5" s="1"/>
  <c r="M119" i="4"/>
  <c r="M119" i="5" s="1"/>
  <c r="U119" i="4"/>
  <c r="U119" i="5" s="1"/>
  <c r="K119" i="6"/>
  <c r="M119" i="6"/>
  <c r="V119" i="4"/>
  <c r="V119" i="5" s="1"/>
  <c r="L119" i="4"/>
  <c r="L119" i="5" s="1"/>
  <c r="R119" i="6"/>
  <c r="N119" i="6"/>
  <c r="H119" i="4"/>
  <c r="H119" i="5" s="1"/>
  <c r="L119" i="6"/>
  <c r="R119" i="4"/>
  <c r="R119" i="5" s="1"/>
  <c r="T119" i="6"/>
  <c r="P119" i="6"/>
  <c r="I119" i="6"/>
  <c r="K119" i="4"/>
  <c r="K119" i="5" s="1"/>
  <c r="I119" i="4"/>
  <c r="I119" i="5" s="1"/>
  <c r="U119" i="6"/>
  <c r="E119" i="6"/>
  <c r="F119" i="4"/>
  <c r="F119" i="5" s="1"/>
  <c r="J119" i="4"/>
  <c r="J119" i="5" s="1"/>
  <c r="F119" i="6"/>
  <c r="J119" i="6"/>
  <c r="Q119" i="6"/>
  <c r="D119" i="4"/>
  <c r="D119" i="5" s="1"/>
  <c r="S119" i="4"/>
  <c r="S119" i="5" s="1"/>
  <c r="Q119" i="4"/>
  <c r="Q119" i="5" s="1"/>
  <c r="O119" i="6"/>
  <c r="P119" i="4"/>
  <c r="P119" i="5" s="1"/>
  <c r="N119" i="4"/>
  <c r="N119" i="5" s="1"/>
  <c r="H119" i="6"/>
  <c r="T119" i="4"/>
  <c r="T119" i="5" s="1"/>
  <c r="V119" i="6"/>
  <c r="S19" i="4"/>
  <c r="S19" i="5" s="1"/>
  <c r="L19" i="6"/>
  <c r="F19" i="4"/>
  <c r="F19" i="5" s="1"/>
  <c r="P19" i="4"/>
  <c r="P19" i="5" s="1"/>
  <c r="R19" i="6"/>
  <c r="H19" i="6"/>
  <c r="J19" i="4"/>
  <c r="J19" i="5" s="1"/>
  <c r="D19" i="6"/>
  <c r="E19" i="6"/>
  <c r="R19" i="4"/>
  <c r="R19" i="5" s="1"/>
  <c r="F19" i="6"/>
  <c r="T19" i="4"/>
  <c r="T19" i="5" s="1"/>
  <c r="P19" i="6"/>
  <c r="L19" i="4"/>
  <c r="L19" i="5" s="1"/>
  <c r="E428" i="6"/>
  <c r="E428" i="4"/>
  <c r="E428" i="5" s="1"/>
  <c r="U428" i="6"/>
  <c r="Q428" i="4"/>
  <c r="Q428" i="5" s="1"/>
  <c r="P255" i="4"/>
  <c r="P255" i="5" s="1"/>
  <c r="P290" i="6"/>
  <c r="H331" i="6"/>
  <c r="H314" i="4"/>
  <c r="H314" i="5" s="1"/>
  <c r="F222" i="4"/>
  <c r="F222" i="5" s="1"/>
  <c r="E370" i="6"/>
  <c r="E370" i="4"/>
  <c r="E370" i="5" s="1"/>
  <c r="I537" i="6"/>
  <c r="P537" i="4"/>
  <c r="P537" i="5" s="1"/>
  <c r="G537" i="6"/>
  <c r="P537" i="6"/>
  <c r="T537" i="4"/>
  <c r="T537" i="5" s="1"/>
  <c r="J537" i="6"/>
  <c r="R537" i="4"/>
  <c r="R537" i="5" s="1"/>
  <c r="I537" i="4"/>
  <c r="I537" i="5" s="1"/>
  <c r="O537" i="6"/>
  <c r="D537" i="4"/>
  <c r="D537" i="5" s="1"/>
  <c r="T537" i="6"/>
  <c r="L537" i="4"/>
  <c r="L537" i="5" s="1"/>
  <c r="R542" i="6"/>
  <c r="N542" i="6"/>
  <c r="E542" i="4"/>
  <c r="E542" i="5" s="1"/>
  <c r="J542" i="4"/>
  <c r="J542" i="5" s="1"/>
  <c r="I542" i="4"/>
  <c r="I542" i="5" s="1"/>
  <c r="O542" i="4"/>
  <c r="O542" i="5" s="1"/>
  <c r="V507" i="6"/>
  <c r="M507" i="4"/>
  <c r="M507" i="5" s="1"/>
  <c r="S507" i="6"/>
  <c r="P507" i="6"/>
  <c r="D507" i="6"/>
  <c r="Q525" i="4"/>
  <c r="Q525" i="5" s="1"/>
  <c r="P525" i="4"/>
  <c r="P525" i="5" s="1"/>
  <c r="S525" i="4"/>
  <c r="S525" i="5" s="1"/>
  <c r="F529" i="6"/>
  <c r="I529" i="4"/>
  <c r="I529" i="5" s="1"/>
  <c r="O529" i="6"/>
  <c r="P529" i="4"/>
  <c r="P529" i="5" s="1"/>
  <c r="S529" i="6"/>
  <c r="E529" i="6"/>
  <c r="Q529" i="4"/>
  <c r="Q529" i="5" s="1"/>
  <c r="V529" i="4"/>
  <c r="V529" i="5" s="1"/>
  <c r="S464" i="4"/>
  <c r="S464" i="5" s="1"/>
  <c r="D464" i="6"/>
  <c r="K464" i="6"/>
  <c r="I464" i="6"/>
  <c r="P464" i="4"/>
  <c r="P464" i="5" s="1"/>
  <c r="E464" i="6"/>
  <c r="S464" i="6"/>
  <c r="H464" i="6"/>
  <c r="P464" i="6"/>
  <c r="F464" i="6"/>
  <c r="N464" i="6"/>
  <c r="V464" i="6"/>
  <c r="J464" i="4"/>
  <c r="J464" i="5" s="1"/>
  <c r="V464" i="4"/>
  <c r="V464" i="5" s="1"/>
  <c r="U464" i="4"/>
  <c r="U464" i="5" s="1"/>
  <c r="M464" i="4"/>
  <c r="M464" i="5" s="1"/>
  <c r="E464" i="4"/>
  <c r="E464" i="5" s="1"/>
  <c r="L464" i="4"/>
  <c r="L464" i="5" s="1"/>
  <c r="O464" i="4"/>
  <c r="O464" i="5" s="1"/>
  <c r="M464" i="6"/>
  <c r="R464" i="4"/>
  <c r="R464" i="5" s="1"/>
  <c r="U464" i="6"/>
  <c r="L464" i="6"/>
  <c r="J464" i="6"/>
  <c r="H464" i="4"/>
  <c r="H464" i="5" s="1"/>
  <c r="F464" i="4"/>
  <c r="F464" i="5" s="1"/>
  <c r="I464" i="4"/>
  <c r="I464" i="5" s="1"/>
  <c r="N464" i="4"/>
  <c r="N464" i="5" s="1"/>
  <c r="D464" i="4"/>
  <c r="D464" i="5" s="1"/>
  <c r="Q464" i="6"/>
  <c r="G464" i="6"/>
  <c r="O464" i="6"/>
  <c r="T464" i="6"/>
  <c r="R464" i="6"/>
  <c r="T464" i="4"/>
  <c r="T464" i="5" s="1"/>
  <c r="Q464" i="4"/>
  <c r="Q464" i="5" s="1"/>
  <c r="K464" i="4"/>
  <c r="K464" i="5" s="1"/>
  <c r="G464" i="4"/>
  <c r="G464" i="5" s="1"/>
  <c r="D398" i="6"/>
  <c r="M398" i="4"/>
  <c r="M398" i="5" s="1"/>
  <c r="I398" i="4"/>
  <c r="I398" i="5" s="1"/>
  <c r="O398" i="6"/>
  <c r="O398" i="4"/>
  <c r="O398" i="5" s="1"/>
  <c r="E398" i="4"/>
  <c r="E398" i="5" s="1"/>
  <c r="Q398" i="6"/>
  <c r="S398" i="6"/>
  <c r="S398" i="4"/>
  <c r="S398" i="5" s="1"/>
  <c r="F398" i="4"/>
  <c r="F398" i="5" s="1"/>
  <c r="V398" i="4"/>
  <c r="V398" i="5" s="1"/>
  <c r="N398" i="6"/>
  <c r="J398" i="6"/>
  <c r="L398" i="4"/>
  <c r="L398" i="5" s="1"/>
  <c r="R398" i="6"/>
  <c r="H398" i="4"/>
  <c r="H398" i="5" s="1"/>
  <c r="P398" i="6"/>
  <c r="F398" i="6"/>
  <c r="M398" i="6"/>
  <c r="D398" i="4"/>
  <c r="D398" i="5" s="1"/>
  <c r="I398" i="6"/>
  <c r="U398" i="6"/>
  <c r="G398" i="6"/>
  <c r="G398" i="4"/>
  <c r="G398" i="5" s="1"/>
  <c r="U398" i="4"/>
  <c r="U398" i="5" s="1"/>
  <c r="E398" i="6"/>
  <c r="K398" i="6"/>
  <c r="K398" i="4"/>
  <c r="K398" i="5" s="1"/>
  <c r="T398" i="4"/>
  <c r="T398" i="5" s="1"/>
  <c r="N398" i="4"/>
  <c r="N398" i="5" s="1"/>
  <c r="J398" i="4"/>
  <c r="J398" i="5" s="1"/>
  <c r="H398" i="6"/>
  <c r="P398" i="4"/>
  <c r="P398" i="5" s="1"/>
  <c r="V398" i="6"/>
  <c r="L398" i="6"/>
  <c r="R398" i="4"/>
  <c r="R398" i="5" s="1"/>
  <c r="T398" i="6"/>
  <c r="Q398" i="4"/>
  <c r="Q398" i="5" s="1"/>
  <c r="R347" i="4"/>
  <c r="R347" i="5" s="1"/>
  <c r="P347" i="4"/>
  <c r="P347" i="5" s="1"/>
  <c r="D347" i="4"/>
  <c r="D347" i="5" s="1"/>
  <c r="T347" i="4"/>
  <c r="T347" i="5" s="1"/>
  <c r="N347" i="4"/>
  <c r="N347" i="5" s="1"/>
  <c r="D347" i="6"/>
  <c r="L347" i="6"/>
  <c r="T347" i="6"/>
  <c r="J347" i="6"/>
  <c r="R347" i="6"/>
  <c r="G347" i="4"/>
  <c r="G347" i="5" s="1"/>
  <c r="S347" i="4"/>
  <c r="S347" i="5" s="1"/>
  <c r="E347" i="4"/>
  <c r="E347" i="5" s="1"/>
  <c r="I347" i="6"/>
  <c r="S347" i="6"/>
  <c r="Q347" i="4"/>
  <c r="Q347" i="5" s="1"/>
  <c r="M347" i="6"/>
  <c r="M347" i="4"/>
  <c r="M347" i="5" s="1"/>
  <c r="U347" i="6"/>
  <c r="J347" i="4"/>
  <c r="J347" i="5" s="1"/>
  <c r="L347" i="4"/>
  <c r="L347" i="5" s="1"/>
  <c r="V347" i="4"/>
  <c r="V347" i="5" s="1"/>
  <c r="P347" i="6"/>
  <c r="N347" i="6"/>
  <c r="O347" i="4"/>
  <c r="O347" i="5" s="1"/>
  <c r="E347" i="6"/>
  <c r="I347" i="4"/>
  <c r="I347" i="5" s="1"/>
  <c r="G347" i="6"/>
  <c r="O347" i="6"/>
  <c r="H347" i="4"/>
  <c r="H347" i="5" s="1"/>
  <c r="F347" i="4"/>
  <c r="F347" i="5" s="1"/>
  <c r="H347" i="6"/>
  <c r="F347" i="6"/>
  <c r="V347" i="6"/>
  <c r="K347" i="6"/>
  <c r="K347" i="4"/>
  <c r="K347" i="5" s="1"/>
  <c r="Q347" i="6"/>
  <c r="U347" i="4"/>
  <c r="U347" i="5" s="1"/>
  <c r="N327" i="6"/>
  <c r="L327" i="6"/>
  <c r="L327" i="4"/>
  <c r="L327" i="5" s="1"/>
  <c r="T327" i="4"/>
  <c r="T327" i="5" s="1"/>
  <c r="P327" i="6"/>
  <c r="G327" i="6"/>
  <c r="K327" i="4"/>
  <c r="K327" i="5" s="1"/>
  <c r="S327" i="6"/>
  <c r="G327" i="4"/>
  <c r="G327" i="5" s="1"/>
  <c r="I327" i="6"/>
  <c r="E327" i="6"/>
  <c r="U327" i="6"/>
  <c r="O327" i="4"/>
  <c r="O327" i="5" s="1"/>
  <c r="S327" i="4"/>
  <c r="S327" i="5" s="1"/>
  <c r="N327" i="4"/>
  <c r="N327" i="5" s="1"/>
  <c r="V327" i="4"/>
  <c r="V327" i="5" s="1"/>
  <c r="D327" i="4"/>
  <c r="D327" i="5" s="1"/>
  <c r="D327" i="6"/>
  <c r="P327" i="4"/>
  <c r="P327" i="5" s="1"/>
  <c r="M327" i="4"/>
  <c r="M327" i="5" s="1"/>
  <c r="E327" i="4"/>
  <c r="E327" i="5" s="1"/>
  <c r="I327" i="4"/>
  <c r="I327" i="5" s="1"/>
  <c r="M327" i="6"/>
  <c r="J327" i="4"/>
  <c r="J327" i="5" s="1"/>
  <c r="F327" i="4"/>
  <c r="F327" i="5" s="1"/>
  <c r="T327" i="6"/>
  <c r="U327" i="4"/>
  <c r="U327" i="5" s="1"/>
  <c r="Q327" i="4"/>
  <c r="Q327" i="5" s="1"/>
  <c r="Q327" i="6"/>
  <c r="O327" i="6"/>
  <c r="K327" i="6"/>
  <c r="J327" i="6"/>
  <c r="G300" i="6"/>
  <c r="Q300" i="6"/>
  <c r="U300" i="6"/>
  <c r="N300" i="6"/>
  <c r="N300" i="4"/>
  <c r="N300" i="5" s="1"/>
  <c r="L300" i="4"/>
  <c r="L300" i="5" s="1"/>
  <c r="R300" i="6"/>
  <c r="H300" i="6"/>
  <c r="R300" i="4"/>
  <c r="R300" i="5" s="1"/>
  <c r="V300" i="6"/>
  <c r="O300" i="4"/>
  <c r="O300" i="5" s="1"/>
  <c r="D300" i="6"/>
  <c r="S300" i="4"/>
  <c r="S300" i="5" s="1"/>
  <c r="U300" i="4"/>
  <c r="U300" i="5" s="1"/>
  <c r="D300" i="4"/>
  <c r="D300" i="5" s="1"/>
  <c r="Q300" i="4"/>
  <c r="Q300" i="5" s="1"/>
  <c r="H300" i="4"/>
  <c r="H300" i="5" s="1"/>
  <c r="J300" i="4"/>
  <c r="J300" i="5" s="1"/>
  <c r="V300" i="4"/>
  <c r="V300" i="5" s="1"/>
  <c r="T300" i="4"/>
  <c r="T300" i="5" s="1"/>
  <c r="K300" i="6"/>
  <c r="K300" i="4"/>
  <c r="K300" i="5" s="1"/>
  <c r="E300" i="4"/>
  <c r="E300" i="5" s="1"/>
  <c r="I300" i="6"/>
  <c r="I300" i="4"/>
  <c r="I300" i="5" s="1"/>
  <c r="E300" i="6"/>
  <c r="J300" i="6"/>
  <c r="L300" i="6"/>
  <c r="S300" i="6"/>
  <c r="G300" i="4"/>
  <c r="G300" i="5" s="1"/>
  <c r="O300" i="6"/>
  <c r="M263" i="4"/>
  <c r="M263" i="5" s="1"/>
  <c r="Q263" i="6"/>
  <c r="I263" i="4"/>
  <c r="I263" i="5" s="1"/>
  <c r="K263" i="4"/>
  <c r="K263" i="5" s="1"/>
  <c r="U263" i="6"/>
  <c r="D263" i="4"/>
  <c r="D263" i="5" s="1"/>
  <c r="H263" i="6"/>
  <c r="V263" i="6"/>
  <c r="R263" i="6"/>
  <c r="R263" i="4"/>
  <c r="R263" i="5" s="1"/>
  <c r="O263" i="6"/>
  <c r="N263" i="4"/>
  <c r="N263" i="5" s="1"/>
  <c r="L263" i="4"/>
  <c r="L263" i="5" s="1"/>
  <c r="F263" i="6"/>
  <c r="G263" i="4"/>
  <c r="G263" i="5" s="1"/>
  <c r="E263" i="4"/>
  <c r="E263" i="5" s="1"/>
  <c r="M263" i="6"/>
  <c r="E263" i="6"/>
  <c r="V263" i="4"/>
  <c r="V263" i="5" s="1"/>
  <c r="J263" i="4"/>
  <c r="J263" i="5" s="1"/>
  <c r="O263" i="4"/>
  <c r="O263" i="5" s="1"/>
  <c r="N263" i="6"/>
  <c r="U263" i="4"/>
  <c r="U263" i="5" s="1"/>
  <c r="I263" i="6"/>
  <c r="Q263" i="4"/>
  <c r="Q263" i="5" s="1"/>
  <c r="K263" i="6"/>
  <c r="J263" i="6"/>
  <c r="L263" i="6"/>
  <c r="D263" i="6"/>
  <c r="F263" i="4"/>
  <c r="F263" i="5" s="1"/>
  <c r="G263" i="6"/>
  <c r="U255" i="6"/>
  <c r="M255" i="6"/>
  <c r="E255" i="6"/>
  <c r="R255" i="6"/>
  <c r="O255" i="6"/>
  <c r="G255" i="6"/>
  <c r="U255" i="4"/>
  <c r="U255" i="5" s="1"/>
  <c r="Q255" i="4"/>
  <c r="Q255" i="5" s="1"/>
  <c r="M255" i="4"/>
  <c r="M255" i="5" s="1"/>
  <c r="I255" i="4"/>
  <c r="I255" i="5" s="1"/>
  <c r="E255" i="4"/>
  <c r="E255" i="5" s="1"/>
  <c r="F255" i="6"/>
  <c r="R255" i="4"/>
  <c r="R255" i="5" s="1"/>
  <c r="J255" i="4"/>
  <c r="J255" i="5" s="1"/>
  <c r="F255" i="4"/>
  <c r="F255" i="5" s="1"/>
  <c r="L255" i="4"/>
  <c r="L255" i="5" s="1"/>
  <c r="N255" i="4"/>
  <c r="N255" i="5" s="1"/>
  <c r="Q255" i="6"/>
  <c r="D255" i="4"/>
  <c r="D255" i="5" s="1"/>
  <c r="K255" i="6"/>
  <c r="S255" i="4"/>
  <c r="S255" i="5" s="1"/>
  <c r="K255" i="4"/>
  <c r="K255" i="5" s="1"/>
  <c r="L255" i="6"/>
  <c r="N255" i="6"/>
  <c r="V255" i="4"/>
  <c r="V255" i="5" s="1"/>
  <c r="D255" i="6"/>
  <c r="I255" i="6"/>
  <c r="S255" i="6"/>
  <c r="O255" i="4"/>
  <c r="O255" i="5" s="1"/>
  <c r="G255" i="4"/>
  <c r="G255" i="5" s="1"/>
  <c r="V255" i="6"/>
  <c r="H255" i="6"/>
  <c r="J255" i="6"/>
  <c r="E247" i="4"/>
  <c r="E247" i="5" s="1"/>
  <c r="U247" i="4"/>
  <c r="U247" i="5" s="1"/>
  <c r="D247" i="4"/>
  <c r="D247" i="5" s="1"/>
  <c r="G247" i="6"/>
  <c r="G247" i="4"/>
  <c r="G247" i="5" s="1"/>
  <c r="S247" i="6"/>
  <c r="S247" i="4"/>
  <c r="S247" i="5" s="1"/>
  <c r="R247" i="6"/>
  <c r="P247" i="6"/>
  <c r="M247" i="4"/>
  <c r="M247" i="5" s="1"/>
  <c r="V247" i="4"/>
  <c r="V247" i="5" s="1"/>
  <c r="F247" i="6"/>
  <c r="Q247" i="4"/>
  <c r="Q247" i="5" s="1"/>
  <c r="I247" i="6"/>
  <c r="V247" i="6"/>
  <c r="F247" i="4"/>
  <c r="F247" i="5" s="1"/>
  <c r="R247" i="4"/>
  <c r="R247" i="5" s="1"/>
  <c r="Q247" i="6"/>
  <c r="I247" i="4"/>
  <c r="I247" i="5" s="1"/>
  <c r="O247" i="4"/>
  <c r="O247" i="5" s="1"/>
  <c r="K247" i="6"/>
  <c r="J247" i="4"/>
  <c r="J247" i="5" s="1"/>
  <c r="T247" i="4"/>
  <c r="T247" i="5" s="1"/>
  <c r="J247" i="6"/>
  <c r="T247" i="6"/>
  <c r="L247" i="4"/>
  <c r="L247" i="5" s="1"/>
  <c r="E247" i="6"/>
  <c r="O247" i="6"/>
  <c r="U247" i="6"/>
  <c r="K247" i="4"/>
  <c r="K247" i="5" s="1"/>
  <c r="D247" i="6"/>
  <c r="N247" i="6"/>
  <c r="M247" i="6"/>
  <c r="N247" i="4"/>
  <c r="N247" i="5" s="1"/>
  <c r="L247" i="6"/>
  <c r="V184" i="6"/>
  <c r="D184" i="6"/>
  <c r="O184" i="6"/>
  <c r="I184" i="6"/>
  <c r="J184" i="4"/>
  <c r="J184" i="5" s="1"/>
  <c r="M184" i="6"/>
  <c r="N184" i="4"/>
  <c r="N184" i="5" s="1"/>
  <c r="P184" i="4"/>
  <c r="P184" i="5" s="1"/>
  <c r="Q184" i="4"/>
  <c r="Q184" i="5" s="1"/>
  <c r="J184" i="6"/>
  <c r="F184" i="6"/>
  <c r="I184" i="4"/>
  <c r="I184" i="5" s="1"/>
  <c r="U184" i="4"/>
  <c r="U184" i="5" s="1"/>
  <c r="K184" i="4"/>
  <c r="K184" i="5" s="1"/>
  <c r="E184" i="4"/>
  <c r="E184" i="5" s="1"/>
  <c r="R184" i="4"/>
  <c r="R184" i="5" s="1"/>
  <c r="G184" i="4"/>
  <c r="G184" i="5" s="1"/>
  <c r="S184" i="6"/>
  <c r="M184" i="4"/>
  <c r="M184" i="5" s="1"/>
  <c r="T184" i="4"/>
  <c r="T184" i="5" s="1"/>
  <c r="V184" i="4"/>
  <c r="V184" i="5" s="1"/>
  <c r="P184" i="6"/>
  <c r="F184" i="4"/>
  <c r="F184" i="5" s="1"/>
  <c r="N184" i="6"/>
  <c r="U184" i="6"/>
  <c r="T184" i="6"/>
  <c r="O184" i="4"/>
  <c r="O184" i="5" s="1"/>
  <c r="D184" i="4"/>
  <c r="D184" i="5" s="1"/>
  <c r="L184" i="4"/>
  <c r="L184" i="5" s="1"/>
  <c r="H184" i="6"/>
  <c r="Q184" i="6"/>
  <c r="G184" i="6"/>
  <c r="S184" i="4"/>
  <c r="S184" i="5" s="1"/>
  <c r="R184" i="6"/>
  <c r="H184" i="4"/>
  <c r="H184" i="5" s="1"/>
  <c r="K184" i="6"/>
  <c r="E184" i="6"/>
  <c r="L184" i="6"/>
  <c r="H176" i="6"/>
  <c r="D176" i="6"/>
  <c r="N176" i="6"/>
  <c r="F176" i="4"/>
  <c r="F176" i="5" s="1"/>
  <c r="F176" i="6"/>
  <c r="H176" i="4"/>
  <c r="H176" i="5" s="1"/>
  <c r="L176" i="4"/>
  <c r="L176" i="5" s="1"/>
  <c r="J176" i="4"/>
  <c r="J176" i="5" s="1"/>
  <c r="R176" i="4"/>
  <c r="R176" i="5" s="1"/>
  <c r="K176" i="6"/>
  <c r="E176" i="6"/>
  <c r="U176" i="6"/>
  <c r="I176" i="4"/>
  <c r="I176" i="5" s="1"/>
  <c r="S176" i="6"/>
  <c r="O176" i="4"/>
  <c r="O176" i="5" s="1"/>
  <c r="Q176" i="6"/>
  <c r="I176" i="6"/>
  <c r="M176" i="4"/>
  <c r="M176" i="5" s="1"/>
  <c r="K176" i="4"/>
  <c r="K176" i="5" s="1"/>
  <c r="R176" i="6"/>
  <c r="T176" i="6"/>
  <c r="J176" i="6"/>
  <c r="L176" i="6"/>
  <c r="D176" i="4"/>
  <c r="D176" i="5" s="1"/>
  <c r="T176" i="4"/>
  <c r="T176" i="5" s="1"/>
  <c r="V176" i="4"/>
  <c r="V176" i="5" s="1"/>
  <c r="N176" i="4"/>
  <c r="N176" i="5" s="1"/>
  <c r="V176" i="6"/>
  <c r="O176" i="6"/>
  <c r="M176" i="6"/>
  <c r="P176" i="4"/>
  <c r="P176" i="5" s="1"/>
  <c r="S176" i="4"/>
  <c r="S176" i="5" s="1"/>
  <c r="G176" i="4"/>
  <c r="G176" i="5" s="1"/>
  <c r="U176" i="4"/>
  <c r="U176" i="5" s="1"/>
  <c r="P176" i="6"/>
  <c r="G176" i="6"/>
  <c r="Q176" i="4"/>
  <c r="Q176" i="5" s="1"/>
  <c r="E176" i="4"/>
  <c r="E176" i="5" s="1"/>
  <c r="S131" i="4"/>
  <c r="S131" i="5" s="1"/>
  <c r="P131" i="4"/>
  <c r="P131" i="5" s="1"/>
  <c r="J131" i="4"/>
  <c r="J131" i="5" s="1"/>
  <c r="U131" i="4"/>
  <c r="U131" i="5" s="1"/>
  <c r="S131" i="6"/>
  <c r="G131" i="6"/>
  <c r="N131" i="6"/>
  <c r="U131" i="6"/>
  <c r="O131" i="6"/>
  <c r="J131" i="6"/>
  <c r="L131" i="6"/>
  <c r="M131" i="4"/>
  <c r="M131" i="5" s="1"/>
  <c r="H131" i="4"/>
  <c r="H131" i="5" s="1"/>
  <c r="O131" i="4"/>
  <c r="O131" i="5" s="1"/>
  <c r="R131" i="4"/>
  <c r="R131" i="5" s="1"/>
  <c r="F131" i="6"/>
  <c r="H131" i="6"/>
  <c r="M131" i="6"/>
  <c r="D131" i="6"/>
  <c r="Q131" i="4"/>
  <c r="Q131" i="5" s="1"/>
  <c r="I131" i="6"/>
  <c r="V131" i="6"/>
  <c r="K131" i="6"/>
  <c r="T131" i="6"/>
  <c r="I131" i="4"/>
  <c r="I131" i="5" s="1"/>
  <c r="D131" i="4"/>
  <c r="D131" i="5" s="1"/>
  <c r="P131" i="6"/>
  <c r="L131" i="4"/>
  <c r="L131" i="5" s="1"/>
  <c r="K131" i="4"/>
  <c r="K131" i="5" s="1"/>
  <c r="N131" i="4"/>
  <c r="N131" i="5" s="1"/>
  <c r="Q131" i="6"/>
  <c r="F131" i="4"/>
  <c r="F131" i="5" s="1"/>
  <c r="R131" i="6"/>
  <c r="E131" i="4"/>
  <c r="E131" i="5" s="1"/>
  <c r="G131" i="4"/>
  <c r="G131" i="5" s="1"/>
  <c r="T131" i="4"/>
  <c r="T131" i="5" s="1"/>
  <c r="E131" i="6"/>
  <c r="V131" i="4"/>
  <c r="V131" i="5" s="1"/>
  <c r="O115" i="6"/>
  <c r="I115" i="6"/>
  <c r="D115" i="4"/>
  <c r="D115" i="5" s="1"/>
  <c r="K115" i="4"/>
  <c r="K115" i="5" s="1"/>
  <c r="S115" i="4"/>
  <c r="S115" i="5" s="1"/>
  <c r="I115" i="4"/>
  <c r="I115" i="5" s="1"/>
  <c r="Q115" i="4"/>
  <c r="Q115" i="5" s="1"/>
  <c r="S115" i="6"/>
  <c r="Q115" i="6"/>
  <c r="M115" i="6"/>
  <c r="L115" i="4"/>
  <c r="L115" i="5" s="1"/>
  <c r="P115" i="6"/>
  <c r="F115" i="4"/>
  <c r="F115" i="5" s="1"/>
  <c r="P115" i="4"/>
  <c r="P115" i="5" s="1"/>
  <c r="V115" i="4"/>
  <c r="V115" i="5" s="1"/>
  <c r="N115" i="6"/>
  <c r="H115" i="6"/>
  <c r="T115" i="6"/>
  <c r="J115" i="6"/>
  <c r="G115" i="6"/>
  <c r="G115" i="4"/>
  <c r="G115" i="5" s="1"/>
  <c r="E115" i="4"/>
  <c r="E115" i="5" s="1"/>
  <c r="U115" i="4"/>
  <c r="U115" i="5" s="1"/>
  <c r="U115" i="6"/>
  <c r="J115" i="4"/>
  <c r="J115" i="5" s="1"/>
  <c r="F115" i="6"/>
  <c r="V115" i="6"/>
  <c r="L115" i="6"/>
  <c r="D115" i="6"/>
  <c r="E115" i="6"/>
  <c r="O115" i="4"/>
  <c r="O115" i="5" s="1"/>
  <c r="M115" i="4"/>
  <c r="M115" i="5" s="1"/>
  <c r="K115" i="6"/>
  <c r="R115" i="4"/>
  <c r="R115" i="5" s="1"/>
  <c r="N115" i="4"/>
  <c r="N115" i="5" s="1"/>
  <c r="R115" i="6"/>
  <c r="T115" i="4"/>
  <c r="T115" i="5" s="1"/>
  <c r="H115" i="4"/>
  <c r="H115" i="5" s="1"/>
  <c r="U32" i="4"/>
  <c r="U32" i="5" s="1"/>
  <c r="J32" i="6"/>
  <c r="R32" i="4"/>
  <c r="R32" i="5" s="1"/>
  <c r="D32" i="6"/>
  <c r="N32" i="6"/>
  <c r="V32" i="6"/>
  <c r="N32" i="4"/>
  <c r="N32" i="5" s="1"/>
  <c r="L32" i="4"/>
  <c r="L32" i="5" s="1"/>
  <c r="M32" i="6"/>
  <c r="I32" i="4"/>
  <c r="I32" i="5" s="1"/>
  <c r="J32" i="4"/>
  <c r="J32" i="5" s="1"/>
  <c r="U32" i="6"/>
  <c r="O32" i="6"/>
  <c r="E32" i="6"/>
  <c r="M32" i="4"/>
  <c r="M32" i="5" s="1"/>
  <c r="R32" i="6"/>
  <c r="G32" i="6"/>
  <c r="I32" i="6"/>
  <c r="G32" i="4"/>
  <c r="G32" i="5" s="1"/>
  <c r="T32" i="4"/>
  <c r="T32" i="5" s="1"/>
  <c r="V32" i="4"/>
  <c r="V32" i="5" s="1"/>
  <c r="F32" i="4"/>
  <c r="F32" i="5" s="1"/>
  <c r="F32" i="6"/>
  <c r="Q32" i="6"/>
  <c r="L32" i="6"/>
  <c r="O32" i="4"/>
  <c r="O32" i="5" s="1"/>
  <c r="D32" i="4"/>
  <c r="D32" i="5" s="1"/>
  <c r="Q32" i="4"/>
  <c r="Q32" i="5" s="1"/>
  <c r="N424" i="6"/>
  <c r="R424" i="4"/>
  <c r="R424" i="5" s="1"/>
  <c r="J424" i="4"/>
  <c r="J424" i="5" s="1"/>
  <c r="V424" i="6"/>
  <c r="H424" i="4"/>
  <c r="H424" i="5" s="1"/>
  <c r="R424" i="6"/>
  <c r="I424" i="4"/>
  <c r="I424" i="5" s="1"/>
  <c r="G424" i="6"/>
  <c r="M424" i="6"/>
  <c r="O424" i="4"/>
  <c r="O424" i="5" s="1"/>
  <c r="U424" i="4"/>
  <c r="U424" i="5" s="1"/>
  <c r="Q424" i="6"/>
  <c r="E424" i="4"/>
  <c r="E424" i="5" s="1"/>
  <c r="S424" i="4"/>
  <c r="S424" i="5" s="1"/>
  <c r="K424" i="4"/>
  <c r="K424" i="5" s="1"/>
  <c r="J424" i="6"/>
  <c r="H424" i="6"/>
  <c r="P424" i="6"/>
  <c r="N424" i="4"/>
  <c r="N424" i="5" s="1"/>
  <c r="F424" i="4"/>
  <c r="F424" i="5" s="1"/>
  <c r="F424" i="6"/>
  <c r="D424" i="4"/>
  <c r="D424" i="5" s="1"/>
  <c r="D424" i="6"/>
  <c r="E424" i="6"/>
  <c r="O424" i="6"/>
  <c r="Q424" i="4"/>
  <c r="Q424" i="5" s="1"/>
  <c r="M424" i="4"/>
  <c r="M424" i="5" s="1"/>
  <c r="U424" i="6"/>
  <c r="K424" i="6"/>
  <c r="I424" i="6"/>
  <c r="S424" i="6"/>
  <c r="G424" i="4"/>
  <c r="G424" i="5" s="1"/>
  <c r="V327" i="6"/>
  <c r="T263" i="4"/>
  <c r="T263" i="5" s="1"/>
  <c r="R327" i="6"/>
  <c r="P247" i="4"/>
  <c r="P247" i="5" s="1"/>
  <c r="P263" i="6"/>
  <c r="P32" i="4"/>
  <c r="P32" i="5" s="1"/>
  <c r="H247" i="4"/>
  <c r="H247" i="5" s="1"/>
  <c r="H263" i="4"/>
  <c r="H263" i="5" s="1"/>
  <c r="F327" i="6"/>
  <c r="H138" i="2"/>
  <c r="G156" i="2"/>
  <c r="J40" i="2"/>
  <c r="J67" i="2" s="1"/>
  <c r="K381" i="3"/>
  <c r="C46" i="2"/>
  <c r="C73" i="2" s="1"/>
  <c r="P8" i="3"/>
  <c r="C45" i="2"/>
  <c r="C72" i="2" s="1"/>
  <c r="S549" i="1"/>
  <c r="T549" i="3" s="1"/>
  <c r="T492" i="3"/>
  <c r="K41" i="2"/>
  <c r="K68" i="2" s="1"/>
  <c r="L431" i="3"/>
  <c r="L213" i="3"/>
  <c r="E41" i="2"/>
  <c r="E68" i="2" s="1"/>
  <c r="T8" i="3"/>
  <c r="F431" i="3"/>
  <c r="K35" i="2"/>
  <c r="K62" i="2" s="1"/>
  <c r="M63" i="6"/>
  <c r="E34" i="2"/>
  <c r="E61" i="2" s="1"/>
  <c r="E213" i="3"/>
  <c r="K213" i="3"/>
  <c r="E40" i="2"/>
  <c r="E67" i="2" s="1"/>
  <c r="D169" i="3"/>
  <c r="S169" i="6" s="1"/>
  <c r="E405" i="7"/>
  <c r="E397" i="7" s="1"/>
  <c r="N226" i="6"/>
  <c r="E431" i="3"/>
  <c r="K34" i="2"/>
  <c r="K61" i="2" s="1"/>
  <c r="Q79" i="4"/>
  <c r="Q79" i="5" s="1"/>
  <c r="G79" i="6"/>
  <c r="D79" i="4"/>
  <c r="D79" i="5" s="1"/>
  <c r="G79" i="4"/>
  <c r="G79" i="5" s="1"/>
  <c r="U79" i="4"/>
  <c r="U79" i="5" s="1"/>
  <c r="U79" i="6"/>
  <c r="T79" i="4"/>
  <c r="T79" i="5" s="1"/>
  <c r="R79" i="4"/>
  <c r="R79" i="5" s="1"/>
  <c r="F79" i="4"/>
  <c r="F79" i="5" s="1"/>
  <c r="H79" i="4"/>
  <c r="H79" i="5" s="1"/>
  <c r="K79" i="6"/>
  <c r="T79" i="6"/>
  <c r="R79" i="6"/>
  <c r="H79" i="6"/>
  <c r="N79" i="6"/>
  <c r="E79" i="6"/>
  <c r="M79" i="6"/>
  <c r="J79" i="6"/>
  <c r="V79" i="4"/>
  <c r="V79" i="5" s="1"/>
  <c r="L79" i="6"/>
  <c r="M79" i="4"/>
  <c r="M79" i="5" s="1"/>
  <c r="K79" i="4"/>
  <c r="K79" i="5" s="1"/>
  <c r="N79" i="4"/>
  <c r="N79" i="5" s="1"/>
  <c r="L79" i="4"/>
  <c r="L79" i="5" s="1"/>
  <c r="D79" i="6"/>
  <c r="Q79" i="6"/>
  <c r="E79" i="4"/>
  <c r="E79" i="5" s="1"/>
  <c r="J79" i="4"/>
  <c r="J79" i="5" s="1"/>
  <c r="F79" i="6"/>
  <c r="V79" i="6"/>
  <c r="E226" i="4"/>
  <c r="E226" i="5" s="1"/>
  <c r="I213" i="3"/>
  <c r="E38" i="2"/>
  <c r="E65" i="2" s="1"/>
  <c r="T46" i="2"/>
  <c r="R73" i="2"/>
  <c r="M492" i="3"/>
  <c r="L535" i="1"/>
  <c r="H41" i="2"/>
  <c r="H68" i="2" s="1"/>
  <c r="L293" i="3"/>
  <c r="M381" i="3"/>
  <c r="J42" i="2"/>
  <c r="J69" i="2" s="1"/>
  <c r="T42" i="2"/>
  <c r="X42" i="2" s="1"/>
  <c r="E42" i="2"/>
  <c r="E69" i="2" s="1"/>
  <c r="M213" i="3"/>
  <c r="H42" i="2"/>
  <c r="H69" i="2" s="1"/>
  <c r="M293" i="3"/>
  <c r="X43" i="2"/>
  <c r="X70" i="2" s="1"/>
  <c r="T213" i="3"/>
  <c r="F293" i="3"/>
  <c r="H35" i="2"/>
  <c r="H62" i="2" s="1"/>
  <c r="N455" i="6"/>
  <c r="K455" i="6"/>
  <c r="O455" i="6"/>
  <c r="M455" i="6"/>
  <c r="V455" i="4"/>
  <c r="V455" i="5" s="1"/>
  <c r="T41" i="2"/>
  <c r="R68" i="2"/>
  <c r="T76" i="2"/>
  <c r="C40" i="2"/>
  <c r="C67" i="2" s="1"/>
  <c r="K8" i="3"/>
  <c r="I79" i="6"/>
  <c r="L63" i="6"/>
  <c r="N492" i="3"/>
  <c r="M549" i="1"/>
  <c r="N549" i="3" s="1"/>
  <c r="S66" i="2"/>
  <c r="T39" i="2"/>
  <c r="P79" i="4"/>
  <c r="P79" i="5" s="1"/>
  <c r="H45" i="2"/>
  <c r="H72" i="2" s="1"/>
  <c r="P293" i="3"/>
  <c r="E50" i="2"/>
  <c r="E77" i="2" s="1"/>
  <c r="U213" i="3"/>
  <c r="D444" i="6"/>
  <c r="K444" i="6"/>
  <c r="R444" i="6"/>
  <c r="O444" i="4"/>
  <c r="O444" i="5" s="1"/>
  <c r="L444" i="4"/>
  <c r="L444" i="5" s="1"/>
  <c r="D444" i="4"/>
  <c r="D444" i="5" s="1"/>
  <c r="O444" i="6"/>
  <c r="F444" i="4"/>
  <c r="F444" i="5" s="1"/>
  <c r="G444" i="6"/>
  <c r="J444" i="4"/>
  <c r="J444" i="5" s="1"/>
  <c r="F444" i="6"/>
  <c r="G444" i="4"/>
  <c r="G444" i="5" s="1"/>
  <c r="Q444" i="6"/>
  <c r="Q444" i="4"/>
  <c r="Q444" i="5" s="1"/>
  <c r="L226" i="6"/>
  <c r="J226" i="6"/>
  <c r="U226" i="6"/>
  <c r="F226" i="4"/>
  <c r="F226" i="5" s="1"/>
  <c r="V226" i="4"/>
  <c r="V226" i="5" s="1"/>
  <c r="O226" i="4"/>
  <c r="O226" i="5" s="1"/>
  <c r="M226" i="4"/>
  <c r="M226" i="5" s="1"/>
  <c r="S226" i="6"/>
  <c r="U226" i="4"/>
  <c r="U226" i="5" s="1"/>
  <c r="D226" i="6"/>
  <c r="K226" i="6"/>
  <c r="J226" i="4"/>
  <c r="J226" i="5" s="1"/>
  <c r="S226" i="4"/>
  <c r="S226" i="5" s="1"/>
  <c r="Q226" i="6"/>
  <c r="R226" i="6"/>
  <c r="F226" i="6"/>
  <c r="I226" i="4"/>
  <c r="I226" i="5" s="1"/>
  <c r="I226" i="6"/>
  <c r="Q226" i="4"/>
  <c r="Q226" i="5" s="1"/>
  <c r="H226" i="6"/>
  <c r="M226" i="6"/>
  <c r="O226" i="6"/>
  <c r="N226" i="4"/>
  <c r="N226" i="5" s="1"/>
  <c r="G226" i="6"/>
  <c r="H226" i="4"/>
  <c r="H226" i="5" s="1"/>
  <c r="G226" i="4"/>
  <c r="G226" i="5" s="1"/>
  <c r="V226" i="6"/>
  <c r="D226" i="4"/>
  <c r="D226" i="5" s="1"/>
  <c r="R226" i="4"/>
  <c r="R226" i="5" s="1"/>
  <c r="K226" i="4"/>
  <c r="K226" i="5" s="1"/>
  <c r="D39" i="2"/>
  <c r="D66" i="2" s="1"/>
  <c r="I106" i="1"/>
  <c r="J106" i="3" s="1"/>
  <c r="J195" i="3"/>
  <c r="K106" i="1"/>
  <c r="D41" i="2"/>
  <c r="L195" i="3"/>
  <c r="F47" i="4"/>
  <c r="F47" i="5" s="1"/>
  <c r="V47" i="6"/>
  <c r="V47" i="4"/>
  <c r="V47" i="5" s="1"/>
  <c r="D47" i="6"/>
  <c r="G47" i="6"/>
  <c r="O47" i="6"/>
  <c r="T47" i="6"/>
  <c r="Q47" i="6"/>
  <c r="L47" i="6"/>
  <c r="U47" i="6"/>
  <c r="F47" i="6"/>
  <c r="G47" i="4"/>
  <c r="G47" i="5" s="1"/>
  <c r="Q47" i="4"/>
  <c r="Q47" i="5" s="1"/>
  <c r="S47" i="6"/>
  <c r="N47" i="4"/>
  <c r="N47" i="5" s="1"/>
  <c r="J47" i="6"/>
  <c r="H49" i="2"/>
  <c r="H76" i="2" s="1"/>
  <c r="K444" i="4"/>
  <c r="K444" i="5" s="1"/>
  <c r="D44" i="2"/>
  <c r="D71" i="2" s="1"/>
  <c r="N106" i="1"/>
  <c r="O106" i="3" s="1"/>
  <c r="O195" i="3"/>
  <c r="U381" i="3"/>
  <c r="T444" i="6"/>
  <c r="R293" i="3"/>
  <c r="H47" i="2"/>
  <c r="H74" i="2" s="1"/>
  <c r="J293" i="3"/>
  <c r="H39" i="2"/>
  <c r="H66" i="2" s="1"/>
  <c r="J36" i="2"/>
  <c r="J63" i="2" s="1"/>
  <c r="G381" i="3"/>
  <c r="Q492" i="3"/>
  <c r="P535" i="1"/>
  <c r="E391" i="7"/>
  <c r="E35" i="2"/>
  <c r="E62" i="2" s="1"/>
  <c r="F213" i="3"/>
  <c r="K49" i="2"/>
  <c r="K76" i="2" s="1"/>
  <c r="T431" i="3"/>
  <c r="F492" i="3"/>
  <c r="E535" i="1"/>
  <c r="J48" i="2"/>
  <c r="J75" i="2" s="1"/>
  <c r="S381" i="3"/>
  <c r="C35" i="2"/>
  <c r="C62" i="2" s="1"/>
  <c r="F8" i="3"/>
  <c r="K38" i="2"/>
  <c r="K65" i="2" s="1"/>
  <c r="I431" i="3"/>
  <c r="T444" i="4"/>
  <c r="T444" i="5" s="1"/>
  <c r="H444" i="6"/>
  <c r="T226" i="4"/>
  <c r="T226" i="5" s="1"/>
  <c r="T226" i="6"/>
  <c r="E462" i="4"/>
  <c r="E462" i="5" s="1"/>
  <c r="K462" i="4"/>
  <c r="K462" i="5" s="1"/>
  <c r="I462" i="6"/>
  <c r="U462" i="6"/>
  <c r="S462" i="4"/>
  <c r="S462" i="5" s="1"/>
  <c r="Q462" i="6"/>
  <c r="F462" i="6"/>
  <c r="M462" i="6"/>
  <c r="J462" i="4"/>
  <c r="J462" i="5" s="1"/>
  <c r="R462" i="4"/>
  <c r="R462" i="5" s="1"/>
  <c r="V462" i="6"/>
  <c r="D462" i="6"/>
  <c r="O462" i="6"/>
  <c r="U462" i="4"/>
  <c r="U462" i="5" s="1"/>
  <c r="H462" i="4"/>
  <c r="H462" i="5" s="1"/>
  <c r="L462" i="4"/>
  <c r="L462" i="5" s="1"/>
  <c r="Q462" i="4"/>
  <c r="Q462" i="5" s="1"/>
  <c r="R462" i="6"/>
  <c r="F462" i="4"/>
  <c r="F462" i="5" s="1"/>
  <c r="J462" i="6"/>
  <c r="M462" i="4"/>
  <c r="M462" i="5" s="1"/>
  <c r="N462" i="4"/>
  <c r="N462" i="5" s="1"/>
  <c r="P462" i="4"/>
  <c r="P462" i="5" s="1"/>
  <c r="T462" i="6"/>
  <c r="L462" i="6"/>
  <c r="P462" i="6"/>
  <c r="H462" i="6"/>
  <c r="D462" i="4"/>
  <c r="D462" i="5" s="1"/>
  <c r="O462" i="4"/>
  <c r="O462" i="5" s="1"/>
  <c r="S462" i="6"/>
  <c r="V462" i="4"/>
  <c r="V462" i="5" s="1"/>
  <c r="N462" i="6"/>
  <c r="T462" i="4"/>
  <c r="T462" i="5" s="1"/>
  <c r="I293" i="3"/>
  <c r="H38" i="2"/>
  <c r="H65" i="2" s="1"/>
  <c r="P79" i="6"/>
  <c r="I79" i="4"/>
  <c r="I79" i="5" s="1"/>
  <c r="L383" i="6"/>
  <c r="L383" i="4"/>
  <c r="L383" i="5" s="1"/>
  <c r="T381" i="3"/>
  <c r="J49" i="2"/>
  <c r="J76" i="2" s="1"/>
  <c r="T50" i="2"/>
  <c r="R77" i="2"/>
  <c r="I540" i="4"/>
  <c r="I540" i="5" s="1"/>
  <c r="I540" i="6"/>
  <c r="T35" i="2"/>
  <c r="S62" i="2"/>
  <c r="H477" i="6"/>
  <c r="H477" i="4"/>
  <c r="H477" i="5" s="1"/>
  <c r="U94" i="2"/>
  <c r="U103" i="2"/>
  <c r="U93" i="2"/>
  <c r="U92" i="2"/>
  <c r="U104" i="2"/>
  <c r="U129" i="2" s="1"/>
  <c r="U98" i="2"/>
  <c r="U86" i="2"/>
  <c r="U89" i="2"/>
  <c r="U101" i="2"/>
  <c r="U87" i="2"/>
  <c r="U95" i="2"/>
  <c r="U102" i="2"/>
  <c r="U88" i="2"/>
  <c r="U90" i="2"/>
  <c r="U96" i="2"/>
  <c r="U100" i="2"/>
  <c r="U91" i="2"/>
  <c r="U99" i="2"/>
  <c r="U97" i="2"/>
  <c r="G384" i="7"/>
  <c r="L197" i="4"/>
  <c r="L197" i="5" s="1"/>
  <c r="L197" i="6"/>
  <c r="J41" i="2"/>
  <c r="L381" i="3"/>
  <c r="O518" i="6"/>
  <c r="O518" i="4"/>
  <c r="O518" i="5" s="1"/>
  <c r="T416" i="4"/>
  <c r="T416" i="5" s="1"/>
  <c r="T416" i="6"/>
  <c r="U492" i="3"/>
  <c r="T535" i="1"/>
  <c r="T549" i="1"/>
  <c r="U549" i="3" s="1"/>
  <c r="X44" i="2"/>
  <c r="F503" i="6"/>
  <c r="F503" i="4"/>
  <c r="F503" i="5" s="1"/>
  <c r="G197" i="4"/>
  <c r="G197" i="5" s="1"/>
  <c r="G197" i="6"/>
  <c r="U197" i="4"/>
  <c r="U197" i="5" s="1"/>
  <c r="R197" i="6"/>
  <c r="O197" i="4"/>
  <c r="O197" i="5" s="1"/>
  <c r="O197" i="6"/>
  <c r="S197" i="4"/>
  <c r="S197" i="5" s="1"/>
  <c r="I197" i="4"/>
  <c r="I197" i="5" s="1"/>
  <c r="T197" i="6"/>
  <c r="N197" i="6"/>
  <c r="Q197" i="4"/>
  <c r="Q197" i="5" s="1"/>
  <c r="S197" i="6"/>
  <c r="M197" i="4"/>
  <c r="M197" i="5" s="1"/>
  <c r="T197" i="4"/>
  <c r="T197" i="5" s="1"/>
  <c r="K197" i="4"/>
  <c r="K197" i="5" s="1"/>
  <c r="K197" i="6"/>
  <c r="U197" i="6"/>
  <c r="R197" i="4"/>
  <c r="R197" i="5" s="1"/>
  <c r="D197" i="4"/>
  <c r="D197" i="5" s="1"/>
  <c r="N197" i="4"/>
  <c r="N197" i="5" s="1"/>
  <c r="D197" i="6"/>
  <c r="H197" i="6"/>
  <c r="M197" i="6"/>
  <c r="H197" i="4"/>
  <c r="H197" i="5" s="1"/>
  <c r="Q197" i="6"/>
  <c r="I197" i="6"/>
  <c r="H503" i="4"/>
  <c r="H503" i="5" s="1"/>
  <c r="H503" i="6"/>
  <c r="G492" i="3"/>
  <c r="F535" i="1"/>
  <c r="F549" i="1"/>
  <c r="G549" i="3" s="1"/>
  <c r="T36" i="2"/>
  <c r="R63" i="2"/>
  <c r="I492" i="3"/>
  <c r="H535" i="1"/>
  <c r="H549" i="1"/>
  <c r="I549" i="3" s="1"/>
  <c r="U477" i="4"/>
  <c r="U477" i="5" s="1"/>
  <c r="U477" i="6"/>
  <c r="S477" i="4"/>
  <c r="S477" i="5" s="1"/>
  <c r="M477" i="4"/>
  <c r="M477" i="5" s="1"/>
  <c r="I477" i="4"/>
  <c r="I477" i="5" s="1"/>
  <c r="Q477" i="4"/>
  <c r="Q477" i="5" s="1"/>
  <c r="M477" i="6"/>
  <c r="D477" i="4"/>
  <c r="D477" i="5" s="1"/>
  <c r="T477" i="4"/>
  <c r="T477" i="5" s="1"/>
  <c r="G477" i="6"/>
  <c r="I477" i="6"/>
  <c r="T477" i="6"/>
  <c r="N477" i="6"/>
  <c r="P477" i="4"/>
  <c r="P477" i="5" s="1"/>
  <c r="S477" i="6"/>
  <c r="D477" i="6"/>
  <c r="J477" i="4"/>
  <c r="J477" i="5" s="1"/>
  <c r="G477" i="4"/>
  <c r="G477" i="5" s="1"/>
  <c r="L477" i="6"/>
  <c r="J477" i="6"/>
  <c r="N477" i="4"/>
  <c r="N477" i="5" s="1"/>
  <c r="F477" i="6"/>
  <c r="O477" i="4"/>
  <c r="O477" i="5" s="1"/>
  <c r="Q477" i="6"/>
  <c r="P477" i="6"/>
  <c r="F477" i="4"/>
  <c r="F477" i="5" s="1"/>
  <c r="L477" i="4"/>
  <c r="L477" i="5" s="1"/>
  <c r="O477" i="6"/>
  <c r="L61" i="2"/>
  <c r="R477" i="6"/>
  <c r="R477" i="4"/>
  <c r="R477" i="5" s="1"/>
  <c r="D433" i="3"/>
  <c r="O433" i="4" s="1"/>
  <c r="O433" i="5" s="1"/>
  <c r="V431" i="1"/>
  <c r="D431" i="3" s="1"/>
  <c r="N431" i="4" s="1"/>
  <c r="N431" i="5" s="1"/>
  <c r="I404" i="6"/>
  <c r="Q404" i="6"/>
  <c r="V404" i="4"/>
  <c r="V404" i="5" s="1"/>
  <c r="T404" i="4"/>
  <c r="T404" i="5" s="1"/>
  <c r="L404" i="6"/>
  <c r="H404" i="4"/>
  <c r="H404" i="5" s="1"/>
  <c r="N404" i="6"/>
  <c r="G404" i="6"/>
  <c r="E404" i="6"/>
  <c r="H404" i="6"/>
  <c r="M404" i="6"/>
  <c r="V404" i="6"/>
  <c r="L404" i="4"/>
  <c r="L404" i="5" s="1"/>
  <c r="K404" i="4"/>
  <c r="K404" i="5" s="1"/>
  <c r="O404" i="6"/>
  <c r="D404" i="6"/>
  <c r="P404" i="6"/>
  <c r="T404" i="6"/>
  <c r="S404" i="6"/>
  <c r="R404" i="6"/>
  <c r="P404" i="4"/>
  <c r="P404" i="5" s="1"/>
  <c r="D404" i="4"/>
  <c r="D404" i="5" s="1"/>
  <c r="K404" i="6"/>
  <c r="M404" i="4"/>
  <c r="M404" i="5" s="1"/>
  <c r="F404" i="6"/>
  <c r="J404" i="4"/>
  <c r="J404" i="5" s="1"/>
  <c r="S404" i="4"/>
  <c r="S404" i="5" s="1"/>
  <c r="Q404" i="4"/>
  <c r="Q404" i="5" s="1"/>
  <c r="R404" i="4"/>
  <c r="R404" i="5" s="1"/>
  <c r="U404" i="6"/>
  <c r="G404" i="4"/>
  <c r="G404" i="5" s="1"/>
  <c r="U404" i="4"/>
  <c r="U404" i="5" s="1"/>
  <c r="F404" i="4"/>
  <c r="F404" i="5" s="1"/>
  <c r="I404" i="4"/>
  <c r="I404" i="5" s="1"/>
  <c r="N404" i="4"/>
  <c r="N404" i="5" s="1"/>
  <c r="O404" i="4"/>
  <c r="O404" i="5" s="1"/>
  <c r="E404" i="4"/>
  <c r="E404" i="5" s="1"/>
  <c r="J404" i="6"/>
  <c r="O383" i="4"/>
  <c r="O383" i="5" s="1"/>
  <c r="O383" i="6"/>
  <c r="E383" i="4"/>
  <c r="E383" i="5" s="1"/>
  <c r="U383" i="4"/>
  <c r="U383" i="5" s="1"/>
  <c r="T383" i="4"/>
  <c r="T383" i="5" s="1"/>
  <c r="H383" i="4"/>
  <c r="H383" i="5" s="1"/>
  <c r="D383" i="6"/>
  <c r="N383" i="4"/>
  <c r="N383" i="5" s="1"/>
  <c r="U383" i="6"/>
  <c r="V383" i="4"/>
  <c r="V383" i="5" s="1"/>
  <c r="D383" i="4"/>
  <c r="D383" i="5" s="1"/>
  <c r="Q383" i="6"/>
  <c r="J383" i="6"/>
  <c r="E383" i="6"/>
  <c r="K383" i="6"/>
  <c r="R383" i="6"/>
  <c r="I383" i="6"/>
  <c r="M383" i="4"/>
  <c r="M383" i="5" s="1"/>
  <c r="M383" i="6"/>
  <c r="R383" i="4"/>
  <c r="R383" i="5" s="1"/>
  <c r="J383" i="4"/>
  <c r="J383" i="5" s="1"/>
  <c r="S383" i="4"/>
  <c r="S383" i="5" s="1"/>
  <c r="P383" i="6"/>
  <c r="I383" i="4"/>
  <c r="I383" i="5" s="1"/>
  <c r="P383" i="4"/>
  <c r="P383" i="5" s="1"/>
  <c r="S383" i="6"/>
  <c r="K383" i="4"/>
  <c r="K383" i="5" s="1"/>
  <c r="Q383" i="4"/>
  <c r="Q383" i="5" s="1"/>
  <c r="H383" i="6"/>
  <c r="N383" i="6"/>
  <c r="T383" i="6"/>
  <c r="U358" i="6"/>
  <c r="M358" i="4"/>
  <c r="M358" i="5" s="1"/>
  <c r="E358" i="4"/>
  <c r="E358" i="5" s="1"/>
  <c r="E358" i="6"/>
  <c r="D358" i="6"/>
  <c r="S358" i="6"/>
  <c r="I358" i="6"/>
  <c r="D358" i="4"/>
  <c r="D358" i="5" s="1"/>
  <c r="G358" i="4"/>
  <c r="G358" i="5" s="1"/>
  <c r="S358" i="4"/>
  <c r="S358" i="5" s="1"/>
  <c r="I358" i="4"/>
  <c r="I358" i="5" s="1"/>
  <c r="N358" i="6"/>
  <c r="F358" i="4"/>
  <c r="F358" i="5" s="1"/>
  <c r="L358" i="6"/>
  <c r="V358" i="4"/>
  <c r="V358" i="5" s="1"/>
  <c r="T358" i="4"/>
  <c r="T358" i="5" s="1"/>
  <c r="T358" i="6"/>
  <c r="H358" i="4"/>
  <c r="H358" i="5" s="1"/>
  <c r="J358" i="4"/>
  <c r="J358" i="5" s="1"/>
  <c r="J358" i="6"/>
  <c r="V358" i="6"/>
  <c r="U358" i="4"/>
  <c r="U358" i="5" s="1"/>
  <c r="K358" i="4"/>
  <c r="K358" i="5" s="1"/>
  <c r="M358" i="6"/>
  <c r="G358" i="6"/>
  <c r="R358" i="6"/>
  <c r="P358" i="6"/>
  <c r="H358" i="6"/>
  <c r="P358" i="4"/>
  <c r="P358" i="5" s="1"/>
  <c r="R358" i="4"/>
  <c r="R358" i="5" s="1"/>
  <c r="O358" i="4"/>
  <c r="O358" i="5" s="1"/>
  <c r="K358" i="6"/>
  <c r="N358" i="4"/>
  <c r="N358" i="5" s="1"/>
  <c r="Q358" i="4"/>
  <c r="Q358" i="5" s="1"/>
  <c r="O358" i="6"/>
  <c r="Q358" i="6"/>
  <c r="F358" i="6"/>
  <c r="L358" i="4"/>
  <c r="L358" i="5" s="1"/>
  <c r="L340" i="6"/>
  <c r="J340" i="6"/>
  <c r="H340" i="6"/>
  <c r="F340" i="6"/>
  <c r="V340" i="6"/>
  <c r="Q340" i="4"/>
  <c r="Q340" i="5" s="1"/>
  <c r="U340" i="6"/>
  <c r="Q340" i="6"/>
  <c r="K340" i="6"/>
  <c r="K340" i="4"/>
  <c r="K340" i="5" s="1"/>
  <c r="O340" i="6"/>
  <c r="P340" i="4"/>
  <c r="P340" i="5" s="1"/>
  <c r="J340" i="4"/>
  <c r="J340" i="5" s="1"/>
  <c r="L340" i="4"/>
  <c r="L340" i="5" s="1"/>
  <c r="F340" i="4"/>
  <c r="F340" i="5" s="1"/>
  <c r="V340" i="4"/>
  <c r="V340" i="5" s="1"/>
  <c r="T340" i="6"/>
  <c r="P340" i="6"/>
  <c r="I340" i="4"/>
  <c r="I340" i="5" s="1"/>
  <c r="M340" i="6"/>
  <c r="I340" i="6"/>
  <c r="E340" i="6"/>
  <c r="S340" i="4"/>
  <c r="S340" i="5" s="1"/>
  <c r="G340" i="4"/>
  <c r="G340" i="5" s="1"/>
  <c r="D340" i="4"/>
  <c r="D340" i="5" s="1"/>
  <c r="N340" i="4"/>
  <c r="N340" i="5" s="1"/>
  <c r="M340" i="4"/>
  <c r="M340" i="5" s="1"/>
  <c r="U340" i="4"/>
  <c r="U340" i="5" s="1"/>
  <c r="R340" i="4"/>
  <c r="R340" i="5" s="1"/>
  <c r="T340" i="4"/>
  <c r="T340" i="5" s="1"/>
  <c r="D340" i="6"/>
  <c r="N340" i="6"/>
  <c r="O340" i="4"/>
  <c r="O340" i="5" s="1"/>
  <c r="G340" i="6"/>
  <c r="H340" i="4"/>
  <c r="H340" i="5" s="1"/>
  <c r="R340" i="6"/>
  <c r="E340" i="4"/>
  <c r="E340" i="5" s="1"/>
  <c r="S340" i="6"/>
  <c r="N323" i="4"/>
  <c r="N323" i="5" s="1"/>
  <c r="J323" i="6"/>
  <c r="H323" i="6"/>
  <c r="H323" i="4"/>
  <c r="H323" i="5" s="1"/>
  <c r="L323" i="4"/>
  <c r="L323" i="5" s="1"/>
  <c r="P323" i="4"/>
  <c r="P323" i="5" s="1"/>
  <c r="T323" i="4"/>
  <c r="T323" i="5" s="1"/>
  <c r="D323" i="6"/>
  <c r="T323" i="6"/>
  <c r="O323" i="4"/>
  <c r="O323" i="5" s="1"/>
  <c r="E323" i="6"/>
  <c r="Q323" i="6"/>
  <c r="M323" i="4"/>
  <c r="M323" i="5" s="1"/>
  <c r="M323" i="6"/>
  <c r="U323" i="4"/>
  <c r="U323" i="5" s="1"/>
  <c r="K323" i="4"/>
  <c r="K323" i="5" s="1"/>
  <c r="O323" i="6"/>
  <c r="V323" i="6"/>
  <c r="D323" i="4"/>
  <c r="D323" i="5" s="1"/>
  <c r="R323" i="6"/>
  <c r="V323" i="4"/>
  <c r="V323" i="5" s="1"/>
  <c r="F323" i="6"/>
  <c r="L323" i="6"/>
  <c r="U323" i="6"/>
  <c r="E323" i="4"/>
  <c r="E323" i="5" s="1"/>
  <c r="G323" i="4"/>
  <c r="G323" i="5" s="1"/>
  <c r="Q323" i="4"/>
  <c r="Q323" i="5" s="1"/>
  <c r="R323" i="4"/>
  <c r="R323" i="5" s="1"/>
  <c r="S323" i="6"/>
  <c r="J323" i="4"/>
  <c r="J323" i="5" s="1"/>
  <c r="P323" i="6"/>
  <c r="K323" i="6"/>
  <c r="G323" i="6"/>
  <c r="S323" i="4"/>
  <c r="S323" i="5" s="1"/>
  <c r="N323" i="6"/>
  <c r="F323" i="4"/>
  <c r="F323" i="5" s="1"/>
  <c r="I323" i="6"/>
  <c r="I323" i="4"/>
  <c r="I323" i="5" s="1"/>
  <c r="M296" i="4"/>
  <c r="M296" i="5" s="1"/>
  <c r="E296" i="4"/>
  <c r="E296" i="5" s="1"/>
  <c r="U296" i="6"/>
  <c r="F296" i="6"/>
  <c r="E296" i="6"/>
  <c r="O296" i="4"/>
  <c r="O296" i="5" s="1"/>
  <c r="S296" i="4"/>
  <c r="S296" i="5" s="1"/>
  <c r="D296" i="6"/>
  <c r="N296" i="6"/>
  <c r="T296" i="4"/>
  <c r="T296" i="5" s="1"/>
  <c r="T296" i="6"/>
  <c r="P296" i="6"/>
  <c r="K296" i="6"/>
  <c r="H296" i="4"/>
  <c r="H296" i="5" s="1"/>
  <c r="G296" i="6"/>
  <c r="O296" i="6"/>
  <c r="P296" i="4"/>
  <c r="P296" i="5" s="1"/>
  <c r="I296" i="6"/>
  <c r="M296" i="6"/>
  <c r="N296" i="4"/>
  <c r="N296" i="5" s="1"/>
  <c r="I296" i="4"/>
  <c r="I296" i="5" s="1"/>
  <c r="G296" i="4"/>
  <c r="G296" i="5" s="1"/>
  <c r="H296" i="6"/>
  <c r="S296" i="6"/>
  <c r="L296" i="4"/>
  <c r="L296" i="5" s="1"/>
  <c r="V296" i="6"/>
  <c r="R296" i="4"/>
  <c r="R296" i="5" s="1"/>
  <c r="J296" i="6"/>
  <c r="D296" i="4"/>
  <c r="D296" i="5" s="1"/>
  <c r="R296" i="6"/>
  <c r="U296" i="4"/>
  <c r="U296" i="5" s="1"/>
  <c r="V296" i="4"/>
  <c r="V296" i="5" s="1"/>
  <c r="L296" i="6"/>
  <c r="K296" i="4"/>
  <c r="K296" i="5" s="1"/>
  <c r="J296" i="4"/>
  <c r="J296" i="5" s="1"/>
  <c r="F296" i="4"/>
  <c r="F296" i="5" s="1"/>
  <c r="G238" i="6"/>
  <c r="R238" i="6"/>
  <c r="O238" i="4"/>
  <c r="O238" i="5" s="1"/>
  <c r="K238" i="6"/>
  <c r="Q238" i="4"/>
  <c r="Q238" i="5" s="1"/>
  <c r="Q238" i="6"/>
  <c r="L238" i="4"/>
  <c r="L238" i="5" s="1"/>
  <c r="L238" i="6"/>
  <c r="V238" i="4"/>
  <c r="V238" i="5" s="1"/>
  <c r="V238" i="6"/>
  <c r="D238" i="6"/>
  <c r="D238" i="4"/>
  <c r="D238" i="5" s="1"/>
  <c r="U238" i="6"/>
  <c r="E238" i="4"/>
  <c r="E238" i="5" s="1"/>
  <c r="P238" i="4"/>
  <c r="P238" i="5" s="1"/>
  <c r="N238" i="6"/>
  <c r="S238" i="4"/>
  <c r="S238" i="5" s="1"/>
  <c r="H238" i="4"/>
  <c r="H238" i="5" s="1"/>
  <c r="J238" i="6"/>
  <c r="T238" i="4"/>
  <c r="T238" i="5" s="1"/>
  <c r="R238" i="4"/>
  <c r="R238" i="5" s="1"/>
  <c r="S238" i="6"/>
  <c r="E238" i="6"/>
  <c r="J238" i="4"/>
  <c r="J238" i="5" s="1"/>
  <c r="K238" i="4"/>
  <c r="K238" i="5" s="1"/>
  <c r="P238" i="6"/>
  <c r="G238" i="4"/>
  <c r="G238" i="5" s="1"/>
  <c r="U238" i="4"/>
  <c r="U238" i="5" s="1"/>
  <c r="N238" i="4"/>
  <c r="N238" i="5" s="1"/>
  <c r="O238" i="6"/>
  <c r="H238" i="6"/>
  <c r="T238" i="6"/>
  <c r="S110" i="6"/>
  <c r="G110" i="6"/>
  <c r="H110" i="6"/>
  <c r="L110" i="4"/>
  <c r="L110" i="5" s="1"/>
  <c r="L110" i="6"/>
  <c r="V110" i="6"/>
  <c r="D110" i="6"/>
  <c r="E110" i="6"/>
  <c r="G110" i="4"/>
  <c r="G110" i="5" s="1"/>
  <c r="Q110" i="4"/>
  <c r="Q110" i="5" s="1"/>
  <c r="K110" i="4"/>
  <c r="K110" i="5" s="1"/>
  <c r="E110" i="4"/>
  <c r="E110" i="5" s="1"/>
  <c r="D110" i="4"/>
  <c r="D110" i="5" s="1"/>
  <c r="O110" i="6"/>
  <c r="O110" i="4"/>
  <c r="O110" i="5" s="1"/>
  <c r="I110" i="4"/>
  <c r="I110" i="5" s="1"/>
  <c r="S110" i="4"/>
  <c r="S110" i="5" s="1"/>
  <c r="U110" i="4"/>
  <c r="U110" i="5" s="1"/>
  <c r="H110" i="4"/>
  <c r="H110" i="5" s="1"/>
  <c r="V110" i="4"/>
  <c r="V110" i="5" s="1"/>
  <c r="T110" i="6"/>
  <c r="P110" i="6"/>
  <c r="Q110" i="6"/>
  <c r="M110" i="6"/>
  <c r="R110" i="6"/>
  <c r="F110" i="6"/>
  <c r="I110" i="6"/>
  <c r="F110" i="4"/>
  <c r="F110" i="5" s="1"/>
  <c r="N110" i="4"/>
  <c r="N110" i="5" s="1"/>
  <c r="T110" i="4"/>
  <c r="T110" i="5" s="1"/>
  <c r="P110" i="4"/>
  <c r="P110" i="5" s="1"/>
  <c r="U110" i="6"/>
  <c r="M110" i="4"/>
  <c r="M110" i="5" s="1"/>
  <c r="K110" i="6"/>
  <c r="J110" i="4"/>
  <c r="J110" i="5" s="1"/>
  <c r="N110" i="6"/>
  <c r="J110" i="6"/>
  <c r="R110" i="4"/>
  <c r="R110" i="5" s="1"/>
  <c r="P15" i="6"/>
  <c r="H15" i="6"/>
  <c r="R15" i="4"/>
  <c r="R15" i="5" s="1"/>
  <c r="T15" i="6"/>
  <c r="R15" i="6"/>
  <c r="J15" i="6"/>
  <c r="D15" i="6"/>
  <c r="F15" i="6"/>
  <c r="J15" i="4"/>
  <c r="J15" i="5" s="1"/>
  <c r="P15" i="4"/>
  <c r="P15" i="5" s="1"/>
  <c r="L15" i="6"/>
  <c r="T15" i="4"/>
  <c r="T15" i="5" s="1"/>
  <c r="N15" i="6"/>
  <c r="V15" i="6"/>
  <c r="V15" i="4"/>
  <c r="V15" i="5" s="1"/>
  <c r="D15" i="4"/>
  <c r="D15" i="5" s="1"/>
  <c r="F15" i="4"/>
  <c r="F15" i="5" s="1"/>
  <c r="N15" i="4"/>
  <c r="N15" i="5" s="1"/>
  <c r="H15" i="4"/>
  <c r="H15" i="5" s="1"/>
  <c r="Q15" i="6"/>
  <c r="G15" i="4"/>
  <c r="G15" i="5" s="1"/>
  <c r="K15" i="6"/>
  <c r="I15" i="6"/>
  <c r="E15" i="4"/>
  <c r="E15" i="5" s="1"/>
  <c r="L15" i="4"/>
  <c r="L15" i="5" s="1"/>
  <c r="E15" i="6"/>
  <c r="G15" i="6"/>
  <c r="L28" i="4"/>
  <c r="L28" i="5" s="1"/>
  <c r="G28" i="6"/>
  <c r="V28" i="4"/>
  <c r="V28" i="5" s="1"/>
  <c r="G28" i="4"/>
  <c r="G28" i="5" s="1"/>
  <c r="F28" i="6"/>
  <c r="T28" i="6"/>
  <c r="V28" i="6"/>
  <c r="J28" i="4"/>
  <c r="J28" i="5" s="1"/>
  <c r="N28" i="6"/>
  <c r="O28" i="4"/>
  <c r="O28" i="5" s="1"/>
  <c r="U28" i="6"/>
  <c r="L28" i="6"/>
  <c r="N28" i="4"/>
  <c r="N28" i="5" s="1"/>
  <c r="T28" i="4"/>
  <c r="T28" i="5" s="1"/>
  <c r="U28" i="4"/>
  <c r="U28" i="5" s="1"/>
  <c r="Q28" i="6"/>
  <c r="H28" i="6"/>
  <c r="D28" i="4"/>
  <c r="D28" i="5" s="1"/>
  <c r="P28" i="4"/>
  <c r="P28" i="5" s="1"/>
  <c r="J28" i="6"/>
  <c r="E28" i="4"/>
  <c r="E28" i="5" s="1"/>
  <c r="I28" i="6"/>
  <c r="I28" i="4"/>
  <c r="I28" i="5" s="1"/>
  <c r="H28" i="4"/>
  <c r="H28" i="5" s="1"/>
  <c r="R28" i="4"/>
  <c r="R28" i="5" s="1"/>
  <c r="E28" i="6"/>
  <c r="O28" i="6"/>
  <c r="Q28" i="4"/>
  <c r="Q28" i="5" s="1"/>
  <c r="M28" i="6"/>
  <c r="P28" i="6"/>
  <c r="F28" i="4"/>
  <c r="F28" i="5" s="1"/>
  <c r="R28" i="6"/>
  <c r="S28" i="6"/>
  <c r="D28" i="6"/>
  <c r="M28" i="4"/>
  <c r="M28" i="5" s="1"/>
  <c r="S239" i="6"/>
  <c r="F25" i="4"/>
  <c r="F25" i="5" s="1"/>
  <c r="E45" i="2"/>
  <c r="E72" i="2" s="1"/>
  <c r="P213" i="3"/>
  <c r="V477" i="4"/>
  <c r="V477" i="5" s="1"/>
  <c r="V477" i="6"/>
  <c r="P129" i="4"/>
  <c r="P129" i="5" s="1"/>
  <c r="P129" i="6"/>
  <c r="K477" i="6"/>
  <c r="K477" i="4"/>
  <c r="K477" i="5" s="1"/>
  <c r="V431" i="3"/>
  <c r="T129" i="4"/>
  <c r="T129" i="5" s="1"/>
  <c r="T129" i="6"/>
  <c r="Q293" i="3"/>
  <c r="H46" i="2"/>
  <c r="H73" i="2" s="1"/>
  <c r="F93" i="4"/>
  <c r="F93" i="5" s="1"/>
  <c r="U549" i="1"/>
  <c r="V549" i="3" s="1"/>
  <c r="U535" i="1"/>
  <c r="V492" i="3"/>
  <c r="J492" i="3"/>
  <c r="I549" i="1"/>
  <c r="J549" i="3" s="1"/>
  <c r="I535" i="1"/>
  <c r="R64" i="2"/>
  <c r="T37" i="2"/>
  <c r="S79" i="6"/>
  <c r="S79" i="4"/>
  <c r="S79" i="5" s="1"/>
  <c r="J213" i="3"/>
  <c r="E39" i="2"/>
  <c r="G35" i="6"/>
  <c r="E106" i="1"/>
  <c r="F195" i="3"/>
  <c r="D35" i="2"/>
  <c r="R420" i="6"/>
  <c r="N420" i="4"/>
  <c r="N420" i="5" s="1"/>
  <c r="N420" i="6"/>
  <c r="D420" i="4"/>
  <c r="D420" i="5" s="1"/>
  <c r="S420" i="4"/>
  <c r="S420" i="5" s="1"/>
  <c r="G420" i="6"/>
  <c r="V420" i="6"/>
  <c r="S420" i="6"/>
  <c r="E420" i="6"/>
  <c r="I420" i="4"/>
  <c r="I420" i="5" s="1"/>
  <c r="D420" i="6"/>
  <c r="M420" i="4"/>
  <c r="M420" i="5" s="1"/>
  <c r="O420" i="6"/>
  <c r="K420" i="6"/>
  <c r="O420" i="4"/>
  <c r="O420" i="5" s="1"/>
  <c r="R35" i="4"/>
  <c r="R35" i="5" s="1"/>
  <c r="K35" i="6"/>
  <c r="M35" i="4"/>
  <c r="M35" i="5" s="1"/>
  <c r="J35" i="4"/>
  <c r="J35" i="5" s="1"/>
  <c r="I35" i="4"/>
  <c r="I35" i="5" s="1"/>
  <c r="V35" i="4"/>
  <c r="V35" i="5" s="1"/>
  <c r="P35" i="6"/>
  <c r="K35" i="4"/>
  <c r="K35" i="5" s="1"/>
  <c r="H61" i="2"/>
  <c r="P420" i="6"/>
  <c r="U15" i="4"/>
  <c r="U15" i="5" s="1"/>
  <c r="M15" i="4"/>
  <c r="M15" i="5" s="1"/>
  <c r="Q537" i="4"/>
  <c r="Q537" i="5" s="1"/>
  <c r="Q537" i="6"/>
  <c r="K532" i="4"/>
  <c r="K532" i="5" s="1"/>
  <c r="K532" i="6"/>
  <c r="O548" i="1"/>
  <c r="P548" i="3" s="1"/>
  <c r="P535" i="3"/>
  <c r="R129" i="6"/>
  <c r="F129" i="6"/>
  <c r="D129" i="6"/>
  <c r="S129" i="4"/>
  <c r="S129" i="5" s="1"/>
  <c r="D129" i="4"/>
  <c r="D129" i="5" s="1"/>
  <c r="E129" i="4"/>
  <c r="E129" i="5" s="1"/>
  <c r="G129" i="6"/>
  <c r="K129" i="6"/>
  <c r="R129" i="4"/>
  <c r="R129" i="5" s="1"/>
  <c r="I129" i="6"/>
  <c r="I129" i="4"/>
  <c r="I129" i="5" s="1"/>
  <c r="V129" i="6"/>
  <c r="V129" i="4"/>
  <c r="V129" i="5" s="1"/>
  <c r="U129" i="4"/>
  <c r="U129" i="5" s="1"/>
  <c r="G129" i="4"/>
  <c r="G129" i="5" s="1"/>
  <c r="U129" i="6"/>
  <c r="S129" i="6"/>
  <c r="E129" i="6"/>
  <c r="J129" i="6"/>
  <c r="J129" i="4"/>
  <c r="J129" i="5" s="1"/>
  <c r="L129" i="6"/>
  <c r="F129" i="4"/>
  <c r="F129" i="5" s="1"/>
  <c r="K129" i="4"/>
  <c r="K129" i="5" s="1"/>
  <c r="L129" i="4"/>
  <c r="L129" i="5" s="1"/>
  <c r="V492" i="1"/>
  <c r="D494" i="3"/>
  <c r="H494" i="4" s="1"/>
  <c r="H494" i="5" s="1"/>
  <c r="T503" i="4"/>
  <c r="T503" i="5" s="1"/>
  <c r="T503" i="6"/>
  <c r="U503" i="4"/>
  <c r="U503" i="5" s="1"/>
  <c r="E503" i="6"/>
  <c r="Q503" i="4"/>
  <c r="Q503" i="5" s="1"/>
  <c r="O503" i="6"/>
  <c r="S503" i="6"/>
  <c r="O503" i="4"/>
  <c r="O503" i="5" s="1"/>
  <c r="J503" i="4"/>
  <c r="J503" i="5" s="1"/>
  <c r="J503" i="6"/>
  <c r="L503" i="4"/>
  <c r="L503" i="5" s="1"/>
  <c r="U503" i="6"/>
  <c r="N503" i="6"/>
  <c r="R503" i="4"/>
  <c r="R503" i="5" s="1"/>
  <c r="P503" i="6"/>
  <c r="M503" i="6"/>
  <c r="N503" i="4"/>
  <c r="N503" i="5" s="1"/>
  <c r="Q503" i="6"/>
  <c r="L503" i="6"/>
  <c r="E503" i="4"/>
  <c r="E503" i="5" s="1"/>
  <c r="P503" i="4"/>
  <c r="P503" i="5" s="1"/>
  <c r="R503" i="6"/>
  <c r="M503" i="4"/>
  <c r="M503" i="5" s="1"/>
  <c r="K503" i="4"/>
  <c r="K503" i="5" s="1"/>
  <c r="D503" i="4"/>
  <c r="D503" i="5" s="1"/>
  <c r="S503" i="4"/>
  <c r="S503" i="5" s="1"/>
  <c r="G503" i="4"/>
  <c r="G503" i="5" s="1"/>
  <c r="G503" i="6"/>
  <c r="D503" i="6"/>
  <c r="K503" i="6"/>
  <c r="M541" i="4"/>
  <c r="M541" i="5" s="1"/>
  <c r="I541" i="4"/>
  <c r="I541" i="5" s="1"/>
  <c r="O541" i="4"/>
  <c r="O541" i="5" s="1"/>
  <c r="R541" i="4"/>
  <c r="R541" i="5" s="1"/>
  <c r="D541" i="4"/>
  <c r="D541" i="5" s="1"/>
  <c r="K541" i="6"/>
  <c r="J541" i="4"/>
  <c r="J541" i="5" s="1"/>
  <c r="F541" i="4"/>
  <c r="F541" i="5" s="1"/>
  <c r="E541" i="6"/>
  <c r="Q541" i="6"/>
  <c r="M541" i="6"/>
  <c r="V541" i="6"/>
  <c r="P541" i="4"/>
  <c r="P541" i="5" s="1"/>
  <c r="S541" i="6"/>
  <c r="U541" i="6"/>
  <c r="S541" i="4"/>
  <c r="S541" i="5" s="1"/>
  <c r="T541" i="4"/>
  <c r="T541" i="5" s="1"/>
  <c r="N541" i="4"/>
  <c r="N541" i="5" s="1"/>
  <c r="N541" i="6"/>
  <c r="L541" i="4"/>
  <c r="L541" i="5" s="1"/>
  <c r="V541" i="4"/>
  <c r="V541" i="5" s="1"/>
  <c r="O541" i="6"/>
  <c r="Q541" i="4"/>
  <c r="Q541" i="5" s="1"/>
  <c r="G541" i="4"/>
  <c r="G541" i="5" s="1"/>
  <c r="F541" i="6"/>
  <c r="E541" i="4"/>
  <c r="E541" i="5" s="1"/>
  <c r="L541" i="6"/>
  <c r="K541" i="4"/>
  <c r="K541" i="5" s="1"/>
  <c r="H541" i="6"/>
  <c r="H541" i="4"/>
  <c r="H541" i="5" s="1"/>
  <c r="D541" i="6"/>
  <c r="U541" i="4"/>
  <c r="U541" i="5" s="1"/>
  <c r="P541" i="6"/>
  <c r="G541" i="6"/>
  <c r="R541" i="6"/>
  <c r="J541" i="6"/>
  <c r="I541" i="6"/>
  <c r="T541" i="6"/>
  <c r="N402" i="6"/>
  <c r="Q129" i="4"/>
  <c r="Q129" i="5" s="1"/>
  <c r="Q129" i="6"/>
  <c r="K40" i="2"/>
  <c r="K67" i="2" s="1"/>
  <c r="K431" i="3"/>
  <c r="E513" i="7"/>
  <c r="E510" i="7"/>
  <c r="E514" i="7"/>
  <c r="E504" i="7"/>
  <c r="E512" i="7"/>
  <c r="E507" i="7"/>
  <c r="E506" i="7"/>
  <c r="E502" i="7"/>
  <c r="E500" i="7"/>
  <c r="E509" i="7"/>
  <c r="E503" i="7"/>
  <c r="E515" i="7"/>
  <c r="E508" i="7"/>
  <c r="E501" i="7"/>
  <c r="E505" i="7"/>
  <c r="E498" i="7"/>
  <c r="E511" i="7"/>
  <c r="E499" i="7"/>
  <c r="G106" i="1"/>
  <c r="H195" i="3"/>
  <c r="D37" i="2"/>
  <c r="G383" i="6"/>
  <c r="C39" i="2"/>
  <c r="J8" i="3"/>
  <c r="G499" i="7"/>
  <c r="O499" i="7" s="1"/>
  <c r="J441" i="7" s="1"/>
  <c r="G501" i="7"/>
  <c r="O501" i="7" s="1"/>
  <c r="J443" i="7" s="1"/>
  <c r="G510" i="7"/>
  <c r="O510" i="7" s="1"/>
  <c r="J452" i="7" s="1"/>
  <c r="G513" i="7"/>
  <c r="O513" i="7" s="1"/>
  <c r="J455" i="7" s="1"/>
  <c r="G509" i="7"/>
  <c r="O509" i="7" s="1"/>
  <c r="J451" i="7" s="1"/>
  <c r="G498" i="7"/>
  <c r="G500" i="7"/>
  <c r="O500" i="7" s="1"/>
  <c r="J442" i="7" s="1"/>
  <c r="G504" i="7"/>
  <c r="O504" i="7" s="1"/>
  <c r="J446" i="7" s="1"/>
  <c r="G515" i="7"/>
  <c r="O515" i="7" s="1"/>
  <c r="J457" i="7" s="1"/>
  <c r="G505" i="7"/>
  <c r="O505" i="7" s="1"/>
  <c r="J447" i="7" s="1"/>
  <c r="G507" i="7"/>
  <c r="O507" i="7" s="1"/>
  <c r="J449" i="7" s="1"/>
  <c r="G511" i="7"/>
  <c r="O511" i="7" s="1"/>
  <c r="J453" i="7" s="1"/>
  <c r="G506" i="7"/>
  <c r="O506" i="7" s="1"/>
  <c r="J448" i="7" s="1"/>
  <c r="G503" i="7"/>
  <c r="O503" i="7" s="1"/>
  <c r="J445" i="7" s="1"/>
  <c r="G512" i="7"/>
  <c r="G508" i="7"/>
  <c r="O508" i="7" s="1"/>
  <c r="J450" i="7" s="1"/>
  <c r="G514" i="7"/>
  <c r="O514" i="7" s="1"/>
  <c r="J456" i="7" s="1"/>
  <c r="G502" i="7"/>
  <c r="O502" i="7" s="1"/>
  <c r="J444" i="7" s="1"/>
  <c r="R535" i="1"/>
  <c r="R549" i="1"/>
  <c r="S549" i="3" s="1"/>
  <c r="S492" i="3"/>
  <c r="R75" i="2"/>
  <c r="T48" i="2"/>
  <c r="R47" i="6"/>
  <c r="O129" i="4"/>
  <c r="O129" i="5" s="1"/>
  <c r="K42" i="2"/>
  <c r="K69" i="2" s="1"/>
  <c r="M431" i="3"/>
  <c r="M129" i="4"/>
  <c r="M129" i="5" s="1"/>
  <c r="M129" i="6"/>
  <c r="C381" i="7"/>
  <c r="C37" i="2"/>
  <c r="H8" i="3"/>
  <c r="F383" i="4"/>
  <c r="F383" i="5" s="1"/>
  <c r="F383" i="6"/>
  <c r="G61" i="2"/>
  <c r="G382" i="7"/>
  <c r="J197" i="4"/>
  <c r="J197" i="5" s="1"/>
  <c r="J197" i="6"/>
  <c r="E25" i="4"/>
  <c r="E25" i="5" s="1"/>
  <c r="T535" i="3"/>
  <c r="S548" i="1"/>
  <c r="T548" i="3" s="1"/>
  <c r="T518" i="4"/>
  <c r="T518" i="5" s="1"/>
  <c r="T518" i="6"/>
  <c r="Y70" i="2"/>
  <c r="Y52" i="2"/>
  <c r="Y79" i="2" s="1"/>
  <c r="D549" i="1"/>
  <c r="E549" i="3" s="1"/>
  <c r="E492" i="3"/>
  <c r="D535" i="1"/>
  <c r="K46" i="2"/>
  <c r="K73" i="2" s="1"/>
  <c r="Q431" i="3"/>
  <c r="H420" i="6"/>
  <c r="Q296" i="4"/>
  <c r="Q296" i="5" s="1"/>
  <c r="K28" i="6"/>
  <c r="S15" i="4"/>
  <c r="S15" i="5" s="1"/>
  <c r="O15" i="6"/>
  <c r="M537" i="4"/>
  <c r="M537" i="5" s="1"/>
  <c r="M537" i="6"/>
  <c r="F283" i="4"/>
  <c r="F283" i="5" s="1"/>
  <c r="J283" i="4"/>
  <c r="J283" i="5" s="1"/>
  <c r="V283" i="4"/>
  <c r="V283" i="5" s="1"/>
  <c r="D283" i="4"/>
  <c r="D283" i="5" s="1"/>
  <c r="H283" i="4"/>
  <c r="H283" i="5" s="1"/>
  <c r="L283" i="4"/>
  <c r="L283" i="5" s="1"/>
  <c r="P283" i="4"/>
  <c r="P283" i="5" s="1"/>
  <c r="T283" i="4"/>
  <c r="T283" i="5" s="1"/>
  <c r="H283" i="6"/>
  <c r="L283" i="6"/>
  <c r="M283" i="4"/>
  <c r="M283" i="5" s="1"/>
  <c r="I283" i="6"/>
  <c r="Q283" i="6"/>
  <c r="Q283" i="4"/>
  <c r="Q283" i="5" s="1"/>
  <c r="U283" i="4"/>
  <c r="U283" i="5" s="1"/>
  <c r="U283" i="6"/>
  <c r="K283" i="6"/>
  <c r="G283" i="4"/>
  <c r="G283" i="5" s="1"/>
  <c r="G283" i="6"/>
  <c r="R283" i="4"/>
  <c r="R283" i="5" s="1"/>
  <c r="N283" i="6"/>
  <c r="V283" i="6"/>
  <c r="F283" i="6"/>
  <c r="P283" i="6"/>
  <c r="E283" i="6"/>
  <c r="S283" i="4"/>
  <c r="S283" i="5" s="1"/>
  <c r="I283" i="4"/>
  <c r="I283" i="5" s="1"/>
  <c r="M283" i="6"/>
  <c r="K283" i="4"/>
  <c r="K283" i="5" s="1"/>
  <c r="D283" i="6"/>
  <c r="E283" i="4"/>
  <c r="E283" i="5" s="1"/>
  <c r="S283" i="6"/>
  <c r="O283" i="6"/>
  <c r="R283" i="6"/>
  <c r="N283" i="4"/>
  <c r="N283" i="5" s="1"/>
  <c r="T283" i="6"/>
  <c r="O283" i="4"/>
  <c r="O283" i="5" s="1"/>
  <c r="J283" i="6"/>
  <c r="P217" i="4"/>
  <c r="P217" i="5" s="1"/>
  <c r="F217" i="6"/>
  <c r="L217" i="4"/>
  <c r="L217" i="5" s="1"/>
  <c r="T217" i="4"/>
  <c r="T217" i="5" s="1"/>
  <c r="M217" i="6"/>
  <c r="J217" i="6"/>
  <c r="T217" i="6"/>
  <c r="G217" i="6"/>
  <c r="R217" i="6"/>
  <c r="S217" i="4"/>
  <c r="S217" i="5" s="1"/>
  <c r="K217" i="4"/>
  <c r="K217" i="5" s="1"/>
  <c r="Q217" i="6"/>
  <c r="H217" i="4"/>
  <c r="H217" i="5" s="1"/>
  <c r="E217" i="4"/>
  <c r="E217" i="5" s="1"/>
  <c r="K217" i="6"/>
  <c r="M217" i="4"/>
  <c r="M217" i="5" s="1"/>
  <c r="J217" i="4"/>
  <c r="J217" i="5" s="1"/>
  <c r="N217" i="6"/>
  <c r="I217" i="4"/>
  <c r="I217" i="5" s="1"/>
  <c r="O217" i="4"/>
  <c r="O217" i="5" s="1"/>
  <c r="F217" i="4"/>
  <c r="F217" i="5" s="1"/>
  <c r="V217" i="4"/>
  <c r="V217" i="5" s="1"/>
  <c r="D217" i="4"/>
  <c r="D217" i="5" s="1"/>
  <c r="L217" i="6"/>
  <c r="O217" i="6"/>
  <c r="S217" i="6"/>
  <c r="E217" i="6"/>
  <c r="Q217" i="4"/>
  <c r="Q217" i="5" s="1"/>
  <c r="I217" i="6"/>
  <c r="D217" i="6"/>
  <c r="R217" i="4"/>
  <c r="R217" i="5" s="1"/>
  <c r="G217" i="4"/>
  <c r="G217" i="5" s="1"/>
  <c r="H217" i="6"/>
  <c r="U217" i="6"/>
  <c r="U217" i="4"/>
  <c r="U217" i="5" s="1"/>
  <c r="N217" i="4"/>
  <c r="N217" i="5" s="1"/>
  <c r="P217" i="6"/>
  <c r="V217" i="6"/>
  <c r="M164" i="6"/>
  <c r="H164" i="6"/>
  <c r="V164" i="6"/>
  <c r="Q164" i="4"/>
  <c r="Q164" i="5" s="1"/>
  <c r="E164" i="4"/>
  <c r="E164" i="5" s="1"/>
  <c r="T164" i="6"/>
  <c r="L164" i="6"/>
  <c r="K164" i="4"/>
  <c r="K164" i="5" s="1"/>
  <c r="O164" i="6"/>
  <c r="J164" i="6"/>
  <c r="V164" i="4"/>
  <c r="V164" i="5" s="1"/>
  <c r="H164" i="4"/>
  <c r="H164" i="5" s="1"/>
  <c r="P164" i="6"/>
  <c r="D164" i="4"/>
  <c r="D164" i="5" s="1"/>
  <c r="O164" i="4"/>
  <c r="O164" i="5" s="1"/>
  <c r="R164" i="6"/>
  <c r="N164" i="4"/>
  <c r="N164" i="5" s="1"/>
  <c r="Q164" i="6"/>
  <c r="L164" i="4"/>
  <c r="L164" i="5" s="1"/>
  <c r="J164" i="4"/>
  <c r="J164" i="5" s="1"/>
  <c r="N164" i="6"/>
  <c r="M164" i="4"/>
  <c r="M164" i="5" s="1"/>
  <c r="K164" i="6"/>
  <c r="I164" i="6"/>
  <c r="T164" i="4"/>
  <c r="T164" i="5" s="1"/>
  <c r="R164" i="4"/>
  <c r="R164" i="5" s="1"/>
  <c r="E164" i="6"/>
  <c r="S164" i="4"/>
  <c r="S164" i="5" s="1"/>
  <c r="D164" i="6"/>
  <c r="S164" i="6"/>
  <c r="P164" i="4"/>
  <c r="P164" i="5" s="1"/>
  <c r="I164" i="4"/>
  <c r="I164" i="5" s="1"/>
  <c r="R518" i="4"/>
  <c r="R518" i="5" s="1"/>
  <c r="Q518" i="4"/>
  <c r="Q518" i="5" s="1"/>
  <c r="V518" i="4"/>
  <c r="V518" i="5" s="1"/>
  <c r="Q518" i="6"/>
  <c r="J518" i="6"/>
  <c r="J518" i="4"/>
  <c r="J518" i="5" s="1"/>
  <c r="L518" i="4"/>
  <c r="L518" i="5" s="1"/>
  <c r="R518" i="6"/>
  <c r="H518" i="6"/>
  <c r="H518" i="4"/>
  <c r="H518" i="5" s="1"/>
  <c r="L518" i="6"/>
  <c r="D518" i="6"/>
  <c r="P518" i="6"/>
  <c r="V518" i="6"/>
  <c r="D518" i="4"/>
  <c r="D518" i="5" s="1"/>
  <c r="K518" i="4"/>
  <c r="K518" i="5" s="1"/>
  <c r="F518" i="6"/>
  <c r="I518" i="4"/>
  <c r="I518" i="5" s="1"/>
  <c r="E518" i="4"/>
  <c r="E518" i="5" s="1"/>
  <c r="E518" i="6"/>
  <c r="U518" i="6"/>
  <c r="G518" i="6"/>
  <c r="K518" i="6"/>
  <c r="U518" i="4"/>
  <c r="U518" i="5" s="1"/>
  <c r="G518" i="4"/>
  <c r="G518" i="5" s="1"/>
  <c r="F518" i="4"/>
  <c r="F518" i="5" s="1"/>
  <c r="J44" i="2"/>
  <c r="J71" i="2" s="1"/>
  <c r="O381" i="3"/>
  <c r="N129" i="6"/>
  <c r="N129" i="4"/>
  <c r="N129" i="5" s="1"/>
  <c r="U195" i="3"/>
  <c r="D36" i="2"/>
  <c r="F106" i="1"/>
  <c r="G195" i="3"/>
  <c r="J500" i="7"/>
  <c r="R500" i="7" s="1"/>
  <c r="M442" i="7" s="1"/>
  <c r="J505" i="7"/>
  <c r="R505" i="7" s="1"/>
  <c r="M447" i="7" s="1"/>
  <c r="J510" i="7"/>
  <c r="R510" i="7" s="1"/>
  <c r="M452" i="7" s="1"/>
  <c r="J514" i="7"/>
  <c r="R514" i="7" s="1"/>
  <c r="M456" i="7" s="1"/>
  <c r="J506" i="7"/>
  <c r="R506" i="7" s="1"/>
  <c r="M448" i="7" s="1"/>
  <c r="N61" i="2"/>
  <c r="N52" i="2"/>
  <c r="N79" i="2" s="1"/>
  <c r="N91" i="2" s="1"/>
  <c r="J402" i="6"/>
  <c r="I416" i="4"/>
  <c r="I416" i="5" s="1"/>
  <c r="I416" i="6"/>
  <c r="G321" i="4"/>
  <c r="G321" i="5" s="1"/>
  <c r="G321" i="6"/>
  <c r="G164" i="4"/>
  <c r="G164" i="5" s="1"/>
  <c r="E416" i="6"/>
  <c r="E416" i="4"/>
  <c r="E416" i="5" s="1"/>
  <c r="I503" i="4"/>
  <c r="I503" i="5" s="1"/>
  <c r="I503" i="6"/>
  <c r="S355" i="4"/>
  <c r="S355" i="5" s="1"/>
  <c r="S355" i="6"/>
  <c r="O79" i="4"/>
  <c r="O79" i="5" s="1"/>
  <c r="O79" i="6"/>
  <c r="J37" i="2"/>
  <c r="J64" i="2" s="1"/>
  <c r="H381" i="3"/>
  <c r="H293" i="3"/>
  <c r="H37" i="2"/>
  <c r="H64" i="2" s="1"/>
  <c r="G378" i="7"/>
  <c r="F197" i="4"/>
  <c r="F197" i="5" s="1"/>
  <c r="F197" i="6"/>
  <c r="F62" i="2"/>
  <c r="F52" i="2"/>
  <c r="F79" i="2" s="1"/>
  <c r="G25" i="4"/>
  <c r="G25" i="5" s="1"/>
  <c r="E10" i="6"/>
  <c r="E10" i="4"/>
  <c r="E10" i="5" s="1"/>
  <c r="I8" i="3"/>
  <c r="C38" i="2"/>
  <c r="G145" i="7"/>
  <c r="V112" i="2"/>
  <c r="G122" i="7" s="1"/>
  <c r="G148" i="7"/>
  <c r="V115" i="2"/>
  <c r="G125" i="7" s="1"/>
  <c r="V118" i="2"/>
  <c r="G128" i="7" s="1"/>
  <c r="G151" i="7"/>
  <c r="V127" i="2"/>
  <c r="G137" i="7" s="1"/>
  <c r="G160" i="7"/>
  <c r="G158" i="7"/>
  <c r="V125" i="2"/>
  <c r="G135" i="7" s="1"/>
  <c r="V119" i="2"/>
  <c r="G129" i="7" s="1"/>
  <c r="G152" i="7"/>
  <c r="G159" i="7"/>
  <c r="V126" i="2"/>
  <c r="G136" i="7" s="1"/>
  <c r="V128" i="2"/>
  <c r="G138" i="7" s="1"/>
  <c r="G161" i="7"/>
  <c r="G146" i="7"/>
  <c r="V113" i="2"/>
  <c r="G123" i="7" s="1"/>
  <c r="I15" i="4"/>
  <c r="I15" i="5" s="1"/>
  <c r="I360" i="6"/>
  <c r="T360" i="6"/>
  <c r="J360" i="4"/>
  <c r="J360" i="5" s="1"/>
  <c r="S360" i="4"/>
  <c r="S360" i="5" s="1"/>
  <c r="O360" i="4"/>
  <c r="O360" i="5" s="1"/>
  <c r="M360" i="4"/>
  <c r="M360" i="5" s="1"/>
  <c r="G360" i="6"/>
  <c r="I360" i="4"/>
  <c r="I360" i="5" s="1"/>
  <c r="U360" i="4"/>
  <c r="U360" i="5" s="1"/>
  <c r="L360" i="6"/>
  <c r="D360" i="4"/>
  <c r="D360" i="5" s="1"/>
  <c r="N360" i="6"/>
  <c r="N360" i="4"/>
  <c r="N360" i="5" s="1"/>
  <c r="P360" i="6"/>
  <c r="G360" i="4"/>
  <c r="G360" i="5" s="1"/>
  <c r="J360" i="6"/>
  <c r="U360" i="6"/>
  <c r="T360" i="4"/>
  <c r="T360" i="5" s="1"/>
  <c r="P360" i="4"/>
  <c r="P360" i="5" s="1"/>
  <c r="M360" i="6"/>
  <c r="O360" i="6"/>
  <c r="S360" i="6"/>
  <c r="E360" i="6"/>
  <c r="R360" i="4"/>
  <c r="R360" i="5" s="1"/>
  <c r="K360" i="4"/>
  <c r="K360" i="5" s="1"/>
  <c r="L360" i="4"/>
  <c r="L360" i="5" s="1"/>
  <c r="E360" i="4"/>
  <c r="R360" i="6"/>
  <c r="V360" i="4"/>
  <c r="V360" i="5" s="1"/>
  <c r="H360" i="6"/>
  <c r="F360" i="6"/>
  <c r="K360" i="6"/>
  <c r="H360" i="4"/>
  <c r="H360" i="5" s="1"/>
  <c r="F360" i="4"/>
  <c r="F360" i="5" s="1"/>
  <c r="V360" i="6"/>
  <c r="D360" i="6"/>
  <c r="X40" i="2"/>
  <c r="T67" i="2"/>
  <c r="R65" i="2"/>
  <c r="T38" i="2"/>
  <c r="G394" i="7"/>
  <c r="V197" i="6"/>
  <c r="V197" i="4"/>
  <c r="V197" i="5" s="1"/>
  <c r="E477" i="6"/>
  <c r="E477" i="4"/>
  <c r="E477" i="5" s="1"/>
  <c r="D381" i="7"/>
  <c r="D388" i="7"/>
  <c r="F388" i="7" s="1"/>
  <c r="D392" i="7"/>
  <c r="D379" i="7"/>
  <c r="F379" i="7" s="1"/>
  <c r="H379" i="7" s="1"/>
  <c r="D382" i="7"/>
  <c r="F382" i="7" s="1"/>
  <c r="D386" i="7"/>
  <c r="F386" i="7" s="1"/>
  <c r="H386" i="7" s="1"/>
  <c r="D387" i="7"/>
  <c r="F387" i="7" s="1"/>
  <c r="H387" i="7" s="1"/>
  <c r="D391" i="7"/>
  <c r="D385" i="7"/>
  <c r="F385" i="7" s="1"/>
  <c r="H385" i="7" s="1"/>
  <c r="G388" i="7"/>
  <c r="P197" i="6"/>
  <c r="P197" i="4"/>
  <c r="P197" i="5" s="1"/>
  <c r="E195" i="3"/>
  <c r="D106" i="1"/>
  <c r="D34" i="2"/>
  <c r="O435" i="6"/>
  <c r="G435" i="6"/>
  <c r="I435" i="6"/>
  <c r="K435" i="4"/>
  <c r="K435" i="5" s="1"/>
  <c r="I435" i="4"/>
  <c r="I435" i="5" s="1"/>
  <c r="D435" i="4"/>
  <c r="D435" i="5" s="1"/>
  <c r="J435" i="4"/>
  <c r="J435" i="5" s="1"/>
  <c r="H435" i="6"/>
  <c r="H435" i="4"/>
  <c r="H435" i="5" s="1"/>
  <c r="T435" i="6"/>
  <c r="T435" i="4"/>
  <c r="T435" i="5" s="1"/>
  <c r="E435" i="6"/>
  <c r="M435" i="6"/>
  <c r="N435" i="6"/>
  <c r="F435" i="4"/>
  <c r="F435" i="5" s="1"/>
  <c r="K435" i="6"/>
  <c r="Q435" i="4"/>
  <c r="Q435" i="5" s="1"/>
  <c r="M435" i="4"/>
  <c r="M435" i="5" s="1"/>
  <c r="P435" i="6"/>
  <c r="I402" i="4"/>
  <c r="I402" i="5" s="1"/>
  <c r="V402" i="6"/>
  <c r="H402" i="4"/>
  <c r="H402" i="5" s="1"/>
  <c r="O402" i="6"/>
  <c r="U402" i="6"/>
  <c r="P402" i="4"/>
  <c r="P402" i="5" s="1"/>
  <c r="L402" i="4"/>
  <c r="L402" i="5" s="1"/>
  <c r="K402" i="6"/>
  <c r="M402" i="4"/>
  <c r="M402" i="5" s="1"/>
  <c r="S402" i="6"/>
  <c r="E402" i="4"/>
  <c r="E402" i="5" s="1"/>
  <c r="F402" i="6"/>
  <c r="E402" i="6"/>
  <c r="R402" i="4"/>
  <c r="R402" i="5" s="1"/>
  <c r="U402" i="4"/>
  <c r="U402" i="5" s="1"/>
  <c r="L402" i="6"/>
  <c r="Q355" i="6"/>
  <c r="D355" i="4"/>
  <c r="D355" i="5" s="1"/>
  <c r="O355" i="6"/>
  <c r="K355" i="6"/>
  <c r="O355" i="4"/>
  <c r="O355" i="5" s="1"/>
  <c r="N355" i="4"/>
  <c r="N355" i="5" s="1"/>
  <c r="L355" i="6"/>
  <c r="U355" i="4"/>
  <c r="U355" i="5" s="1"/>
  <c r="K355" i="4"/>
  <c r="K355" i="5" s="1"/>
  <c r="R355" i="6"/>
  <c r="E355" i="6"/>
  <c r="T355" i="4"/>
  <c r="T355" i="5" s="1"/>
  <c r="P355" i="4"/>
  <c r="P355" i="5" s="1"/>
  <c r="D355" i="6"/>
  <c r="P355" i="6"/>
  <c r="L355" i="4"/>
  <c r="L355" i="5" s="1"/>
  <c r="T355" i="6"/>
  <c r="J355" i="4"/>
  <c r="J355" i="5" s="1"/>
  <c r="I355" i="4"/>
  <c r="I355" i="5" s="1"/>
  <c r="J355" i="6"/>
  <c r="H355" i="4"/>
  <c r="H355" i="5" s="1"/>
  <c r="F355" i="6"/>
  <c r="V355" i="6"/>
  <c r="M355" i="4"/>
  <c r="M355" i="5" s="1"/>
  <c r="N355" i="6"/>
  <c r="R355" i="4"/>
  <c r="R355" i="5" s="1"/>
  <c r="V355" i="4"/>
  <c r="V355" i="5" s="1"/>
  <c r="U355" i="6"/>
  <c r="I355" i="6"/>
  <c r="E355" i="4"/>
  <c r="F355" i="4"/>
  <c r="F355" i="5" s="1"/>
  <c r="H355" i="6"/>
  <c r="I335" i="4"/>
  <c r="I335" i="5" s="1"/>
  <c r="R335" i="4"/>
  <c r="R335" i="5" s="1"/>
  <c r="U335" i="6"/>
  <c r="L335" i="6"/>
  <c r="D335" i="4"/>
  <c r="D335" i="5" s="1"/>
  <c r="V335" i="6"/>
  <c r="V335" i="4"/>
  <c r="V335" i="5" s="1"/>
  <c r="L335" i="4"/>
  <c r="L335" i="5" s="1"/>
  <c r="N335" i="4"/>
  <c r="N335" i="5" s="1"/>
  <c r="K335" i="6"/>
  <c r="E335" i="6"/>
  <c r="T335" i="4"/>
  <c r="T335" i="5" s="1"/>
  <c r="P335" i="4"/>
  <c r="P335" i="5" s="1"/>
  <c r="E335" i="4"/>
  <c r="J335" i="4"/>
  <c r="J335" i="5" s="1"/>
  <c r="S335" i="4"/>
  <c r="S335" i="5" s="1"/>
  <c r="N335" i="6"/>
  <c r="K335" i="4"/>
  <c r="K335" i="5" s="1"/>
  <c r="R335" i="6"/>
  <c r="I335" i="6"/>
  <c r="S335" i="6"/>
  <c r="O335" i="4"/>
  <c r="O335" i="5" s="1"/>
  <c r="P335" i="6"/>
  <c r="M335" i="6"/>
  <c r="M335" i="4"/>
  <c r="M335" i="5" s="1"/>
  <c r="D335" i="6"/>
  <c r="H335" i="6"/>
  <c r="O335" i="6"/>
  <c r="J335" i="6"/>
  <c r="U335" i="4"/>
  <c r="U335" i="5" s="1"/>
  <c r="F335" i="6"/>
  <c r="T335" i="6"/>
  <c r="Q335" i="4"/>
  <c r="Q335" i="5" s="1"/>
  <c r="H335" i="4"/>
  <c r="H335" i="5" s="1"/>
  <c r="Q335" i="6"/>
  <c r="F335" i="4"/>
  <c r="F335" i="5" s="1"/>
  <c r="E321" i="4"/>
  <c r="S321" i="4"/>
  <c r="S321" i="5" s="1"/>
  <c r="O321" i="6"/>
  <c r="J321" i="6"/>
  <c r="D321" i="6"/>
  <c r="L321" i="6"/>
  <c r="F321" i="4"/>
  <c r="F321" i="5" s="1"/>
  <c r="M321" i="6"/>
  <c r="I321" i="6"/>
  <c r="U321" i="4"/>
  <c r="U321" i="5" s="1"/>
  <c r="N321" i="6"/>
  <c r="T321" i="6"/>
  <c r="S321" i="6"/>
  <c r="O321" i="4"/>
  <c r="O321" i="5" s="1"/>
  <c r="E321" i="6"/>
  <c r="K321" i="6"/>
  <c r="U321" i="6"/>
  <c r="M321" i="4"/>
  <c r="M321" i="5" s="1"/>
  <c r="D321" i="4"/>
  <c r="D321" i="5" s="1"/>
  <c r="T321" i="4"/>
  <c r="T321" i="5" s="1"/>
  <c r="N321" i="4"/>
  <c r="N321" i="5" s="1"/>
  <c r="P321" i="6"/>
  <c r="L321" i="4"/>
  <c r="L321" i="5" s="1"/>
  <c r="R321" i="6"/>
  <c r="J321" i="4"/>
  <c r="J321" i="5" s="1"/>
  <c r="K321" i="4"/>
  <c r="K321" i="5" s="1"/>
  <c r="V321" i="4"/>
  <c r="V321" i="5" s="1"/>
  <c r="R321" i="4"/>
  <c r="R321" i="5" s="1"/>
  <c r="V321" i="6"/>
  <c r="F321" i="6"/>
  <c r="Q321" i="6"/>
  <c r="P321" i="4"/>
  <c r="P321" i="5" s="1"/>
  <c r="I321" i="4"/>
  <c r="I321" i="5" s="1"/>
  <c r="Q321" i="4"/>
  <c r="Q321" i="5" s="1"/>
  <c r="V293" i="1"/>
  <c r="D293" i="3" s="1"/>
  <c r="E293" i="4" s="1"/>
  <c r="E293" i="5" s="1"/>
  <c r="D295" i="3"/>
  <c r="P239" i="4"/>
  <c r="P239" i="5" s="1"/>
  <c r="L239" i="4"/>
  <c r="L239" i="5" s="1"/>
  <c r="G239" i="4"/>
  <c r="G239" i="5" s="1"/>
  <c r="R239" i="6"/>
  <c r="O239" i="4"/>
  <c r="O239" i="5" s="1"/>
  <c r="I239" i="6"/>
  <c r="O239" i="6"/>
  <c r="H239" i="6"/>
  <c r="D239" i="4"/>
  <c r="D239" i="5" s="1"/>
  <c r="U239" i="4"/>
  <c r="U239" i="5" s="1"/>
  <c r="U239" i="6"/>
  <c r="H239" i="4"/>
  <c r="H239" i="5" s="1"/>
  <c r="F239" i="4"/>
  <c r="F239" i="5" s="1"/>
  <c r="F239" i="6"/>
  <c r="V239" i="4"/>
  <c r="V239" i="5" s="1"/>
  <c r="R239" i="4"/>
  <c r="R239" i="5" s="1"/>
  <c r="N239" i="4"/>
  <c r="N239" i="5" s="1"/>
  <c r="Q239" i="4"/>
  <c r="Q239" i="5" s="1"/>
  <c r="E239" i="6"/>
  <c r="L239" i="6"/>
  <c r="P239" i="6"/>
  <c r="J239" i="6"/>
  <c r="I239" i="4"/>
  <c r="I239" i="5" s="1"/>
  <c r="M239" i="4"/>
  <c r="M239" i="5" s="1"/>
  <c r="Q239" i="6"/>
  <c r="T239" i="4"/>
  <c r="T239" i="5" s="1"/>
  <c r="V239" i="6"/>
  <c r="D239" i="6"/>
  <c r="G239" i="6"/>
  <c r="M239" i="6"/>
  <c r="S239" i="4"/>
  <c r="S239" i="5" s="1"/>
  <c r="J239" i="4"/>
  <c r="J239" i="5" s="1"/>
  <c r="E239" i="4"/>
  <c r="E239" i="5" s="1"/>
  <c r="T239" i="6"/>
  <c r="N239" i="6"/>
  <c r="V195" i="1"/>
  <c r="C403" i="7"/>
  <c r="C395" i="7" s="1"/>
  <c r="D108" i="3"/>
  <c r="U93" i="4"/>
  <c r="U93" i="5" s="1"/>
  <c r="P93" i="6"/>
  <c r="V93" i="6"/>
  <c r="E93" i="4"/>
  <c r="E93" i="5" s="1"/>
  <c r="Q93" i="4"/>
  <c r="Q93" i="5" s="1"/>
  <c r="L93" i="4"/>
  <c r="L93" i="5" s="1"/>
  <c r="I93" i="6"/>
  <c r="D93" i="4"/>
  <c r="D93" i="5" s="1"/>
  <c r="S93" i="4"/>
  <c r="S93" i="5" s="1"/>
  <c r="R93" i="4"/>
  <c r="R93" i="5" s="1"/>
  <c r="G93" i="4"/>
  <c r="G93" i="5" s="1"/>
  <c r="I93" i="4"/>
  <c r="I93" i="5" s="1"/>
  <c r="D93" i="6"/>
  <c r="K93" i="6"/>
  <c r="R93" i="6"/>
  <c r="V93" i="4"/>
  <c r="V93" i="5" s="1"/>
  <c r="O10" i="6"/>
  <c r="M10" i="6"/>
  <c r="N10" i="4"/>
  <c r="N10" i="5" s="1"/>
  <c r="R10" i="6"/>
  <c r="D10" i="6"/>
  <c r="P10" i="6"/>
  <c r="K10" i="6"/>
  <c r="I10" i="6"/>
  <c r="L10" i="4"/>
  <c r="L10" i="5" s="1"/>
  <c r="Q10" i="4"/>
  <c r="Q10" i="5" s="1"/>
  <c r="F10" i="4"/>
  <c r="F10" i="5" s="1"/>
  <c r="O10" i="4"/>
  <c r="O10" i="5" s="1"/>
  <c r="T10" i="4"/>
  <c r="T10" i="5" s="1"/>
  <c r="D10" i="4"/>
  <c r="D10" i="5" s="1"/>
  <c r="F10" i="6"/>
  <c r="N10" i="6"/>
  <c r="U10" i="4"/>
  <c r="U10" i="5" s="1"/>
  <c r="K10" i="4"/>
  <c r="K10" i="5" s="1"/>
  <c r="R10" i="4"/>
  <c r="R10" i="5" s="1"/>
  <c r="P10" i="4"/>
  <c r="P10" i="5" s="1"/>
  <c r="T10" i="6"/>
  <c r="M10" i="4"/>
  <c r="M10" i="5" s="1"/>
  <c r="Q10" i="6"/>
  <c r="U10" i="6"/>
  <c r="V10" i="6"/>
  <c r="L10" i="6"/>
  <c r="H10" i="6"/>
  <c r="S10" i="4"/>
  <c r="S10" i="5" s="1"/>
  <c r="V10" i="4"/>
  <c r="V10" i="5" s="1"/>
  <c r="S10" i="6"/>
  <c r="G10" i="6"/>
  <c r="H10" i="4"/>
  <c r="H10" i="5" s="1"/>
  <c r="I10" i="4"/>
  <c r="I10" i="5" s="1"/>
  <c r="Q25" i="4"/>
  <c r="Q25" i="5" s="1"/>
  <c r="J25" i="4"/>
  <c r="J25" i="5" s="1"/>
  <c r="Q25" i="6"/>
  <c r="M25" i="4"/>
  <c r="M25" i="5" s="1"/>
  <c r="D25" i="4"/>
  <c r="D25" i="5" s="1"/>
  <c r="D25" i="6"/>
  <c r="J25" i="6"/>
  <c r="T25" i="4"/>
  <c r="T25" i="5" s="1"/>
  <c r="N25" i="6"/>
  <c r="N25" i="4"/>
  <c r="N25" i="5" s="1"/>
  <c r="T25" i="6"/>
  <c r="R25" i="4"/>
  <c r="R25" i="5" s="1"/>
  <c r="M25" i="6"/>
  <c r="F25" i="6"/>
  <c r="I25" i="4"/>
  <c r="I25" i="5" s="1"/>
  <c r="U25" i="6"/>
  <c r="O25" i="6"/>
  <c r="O25" i="4"/>
  <c r="O25" i="5" s="1"/>
  <c r="L25" i="4"/>
  <c r="L25" i="5" s="1"/>
  <c r="P25" i="6"/>
  <c r="L25" i="6"/>
  <c r="I25" i="6"/>
  <c r="P25" i="4"/>
  <c r="P25" i="5" s="1"/>
  <c r="V25" i="6"/>
  <c r="U25" i="4"/>
  <c r="U25" i="5" s="1"/>
  <c r="H25" i="4"/>
  <c r="H25" i="5" s="1"/>
  <c r="V25" i="4"/>
  <c r="V25" i="5" s="1"/>
  <c r="R25" i="6"/>
  <c r="S25" i="4"/>
  <c r="S25" i="5" s="1"/>
  <c r="H25" i="6"/>
  <c r="S25" i="6"/>
  <c r="K239" i="6"/>
  <c r="P226" i="6"/>
  <c r="P226" i="4"/>
  <c r="P226" i="5" s="1"/>
  <c r="P195" i="3"/>
  <c r="O106" i="1"/>
  <c r="D45" i="2"/>
  <c r="V444" i="6"/>
  <c r="V444" i="4"/>
  <c r="V444" i="5" s="1"/>
  <c r="T195" i="3"/>
  <c r="Q360" i="4"/>
  <c r="Q360" i="5" s="1"/>
  <c r="Q360" i="6"/>
  <c r="N213" i="3"/>
  <c r="E43" i="2"/>
  <c r="E70" i="2" s="1"/>
  <c r="H40" i="2"/>
  <c r="H67" i="2" s="1"/>
  <c r="K293" i="3"/>
  <c r="F93" i="6"/>
  <c r="T51" i="2"/>
  <c r="R78" i="2"/>
  <c r="G535" i="1"/>
  <c r="G549" i="1"/>
  <c r="H549" i="3" s="1"/>
  <c r="H492" i="3"/>
  <c r="U35" i="6"/>
  <c r="C36" i="2"/>
  <c r="G8" i="3"/>
  <c r="C501" i="7"/>
  <c r="C505" i="7"/>
  <c r="R416" i="6"/>
  <c r="U416" i="4"/>
  <c r="U416" i="5" s="1"/>
  <c r="U416" i="6"/>
  <c r="P416" i="4"/>
  <c r="P416" i="5" s="1"/>
  <c r="P416" i="6"/>
  <c r="K416" i="6"/>
  <c r="K416" i="4"/>
  <c r="K416" i="5" s="1"/>
  <c r="G416" i="6"/>
  <c r="N416" i="4"/>
  <c r="N416" i="5" s="1"/>
  <c r="S416" i="6"/>
  <c r="F416" i="4"/>
  <c r="F416" i="5" s="1"/>
  <c r="F416" i="6"/>
  <c r="V416" i="6"/>
  <c r="R416" i="4"/>
  <c r="R416" i="5" s="1"/>
  <c r="D416" i="6"/>
  <c r="G416" i="4"/>
  <c r="G416" i="5" s="1"/>
  <c r="S416" i="4"/>
  <c r="S416" i="5" s="1"/>
  <c r="N416" i="6"/>
  <c r="J416" i="4"/>
  <c r="J416" i="5" s="1"/>
  <c r="J416" i="6"/>
  <c r="L416" i="4"/>
  <c r="L416" i="5" s="1"/>
  <c r="Q416" i="6"/>
  <c r="M416" i="4"/>
  <c r="M416" i="5" s="1"/>
  <c r="Q416" i="4"/>
  <c r="Q416" i="5" s="1"/>
  <c r="M416" i="6"/>
  <c r="D416" i="4"/>
  <c r="D416" i="5" s="1"/>
  <c r="L416" i="6"/>
  <c r="V416" i="4"/>
  <c r="V416" i="5" s="1"/>
  <c r="W52" i="2"/>
  <c r="W79" i="2" s="1"/>
  <c r="P420" i="4"/>
  <c r="P420" i="5" s="1"/>
  <c r="U15" i="6"/>
  <c r="M15" i="6"/>
  <c r="K15" i="4"/>
  <c r="K15" i="5" s="1"/>
  <c r="P532" i="4"/>
  <c r="P532" i="5" s="1"/>
  <c r="P532" i="6"/>
  <c r="M135" i="4"/>
  <c r="M135" i="5" s="1"/>
  <c r="E135" i="6"/>
  <c r="M135" i="6"/>
  <c r="U135" i="6"/>
  <c r="G135" i="6"/>
  <c r="O135" i="6"/>
  <c r="V135" i="4"/>
  <c r="V135" i="5" s="1"/>
  <c r="R135" i="6"/>
  <c r="H135" i="6"/>
  <c r="V135" i="6"/>
  <c r="N135" i="6"/>
  <c r="S135" i="4"/>
  <c r="S135" i="5" s="1"/>
  <c r="K135" i="4"/>
  <c r="K135" i="5" s="1"/>
  <c r="Q135" i="4"/>
  <c r="Q135" i="5" s="1"/>
  <c r="D135" i="4"/>
  <c r="D135" i="5" s="1"/>
  <c r="E135" i="4"/>
  <c r="E135" i="5" s="1"/>
  <c r="Q135" i="6"/>
  <c r="P135" i="4"/>
  <c r="P135" i="5" s="1"/>
  <c r="L135" i="4"/>
  <c r="L135" i="5" s="1"/>
  <c r="H135" i="4"/>
  <c r="H135" i="5" s="1"/>
  <c r="P135" i="6"/>
  <c r="S135" i="6"/>
  <c r="L135" i="6"/>
  <c r="T135" i="6"/>
  <c r="F135" i="6"/>
  <c r="G135" i="4"/>
  <c r="G135" i="5" s="1"/>
  <c r="U135" i="4"/>
  <c r="U135" i="5" s="1"/>
  <c r="I135" i="6"/>
  <c r="N135" i="4"/>
  <c r="N135" i="5" s="1"/>
  <c r="F135" i="4"/>
  <c r="F135" i="5" s="1"/>
  <c r="J135" i="6"/>
  <c r="O135" i="4"/>
  <c r="O135" i="5" s="1"/>
  <c r="I135" i="4"/>
  <c r="I135" i="5" s="1"/>
  <c r="D135" i="6"/>
  <c r="T135" i="4"/>
  <c r="T135" i="5" s="1"/>
  <c r="J135" i="4"/>
  <c r="J135" i="5" s="1"/>
  <c r="K135" i="6"/>
  <c r="R135" i="4"/>
  <c r="R135" i="5" s="1"/>
  <c r="F505" i="6"/>
  <c r="O505" i="6"/>
  <c r="H505" i="6"/>
  <c r="S505" i="6"/>
  <c r="O505" i="4"/>
  <c r="O505" i="5" s="1"/>
  <c r="G505" i="4"/>
  <c r="G505" i="5" s="1"/>
  <c r="E505" i="4"/>
  <c r="E505" i="5" s="1"/>
  <c r="M505" i="4"/>
  <c r="M505" i="5" s="1"/>
  <c r="U505" i="4"/>
  <c r="U505" i="5" s="1"/>
  <c r="P505" i="4"/>
  <c r="P505" i="5" s="1"/>
  <c r="R505" i="4"/>
  <c r="R505" i="5" s="1"/>
  <c r="J505" i="4"/>
  <c r="J505" i="5" s="1"/>
  <c r="T505" i="4"/>
  <c r="T505" i="5" s="1"/>
  <c r="N505" i="6"/>
  <c r="R505" i="6"/>
  <c r="T505" i="6"/>
  <c r="K505" i="6"/>
  <c r="E505" i="6"/>
  <c r="V505" i="4"/>
  <c r="V505" i="5" s="1"/>
  <c r="F505" i="4"/>
  <c r="F505" i="5" s="1"/>
  <c r="P505" i="6"/>
  <c r="S505" i="4"/>
  <c r="S505" i="5" s="1"/>
  <c r="U505" i="6"/>
  <c r="L505" i="6"/>
  <c r="K505" i="4"/>
  <c r="K505" i="5" s="1"/>
  <c r="D505" i="6"/>
  <c r="M505" i="6"/>
  <c r="I505" i="6"/>
  <c r="H505" i="4"/>
  <c r="H505" i="5" s="1"/>
  <c r="G505" i="6"/>
  <c r="Q505" i="6"/>
  <c r="N505" i="4"/>
  <c r="N505" i="5" s="1"/>
  <c r="J505" i="6"/>
  <c r="L505" i="4"/>
  <c r="L505" i="5" s="1"/>
  <c r="Q505" i="4"/>
  <c r="Q505" i="5" s="1"/>
  <c r="V505" i="6"/>
  <c r="D505" i="4"/>
  <c r="D505" i="5" s="1"/>
  <c r="I505" i="4"/>
  <c r="I505" i="5" s="1"/>
  <c r="M540" i="6"/>
  <c r="U540" i="6"/>
  <c r="G540" i="6"/>
  <c r="M540" i="4"/>
  <c r="M540" i="5" s="1"/>
  <c r="G540" i="4"/>
  <c r="G540" i="5" s="1"/>
  <c r="V540" i="4"/>
  <c r="V540" i="5" s="1"/>
  <c r="F540" i="6"/>
  <c r="L540" i="6"/>
  <c r="E540" i="6"/>
  <c r="R540" i="4"/>
  <c r="R540" i="5" s="1"/>
  <c r="K540" i="4"/>
  <c r="K540" i="5" s="1"/>
  <c r="E540" i="4"/>
  <c r="E540" i="5" s="1"/>
  <c r="K540" i="6"/>
  <c r="S540" i="4"/>
  <c r="S540" i="5" s="1"/>
  <c r="Q540" i="6"/>
  <c r="T540" i="4"/>
  <c r="T540" i="5" s="1"/>
  <c r="S540" i="6"/>
  <c r="V540" i="6"/>
  <c r="L540" i="4"/>
  <c r="L540" i="5" s="1"/>
  <c r="Q540" i="4"/>
  <c r="Q540" i="5" s="1"/>
  <c r="J540" i="4"/>
  <c r="J540" i="5" s="1"/>
  <c r="P540" i="4"/>
  <c r="P540" i="5" s="1"/>
  <c r="D540" i="4"/>
  <c r="D540" i="5" s="1"/>
  <c r="J540" i="6"/>
  <c r="H540" i="6"/>
  <c r="R540" i="6"/>
  <c r="D540" i="6"/>
  <c r="T540" i="6"/>
  <c r="F540" i="4"/>
  <c r="F540" i="5" s="1"/>
  <c r="N540" i="6"/>
  <c r="N540" i="4"/>
  <c r="N540" i="5" s="1"/>
  <c r="P540" i="6"/>
  <c r="H540" i="4"/>
  <c r="H540" i="5" s="1"/>
  <c r="U540" i="4"/>
  <c r="U540" i="5" s="1"/>
  <c r="O93" i="4"/>
  <c r="O93" i="5" s="1"/>
  <c r="J43" i="2"/>
  <c r="J70" i="2" s="1"/>
  <c r="N381" i="3"/>
  <c r="D51" i="2"/>
  <c r="V195" i="3"/>
  <c r="U106" i="1"/>
  <c r="P106" i="1"/>
  <c r="Q195" i="3"/>
  <c r="D46" i="2"/>
  <c r="H129" i="4"/>
  <c r="H129" i="5" s="1"/>
  <c r="H129" i="6"/>
  <c r="G383" i="4"/>
  <c r="G383" i="5" s="1"/>
  <c r="O540" i="6"/>
  <c r="O540" i="4"/>
  <c r="O540" i="5" s="1"/>
  <c r="J10" i="4"/>
  <c r="J10" i="5" s="1"/>
  <c r="J10" i="6"/>
  <c r="F164" i="6"/>
  <c r="F164" i="4"/>
  <c r="F164" i="5" s="1"/>
  <c r="S52" i="2"/>
  <c r="S79" i="2" s="1"/>
  <c r="R8" i="3"/>
  <c r="C47" i="2"/>
  <c r="O213" i="3"/>
  <c r="E44" i="2"/>
  <c r="O129" i="6"/>
  <c r="N93" i="4"/>
  <c r="N93" i="5" s="1"/>
  <c r="M444" i="4"/>
  <c r="M444" i="5" s="1"/>
  <c r="M444" i="6"/>
  <c r="D42" i="2"/>
  <c r="M195" i="3"/>
  <c r="L106" i="1"/>
  <c r="I195" i="3"/>
  <c r="D38" i="2"/>
  <c r="H106" i="1"/>
  <c r="H35" i="6"/>
  <c r="G335" i="4"/>
  <c r="G335" i="5" s="1"/>
  <c r="F381" i="3"/>
  <c r="J35" i="2"/>
  <c r="J62" i="2" s="1"/>
  <c r="G355" i="4"/>
  <c r="G355" i="5" s="1"/>
  <c r="E277" i="6"/>
  <c r="R492" i="3"/>
  <c r="Q549" i="1"/>
  <c r="R549" i="3" s="1"/>
  <c r="Q535" i="1"/>
  <c r="R74" i="2"/>
  <c r="T47" i="2"/>
  <c r="J106" i="1"/>
  <c r="K195" i="3"/>
  <c r="D40" i="2"/>
  <c r="E25" i="6"/>
  <c r="V503" i="4"/>
  <c r="V503" i="5" s="1"/>
  <c r="V503" i="6"/>
  <c r="N518" i="6"/>
  <c r="N518" i="4"/>
  <c r="N518" i="5" s="1"/>
  <c r="R61" i="2"/>
  <c r="T34" i="2"/>
  <c r="R52" i="2"/>
  <c r="R79" i="2" s="1"/>
  <c r="H431" i="3"/>
  <c r="K37" i="2"/>
  <c r="M548" i="1"/>
  <c r="N548" i="3" s="1"/>
  <c r="N535" i="3"/>
  <c r="S15" i="6"/>
  <c r="H420" i="4"/>
  <c r="H420" i="5" s="1"/>
  <c r="Q296" i="6"/>
  <c r="K28" i="4"/>
  <c r="K28" i="5" s="1"/>
  <c r="Q15" i="4"/>
  <c r="Q15" i="5" s="1"/>
  <c r="O15" i="4"/>
  <c r="O15" i="5" s="1"/>
  <c r="F537" i="6"/>
  <c r="F537" i="4"/>
  <c r="F537" i="5" s="1"/>
  <c r="J277" i="6"/>
  <c r="H277" i="4"/>
  <c r="H277" i="5" s="1"/>
  <c r="P277" i="4"/>
  <c r="P277" i="5" s="1"/>
  <c r="U277" i="4"/>
  <c r="U277" i="5" s="1"/>
  <c r="D277" i="4"/>
  <c r="D277" i="5" s="1"/>
  <c r="P277" i="6"/>
  <c r="O277" i="6"/>
  <c r="J277" i="4"/>
  <c r="J277" i="5" s="1"/>
  <c r="D277" i="6"/>
  <c r="V277" i="4"/>
  <c r="V277" i="5" s="1"/>
  <c r="H277" i="6"/>
  <c r="T277" i="4"/>
  <c r="T277" i="5" s="1"/>
  <c r="F277" i="6"/>
  <c r="Q277" i="4"/>
  <c r="Q277" i="5" s="1"/>
  <c r="L277" i="6"/>
  <c r="L277" i="4"/>
  <c r="L277" i="5" s="1"/>
  <c r="V213" i="1"/>
  <c r="D213" i="3" s="1"/>
  <c r="D215" i="3"/>
  <c r="E165" i="6"/>
  <c r="T165" i="6"/>
  <c r="P165" i="4"/>
  <c r="P165" i="5" s="1"/>
  <c r="F165" i="6"/>
  <c r="V165" i="6"/>
  <c r="R165" i="6"/>
  <c r="Q165" i="4"/>
  <c r="Q165" i="5" s="1"/>
  <c r="O165" i="6"/>
  <c r="I165" i="6"/>
  <c r="I165" i="4"/>
  <c r="I165" i="5" s="1"/>
  <c r="O165" i="4"/>
  <c r="O165" i="5" s="1"/>
  <c r="U165" i="4"/>
  <c r="U165" i="5" s="1"/>
  <c r="Q165" i="6"/>
  <c r="D165" i="4"/>
  <c r="D165" i="5" s="1"/>
  <c r="N165" i="4"/>
  <c r="N165" i="5" s="1"/>
  <c r="D165" i="6"/>
  <c r="L165" i="4"/>
  <c r="L165" i="5" s="1"/>
  <c r="J165" i="6"/>
  <c r="F165" i="4"/>
  <c r="F165" i="5" s="1"/>
  <c r="R165" i="4"/>
  <c r="R165" i="5" s="1"/>
  <c r="G165" i="4"/>
  <c r="G165" i="5" s="1"/>
  <c r="L165" i="6"/>
  <c r="T165" i="4"/>
  <c r="T165" i="5" s="1"/>
  <c r="N165" i="6"/>
  <c r="J165" i="4"/>
  <c r="J165" i="5" s="1"/>
  <c r="P165" i="6"/>
  <c r="M165" i="4"/>
  <c r="M165" i="5" s="1"/>
  <c r="U165" i="6"/>
  <c r="G165" i="6"/>
  <c r="V165" i="4"/>
  <c r="V165" i="5" s="1"/>
  <c r="H165" i="6"/>
  <c r="H165" i="4"/>
  <c r="H165" i="5" s="1"/>
  <c r="E165" i="4"/>
  <c r="E165" i="5" s="1"/>
  <c r="M165" i="6"/>
  <c r="K165" i="6"/>
  <c r="G519" i="6"/>
  <c r="K519" i="4"/>
  <c r="K519" i="5" s="1"/>
  <c r="E519" i="4"/>
  <c r="E519" i="5" s="1"/>
  <c r="D519" i="4"/>
  <c r="D519" i="5" s="1"/>
  <c r="O519" i="6"/>
  <c r="P519" i="6"/>
  <c r="D519" i="6"/>
  <c r="Q519" i="4"/>
  <c r="Q519" i="5" s="1"/>
  <c r="O519" i="4"/>
  <c r="O519" i="5" s="1"/>
  <c r="M519" i="4"/>
  <c r="M519" i="5" s="1"/>
  <c r="V519" i="4"/>
  <c r="V519" i="5" s="1"/>
  <c r="T519" i="6"/>
  <c r="U519" i="6"/>
  <c r="H519" i="6"/>
  <c r="E519" i="6"/>
  <c r="S519" i="6"/>
  <c r="M519" i="6"/>
  <c r="J519" i="4"/>
  <c r="J519" i="5" s="1"/>
  <c r="V519" i="6"/>
  <c r="N519" i="6"/>
  <c r="F519" i="4"/>
  <c r="F519" i="5" s="1"/>
  <c r="K519" i="6"/>
  <c r="H519" i="4"/>
  <c r="H519" i="5" s="1"/>
  <c r="P519" i="4"/>
  <c r="P519" i="5" s="1"/>
  <c r="S519" i="4"/>
  <c r="S519" i="5" s="1"/>
  <c r="Q519" i="6"/>
  <c r="J519" i="6"/>
  <c r="F519" i="6"/>
  <c r="L519" i="6"/>
  <c r="I519" i="4"/>
  <c r="I519" i="5" s="1"/>
  <c r="I519" i="6"/>
  <c r="L519" i="4"/>
  <c r="L519" i="5" s="1"/>
  <c r="R519" i="4"/>
  <c r="R519" i="5" s="1"/>
  <c r="N519" i="4"/>
  <c r="N519" i="5" s="1"/>
  <c r="U519" i="4"/>
  <c r="U519" i="5" s="1"/>
  <c r="G519" i="4"/>
  <c r="G519" i="5" s="1"/>
  <c r="T519" i="4"/>
  <c r="T519" i="5" s="1"/>
  <c r="R519" i="6"/>
  <c r="O416" i="6"/>
  <c r="O416" i="4"/>
  <c r="O416" i="5" s="1"/>
  <c r="N195" i="3"/>
  <c r="D43" i="2"/>
  <c r="M106" i="1"/>
  <c r="U164" i="4"/>
  <c r="U164" i="5" s="1"/>
  <c r="U164" i="6"/>
  <c r="K44" i="2"/>
  <c r="K71" i="2" s="1"/>
  <c r="O431" i="3"/>
  <c r="M238" i="6"/>
  <c r="M238" i="4"/>
  <c r="M238" i="5" s="1"/>
  <c r="I238" i="6"/>
  <c r="I238" i="4"/>
  <c r="I238" i="5" s="1"/>
  <c r="F512" i="7"/>
  <c r="F515" i="7"/>
  <c r="F500" i="7"/>
  <c r="F506" i="7"/>
  <c r="F504" i="7"/>
  <c r="F503" i="7"/>
  <c r="F514" i="7"/>
  <c r="F511" i="7"/>
  <c r="F505" i="7"/>
  <c r="F499" i="7"/>
  <c r="F507" i="7"/>
  <c r="F513" i="7"/>
  <c r="F498" i="7"/>
  <c r="F502" i="7"/>
  <c r="F508" i="7"/>
  <c r="F501" i="7"/>
  <c r="F509" i="7"/>
  <c r="F510" i="7"/>
  <c r="G377" i="7"/>
  <c r="E197" i="4"/>
  <c r="E197" i="5" s="1"/>
  <c r="E197" i="6"/>
  <c r="J39" i="2"/>
  <c r="J66" i="2" s="1"/>
  <c r="J381" i="3"/>
  <c r="J38" i="2"/>
  <c r="J65" i="2" s="1"/>
  <c r="I381" i="3"/>
  <c r="G293" i="3"/>
  <c r="H36" i="2"/>
  <c r="H63" i="2" s="1"/>
  <c r="G164" i="6"/>
  <c r="J34" i="2"/>
  <c r="E381" i="3"/>
  <c r="H48" i="2"/>
  <c r="C44" i="2"/>
  <c r="O8" i="3"/>
  <c r="N293" i="3"/>
  <c r="H43" i="2"/>
  <c r="H70" i="2" s="1"/>
  <c r="M355" i="6"/>
  <c r="H416" i="6"/>
  <c r="H416" i="4"/>
  <c r="H416" i="5" s="1"/>
  <c r="H321" i="6"/>
  <c r="H321" i="4"/>
  <c r="H321" i="5" s="1"/>
  <c r="H508" i="7"/>
  <c r="H498" i="7"/>
  <c r="H502" i="7"/>
  <c r="H507" i="7"/>
  <c r="H500" i="7"/>
  <c r="H515" i="7"/>
  <c r="H512" i="7"/>
  <c r="H514" i="7"/>
  <c r="H510" i="7"/>
  <c r="H501" i="7"/>
  <c r="H503" i="7"/>
  <c r="H509" i="7"/>
  <c r="H506" i="7"/>
  <c r="H505" i="7"/>
  <c r="H513" i="7"/>
  <c r="H499" i="7"/>
  <c r="H511" i="7"/>
  <c r="H504" i="7"/>
  <c r="F238" i="6"/>
  <c r="F238" i="4"/>
  <c r="F238" i="5" s="1"/>
  <c r="G25" i="6"/>
  <c r="E8" i="3"/>
  <c r="K277" i="4"/>
  <c r="K277" i="5" s="1"/>
  <c r="K25" i="6"/>
  <c r="I47" i="6"/>
  <c r="G147" i="7"/>
  <c r="V114" i="2"/>
  <c r="G124" i="7" s="1"/>
  <c r="G155" i="7"/>
  <c r="V122" i="2"/>
  <c r="G132" i="7" s="1"/>
  <c r="V120" i="2"/>
  <c r="G130" i="7" s="1"/>
  <c r="G153" i="7"/>
  <c r="G149" i="7"/>
  <c r="V116" i="2"/>
  <c r="G126" i="7" s="1"/>
  <c r="G154" i="7"/>
  <c r="V121" i="2"/>
  <c r="G131" i="7" s="1"/>
  <c r="V124" i="2"/>
  <c r="G134" i="7" s="1"/>
  <c r="G157" i="7"/>
  <c r="G150" i="7"/>
  <c r="V117" i="2"/>
  <c r="G127" i="7" s="1"/>
  <c r="V111" i="2"/>
  <c r="G121" i="7" s="1"/>
  <c r="G144" i="7"/>
  <c r="G156" i="7"/>
  <c r="V123" i="2"/>
  <c r="G133" i="7" s="1"/>
  <c r="N548" i="1"/>
  <c r="O548" i="3" s="1"/>
  <c r="S28" i="4"/>
  <c r="S28" i="5" s="1"/>
  <c r="K165" i="4"/>
  <c r="K165" i="5" s="1"/>
  <c r="S316" i="4" l="1"/>
  <c r="S316" i="5" s="1"/>
  <c r="K316" i="4"/>
  <c r="K316" i="5" s="1"/>
  <c r="J499" i="4"/>
  <c r="J499" i="5" s="1"/>
  <c r="Q499" i="4"/>
  <c r="Q499" i="5" s="1"/>
  <c r="S213" i="3"/>
  <c r="V293" i="3"/>
  <c r="G455" i="4"/>
  <c r="G455" i="5" s="1"/>
  <c r="S494" i="6"/>
  <c r="F391" i="7"/>
  <c r="H391" i="7" s="1"/>
  <c r="I274" i="6"/>
  <c r="J471" i="4"/>
  <c r="J471" i="5" s="1"/>
  <c r="L500" i="4"/>
  <c r="L500" i="5" s="1"/>
  <c r="F395" i="7"/>
  <c r="H395" i="7" s="1"/>
  <c r="F392" i="7"/>
  <c r="H392" i="7" s="1"/>
  <c r="J515" i="7"/>
  <c r="R515" i="7" s="1"/>
  <c r="M457" i="7" s="1"/>
  <c r="J501" i="7"/>
  <c r="R501" i="7" s="1"/>
  <c r="M443" i="7" s="1"/>
  <c r="J512" i="7"/>
  <c r="J504" i="7"/>
  <c r="R504" i="7" s="1"/>
  <c r="M446" i="7" s="1"/>
  <c r="J508" i="7"/>
  <c r="R508" i="7" s="1"/>
  <c r="M450" i="7" s="1"/>
  <c r="J503" i="7"/>
  <c r="R503" i="7" s="1"/>
  <c r="M445" i="7" s="1"/>
  <c r="J507" i="7"/>
  <c r="R507" i="7" s="1"/>
  <c r="M449" i="7" s="1"/>
  <c r="J499" i="7"/>
  <c r="R499" i="7" s="1"/>
  <c r="M441" i="7" s="1"/>
  <c r="J511" i="7"/>
  <c r="R511" i="7" s="1"/>
  <c r="M453" i="7" s="1"/>
  <c r="J513" i="7"/>
  <c r="R513" i="7" s="1"/>
  <c r="M455" i="7" s="1"/>
  <c r="J502" i="7"/>
  <c r="R502" i="7" s="1"/>
  <c r="M444" i="7" s="1"/>
  <c r="J509" i="7"/>
  <c r="R509" i="7" s="1"/>
  <c r="M451" i="7" s="1"/>
  <c r="J535" i="1"/>
  <c r="E462" i="6"/>
  <c r="F123" i="4"/>
  <c r="F123" i="5" s="1"/>
  <c r="Q158" i="6"/>
  <c r="H274" i="6"/>
  <c r="N274" i="4"/>
  <c r="N274" i="5" s="1"/>
  <c r="R471" i="4"/>
  <c r="R471" i="5" s="1"/>
  <c r="S471" i="6"/>
  <c r="T500" i="4"/>
  <c r="T500" i="5" s="1"/>
  <c r="U500" i="6"/>
  <c r="V514" i="4"/>
  <c r="V514" i="5" s="1"/>
  <c r="N161" i="6"/>
  <c r="U316" i="4"/>
  <c r="U316" i="5" s="1"/>
  <c r="Q316" i="6"/>
  <c r="M316" i="4"/>
  <c r="M316" i="5" s="1"/>
  <c r="I316" i="6"/>
  <c r="N514" i="4"/>
  <c r="N514" i="5" s="1"/>
  <c r="O112" i="6"/>
  <c r="Q123" i="4"/>
  <c r="Q123" i="5" s="1"/>
  <c r="N123" i="4"/>
  <c r="N123" i="5" s="1"/>
  <c r="G123" i="4"/>
  <c r="G123" i="5" s="1"/>
  <c r="I159" i="6"/>
  <c r="P274" i="6"/>
  <c r="Q274" i="6"/>
  <c r="D274" i="6"/>
  <c r="F274" i="4"/>
  <c r="F274" i="5" s="1"/>
  <c r="V471" i="4"/>
  <c r="V471" i="5" s="1"/>
  <c r="N471" i="4"/>
  <c r="N471" i="5" s="1"/>
  <c r="F471" i="4"/>
  <c r="F471" i="5" s="1"/>
  <c r="O471" i="6"/>
  <c r="G500" i="6"/>
  <c r="P500" i="4"/>
  <c r="P500" i="5" s="1"/>
  <c r="H500" i="4"/>
  <c r="H500" i="5" s="1"/>
  <c r="M500" i="6"/>
  <c r="E63" i="4"/>
  <c r="E63" i="5" s="1"/>
  <c r="O63" i="6"/>
  <c r="Q63" i="6"/>
  <c r="R324" i="4"/>
  <c r="R324" i="5" s="1"/>
  <c r="O324" i="4"/>
  <c r="O324" i="5" s="1"/>
  <c r="T201" i="6"/>
  <c r="G201" i="4"/>
  <c r="G201" i="5" s="1"/>
  <c r="V201" i="4"/>
  <c r="V201" i="5" s="1"/>
  <c r="S201" i="4"/>
  <c r="S201" i="5" s="1"/>
  <c r="M436" i="4"/>
  <c r="M436" i="5" s="1"/>
  <c r="Q436" i="4"/>
  <c r="Q436" i="5" s="1"/>
  <c r="L436" i="6"/>
  <c r="R436" i="4"/>
  <c r="R436" i="5" s="1"/>
  <c r="V436" i="4"/>
  <c r="V436" i="5" s="1"/>
  <c r="S436" i="4"/>
  <c r="S436" i="5" s="1"/>
  <c r="N436" i="4"/>
  <c r="N436" i="5" s="1"/>
  <c r="V436" i="6"/>
  <c r="T377" i="6"/>
  <c r="S377" i="4"/>
  <c r="S377" i="5" s="1"/>
  <c r="N353" i="6"/>
  <c r="K353" i="4"/>
  <c r="K353" i="5" s="1"/>
  <c r="J155" i="6"/>
  <c r="J155" i="4"/>
  <c r="J155" i="5" s="1"/>
  <c r="T155" i="6"/>
  <c r="U155" i="4"/>
  <c r="U155" i="5" s="1"/>
  <c r="U155" i="6"/>
  <c r="G155" i="6"/>
  <c r="D155" i="6"/>
  <c r="R155" i="4"/>
  <c r="R155" i="5" s="1"/>
  <c r="T155" i="4"/>
  <c r="T155" i="5" s="1"/>
  <c r="F155" i="6"/>
  <c r="N155" i="6"/>
  <c r="P155" i="6"/>
  <c r="Q155" i="4"/>
  <c r="Q155" i="5" s="1"/>
  <c r="K155" i="6"/>
  <c r="L155" i="4"/>
  <c r="L155" i="5" s="1"/>
  <c r="N155" i="4"/>
  <c r="N155" i="5" s="1"/>
  <c r="M155" i="6"/>
  <c r="F155" i="4"/>
  <c r="F155" i="5" s="1"/>
  <c r="V155" i="4"/>
  <c r="V155" i="5" s="1"/>
  <c r="V145" i="4"/>
  <c r="V145" i="5" s="1"/>
  <c r="V145" i="6"/>
  <c r="O145" i="4"/>
  <c r="O145" i="5" s="1"/>
  <c r="J145" i="6"/>
  <c r="J145" i="4"/>
  <c r="J145" i="5" s="1"/>
  <c r="H94" i="6"/>
  <c r="G94" i="6"/>
  <c r="I94" i="6"/>
  <c r="G94" i="4"/>
  <c r="G94" i="5" s="1"/>
  <c r="U463" i="4"/>
  <c r="U463" i="5" s="1"/>
  <c r="U463" i="6"/>
  <c r="S309" i="6"/>
  <c r="Q309" i="4"/>
  <c r="Q309" i="5" s="1"/>
  <c r="L309" i="4"/>
  <c r="L309" i="5" s="1"/>
  <c r="U273" i="4"/>
  <c r="U273" i="5" s="1"/>
  <c r="V273" i="4"/>
  <c r="V273" i="5" s="1"/>
  <c r="J273" i="6"/>
  <c r="U273" i="6"/>
  <c r="M273" i="6"/>
  <c r="G273" i="6"/>
  <c r="L273" i="4"/>
  <c r="L273" i="5" s="1"/>
  <c r="H273" i="4"/>
  <c r="H273" i="5" s="1"/>
  <c r="S273" i="4"/>
  <c r="S273" i="5" s="1"/>
  <c r="R273" i="6"/>
  <c r="H273" i="6"/>
  <c r="V530" i="4"/>
  <c r="V530" i="5" s="1"/>
  <c r="T530" i="6"/>
  <c r="E530" i="6"/>
  <c r="U530" i="4"/>
  <c r="U530" i="5" s="1"/>
  <c r="R530" i="4"/>
  <c r="R530" i="5" s="1"/>
  <c r="V530" i="6"/>
  <c r="L530" i="6"/>
  <c r="Q530" i="4"/>
  <c r="Q530" i="5" s="1"/>
  <c r="K530" i="4"/>
  <c r="K530" i="5" s="1"/>
  <c r="J530" i="6"/>
  <c r="G530" i="6"/>
  <c r="I530" i="6"/>
  <c r="K351" i="6"/>
  <c r="H351" i="6"/>
  <c r="L351" i="4"/>
  <c r="L351" i="5" s="1"/>
  <c r="J351" i="4"/>
  <c r="J351" i="5" s="1"/>
  <c r="J351" i="6"/>
  <c r="O351" i="4"/>
  <c r="O351" i="5" s="1"/>
  <c r="G351" i="6"/>
  <c r="R171" i="4"/>
  <c r="R171" i="5" s="1"/>
  <c r="F171" i="6"/>
  <c r="S171" i="4"/>
  <c r="S171" i="5" s="1"/>
  <c r="L171" i="6"/>
  <c r="T171" i="6"/>
  <c r="H171" i="6"/>
  <c r="S171" i="6"/>
  <c r="L112" i="4"/>
  <c r="L112" i="5" s="1"/>
  <c r="U123" i="4"/>
  <c r="U123" i="5" s="1"/>
  <c r="K123" i="6"/>
  <c r="R123" i="4"/>
  <c r="R123" i="5" s="1"/>
  <c r="J123" i="4"/>
  <c r="J123" i="5" s="1"/>
  <c r="U158" i="4"/>
  <c r="U158" i="5" s="1"/>
  <c r="T274" i="6"/>
  <c r="L274" i="6"/>
  <c r="U274" i="6"/>
  <c r="M274" i="6"/>
  <c r="E274" i="4"/>
  <c r="E274" i="5" s="1"/>
  <c r="R274" i="4"/>
  <c r="R274" i="5" s="1"/>
  <c r="J274" i="4"/>
  <c r="J274" i="5" s="1"/>
  <c r="S274" i="4"/>
  <c r="S274" i="5" s="1"/>
  <c r="K352" i="6"/>
  <c r="R514" i="4"/>
  <c r="R514" i="5" s="1"/>
  <c r="J514" i="4"/>
  <c r="J514" i="5" s="1"/>
  <c r="V161" i="6"/>
  <c r="F161" i="4"/>
  <c r="F161" i="5" s="1"/>
  <c r="Q317" i="4"/>
  <c r="Q317" i="5" s="1"/>
  <c r="P317" i="4"/>
  <c r="P317" i="5" s="1"/>
  <c r="O317" i="4"/>
  <c r="O317" i="5" s="1"/>
  <c r="T471" i="4"/>
  <c r="T471" i="5" s="1"/>
  <c r="P471" i="4"/>
  <c r="P471" i="5" s="1"/>
  <c r="L471" i="4"/>
  <c r="L471" i="5" s="1"/>
  <c r="H471" i="4"/>
  <c r="H471" i="5" s="1"/>
  <c r="U471" i="4"/>
  <c r="U471" i="5" s="1"/>
  <c r="Q471" i="4"/>
  <c r="Q471" i="5" s="1"/>
  <c r="M471" i="4"/>
  <c r="M471" i="5" s="1"/>
  <c r="R499" i="4"/>
  <c r="R499" i="5" s="1"/>
  <c r="T514" i="4"/>
  <c r="T514" i="5" s="1"/>
  <c r="P514" i="4"/>
  <c r="P514" i="5" s="1"/>
  <c r="L514" i="4"/>
  <c r="L514" i="5" s="1"/>
  <c r="H514" i="4"/>
  <c r="H514" i="5" s="1"/>
  <c r="T95" i="6"/>
  <c r="O274" i="4"/>
  <c r="O274" i="5" s="1"/>
  <c r="K274" i="4"/>
  <c r="K274" i="5" s="1"/>
  <c r="R161" i="6"/>
  <c r="J161" i="6"/>
  <c r="O160" i="6"/>
  <c r="U317" i="4"/>
  <c r="U317" i="5" s="1"/>
  <c r="T317" i="4"/>
  <c r="T317" i="5" s="1"/>
  <c r="S317" i="6"/>
  <c r="M317" i="6"/>
  <c r="L317" i="6"/>
  <c r="K317" i="6"/>
  <c r="S352" i="6"/>
  <c r="U352" i="6"/>
  <c r="E352" i="4"/>
  <c r="E352" i="5" s="1"/>
  <c r="K500" i="6"/>
  <c r="V500" i="4"/>
  <c r="V500" i="5" s="1"/>
  <c r="R500" i="4"/>
  <c r="R500" i="5" s="1"/>
  <c r="N500" i="4"/>
  <c r="N500" i="5" s="1"/>
  <c r="J500" i="4"/>
  <c r="J500" i="5" s="1"/>
  <c r="F500" i="4"/>
  <c r="F500" i="5" s="1"/>
  <c r="Q500" i="6"/>
  <c r="I500" i="4"/>
  <c r="I500" i="5" s="1"/>
  <c r="K471" i="6"/>
  <c r="T53" i="4"/>
  <c r="T53" i="5" s="1"/>
  <c r="T112" i="4"/>
  <c r="T112" i="5" s="1"/>
  <c r="U112" i="4"/>
  <c r="U112" i="5" s="1"/>
  <c r="G160" i="6"/>
  <c r="V317" i="6"/>
  <c r="R317" i="6"/>
  <c r="N317" i="6"/>
  <c r="I317" i="4"/>
  <c r="I317" i="5" s="1"/>
  <c r="H317" i="6"/>
  <c r="G317" i="6"/>
  <c r="D352" i="4"/>
  <c r="D352" i="5" s="1"/>
  <c r="O352" i="6"/>
  <c r="G352" i="4"/>
  <c r="G352" i="5" s="1"/>
  <c r="Q352" i="6"/>
  <c r="I352" i="6"/>
  <c r="S500" i="4"/>
  <c r="S500" i="5" s="1"/>
  <c r="O500" i="4"/>
  <c r="O500" i="5" s="1"/>
  <c r="K500" i="4"/>
  <c r="K500" i="5" s="1"/>
  <c r="G500" i="4"/>
  <c r="G500" i="5" s="1"/>
  <c r="V500" i="6"/>
  <c r="T500" i="6"/>
  <c r="R500" i="6"/>
  <c r="P500" i="6"/>
  <c r="N500" i="6"/>
  <c r="L500" i="6"/>
  <c r="J500" i="6"/>
  <c r="H500" i="6"/>
  <c r="F500" i="6"/>
  <c r="U500" i="4"/>
  <c r="U500" i="5" s="1"/>
  <c r="Q500" i="4"/>
  <c r="Q500" i="5" s="1"/>
  <c r="M500" i="4"/>
  <c r="M500" i="5" s="1"/>
  <c r="I500" i="6"/>
  <c r="E158" i="6"/>
  <c r="I158" i="6"/>
  <c r="M158" i="4"/>
  <c r="M158" i="5" s="1"/>
  <c r="Q158" i="4"/>
  <c r="Q158" i="5" s="1"/>
  <c r="U158" i="6"/>
  <c r="E159" i="6"/>
  <c r="I159" i="4"/>
  <c r="I159" i="5" s="1"/>
  <c r="M159" i="4"/>
  <c r="M159" i="5" s="1"/>
  <c r="Q159" i="6"/>
  <c r="U159" i="4"/>
  <c r="U159" i="5" s="1"/>
  <c r="D123" i="4"/>
  <c r="D123" i="5" s="1"/>
  <c r="E123" i="6"/>
  <c r="I123" i="6"/>
  <c r="M123" i="6"/>
  <c r="Q123" i="6"/>
  <c r="U123" i="6"/>
  <c r="F123" i="6"/>
  <c r="H123" i="6"/>
  <c r="J123" i="6"/>
  <c r="L123" i="6"/>
  <c r="N123" i="6"/>
  <c r="P123" i="6"/>
  <c r="R123" i="6"/>
  <c r="T123" i="6"/>
  <c r="E123" i="4"/>
  <c r="E123" i="5" s="1"/>
  <c r="I123" i="4"/>
  <c r="I123" i="5" s="1"/>
  <c r="M123" i="4"/>
  <c r="M123" i="5" s="1"/>
  <c r="O53" i="4"/>
  <c r="O53" i="5" s="1"/>
  <c r="L53" i="4"/>
  <c r="L53" i="5" s="1"/>
  <c r="O95" i="4"/>
  <c r="O95" i="5" s="1"/>
  <c r="L95" i="6"/>
  <c r="V112" i="6"/>
  <c r="G112" i="6"/>
  <c r="P112" i="4"/>
  <c r="P112" i="5" s="1"/>
  <c r="H112" i="4"/>
  <c r="H112" i="5" s="1"/>
  <c r="M112" i="4"/>
  <c r="M112" i="5" s="1"/>
  <c r="V123" i="4"/>
  <c r="V123" i="5" s="1"/>
  <c r="S123" i="6"/>
  <c r="O123" i="6"/>
  <c r="G123" i="6"/>
  <c r="T123" i="4"/>
  <c r="T123" i="5" s="1"/>
  <c r="P123" i="4"/>
  <c r="P123" i="5" s="1"/>
  <c r="L123" i="4"/>
  <c r="L123" i="5" s="1"/>
  <c r="H123" i="4"/>
  <c r="H123" i="5" s="1"/>
  <c r="S123" i="4"/>
  <c r="S123" i="5" s="1"/>
  <c r="K123" i="4"/>
  <c r="K123" i="5" s="1"/>
  <c r="D123" i="6"/>
  <c r="U159" i="6"/>
  <c r="Q159" i="4"/>
  <c r="Q159" i="5" s="1"/>
  <c r="M158" i="6"/>
  <c r="I158" i="4"/>
  <c r="I158" i="5" s="1"/>
  <c r="E159" i="4"/>
  <c r="E159" i="5" s="1"/>
  <c r="V274" i="6"/>
  <c r="R274" i="6"/>
  <c r="N274" i="6"/>
  <c r="J274" i="6"/>
  <c r="F274" i="6"/>
  <c r="S274" i="6"/>
  <c r="O274" i="6"/>
  <c r="K274" i="6"/>
  <c r="G274" i="6"/>
  <c r="D274" i="4"/>
  <c r="D274" i="5" s="1"/>
  <c r="T274" i="4"/>
  <c r="T274" i="5" s="1"/>
  <c r="P274" i="4"/>
  <c r="P274" i="5" s="1"/>
  <c r="L274" i="4"/>
  <c r="L274" i="5" s="1"/>
  <c r="H274" i="4"/>
  <c r="H274" i="5" s="1"/>
  <c r="U274" i="4"/>
  <c r="U274" i="5" s="1"/>
  <c r="Q274" i="4"/>
  <c r="Q274" i="5" s="1"/>
  <c r="M274" i="4"/>
  <c r="M274" i="5" s="1"/>
  <c r="I274" i="4"/>
  <c r="I274" i="5" s="1"/>
  <c r="V317" i="4"/>
  <c r="V317" i="5" s="1"/>
  <c r="U317" i="6"/>
  <c r="T317" i="6"/>
  <c r="S317" i="4"/>
  <c r="S317" i="5" s="1"/>
  <c r="R317" i="4"/>
  <c r="R317" i="5" s="1"/>
  <c r="Q317" i="6"/>
  <c r="P317" i="6"/>
  <c r="O317" i="6"/>
  <c r="N317" i="4"/>
  <c r="N317" i="5" s="1"/>
  <c r="J317" i="4"/>
  <c r="J317" i="5" s="1"/>
  <c r="F317" i="4"/>
  <c r="F317" i="5" s="1"/>
  <c r="V471" i="6"/>
  <c r="T471" i="6"/>
  <c r="R471" i="6"/>
  <c r="P471" i="6"/>
  <c r="N471" i="6"/>
  <c r="L471" i="6"/>
  <c r="J471" i="6"/>
  <c r="H471" i="6"/>
  <c r="F471" i="6"/>
  <c r="U471" i="6"/>
  <c r="S471" i="4"/>
  <c r="S471" i="5" s="1"/>
  <c r="Q471" i="6"/>
  <c r="O471" i="4"/>
  <c r="O471" i="5" s="1"/>
  <c r="M471" i="6"/>
  <c r="K471" i="4"/>
  <c r="K471" i="5" s="1"/>
  <c r="V499" i="4"/>
  <c r="V499" i="5" s="1"/>
  <c r="N499" i="4"/>
  <c r="N499" i="5" s="1"/>
  <c r="F499" i="4"/>
  <c r="F499" i="5" s="1"/>
  <c r="I499" i="4"/>
  <c r="I499" i="5" s="1"/>
  <c r="V514" i="6"/>
  <c r="T514" i="6"/>
  <c r="R514" i="6"/>
  <c r="P514" i="6"/>
  <c r="N514" i="6"/>
  <c r="L514" i="6"/>
  <c r="J514" i="6"/>
  <c r="H514" i="6"/>
  <c r="F514" i="6"/>
  <c r="I471" i="6"/>
  <c r="I471" i="4"/>
  <c r="I471" i="5" s="1"/>
  <c r="G471" i="6"/>
  <c r="G471" i="4"/>
  <c r="G471" i="5" s="1"/>
  <c r="E471" i="4"/>
  <c r="E471" i="5" s="1"/>
  <c r="M317" i="4"/>
  <c r="M317" i="5" s="1"/>
  <c r="L317" i="4"/>
  <c r="L317" i="5" s="1"/>
  <c r="K317" i="4"/>
  <c r="K317" i="5" s="1"/>
  <c r="J317" i="6"/>
  <c r="I317" i="6"/>
  <c r="H317" i="4"/>
  <c r="H317" i="5" s="1"/>
  <c r="G317" i="4"/>
  <c r="G317" i="5" s="1"/>
  <c r="F317" i="6"/>
  <c r="S499" i="6"/>
  <c r="V53" i="6"/>
  <c r="G53" i="4"/>
  <c r="G53" i="5" s="1"/>
  <c r="P53" i="4"/>
  <c r="P53" i="5" s="1"/>
  <c r="H53" i="4"/>
  <c r="H53" i="5" s="1"/>
  <c r="S99" i="6"/>
  <c r="M99" i="4"/>
  <c r="M99" i="5" s="1"/>
  <c r="S112" i="6"/>
  <c r="K112" i="6"/>
  <c r="D112" i="4"/>
  <c r="D112" i="5" s="1"/>
  <c r="R112" i="4"/>
  <c r="R112" i="5" s="1"/>
  <c r="N112" i="4"/>
  <c r="N112" i="5" s="1"/>
  <c r="J112" i="4"/>
  <c r="J112" i="5" s="1"/>
  <c r="F112" i="4"/>
  <c r="F112" i="5" s="1"/>
  <c r="Q112" i="4"/>
  <c r="Q112" i="5" s="1"/>
  <c r="I112" i="4"/>
  <c r="I112" i="5" s="1"/>
  <c r="T160" i="6"/>
  <c r="P160" i="6"/>
  <c r="L160" i="6"/>
  <c r="H160" i="6"/>
  <c r="S160" i="6"/>
  <c r="K160" i="6"/>
  <c r="V316" i="6"/>
  <c r="T316" i="6"/>
  <c r="R316" i="6"/>
  <c r="P316" i="6"/>
  <c r="N316" i="6"/>
  <c r="L316" i="6"/>
  <c r="J316" i="6"/>
  <c r="H316" i="6"/>
  <c r="F316" i="6"/>
  <c r="U352" i="4"/>
  <c r="U352" i="5" s="1"/>
  <c r="Q352" i="4"/>
  <c r="Q352" i="5" s="1"/>
  <c r="M352" i="4"/>
  <c r="M352" i="5" s="1"/>
  <c r="I352" i="4"/>
  <c r="I352" i="5" s="1"/>
  <c r="E352" i="6"/>
  <c r="S352" i="4"/>
  <c r="S352" i="5" s="1"/>
  <c r="O352" i="4"/>
  <c r="O352" i="5" s="1"/>
  <c r="K352" i="4"/>
  <c r="K352" i="5" s="1"/>
  <c r="G352" i="6"/>
  <c r="T499" i="4"/>
  <c r="T499" i="5" s="1"/>
  <c r="P499" i="4"/>
  <c r="P499" i="5" s="1"/>
  <c r="L499" i="4"/>
  <c r="L499" i="5" s="1"/>
  <c r="H499" i="4"/>
  <c r="H499" i="5" s="1"/>
  <c r="U499" i="6"/>
  <c r="M499" i="6"/>
  <c r="E499" i="6"/>
  <c r="K499" i="6"/>
  <c r="U515" i="6"/>
  <c r="Q515" i="6"/>
  <c r="M515" i="4"/>
  <c r="M515" i="5" s="1"/>
  <c r="I515" i="4"/>
  <c r="I515" i="5" s="1"/>
  <c r="E515" i="4"/>
  <c r="E515" i="5" s="1"/>
  <c r="V515" i="6"/>
  <c r="R515" i="6"/>
  <c r="N515" i="6"/>
  <c r="J515" i="6"/>
  <c r="F515" i="6"/>
  <c r="T515" i="6"/>
  <c r="P515" i="6"/>
  <c r="L515" i="6"/>
  <c r="H515" i="6"/>
  <c r="S515" i="6"/>
  <c r="U95" i="4"/>
  <c r="U95" i="5" s="1"/>
  <c r="D514" i="4"/>
  <c r="D514" i="5" s="1"/>
  <c r="D514" i="6"/>
  <c r="U514" i="6"/>
  <c r="Q514" i="4"/>
  <c r="Q514" i="5" s="1"/>
  <c r="O515" i="4"/>
  <c r="O515" i="5" s="1"/>
  <c r="M514" i="6"/>
  <c r="K515" i="4"/>
  <c r="K515" i="5" s="1"/>
  <c r="I514" i="4"/>
  <c r="I514" i="5" s="1"/>
  <c r="E514" i="6"/>
  <c r="D63" i="6"/>
  <c r="Q63" i="4"/>
  <c r="Q63" i="5" s="1"/>
  <c r="I455" i="6"/>
  <c r="F455" i="6"/>
  <c r="M455" i="4"/>
  <c r="M455" i="5" s="1"/>
  <c r="O499" i="6"/>
  <c r="G499" i="6"/>
  <c r="O514" i="4"/>
  <c r="O514" i="5" s="1"/>
  <c r="K514" i="4"/>
  <c r="K514" i="5" s="1"/>
  <c r="G514" i="4"/>
  <c r="G514" i="5" s="1"/>
  <c r="D515" i="6"/>
  <c r="D515" i="4"/>
  <c r="D515" i="5" s="1"/>
  <c r="V515" i="4"/>
  <c r="V515" i="5" s="1"/>
  <c r="T515" i="4"/>
  <c r="T515" i="5" s="1"/>
  <c r="R515" i="4"/>
  <c r="R515" i="5" s="1"/>
  <c r="P515" i="4"/>
  <c r="P515" i="5" s="1"/>
  <c r="N515" i="4"/>
  <c r="N515" i="5" s="1"/>
  <c r="L515" i="4"/>
  <c r="L515" i="5" s="1"/>
  <c r="J515" i="4"/>
  <c r="J515" i="5" s="1"/>
  <c r="H515" i="4"/>
  <c r="H515" i="5" s="1"/>
  <c r="F515" i="4"/>
  <c r="F515" i="5" s="1"/>
  <c r="U514" i="4"/>
  <c r="U514" i="5" s="1"/>
  <c r="S515" i="4"/>
  <c r="S515" i="5" s="1"/>
  <c r="Q514" i="6"/>
  <c r="O515" i="6"/>
  <c r="M514" i="4"/>
  <c r="M514" i="5" s="1"/>
  <c r="K515" i="6"/>
  <c r="I514" i="6"/>
  <c r="G515" i="6"/>
  <c r="E514" i="4"/>
  <c r="E514" i="5" s="1"/>
  <c r="S53" i="4"/>
  <c r="S53" i="5" s="1"/>
  <c r="K53" i="4"/>
  <c r="K53" i="5" s="1"/>
  <c r="D53" i="4"/>
  <c r="D53" i="5" s="1"/>
  <c r="R53" i="4"/>
  <c r="R53" i="5" s="1"/>
  <c r="N53" i="4"/>
  <c r="N53" i="5" s="1"/>
  <c r="J53" i="4"/>
  <c r="J53" i="5" s="1"/>
  <c r="U53" i="6"/>
  <c r="V95" i="4"/>
  <c r="V95" i="5" s="1"/>
  <c r="G95" i="4"/>
  <c r="G95" i="5" s="1"/>
  <c r="P95" i="6"/>
  <c r="H95" i="6"/>
  <c r="M95" i="4"/>
  <c r="M95" i="5" s="1"/>
  <c r="V160" i="4"/>
  <c r="V160" i="5" s="1"/>
  <c r="T161" i="4"/>
  <c r="T161" i="5" s="1"/>
  <c r="R160" i="6"/>
  <c r="P161" i="6"/>
  <c r="N160" i="4"/>
  <c r="N160" i="5" s="1"/>
  <c r="L161" i="4"/>
  <c r="L161" i="5" s="1"/>
  <c r="J160" i="6"/>
  <c r="H161" i="6"/>
  <c r="F160" i="6"/>
  <c r="S161" i="4"/>
  <c r="S161" i="5" s="1"/>
  <c r="O161" i="4"/>
  <c r="O161" i="5" s="1"/>
  <c r="K161" i="6"/>
  <c r="G161" i="6"/>
  <c r="V316" i="4"/>
  <c r="V316" i="5" s="1"/>
  <c r="U316" i="6"/>
  <c r="T316" i="4"/>
  <c r="T316" i="5" s="1"/>
  <c r="S316" i="6"/>
  <c r="R316" i="4"/>
  <c r="R316" i="5" s="1"/>
  <c r="Q316" i="4"/>
  <c r="Q316" i="5" s="1"/>
  <c r="P316" i="4"/>
  <c r="P316" i="5" s="1"/>
  <c r="O316" i="6"/>
  <c r="N316" i="4"/>
  <c r="N316" i="5" s="1"/>
  <c r="M316" i="6"/>
  <c r="L316" i="4"/>
  <c r="L316" i="5" s="1"/>
  <c r="K316" i="6"/>
  <c r="J316" i="4"/>
  <c r="J316" i="5" s="1"/>
  <c r="I316" i="4"/>
  <c r="I316" i="5" s="1"/>
  <c r="H316" i="4"/>
  <c r="H316" i="5" s="1"/>
  <c r="G316" i="6"/>
  <c r="F316" i="4"/>
  <c r="F316" i="5" s="1"/>
  <c r="E316" i="6"/>
  <c r="D352" i="6"/>
  <c r="T352" i="6"/>
  <c r="R352" i="6"/>
  <c r="P352" i="6"/>
  <c r="N352" i="6"/>
  <c r="L352" i="6"/>
  <c r="J352" i="6"/>
  <c r="H352" i="6"/>
  <c r="F352" i="6"/>
  <c r="V352" i="4"/>
  <c r="V352" i="5" s="1"/>
  <c r="T352" i="4"/>
  <c r="T352" i="5" s="1"/>
  <c r="R352" i="4"/>
  <c r="R352" i="5" s="1"/>
  <c r="P352" i="4"/>
  <c r="P352" i="5" s="1"/>
  <c r="N352" i="4"/>
  <c r="N352" i="5" s="1"/>
  <c r="L352" i="4"/>
  <c r="L352" i="5" s="1"/>
  <c r="J352" i="4"/>
  <c r="J352" i="5" s="1"/>
  <c r="H352" i="4"/>
  <c r="H352" i="5" s="1"/>
  <c r="F352" i="4"/>
  <c r="F352" i="5" s="1"/>
  <c r="V499" i="6"/>
  <c r="T499" i="6"/>
  <c r="R499" i="6"/>
  <c r="P499" i="6"/>
  <c r="N499" i="6"/>
  <c r="L499" i="6"/>
  <c r="J499" i="6"/>
  <c r="H499" i="6"/>
  <c r="F499" i="6"/>
  <c r="U499" i="4"/>
  <c r="U499" i="5" s="1"/>
  <c r="Q499" i="6"/>
  <c r="M499" i="4"/>
  <c r="M499" i="5" s="1"/>
  <c r="I499" i="6"/>
  <c r="E499" i="4"/>
  <c r="E499" i="5" s="1"/>
  <c r="S499" i="4"/>
  <c r="S499" i="5" s="1"/>
  <c r="O499" i="4"/>
  <c r="O499" i="5" s="1"/>
  <c r="K499" i="4"/>
  <c r="K499" i="5" s="1"/>
  <c r="M53" i="6"/>
  <c r="G274" i="4"/>
  <c r="G274" i="5" s="1"/>
  <c r="D499" i="4"/>
  <c r="D499" i="5" s="1"/>
  <c r="D499" i="6"/>
  <c r="D500" i="6"/>
  <c r="D500" i="4"/>
  <c r="D500" i="5" s="1"/>
  <c r="E494" i="4"/>
  <c r="E494" i="5" s="1"/>
  <c r="J494" i="6"/>
  <c r="I494" i="6"/>
  <c r="R494" i="6"/>
  <c r="D471" i="6"/>
  <c r="D471" i="4"/>
  <c r="D471" i="5" s="1"/>
  <c r="L455" i="4"/>
  <c r="L455" i="5" s="1"/>
  <c r="P455" i="4"/>
  <c r="P455" i="5" s="1"/>
  <c r="D455" i="4"/>
  <c r="D455" i="5" s="1"/>
  <c r="R455" i="4"/>
  <c r="R455" i="5" s="1"/>
  <c r="T455" i="4"/>
  <c r="T455" i="5" s="1"/>
  <c r="F455" i="4"/>
  <c r="F455" i="5" s="1"/>
  <c r="S455" i="6"/>
  <c r="D455" i="6"/>
  <c r="E274" i="6"/>
  <c r="F53" i="4"/>
  <c r="F53" i="5" s="1"/>
  <c r="Q53" i="6"/>
  <c r="I53" i="6"/>
  <c r="E95" i="4"/>
  <c r="E95" i="5" s="1"/>
  <c r="D316" i="4"/>
  <c r="D316" i="5" s="1"/>
  <c r="D316" i="6"/>
  <c r="D317" i="6"/>
  <c r="D317" i="4"/>
  <c r="D317" i="5" s="1"/>
  <c r="D282" i="4"/>
  <c r="D282" i="5" s="1"/>
  <c r="D282" i="6"/>
  <c r="V282" i="6"/>
  <c r="T282" i="6"/>
  <c r="R282" i="6"/>
  <c r="P282" i="6"/>
  <c r="N282" i="6"/>
  <c r="L282" i="6"/>
  <c r="J282" i="6"/>
  <c r="H282" i="6"/>
  <c r="F282" i="6"/>
  <c r="U282" i="6"/>
  <c r="S282" i="4"/>
  <c r="S282" i="5" s="1"/>
  <c r="Q282" i="6"/>
  <c r="O282" i="4"/>
  <c r="O282" i="5" s="1"/>
  <c r="M282" i="6"/>
  <c r="K282" i="4"/>
  <c r="K282" i="5" s="1"/>
  <c r="I282" i="6"/>
  <c r="G282" i="4"/>
  <c r="G282" i="5" s="1"/>
  <c r="E282" i="6"/>
  <c r="U99" i="4"/>
  <c r="U99" i="5" s="1"/>
  <c r="Q99" i="4"/>
  <c r="Q99" i="5" s="1"/>
  <c r="I99" i="4"/>
  <c r="I99" i="5" s="1"/>
  <c r="U112" i="6"/>
  <c r="Q112" i="6"/>
  <c r="M112" i="6"/>
  <c r="I112" i="6"/>
  <c r="E112" i="6"/>
  <c r="D112" i="6"/>
  <c r="T112" i="6"/>
  <c r="R112" i="6"/>
  <c r="P112" i="6"/>
  <c r="N112" i="6"/>
  <c r="L112" i="6"/>
  <c r="J112" i="6"/>
  <c r="H112" i="6"/>
  <c r="F112" i="6"/>
  <c r="S112" i="4"/>
  <c r="S112" i="5" s="1"/>
  <c r="O112" i="4"/>
  <c r="O112" i="5" s="1"/>
  <c r="K112" i="4"/>
  <c r="K112" i="5" s="1"/>
  <c r="G112" i="4"/>
  <c r="G112" i="5" s="1"/>
  <c r="V160" i="6"/>
  <c r="V161" i="4"/>
  <c r="V161" i="5" s="1"/>
  <c r="T161" i="6"/>
  <c r="T160" i="4"/>
  <c r="T160" i="5" s="1"/>
  <c r="R160" i="4"/>
  <c r="R160" i="5" s="1"/>
  <c r="R161" i="4"/>
  <c r="R161" i="5" s="1"/>
  <c r="P161" i="4"/>
  <c r="P161" i="5" s="1"/>
  <c r="P160" i="4"/>
  <c r="P160" i="5" s="1"/>
  <c r="N160" i="6"/>
  <c r="N161" i="4"/>
  <c r="N161" i="5" s="1"/>
  <c r="L161" i="6"/>
  <c r="L160" i="4"/>
  <c r="L160" i="5" s="1"/>
  <c r="J160" i="4"/>
  <c r="J160" i="5" s="1"/>
  <c r="J161" i="4"/>
  <c r="J161" i="5" s="1"/>
  <c r="H161" i="4"/>
  <c r="H161" i="5" s="1"/>
  <c r="H160" i="4"/>
  <c r="H160" i="5" s="1"/>
  <c r="F161" i="6"/>
  <c r="S161" i="6"/>
  <c r="S160" i="4"/>
  <c r="S160" i="5" s="1"/>
  <c r="O161" i="6"/>
  <c r="O160" i="4"/>
  <c r="O160" i="5" s="1"/>
  <c r="K161" i="4"/>
  <c r="K161" i="5" s="1"/>
  <c r="K160" i="4"/>
  <c r="K160" i="5" s="1"/>
  <c r="G161" i="4"/>
  <c r="G161" i="5" s="1"/>
  <c r="G160" i="4"/>
  <c r="G160" i="5" s="1"/>
  <c r="V282" i="4"/>
  <c r="V282" i="5" s="1"/>
  <c r="T282" i="4"/>
  <c r="T282" i="5" s="1"/>
  <c r="R282" i="4"/>
  <c r="R282" i="5" s="1"/>
  <c r="P282" i="4"/>
  <c r="P282" i="5" s="1"/>
  <c r="N282" i="4"/>
  <c r="N282" i="5" s="1"/>
  <c r="L282" i="4"/>
  <c r="L282" i="5" s="1"/>
  <c r="J282" i="4"/>
  <c r="J282" i="5" s="1"/>
  <c r="H282" i="4"/>
  <c r="H282" i="5" s="1"/>
  <c r="F282" i="4"/>
  <c r="F282" i="5" s="1"/>
  <c r="U282" i="4"/>
  <c r="U282" i="5" s="1"/>
  <c r="S282" i="6"/>
  <c r="Q282" i="4"/>
  <c r="Q282" i="5" s="1"/>
  <c r="O282" i="6"/>
  <c r="M282" i="4"/>
  <c r="M282" i="5" s="1"/>
  <c r="K282" i="6"/>
  <c r="I282" i="4"/>
  <c r="I282" i="5" s="1"/>
  <c r="G282" i="6"/>
  <c r="E282" i="4"/>
  <c r="E282" i="5" s="1"/>
  <c r="K277" i="6"/>
  <c r="V277" i="6"/>
  <c r="G277" i="4"/>
  <c r="G277" i="5" s="1"/>
  <c r="N277" i="4"/>
  <c r="N277" i="5" s="1"/>
  <c r="T277" i="6"/>
  <c r="R277" i="6"/>
  <c r="I277" i="6"/>
  <c r="M277" i="6"/>
  <c r="M277" i="4"/>
  <c r="M277" i="5" s="1"/>
  <c r="O277" i="4"/>
  <c r="O277" i="5" s="1"/>
  <c r="R277" i="4"/>
  <c r="R277" i="5" s="1"/>
  <c r="I277" i="4"/>
  <c r="I277" i="5" s="1"/>
  <c r="U277" i="6"/>
  <c r="F277" i="4"/>
  <c r="F277" i="5" s="1"/>
  <c r="Q277" i="6"/>
  <c r="G277" i="6"/>
  <c r="N277" i="6"/>
  <c r="G52" i="2"/>
  <c r="G79" i="2" s="1"/>
  <c r="G92" i="2" s="1"/>
  <c r="G117" i="2" s="1"/>
  <c r="S277" i="4"/>
  <c r="S277" i="5" s="1"/>
  <c r="H158" i="4"/>
  <c r="H158" i="5" s="1"/>
  <c r="D158" i="4"/>
  <c r="D158" i="5" s="1"/>
  <c r="D158" i="6"/>
  <c r="D159" i="6"/>
  <c r="D159" i="4"/>
  <c r="D159" i="5" s="1"/>
  <c r="V158" i="4"/>
  <c r="V158" i="5" s="1"/>
  <c r="V159" i="6"/>
  <c r="T159" i="4"/>
  <c r="T159" i="5" s="1"/>
  <c r="T158" i="6"/>
  <c r="R158" i="4"/>
  <c r="R158" i="5" s="1"/>
  <c r="R159" i="6"/>
  <c r="P159" i="4"/>
  <c r="P159" i="5" s="1"/>
  <c r="P158" i="6"/>
  <c r="N158" i="4"/>
  <c r="N158" i="5" s="1"/>
  <c r="N159" i="6"/>
  <c r="L159" i="4"/>
  <c r="L159" i="5" s="1"/>
  <c r="L158" i="6"/>
  <c r="J158" i="4"/>
  <c r="J158" i="5" s="1"/>
  <c r="J159" i="6"/>
  <c r="H159" i="4"/>
  <c r="H159" i="5" s="1"/>
  <c r="F158" i="6"/>
  <c r="F159" i="4"/>
  <c r="F159" i="5" s="1"/>
  <c r="U160" i="4"/>
  <c r="U160" i="5" s="1"/>
  <c r="U161" i="6"/>
  <c r="S159" i="6"/>
  <c r="S158" i="4"/>
  <c r="S158" i="5" s="1"/>
  <c r="Q160" i="4"/>
  <c r="Q160" i="5" s="1"/>
  <c r="Q161" i="6"/>
  <c r="O159" i="6"/>
  <c r="O158" i="4"/>
  <c r="O158" i="5" s="1"/>
  <c r="M160" i="4"/>
  <c r="M160" i="5" s="1"/>
  <c r="M161" i="6"/>
  <c r="K159" i="6"/>
  <c r="K158" i="4"/>
  <c r="K158" i="5" s="1"/>
  <c r="I160" i="4"/>
  <c r="I160" i="5" s="1"/>
  <c r="I161" i="6"/>
  <c r="G159" i="6"/>
  <c r="G158" i="4"/>
  <c r="G158" i="5" s="1"/>
  <c r="F160" i="4"/>
  <c r="F160" i="5" s="1"/>
  <c r="D160" i="6"/>
  <c r="D160" i="4"/>
  <c r="D160" i="5" s="1"/>
  <c r="D161" i="6"/>
  <c r="D161" i="4"/>
  <c r="D161" i="5" s="1"/>
  <c r="V158" i="6"/>
  <c r="V159" i="4"/>
  <c r="V159" i="5" s="1"/>
  <c r="T159" i="6"/>
  <c r="T158" i="4"/>
  <c r="T158" i="5" s="1"/>
  <c r="R158" i="6"/>
  <c r="R159" i="4"/>
  <c r="R159" i="5" s="1"/>
  <c r="P159" i="6"/>
  <c r="P158" i="4"/>
  <c r="P158" i="5" s="1"/>
  <c r="N158" i="6"/>
  <c r="N159" i="4"/>
  <c r="N159" i="5" s="1"/>
  <c r="L159" i="6"/>
  <c r="L158" i="4"/>
  <c r="L158" i="5" s="1"/>
  <c r="J158" i="6"/>
  <c r="J159" i="4"/>
  <c r="J159" i="5" s="1"/>
  <c r="H159" i="6"/>
  <c r="H158" i="6"/>
  <c r="F158" i="4"/>
  <c r="F158" i="5" s="1"/>
  <c r="F159" i="6"/>
  <c r="U160" i="6"/>
  <c r="U161" i="4"/>
  <c r="U161" i="5" s="1"/>
  <c r="S159" i="4"/>
  <c r="S159" i="5" s="1"/>
  <c r="S158" i="6"/>
  <c r="Q160" i="6"/>
  <c r="Q161" i="4"/>
  <c r="Q161" i="5" s="1"/>
  <c r="O159" i="4"/>
  <c r="O159" i="5" s="1"/>
  <c r="O158" i="6"/>
  <c r="M160" i="6"/>
  <c r="M161" i="4"/>
  <c r="M161" i="5" s="1"/>
  <c r="K159" i="4"/>
  <c r="K159" i="5" s="1"/>
  <c r="K158" i="6"/>
  <c r="I160" i="6"/>
  <c r="I161" i="4"/>
  <c r="I161" i="5" s="1"/>
  <c r="G159" i="4"/>
  <c r="G159" i="5" s="1"/>
  <c r="G158" i="6"/>
  <c r="E160" i="6"/>
  <c r="E161" i="6"/>
  <c r="S95" i="4"/>
  <c r="S95" i="5" s="1"/>
  <c r="K95" i="4"/>
  <c r="K95" i="5" s="1"/>
  <c r="D95" i="6"/>
  <c r="R95" i="6"/>
  <c r="N95" i="6"/>
  <c r="J95" i="6"/>
  <c r="F95" i="6"/>
  <c r="Q95" i="4"/>
  <c r="Q95" i="5" s="1"/>
  <c r="O99" i="6"/>
  <c r="K99" i="6"/>
  <c r="G99" i="6"/>
  <c r="S122" i="4"/>
  <c r="S122" i="5" s="1"/>
  <c r="K122" i="4"/>
  <c r="K122" i="5" s="1"/>
  <c r="R169" i="4"/>
  <c r="R169" i="5" s="1"/>
  <c r="O433" i="6"/>
  <c r="V186" i="4"/>
  <c r="V186" i="5" s="1"/>
  <c r="M171" i="4"/>
  <c r="M171" i="5" s="1"/>
  <c r="V171" i="6"/>
  <c r="G171" i="6"/>
  <c r="P171" i="4"/>
  <c r="P171" i="5" s="1"/>
  <c r="R284" i="4"/>
  <c r="R284" i="5" s="1"/>
  <c r="T173" i="6"/>
  <c r="Q265" i="6"/>
  <c r="C42" i="2"/>
  <c r="C69" i="2" s="1"/>
  <c r="R231" i="4"/>
  <c r="R231" i="5" s="1"/>
  <c r="Q33" i="6"/>
  <c r="E16" i="4"/>
  <c r="E16" i="5" s="1"/>
  <c r="M249" i="4"/>
  <c r="M249" i="5" s="1"/>
  <c r="O249" i="6"/>
  <c r="U138" i="4"/>
  <c r="U138" i="5" s="1"/>
  <c r="O98" i="6"/>
  <c r="U173" i="4"/>
  <c r="U173" i="5" s="1"/>
  <c r="M428" i="6"/>
  <c r="U242" i="4"/>
  <c r="U242" i="5" s="1"/>
  <c r="F242" i="6"/>
  <c r="R249" i="4"/>
  <c r="R249" i="5" s="1"/>
  <c r="M98" i="6"/>
  <c r="P428" i="4"/>
  <c r="P428" i="5" s="1"/>
  <c r="J428" i="4"/>
  <c r="J428" i="5" s="1"/>
  <c r="S249" i="4"/>
  <c r="S249" i="5" s="1"/>
  <c r="M249" i="6"/>
  <c r="K138" i="4"/>
  <c r="K138" i="5" s="1"/>
  <c r="H98" i="6"/>
  <c r="V312" i="4"/>
  <c r="V312" i="5" s="1"/>
  <c r="S33" i="4"/>
  <c r="S33" i="5" s="1"/>
  <c r="R242" i="4"/>
  <c r="R242" i="5" s="1"/>
  <c r="P33" i="6"/>
  <c r="Q173" i="4"/>
  <c r="Q173" i="5" s="1"/>
  <c r="R423" i="4"/>
  <c r="R423" i="5" s="1"/>
  <c r="V428" i="6"/>
  <c r="U53" i="4"/>
  <c r="U53" i="5" s="1"/>
  <c r="Q53" i="4"/>
  <c r="Q53" i="5" s="1"/>
  <c r="M53" i="4"/>
  <c r="M53" i="5" s="1"/>
  <c r="I53" i="4"/>
  <c r="I53" i="5" s="1"/>
  <c r="E53" i="4"/>
  <c r="E53" i="5" s="1"/>
  <c r="D53" i="6"/>
  <c r="T53" i="6"/>
  <c r="R53" i="6"/>
  <c r="P53" i="6"/>
  <c r="N53" i="6"/>
  <c r="L53" i="6"/>
  <c r="J53" i="6"/>
  <c r="H53" i="6"/>
  <c r="F53" i="6"/>
  <c r="S53" i="6"/>
  <c r="O53" i="6"/>
  <c r="K53" i="6"/>
  <c r="G53" i="6"/>
  <c r="U99" i="6"/>
  <c r="S99" i="4"/>
  <c r="S99" i="5" s="1"/>
  <c r="Q99" i="6"/>
  <c r="O99" i="4"/>
  <c r="O99" i="5" s="1"/>
  <c r="M99" i="6"/>
  <c r="K99" i="4"/>
  <c r="K99" i="5" s="1"/>
  <c r="I99" i="6"/>
  <c r="G99" i="4"/>
  <c r="G99" i="5" s="1"/>
  <c r="V122" i="6"/>
  <c r="O122" i="4"/>
  <c r="O122" i="5" s="1"/>
  <c r="G122" i="4"/>
  <c r="G122" i="5" s="1"/>
  <c r="U122" i="6"/>
  <c r="Q122" i="6"/>
  <c r="M122" i="6"/>
  <c r="I122" i="6"/>
  <c r="D50" i="2"/>
  <c r="F396" i="7"/>
  <c r="H396" i="7" s="1"/>
  <c r="K63" i="4"/>
  <c r="K63" i="5" s="1"/>
  <c r="R63" i="4"/>
  <c r="R63" i="5" s="1"/>
  <c r="H63" i="4"/>
  <c r="H63" i="5" s="1"/>
  <c r="D63" i="4"/>
  <c r="D63" i="5" s="1"/>
  <c r="S63" i="4"/>
  <c r="S63" i="5" s="1"/>
  <c r="R63" i="6"/>
  <c r="F63" i="6"/>
  <c r="P63" i="6"/>
  <c r="S63" i="6"/>
  <c r="F63" i="4"/>
  <c r="F63" i="5" s="1"/>
  <c r="N63" i="6"/>
  <c r="U63" i="4"/>
  <c r="U63" i="5" s="1"/>
  <c r="H63" i="6"/>
  <c r="O30" i="4"/>
  <c r="O30" i="5" s="1"/>
  <c r="O30" i="6"/>
  <c r="F472" i="4"/>
  <c r="F472" i="5" s="1"/>
  <c r="R472" i="6"/>
  <c r="H472" i="4"/>
  <c r="H472" i="5" s="1"/>
  <c r="E472" i="4"/>
  <c r="E472" i="5" s="1"/>
  <c r="U472" i="4"/>
  <c r="U472" i="5" s="1"/>
  <c r="D472" i="6"/>
  <c r="O472" i="6"/>
  <c r="N472" i="4"/>
  <c r="N472" i="5" s="1"/>
  <c r="N472" i="6"/>
  <c r="L472" i="6"/>
  <c r="S472" i="4"/>
  <c r="S472" i="5" s="1"/>
  <c r="G472" i="6"/>
  <c r="I472" i="6"/>
  <c r="J472" i="6"/>
  <c r="F472" i="6"/>
  <c r="P472" i="4"/>
  <c r="P472" i="5" s="1"/>
  <c r="O472" i="4"/>
  <c r="O472" i="5" s="1"/>
  <c r="E472" i="6"/>
  <c r="M472" i="6"/>
  <c r="P50" i="6"/>
  <c r="T50" i="4"/>
  <c r="T50" i="5" s="1"/>
  <c r="P50" i="4"/>
  <c r="P50" i="5" s="1"/>
  <c r="K50" i="4"/>
  <c r="K50" i="5" s="1"/>
  <c r="T50" i="6"/>
  <c r="K322" i="6"/>
  <c r="K322" i="4"/>
  <c r="K322" i="5" s="1"/>
  <c r="P322" i="6"/>
  <c r="F322" i="4"/>
  <c r="F322" i="5" s="1"/>
  <c r="N322" i="6"/>
  <c r="G322" i="6"/>
  <c r="G322" i="4"/>
  <c r="G322" i="5" s="1"/>
  <c r="T322" i="6"/>
  <c r="E322" i="6"/>
  <c r="F322" i="6"/>
  <c r="O322" i="6"/>
  <c r="U322" i="6"/>
  <c r="I322" i="4"/>
  <c r="I322" i="5" s="1"/>
  <c r="S322" i="6"/>
  <c r="J322" i="6"/>
  <c r="M322" i="6"/>
  <c r="L322" i="4"/>
  <c r="L322" i="5" s="1"/>
  <c r="N322" i="4"/>
  <c r="N322" i="5" s="1"/>
  <c r="U322" i="4"/>
  <c r="U322" i="5" s="1"/>
  <c r="S322" i="4"/>
  <c r="S322" i="5" s="1"/>
  <c r="V299" i="6"/>
  <c r="H299" i="6"/>
  <c r="O299" i="6"/>
  <c r="Q299" i="4"/>
  <c r="Q299" i="5" s="1"/>
  <c r="M299" i="4"/>
  <c r="M299" i="5" s="1"/>
  <c r="I299" i="6"/>
  <c r="M299" i="6"/>
  <c r="S299" i="6"/>
  <c r="P299" i="4"/>
  <c r="P299" i="5" s="1"/>
  <c r="N299" i="4"/>
  <c r="N299" i="5" s="1"/>
  <c r="U299" i="4"/>
  <c r="U299" i="5" s="1"/>
  <c r="D299" i="4"/>
  <c r="D299" i="5" s="1"/>
  <c r="K299" i="6"/>
  <c r="D299" i="6"/>
  <c r="L299" i="4"/>
  <c r="L299" i="5" s="1"/>
  <c r="G299" i="4"/>
  <c r="G299" i="5" s="1"/>
  <c r="F299" i="6"/>
  <c r="S299" i="4"/>
  <c r="S299" i="5" s="1"/>
  <c r="Q299" i="6"/>
  <c r="E299" i="4"/>
  <c r="E299" i="5" s="1"/>
  <c r="P261" i="4"/>
  <c r="P261" i="5" s="1"/>
  <c r="E261" i="4"/>
  <c r="E261" i="5" s="1"/>
  <c r="V261" i="4"/>
  <c r="V261" i="5" s="1"/>
  <c r="N261" i="6"/>
  <c r="G261" i="6"/>
  <c r="S261" i="6"/>
  <c r="D261" i="4"/>
  <c r="D261" i="5" s="1"/>
  <c r="F261" i="6"/>
  <c r="U261" i="6"/>
  <c r="K261" i="6"/>
  <c r="E261" i="6"/>
  <c r="R261" i="4"/>
  <c r="R261" i="5" s="1"/>
  <c r="R261" i="6"/>
  <c r="D261" i="6"/>
  <c r="H261" i="6"/>
  <c r="I261" i="4"/>
  <c r="I261" i="5" s="1"/>
  <c r="F261" i="4"/>
  <c r="F261" i="5" s="1"/>
  <c r="O261" i="6"/>
  <c r="J261" i="6"/>
  <c r="U261" i="4"/>
  <c r="U261" i="5" s="1"/>
  <c r="H245" i="6"/>
  <c r="M245" i="6"/>
  <c r="R245" i="4"/>
  <c r="R245" i="5" s="1"/>
  <c r="N245" i="6"/>
  <c r="K245" i="6"/>
  <c r="G245" i="6"/>
  <c r="O245" i="4"/>
  <c r="O245" i="5" s="1"/>
  <c r="P245" i="4"/>
  <c r="P245" i="5" s="1"/>
  <c r="R245" i="6"/>
  <c r="P245" i="6"/>
  <c r="O245" i="6"/>
  <c r="G245" i="4"/>
  <c r="G245" i="5" s="1"/>
  <c r="K245" i="4"/>
  <c r="K245" i="5" s="1"/>
  <c r="L245" i="4"/>
  <c r="L245" i="5" s="1"/>
  <c r="N245" i="4"/>
  <c r="N245" i="5" s="1"/>
  <c r="Q245" i="6"/>
  <c r="S245" i="6"/>
  <c r="J245" i="4"/>
  <c r="J245" i="5" s="1"/>
  <c r="H230" i="6"/>
  <c r="M230" i="6"/>
  <c r="U142" i="6"/>
  <c r="T142" i="6"/>
  <c r="D142" i="6"/>
  <c r="R142" i="6"/>
  <c r="J142" i="4"/>
  <c r="J142" i="5" s="1"/>
  <c r="G142" i="6"/>
  <c r="H142" i="4"/>
  <c r="H142" i="5" s="1"/>
  <c r="I142" i="6"/>
  <c r="H109" i="6"/>
  <c r="P109" i="6"/>
  <c r="F109" i="6"/>
  <c r="M109" i="4"/>
  <c r="M109" i="5" s="1"/>
  <c r="U109" i="4"/>
  <c r="U109" i="5" s="1"/>
  <c r="H109" i="4"/>
  <c r="H109" i="5" s="1"/>
  <c r="M109" i="6"/>
  <c r="Q19" i="6"/>
  <c r="K19" i="4"/>
  <c r="K19" i="5" s="1"/>
  <c r="S19" i="6"/>
  <c r="K19" i="6"/>
  <c r="U19" i="6"/>
  <c r="U19" i="4"/>
  <c r="U19" i="5" s="1"/>
  <c r="I19" i="6"/>
  <c r="R44" i="6"/>
  <c r="V44" i="4"/>
  <c r="V44" i="5" s="1"/>
  <c r="F44" i="4"/>
  <c r="F44" i="5" s="1"/>
  <c r="I44" i="6"/>
  <c r="T56" i="4"/>
  <c r="T56" i="5" s="1"/>
  <c r="U56" i="4"/>
  <c r="U56" i="5" s="1"/>
  <c r="N56" i="6"/>
  <c r="J56" i="6"/>
  <c r="N56" i="4"/>
  <c r="N56" i="5" s="1"/>
  <c r="V56" i="4"/>
  <c r="V56" i="5" s="1"/>
  <c r="G56" i="4"/>
  <c r="G56" i="5" s="1"/>
  <c r="M56" i="4"/>
  <c r="M56" i="5" s="1"/>
  <c r="K56" i="6"/>
  <c r="J56" i="4"/>
  <c r="J56" i="5" s="1"/>
  <c r="K56" i="4"/>
  <c r="K56" i="5" s="1"/>
  <c r="P56" i="4"/>
  <c r="P56" i="5" s="1"/>
  <c r="T56" i="6"/>
  <c r="F56" i="6"/>
  <c r="I56" i="6"/>
  <c r="P56" i="6"/>
  <c r="D56" i="6"/>
  <c r="S56" i="6"/>
  <c r="O56" i="4"/>
  <c r="O56" i="5" s="1"/>
  <c r="L56" i="4"/>
  <c r="L56" i="5" s="1"/>
  <c r="I56" i="4"/>
  <c r="I56" i="5" s="1"/>
  <c r="L56" i="6"/>
  <c r="R465" i="4"/>
  <c r="R465" i="5" s="1"/>
  <c r="Q465" i="6"/>
  <c r="E465" i="4"/>
  <c r="E465" i="5" s="1"/>
  <c r="L465" i="4"/>
  <c r="L465" i="5" s="1"/>
  <c r="I465" i="4"/>
  <c r="I465" i="5" s="1"/>
  <c r="G465" i="6"/>
  <c r="T465" i="6"/>
  <c r="E465" i="6"/>
  <c r="L465" i="6"/>
  <c r="M465" i="6"/>
  <c r="T465" i="4"/>
  <c r="T465" i="5" s="1"/>
  <c r="R465" i="6"/>
  <c r="F465" i="4"/>
  <c r="F465" i="5" s="1"/>
  <c r="V465" i="6"/>
  <c r="S465" i="6"/>
  <c r="V465" i="4"/>
  <c r="V465" i="5" s="1"/>
  <c r="O465" i="6"/>
  <c r="N465" i="6"/>
  <c r="G465" i="4"/>
  <c r="G465" i="5" s="1"/>
  <c r="D465" i="6"/>
  <c r="K465" i="4"/>
  <c r="K465" i="5" s="1"/>
  <c r="H465" i="4"/>
  <c r="H465" i="5" s="1"/>
  <c r="S465" i="4"/>
  <c r="S465" i="5" s="1"/>
  <c r="U465" i="6"/>
  <c r="H465" i="6"/>
  <c r="K465" i="6"/>
  <c r="S441" i="6"/>
  <c r="N441" i="4"/>
  <c r="N441" i="5" s="1"/>
  <c r="K441" i="6"/>
  <c r="H441" i="4"/>
  <c r="H441" i="5" s="1"/>
  <c r="H441" i="6"/>
  <c r="T441" i="4"/>
  <c r="T441" i="5" s="1"/>
  <c r="D441" i="6"/>
  <c r="I441" i="6"/>
  <c r="U441" i="6"/>
  <c r="U441" i="4"/>
  <c r="U441" i="5" s="1"/>
  <c r="L441" i="4"/>
  <c r="L441" i="5" s="1"/>
  <c r="P441" i="6"/>
  <c r="I441" i="4"/>
  <c r="I441" i="5" s="1"/>
  <c r="M441" i="6"/>
  <c r="J441" i="4"/>
  <c r="J441" i="5" s="1"/>
  <c r="G441" i="6"/>
  <c r="F441" i="6"/>
  <c r="R441" i="6"/>
  <c r="N441" i="6"/>
  <c r="Q441" i="6"/>
  <c r="V441" i="6"/>
  <c r="E441" i="6"/>
  <c r="J441" i="6"/>
  <c r="L441" i="6"/>
  <c r="M441" i="4"/>
  <c r="M441" i="5" s="1"/>
  <c r="E441" i="4"/>
  <c r="E441" i="5" s="1"/>
  <c r="E414" i="4"/>
  <c r="E414" i="5" s="1"/>
  <c r="H414" i="4"/>
  <c r="H414" i="5" s="1"/>
  <c r="M414" i="6"/>
  <c r="L414" i="6"/>
  <c r="O414" i="4"/>
  <c r="O414" i="5" s="1"/>
  <c r="F414" i="6"/>
  <c r="U414" i="4"/>
  <c r="U414" i="5" s="1"/>
  <c r="R414" i="4"/>
  <c r="R414" i="5" s="1"/>
  <c r="P414" i="4"/>
  <c r="P414" i="5" s="1"/>
  <c r="L414" i="4"/>
  <c r="L414" i="5" s="1"/>
  <c r="H414" i="6"/>
  <c r="K414" i="6"/>
  <c r="G414" i="4"/>
  <c r="G414" i="5" s="1"/>
  <c r="D414" i="6"/>
  <c r="F414" i="4"/>
  <c r="F414" i="5" s="1"/>
  <c r="R414" i="6"/>
  <c r="I414" i="4"/>
  <c r="I414" i="5" s="1"/>
  <c r="K414" i="4"/>
  <c r="K414" i="5" s="1"/>
  <c r="Q414" i="4"/>
  <c r="Q414" i="5" s="1"/>
  <c r="N414" i="6"/>
  <c r="S414" i="4"/>
  <c r="S414" i="5" s="1"/>
  <c r="J414" i="6"/>
  <c r="V414" i="4"/>
  <c r="V414" i="5" s="1"/>
  <c r="U414" i="6"/>
  <c r="V414" i="6"/>
  <c r="P414" i="6"/>
  <c r="I414" i="6"/>
  <c r="S414" i="6"/>
  <c r="O414" i="6"/>
  <c r="J414" i="4"/>
  <c r="J414" i="5" s="1"/>
  <c r="Q396" i="6"/>
  <c r="S396" i="4"/>
  <c r="S396" i="5" s="1"/>
  <c r="G396" i="6"/>
  <c r="R396" i="6"/>
  <c r="D396" i="6"/>
  <c r="Q396" i="4"/>
  <c r="Q396" i="5" s="1"/>
  <c r="M396" i="6"/>
  <c r="L396" i="6"/>
  <c r="P396" i="6"/>
  <c r="I396" i="4"/>
  <c r="I396" i="5" s="1"/>
  <c r="K396" i="4"/>
  <c r="K396" i="5" s="1"/>
  <c r="N396" i="6"/>
  <c r="U396" i="6"/>
  <c r="P396" i="4"/>
  <c r="P396" i="5" s="1"/>
  <c r="E396" i="6"/>
  <c r="O396" i="6"/>
  <c r="J396" i="6"/>
  <c r="E396" i="4"/>
  <c r="E396" i="5" s="1"/>
  <c r="L396" i="4"/>
  <c r="L396" i="5" s="1"/>
  <c r="K413" i="6"/>
  <c r="D413" i="4"/>
  <c r="D413" i="5" s="1"/>
  <c r="I413" i="4"/>
  <c r="I413" i="5" s="1"/>
  <c r="S413" i="6"/>
  <c r="E413" i="4"/>
  <c r="E413" i="5" s="1"/>
  <c r="I413" i="6"/>
  <c r="T413" i="4"/>
  <c r="T413" i="5" s="1"/>
  <c r="R413" i="4"/>
  <c r="R413" i="5" s="1"/>
  <c r="R413" i="6"/>
  <c r="P413" i="4"/>
  <c r="P413" i="5" s="1"/>
  <c r="G413" i="4"/>
  <c r="G413" i="5" s="1"/>
  <c r="U413" i="6"/>
  <c r="M413" i="6"/>
  <c r="N413" i="6"/>
  <c r="F413" i="4"/>
  <c r="F413" i="5" s="1"/>
  <c r="G413" i="6"/>
  <c r="T413" i="6"/>
  <c r="Q413" i="4"/>
  <c r="Q413" i="5" s="1"/>
  <c r="V413" i="4"/>
  <c r="V413" i="5" s="1"/>
  <c r="R348" i="6"/>
  <c r="H348" i="4"/>
  <c r="H348" i="5" s="1"/>
  <c r="T348" i="4"/>
  <c r="T348" i="5" s="1"/>
  <c r="D348" i="4"/>
  <c r="D348" i="5" s="1"/>
  <c r="F348" i="6"/>
  <c r="O348" i="4"/>
  <c r="O348" i="5" s="1"/>
  <c r="K348" i="4"/>
  <c r="K348" i="5" s="1"/>
  <c r="G348" i="4"/>
  <c r="G348" i="5" s="1"/>
  <c r="E348" i="4"/>
  <c r="E348" i="5" s="1"/>
  <c r="V348" i="6"/>
  <c r="P348" i="6"/>
  <c r="F348" i="4"/>
  <c r="F348" i="5" s="1"/>
  <c r="T348" i="6"/>
  <c r="L348" i="6"/>
  <c r="K348" i="6"/>
  <c r="N348" i="6"/>
  <c r="R348" i="4"/>
  <c r="R348" i="5" s="1"/>
  <c r="U348" i="4"/>
  <c r="U348" i="5" s="1"/>
  <c r="G348" i="6"/>
  <c r="Q348" i="4"/>
  <c r="Q348" i="5" s="1"/>
  <c r="O348" i="6"/>
  <c r="S348" i="6"/>
  <c r="J348" i="6"/>
  <c r="F248" i="6"/>
  <c r="R248" i="6"/>
  <c r="I248" i="4"/>
  <c r="I248" i="5" s="1"/>
  <c r="R248" i="4"/>
  <c r="R248" i="5" s="1"/>
  <c r="V248" i="4"/>
  <c r="V248" i="5" s="1"/>
  <c r="O248" i="4"/>
  <c r="O248" i="5" s="1"/>
  <c r="U248" i="4"/>
  <c r="U248" i="5" s="1"/>
  <c r="T248" i="6"/>
  <c r="N248" i="4"/>
  <c r="N248" i="5" s="1"/>
  <c r="J248" i="4"/>
  <c r="J248" i="5" s="1"/>
  <c r="K248" i="6"/>
  <c r="G248" i="6"/>
  <c r="D248" i="4"/>
  <c r="D248" i="5" s="1"/>
  <c r="L248" i="6"/>
  <c r="N248" i="6"/>
  <c r="K248" i="4"/>
  <c r="K248" i="5" s="1"/>
  <c r="D248" i="6"/>
  <c r="L248" i="4"/>
  <c r="L248" i="5" s="1"/>
  <c r="M248" i="4"/>
  <c r="M248" i="5" s="1"/>
  <c r="O248" i="6"/>
  <c r="M244" i="4"/>
  <c r="M244" i="5" s="1"/>
  <c r="F244" i="4"/>
  <c r="F244" i="5" s="1"/>
  <c r="R244" i="4"/>
  <c r="R244" i="5" s="1"/>
  <c r="R244" i="6"/>
  <c r="O244" i="4"/>
  <c r="O244" i="5" s="1"/>
  <c r="O244" i="6"/>
  <c r="G244" i="4"/>
  <c r="G244" i="5" s="1"/>
  <c r="U244" i="4"/>
  <c r="U244" i="5" s="1"/>
  <c r="U244" i="6"/>
  <c r="P244" i="4"/>
  <c r="P244" i="5" s="1"/>
  <c r="H244" i="6"/>
  <c r="L244" i="4"/>
  <c r="L244" i="5" s="1"/>
  <c r="D244" i="4"/>
  <c r="D244" i="5" s="1"/>
  <c r="D244" i="6"/>
  <c r="E244" i="6"/>
  <c r="N244" i="4"/>
  <c r="N244" i="5" s="1"/>
  <c r="G244" i="6"/>
  <c r="H244" i="4"/>
  <c r="H244" i="5" s="1"/>
  <c r="L244" i="6"/>
  <c r="I244" i="6"/>
  <c r="F240" i="4"/>
  <c r="F240" i="5" s="1"/>
  <c r="Q240" i="6"/>
  <c r="Q240" i="4"/>
  <c r="Q240" i="5" s="1"/>
  <c r="T229" i="6"/>
  <c r="L229" i="6"/>
  <c r="D229" i="6"/>
  <c r="N229" i="6"/>
  <c r="K229" i="6"/>
  <c r="E229" i="6"/>
  <c r="U229" i="4"/>
  <c r="U229" i="5" s="1"/>
  <c r="F229" i="6"/>
  <c r="Q229" i="6"/>
  <c r="G229" i="4"/>
  <c r="G229" i="5" s="1"/>
  <c r="J229" i="4"/>
  <c r="J229" i="5" s="1"/>
  <c r="G229" i="6"/>
  <c r="M229" i="6"/>
  <c r="H229" i="4"/>
  <c r="H229" i="5" s="1"/>
  <c r="S229" i="4"/>
  <c r="S229" i="5" s="1"/>
  <c r="F229" i="4"/>
  <c r="F229" i="5" s="1"/>
  <c r="K229" i="4"/>
  <c r="K229" i="5" s="1"/>
  <c r="V229" i="6"/>
  <c r="H229" i="6"/>
  <c r="P229" i="4"/>
  <c r="P229" i="5" s="1"/>
  <c r="I229" i="4"/>
  <c r="I229" i="5" s="1"/>
  <c r="F193" i="4"/>
  <c r="F193" i="5" s="1"/>
  <c r="S193" i="6"/>
  <c r="U193" i="4"/>
  <c r="U193" i="5" s="1"/>
  <c r="I193" i="6"/>
  <c r="N193" i="6"/>
  <c r="J193" i="6"/>
  <c r="R193" i="4"/>
  <c r="R193" i="5" s="1"/>
  <c r="D193" i="4"/>
  <c r="D193" i="5" s="1"/>
  <c r="P193" i="4"/>
  <c r="P193" i="5" s="1"/>
  <c r="V193" i="6"/>
  <c r="T193" i="4"/>
  <c r="T193" i="5" s="1"/>
  <c r="K193" i="6"/>
  <c r="G193" i="4"/>
  <c r="G193" i="5" s="1"/>
  <c r="L193" i="6"/>
  <c r="E193" i="4"/>
  <c r="E193" i="5" s="1"/>
  <c r="Q193" i="6"/>
  <c r="T63" i="4"/>
  <c r="T63" i="5" s="1"/>
  <c r="T63" i="6"/>
  <c r="S277" i="6"/>
  <c r="T420" i="6"/>
  <c r="G402" i="6"/>
  <c r="L420" i="6"/>
  <c r="C500" i="7"/>
  <c r="N500" i="7" s="1"/>
  <c r="C503" i="7"/>
  <c r="N503" i="7" s="1"/>
  <c r="C508" i="7"/>
  <c r="V381" i="1"/>
  <c r="D381" i="3" s="1"/>
  <c r="F402" i="4"/>
  <c r="F402" i="5" s="1"/>
  <c r="R402" i="6"/>
  <c r="T402" i="4"/>
  <c r="T402" i="5" s="1"/>
  <c r="P402" i="6"/>
  <c r="Q402" i="6"/>
  <c r="M402" i="6"/>
  <c r="D402" i="4"/>
  <c r="D402" i="5" s="1"/>
  <c r="O402" i="4"/>
  <c r="O402" i="5" s="1"/>
  <c r="S402" i="4"/>
  <c r="S402" i="5" s="1"/>
  <c r="D402" i="6"/>
  <c r="K402" i="4"/>
  <c r="K402" i="5" s="1"/>
  <c r="T402" i="6"/>
  <c r="H402" i="6"/>
  <c r="Q402" i="4"/>
  <c r="Q402" i="5" s="1"/>
  <c r="V402" i="4"/>
  <c r="V402" i="5" s="1"/>
  <c r="I402" i="6"/>
  <c r="R435" i="6"/>
  <c r="V435" i="4"/>
  <c r="V435" i="5" s="1"/>
  <c r="Q435" i="6"/>
  <c r="F435" i="6"/>
  <c r="R435" i="4"/>
  <c r="R435" i="5" s="1"/>
  <c r="O435" i="4"/>
  <c r="O435" i="5" s="1"/>
  <c r="U435" i="6"/>
  <c r="L435" i="6"/>
  <c r="P435" i="4"/>
  <c r="P435" i="5" s="1"/>
  <c r="J435" i="6"/>
  <c r="V435" i="6"/>
  <c r="N435" i="4"/>
  <c r="N435" i="5" s="1"/>
  <c r="L435" i="4"/>
  <c r="L435" i="5" s="1"/>
  <c r="S435" i="4"/>
  <c r="S435" i="5" s="1"/>
  <c r="G435" i="4"/>
  <c r="G435" i="5" s="1"/>
  <c r="E435" i="4"/>
  <c r="E435" i="5" s="1"/>
  <c r="D435" i="6"/>
  <c r="S435" i="6"/>
  <c r="G494" i="6"/>
  <c r="G169" i="4"/>
  <c r="G169" i="5" s="1"/>
  <c r="J402" i="4"/>
  <c r="J402" i="5" s="1"/>
  <c r="T420" i="4"/>
  <c r="T420" i="5" s="1"/>
  <c r="Z49" i="2"/>
  <c r="C33" i="7" s="1"/>
  <c r="K169" i="6"/>
  <c r="V169" i="4"/>
  <c r="V169" i="5" s="1"/>
  <c r="N402" i="4"/>
  <c r="N402" i="5" s="1"/>
  <c r="L420" i="4"/>
  <c r="L420" i="5" s="1"/>
  <c r="I35" i="6"/>
  <c r="N35" i="6"/>
  <c r="O35" i="4"/>
  <c r="O35" i="5" s="1"/>
  <c r="L35" i="6"/>
  <c r="S35" i="6"/>
  <c r="Q35" i="6"/>
  <c r="Q35" i="4"/>
  <c r="Q35" i="5" s="1"/>
  <c r="F35" i="4"/>
  <c r="F35" i="5" s="1"/>
  <c r="I420" i="6"/>
  <c r="K420" i="4"/>
  <c r="K420" i="5" s="1"/>
  <c r="F420" i="6"/>
  <c r="E420" i="4"/>
  <c r="E420" i="5" s="1"/>
  <c r="J420" i="4"/>
  <c r="J420" i="5" s="1"/>
  <c r="J420" i="6"/>
  <c r="U420" i="4"/>
  <c r="U420" i="5" s="1"/>
  <c r="G420" i="4"/>
  <c r="G420" i="5" s="1"/>
  <c r="Q420" i="4"/>
  <c r="Q420" i="5" s="1"/>
  <c r="M420" i="6"/>
  <c r="Q420" i="6"/>
  <c r="U420" i="6"/>
  <c r="R420" i="4"/>
  <c r="R420" i="5" s="1"/>
  <c r="F420" i="4"/>
  <c r="F420" i="5" s="1"/>
  <c r="L63" i="4"/>
  <c r="L63" i="5" s="1"/>
  <c r="M63" i="4"/>
  <c r="M63" i="5" s="1"/>
  <c r="J19" i="6"/>
  <c r="V19" i="4"/>
  <c r="V19" i="5" s="1"/>
  <c r="M19" i="4"/>
  <c r="M19" i="5" s="1"/>
  <c r="G19" i="6"/>
  <c r="G19" i="4"/>
  <c r="G19" i="5" s="1"/>
  <c r="N19" i="6"/>
  <c r="I19" i="4"/>
  <c r="I19" i="5" s="1"/>
  <c r="M19" i="6"/>
  <c r="E19" i="4"/>
  <c r="E19" i="5" s="1"/>
  <c r="V19" i="6"/>
  <c r="Q19" i="4"/>
  <c r="Q19" i="5" s="1"/>
  <c r="N19" i="4"/>
  <c r="N19" i="5" s="1"/>
  <c r="T19" i="6"/>
  <c r="H19" i="4"/>
  <c r="H19" i="5" s="1"/>
  <c r="D19" i="4"/>
  <c r="D19" i="5" s="1"/>
  <c r="H449" i="4"/>
  <c r="H449" i="5" s="1"/>
  <c r="J449" i="6"/>
  <c r="R449" i="4"/>
  <c r="R449" i="5" s="1"/>
  <c r="L449" i="6"/>
  <c r="F449" i="4"/>
  <c r="F449" i="5" s="1"/>
  <c r="U449" i="4"/>
  <c r="U449" i="5" s="1"/>
  <c r="G449" i="6"/>
  <c r="K449" i="4"/>
  <c r="K449" i="5" s="1"/>
  <c r="I449" i="4"/>
  <c r="I449" i="5" s="1"/>
  <c r="Q449" i="6"/>
  <c r="R449" i="6"/>
  <c r="P449" i="4"/>
  <c r="P449" i="5" s="1"/>
  <c r="V449" i="4"/>
  <c r="V449" i="5" s="1"/>
  <c r="H449" i="6"/>
  <c r="E449" i="6"/>
  <c r="O449" i="6"/>
  <c r="S449" i="4"/>
  <c r="S449" i="5" s="1"/>
  <c r="Q449" i="4"/>
  <c r="Q449" i="5" s="1"/>
  <c r="I348" i="6"/>
  <c r="U348" i="6"/>
  <c r="V348" i="4"/>
  <c r="V348" i="5" s="1"/>
  <c r="Q448" i="6"/>
  <c r="F448" i="4"/>
  <c r="F448" i="5" s="1"/>
  <c r="L448" i="4"/>
  <c r="L448" i="5" s="1"/>
  <c r="M448" i="4"/>
  <c r="M448" i="5" s="1"/>
  <c r="D448" i="6"/>
  <c r="Q448" i="4"/>
  <c r="Q448" i="5" s="1"/>
  <c r="D448" i="4"/>
  <c r="D448" i="5" s="1"/>
  <c r="J448" i="4"/>
  <c r="J448" i="5" s="1"/>
  <c r="R448" i="4"/>
  <c r="R448" i="5" s="1"/>
  <c r="P448" i="4"/>
  <c r="P448" i="5" s="1"/>
  <c r="N448" i="4"/>
  <c r="N448" i="5" s="1"/>
  <c r="S448" i="4"/>
  <c r="S448" i="5" s="1"/>
  <c r="E448" i="4"/>
  <c r="E448" i="5" s="1"/>
  <c r="U448" i="6"/>
  <c r="K448" i="6"/>
  <c r="F448" i="6"/>
  <c r="R448" i="6"/>
  <c r="E448" i="6"/>
  <c r="I63" i="6"/>
  <c r="E109" i="4"/>
  <c r="E109" i="5" s="1"/>
  <c r="N109" i="6"/>
  <c r="R109" i="4"/>
  <c r="R109" i="5" s="1"/>
  <c r="S109" i="4"/>
  <c r="S109" i="5" s="1"/>
  <c r="T109" i="4"/>
  <c r="T109" i="5" s="1"/>
  <c r="O109" i="6"/>
  <c r="J109" i="4"/>
  <c r="J109" i="5" s="1"/>
  <c r="G109" i="6"/>
  <c r="K109" i="6"/>
  <c r="I109" i="4"/>
  <c r="I109" i="5" s="1"/>
  <c r="I109" i="6"/>
  <c r="J109" i="6"/>
  <c r="N109" i="4"/>
  <c r="N109" i="5" s="1"/>
  <c r="L109" i="6"/>
  <c r="Q109" i="6"/>
  <c r="F113" i="4"/>
  <c r="F113" i="5" s="1"/>
  <c r="S113" i="4"/>
  <c r="S113" i="5" s="1"/>
  <c r="F113" i="6"/>
  <c r="T113" i="4"/>
  <c r="T113" i="5" s="1"/>
  <c r="D113" i="4"/>
  <c r="D113" i="5" s="1"/>
  <c r="R113" i="6"/>
  <c r="P113" i="6"/>
  <c r="S113" i="6"/>
  <c r="K113" i="4"/>
  <c r="K113" i="5" s="1"/>
  <c r="L113" i="4"/>
  <c r="L113" i="5" s="1"/>
  <c r="N113" i="4"/>
  <c r="N113" i="5" s="1"/>
  <c r="N113" i="6"/>
  <c r="L113" i="6"/>
  <c r="V113" i="4"/>
  <c r="V113" i="5" s="1"/>
  <c r="K113" i="6"/>
  <c r="M113" i="4"/>
  <c r="M113" i="5" s="1"/>
  <c r="O113" i="4"/>
  <c r="O113" i="5" s="1"/>
  <c r="I113" i="6"/>
  <c r="P240" i="4"/>
  <c r="P240" i="5" s="1"/>
  <c r="D240" i="4"/>
  <c r="D240" i="5" s="1"/>
  <c r="G240" i="6"/>
  <c r="H240" i="4"/>
  <c r="H240" i="5" s="1"/>
  <c r="O240" i="6"/>
  <c r="N240" i="4"/>
  <c r="N240" i="5" s="1"/>
  <c r="V240" i="6"/>
  <c r="M240" i="6"/>
  <c r="K240" i="6"/>
  <c r="N240" i="6"/>
  <c r="F240" i="6"/>
  <c r="H240" i="6"/>
  <c r="V240" i="4"/>
  <c r="V240" i="5" s="1"/>
  <c r="P240" i="6"/>
  <c r="U240" i="6"/>
  <c r="U240" i="4"/>
  <c r="U240" i="5" s="1"/>
  <c r="S240" i="6"/>
  <c r="K240" i="4"/>
  <c r="K240" i="5" s="1"/>
  <c r="E142" i="6"/>
  <c r="L142" i="6"/>
  <c r="D142" i="4"/>
  <c r="D142" i="5" s="1"/>
  <c r="J142" i="6"/>
  <c r="E142" i="4"/>
  <c r="E142" i="5" s="1"/>
  <c r="U142" i="4"/>
  <c r="U142" i="5" s="1"/>
  <c r="L142" i="4"/>
  <c r="L142" i="5" s="1"/>
  <c r="V142" i="4"/>
  <c r="V142" i="5" s="1"/>
  <c r="O142" i="6"/>
  <c r="G142" i="4"/>
  <c r="G142" i="5" s="1"/>
  <c r="I142" i="4"/>
  <c r="I142" i="5" s="1"/>
  <c r="N142" i="4"/>
  <c r="N142" i="5" s="1"/>
  <c r="Q465" i="4"/>
  <c r="Q465" i="5" s="1"/>
  <c r="P465" i="4"/>
  <c r="P465" i="5" s="1"/>
  <c r="D268" i="4"/>
  <c r="D268" i="5" s="1"/>
  <c r="L268" i="4"/>
  <c r="L268" i="5" s="1"/>
  <c r="Q268" i="4"/>
  <c r="Q268" i="5" s="1"/>
  <c r="J268" i="4"/>
  <c r="J268" i="5" s="1"/>
  <c r="P268" i="4"/>
  <c r="P268" i="5" s="1"/>
  <c r="E268" i="4"/>
  <c r="E268" i="5" s="1"/>
  <c r="I268" i="6"/>
  <c r="K268" i="4"/>
  <c r="K268" i="5" s="1"/>
  <c r="J268" i="6"/>
  <c r="H268" i="4"/>
  <c r="H268" i="5" s="1"/>
  <c r="M268" i="6"/>
  <c r="F268" i="6"/>
  <c r="T268" i="6"/>
  <c r="O268" i="4"/>
  <c r="O268" i="5" s="1"/>
  <c r="N268" i="4"/>
  <c r="N268" i="5" s="1"/>
  <c r="V268" i="6"/>
  <c r="O268" i="6"/>
  <c r="M268" i="4"/>
  <c r="M268" i="5" s="1"/>
  <c r="L229" i="4"/>
  <c r="L229" i="5" s="1"/>
  <c r="J229" i="6"/>
  <c r="V245" i="4"/>
  <c r="V245" i="5" s="1"/>
  <c r="D245" i="4"/>
  <c r="D245" i="5" s="1"/>
  <c r="M56" i="6"/>
  <c r="E56" i="6"/>
  <c r="R374" i="6"/>
  <c r="L374" i="6"/>
  <c r="S374" i="6"/>
  <c r="L374" i="4"/>
  <c r="L374" i="5" s="1"/>
  <c r="U374" i="6"/>
  <c r="H374" i="6"/>
  <c r="F374" i="6"/>
  <c r="V374" i="6"/>
  <c r="K374" i="4"/>
  <c r="K374" i="5" s="1"/>
  <c r="E374" i="6"/>
  <c r="J374" i="6"/>
  <c r="D374" i="4"/>
  <c r="D374" i="5" s="1"/>
  <c r="P374" i="6"/>
  <c r="T374" i="4"/>
  <c r="T374" i="5" s="1"/>
  <c r="I374" i="4"/>
  <c r="I374" i="5" s="1"/>
  <c r="N374" i="6"/>
  <c r="E374" i="4"/>
  <c r="E374" i="5" s="1"/>
  <c r="V374" i="4"/>
  <c r="V374" i="5" s="1"/>
  <c r="P193" i="6"/>
  <c r="M193" i="4"/>
  <c r="M193" i="5" s="1"/>
  <c r="H193" i="6"/>
  <c r="S193" i="4"/>
  <c r="S193" i="5" s="1"/>
  <c r="N193" i="4"/>
  <c r="N193" i="5" s="1"/>
  <c r="K193" i="4"/>
  <c r="K193" i="5" s="1"/>
  <c r="O193" i="4"/>
  <c r="O193" i="5" s="1"/>
  <c r="D193" i="6"/>
  <c r="V124" i="4"/>
  <c r="V124" i="5" s="1"/>
  <c r="I124" i="4"/>
  <c r="I124" i="5" s="1"/>
  <c r="R124" i="6"/>
  <c r="H124" i="4"/>
  <c r="H124" i="5" s="1"/>
  <c r="M124" i="4"/>
  <c r="M124" i="5" s="1"/>
  <c r="M124" i="6"/>
  <c r="P124" i="4"/>
  <c r="P124" i="5" s="1"/>
  <c r="R124" i="4"/>
  <c r="R124" i="5" s="1"/>
  <c r="L124" i="4"/>
  <c r="L124" i="5" s="1"/>
  <c r="P124" i="6"/>
  <c r="T124" i="6"/>
  <c r="N124" i="4"/>
  <c r="N124" i="5" s="1"/>
  <c r="L124" i="6"/>
  <c r="S124" i="6"/>
  <c r="O124" i="6"/>
  <c r="H124" i="6"/>
  <c r="K124" i="4"/>
  <c r="K124" i="5" s="1"/>
  <c r="E124" i="6"/>
  <c r="U50" i="4"/>
  <c r="U50" i="5" s="1"/>
  <c r="O50" i="6"/>
  <c r="L50" i="4"/>
  <c r="L50" i="5" s="1"/>
  <c r="M50" i="6"/>
  <c r="R50" i="4"/>
  <c r="R50" i="5" s="1"/>
  <c r="E50" i="4"/>
  <c r="E50" i="5" s="1"/>
  <c r="D50" i="4"/>
  <c r="D50" i="5" s="1"/>
  <c r="D50" i="6"/>
  <c r="F50" i="4"/>
  <c r="F50" i="5" s="1"/>
  <c r="O50" i="4"/>
  <c r="O50" i="5" s="1"/>
  <c r="S50" i="6"/>
  <c r="M50" i="4"/>
  <c r="M50" i="5" s="1"/>
  <c r="U50" i="6"/>
  <c r="N50" i="4"/>
  <c r="N50" i="5" s="1"/>
  <c r="L50" i="6"/>
  <c r="F50" i="6"/>
  <c r="K230" i="6"/>
  <c r="F230" i="4"/>
  <c r="F230" i="5" s="1"/>
  <c r="I230" i="6"/>
  <c r="R230" i="4"/>
  <c r="R230" i="5" s="1"/>
  <c r="K230" i="4"/>
  <c r="K230" i="5" s="1"/>
  <c r="E230" i="4"/>
  <c r="E230" i="5" s="1"/>
  <c r="V230" i="6"/>
  <c r="V230" i="4"/>
  <c r="V230" i="5" s="1"/>
  <c r="Q230" i="4"/>
  <c r="Q230" i="5" s="1"/>
  <c r="O230" i="6"/>
  <c r="O230" i="4"/>
  <c r="O230" i="5" s="1"/>
  <c r="S230" i="6"/>
  <c r="U230" i="6"/>
  <c r="N230" i="6"/>
  <c r="G230" i="6"/>
  <c r="N230" i="4"/>
  <c r="N230" i="5" s="1"/>
  <c r="T230" i="4"/>
  <c r="T230" i="5" s="1"/>
  <c r="R253" i="4"/>
  <c r="R253" i="5" s="1"/>
  <c r="G253" i="6"/>
  <c r="T253" i="6"/>
  <c r="M253" i="6"/>
  <c r="Q253" i="6"/>
  <c r="F253" i="4"/>
  <c r="F253" i="5" s="1"/>
  <c r="O253" i="6"/>
  <c r="R253" i="6"/>
  <c r="K253" i="6"/>
  <c r="P253" i="6"/>
  <c r="F253" i="6"/>
  <c r="V253" i="6"/>
  <c r="S253" i="4"/>
  <c r="S253" i="5" s="1"/>
  <c r="N253" i="6"/>
  <c r="J253" i="6"/>
  <c r="D253" i="6"/>
  <c r="I253" i="4"/>
  <c r="I253" i="5" s="1"/>
  <c r="S253" i="6"/>
  <c r="F100" i="6"/>
  <c r="I100" i="4"/>
  <c r="I100" i="5" s="1"/>
  <c r="D100" i="4"/>
  <c r="D100" i="5" s="1"/>
  <c r="N100" i="4"/>
  <c r="N100" i="5" s="1"/>
  <c r="M100" i="4"/>
  <c r="M100" i="5" s="1"/>
  <c r="L100" i="4"/>
  <c r="L100" i="5" s="1"/>
  <c r="R100" i="6"/>
  <c r="E100" i="4"/>
  <c r="E100" i="5" s="1"/>
  <c r="G100" i="6"/>
  <c r="M100" i="6"/>
  <c r="J100" i="4"/>
  <c r="J100" i="5" s="1"/>
  <c r="N100" i="6"/>
  <c r="H100" i="6"/>
  <c r="L100" i="6"/>
  <c r="E100" i="6"/>
  <c r="J100" i="6"/>
  <c r="U100" i="6"/>
  <c r="G100" i="4"/>
  <c r="G100" i="5" s="1"/>
  <c r="S30" i="6"/>
  <c r="E30" i="6"/>
  <c r="J30" i="4"/>
  <c r="J30" i="5" s="1"/>
  <c r="V30" i="6"/>
  <c r="M30" i="6"/>
  <c r="D30" i="4"/>
  <c r="D30" i="5" s="1"/>
  <c r="I30" i="6"/>
  <c r="D30" i="6"/>
  <c r="I30" i="4"/>
  <c r="I30" i="5" s="1"/>
  <c r="N30" i="6"/>
  <c r="H30" i="4"/>
  <c r="H30" i="5" s="1"/>
  <c r="G30" i="6"/>
  <c r="N30" i="4"/>
  <c r="N30" i="5" s="1"/>
  <c r="P30" i="4"/>
  <c r="P30" i="5" s="1"/>
  <c r="T30" i="4"/>
  <c r="T30" i="5" s="1"/>
  <c r="J30" i="6"/>
  <c r="H30" i="6"/>
  <c r="M30" i="4"/>
  <c r="M30" i="5" s="1"/>
  <c r="P44" i="6"/>
  <c r="P44" i="4"/>
  <c r="P44" i="5" s="1"/>
  <c r="G44" i="4"/>
  <c r="G44" i="5" s="1"/>
  <c r="J44" i="4"/>
  <c r="J44" i="5" s="1"/>
  <c r="O44" i="4"/>
  <c r="O44" i="5" s="1"/>
  <c r="K44" i="6"/>
  <c r="M44" i="6"/>
  <c r="L44" i="4"/>
  <c r="L44" i="5" s="1"/>
  <c r="K44" i="4"/>
  <c r="K44" i="5" s="1"/>
  <c r="H44" i="4"/>
  <c r="H44" i="5" s="1"/>
  <c r="G44" i="6"/>
  <c r="Q44" i="6"/>
  <c r="N44" i="4"/>
  <c r="N44" i="5" s="1"/>
  <c r="E44" i="6"/>
  <c r="N44" i="6"/>
  <c r="D44" i="4"/>
  <c r="D44" i="5" s="1"/>
  <c r="T299" i="6"/>
  <c r="N299" i="6"/>
  <c r="T299" i="4"/>
  <c r="T299" i="5" s="1"/>
  <c r="J299" i="6"/>
  <c r="K299" i="4"/>
  <c r="K299" i="5" s="1"/>
  <c r="H299" i="4"/>
  <c r="H299" i="5" s="1"/>
  <c r="U299" i="6"/>
  <c r="E299" i="6"/>
  <c r="R299" i="4"/>
  <c r="R299" i="5" s="1"/>
  <c r="Q472" i="4"/>
  <c r="Q472" i="5" s="1"/>
  <c r="D472" i="4"/>
  <c r="D472" i="5" s="1"/>
  <c r="J472" i="4"/>
  <c r="J472" i="5" s="1"/>
  <c r="M472" i="4"/>
  <c r="M472" i="5" s="1"/>
  <c r="U472" i="6"/>
  <c r="T472" i="6"/>
  <c r="S472" i="6"/>
  <c r="I472" i="4"/>
  <c r="I472" i="5" s="1"/>
  <c r="J248" i="6"/>
  <c r="H248" i="6"/>
  <c r="S248" i="4"/>
  <c r="S248" i="5" s="1"/>
  <c r="Q248" i="6"/>
  <c r="M248" i="6"/>
  <c r="P248" i="4"/>
  <c r="P248" i="5" s="1"/>
  <c r="E248" i="4"/>
  <c r="E248" i="5" s="1"/>
  <c r="F413" i="6"/>
  <c r="P413" i="6"/>
  <c r="Q413" i="6"/>
  <c r="L413" i="4"/>
  <c r="L413" i="5" s="1"/>
  <c r="D413" i="6"/>
  <c r="L413" i="6"/>
  <c r="H413" i="4"/>
  <c r="H413" i="5" s="1"/>
  <c r="U413" i="4"/>
  <c r="U413" i="5" s="1"/>
  <c r="E413" i="6"/>
  <c r="E63" i="6"/>
  <c r="J63" i="6"/>
  <c r="U63" i="6"/>
  <c r="O63" i="4"/>
  <c r="O63" i="5" s="1"/>
  <c r="N63" i="4"/>
  <c r="N63" i="5" s="1"/>
  <c r="J63" i="4"/>
  <c r="J63" i="5" s="1"/>
  <c r="G63" i="4"/>
  <c r="G63" i="5" s="1"/>
  <c r="P63" i="4"/>
  <c r="P63" i="5" s="1"/>
  <c r="R322" i="4"/>
  <c r="R322" i="5" s="1"/>
  <c r="T322" i="4"/>
  <c r="T322" i="5" s="1"/>
  <c r="D322" i="4"/>
  <c r="D322" i="5" s="1"/>
  <c r="R322" i="6"/>
  <c r="Q322" i="6"/>
  <c r="V322" i="4"/>
  <c r="V322" i="5" s="1"/>
  <c r="H322" i="4"/>
  <c r="H322" i="5" s="1"/>
  <c r="P322" i="4"/>
  <c r="P322" i="5" s="1"/>
  <c r="M322" i="4"/>
  <c r="M322" i="5" s="1"/>
  <c r="S244" i="4"/>
  <c r="S244" i="5" s="1"/>
  <c r="T244" i="4"/>
  <c r="T244" i="5" s="1"/>
  <c r="Q244" i="4"/>
  <c r="Q244" i="5" s="1"/>
  <c r="N244" i="6"/>
  <c r="P244" i="6"/>
  <c r="I244" i="4"/>
  <c r="I244" i="5" s="1"/>
  <c r="K244" i="6"/>
  <c r="V396" i="4"/>
  <c r="V396" i="5" s="1"/>
  <c r="D396" i="4"/>
  <c r="D396" i="5" s="1"/>
  <c r="K396" i="6"/>
  <c r="U396" i="4"/>
  <c r="U396" i="5" s="1"/>
  <c r="O396" i="4"/>
  <c r="O396" i="5" s="1"/>
  <c r="N396" i="4"/>
  <c r="N396" i="5" s="1"/>
  <c r="T396" i="4"/>
  <c r="T396" i="5" s="1"/>
  <c r="T396" i="6"/>
  <c r="G396" i="4"/>
  <c r="G396" i="5" s="1"/>
  <c r="S396" i="6"/>
  <c r="P229" i="6"/>
  <c r="F441" i="4"/>
  <c r="F441" i="5" s="1"/>
  <c r="O56" i="6"/>
  <c r="I465" i="6"/>
  <c r="E229" i="4"/>
  <c r="E229" i="5" s="1"/>
  <c r="E193" i="6"/>
  <c r="M230" i="4"/>
  <c r="M230" i="5" s="1"/>
  <c r="U229" i="6"/>
  <c r="T245" i="4"/>
  <c r="T245" i="5" s="1"/>
  <c r="V248" i="6"/>
  <c r="V472" i="4"/>
  <c r="V472" i="5" s="1"/>
  <c r="I261" i="6"/>
  <c r="S441" i="4"/>
  <c r="S441" i="5" s="1"/>
  <c r="H142" i="6"/>
  <c r="H56" i="6"/>
  <c r="J455" i="6"/>
  <c r="L455" i="6"/>
  <c r="E455" i="6"/>
  <c r="R455" i="6"/>
  <c r="H455" i="6"/>
  <c r="T455" i="6"/>
  <c r="Q455" i="6"/>
  <c r="V455" i="6"/>
  <c r="J455" i="4"/>
  <c r="J455" i="5" s="1"/>
  <c r="O455" i="4"/>
  <c r="O455" i="5" s="1"/>
  <c r="H455" i="4"/>
  <c r="H455" i="5" s="1"/>
  <c r="Q441" i="4"/>
  <c r="Q441" i="5" s="1"/>
  <c r="L245" i="6"/>
  <c r="O19" i="4"/>
  <c r="O19" i="5" s="1"/>
  <c r="L261" i="4"/>
  <c r="L261" i="5" s="1"/>
  <c r="V261" i="6"/>
  <c r="P348" i="4"/>
  <c r="P348" i="5" s="1"/>
  <c r="M348" i="4"/>
  <c r="M348" i="5" s="1"/>
  <c r="K413" i="4"/>
  <c r="K413" i="5" s="1"/>
  <c r="V244" i="6"/>
  <c r="H50" i="4"/>
  <c r="H50" i="5" s="1"/>
  <c r="J261" i="4"/>
  <c r="J261" i="5" s="1"/>
  <c r="S261" i="4"/>
  <c r="S261" i="5" s="1"/>
  <c r="T261" i="4"/>
  <c r="T261" i="5" s="1"/>
  <c r="O261" i="4"/>
  <c r="O261" i="5" s="1"/>
  <c r="K261" i="4"/>
  <c r="K261" i="5" s="1"/>
  <c r="E245" i="6"/>
  <c r="D245" i="6"/>
  <c r="F245" i="4"/>
  <c r="F245" i="5" s="1"/>
  <c r="T245" i="6"/>
  <c r="I245" i="4"/>
  <c r="I245" i="5" s="1"/>
  <c r="J245" i="6"/>
  <c r="F142" i="6"/>
  <c r="S142" i="6"/>
  <c r="U109" i="6"/>
  <c r="V44" i="6"/>
  <c r="H56" i="4"/>
  <c r="H56" i="5" s="1"/>
  <c r="E56" i="4"/>
  <c r="E56" i="5" s="1"/>
  <c r="R56" i="6"/>
  <c r="U465" i="4"/>
  <c r="U465" i="5" s="1"/>
  <c r="P465" i="6"/>
  <c r="N465" i="4"/>
  <c r="N465" i="5" s="1"/>
  <c r="O465" i="4"/>
  <c r="O465" i="5" s="1"/>
  <c r="G441" i="4"/>
  <c r="G441" i="5" s="1"/>
  <c r="R441" i="4"/>
  <c r="R441" i="5" s="1"/>
  <c r="Q414" i="6"/>
  <c r="N414" i="4"/>
  <c r="N414" i="5" s="1"/>
  <c r="D414" i="4"/>
  <c r="D414" i="5" s="1"/>
  <c r="E414" i="6"/>
  <c r="N348" i="4"/>
  <c r="N348" i="5" s="1"/>
  <c r="M348" i="6"/>
  <c r="F248" i="4"/>
  <c r="F248" i="5" s="1"/>
  <c r="M244" i="6"/>
  <c r="N229" i="4"/>
  <c r="N229" i="5" s="1"/>
  <c r="O229" i="6"/>
  <c r="J193" i="4"/>
  <c r="J193" i="5" s="1"/>
  <c r="Q193" i="4"/>
  <c r="Q193" i="5" s="1"/>
  <c r="G193" i="6"/>
  <c r="H472" i="6"/>
  <c r="H291" i="4"/>
  <c r="H291" i="5" s="1"/>
  <c r="J291" i="4"/>
  <c r="J291" i="5" s="1"/>
  <c r="J291" i="6"/>
  <c r="M291" i="4"/>
  <c r="M291" i="5" s="1"/>
  <c r="G291" i="6"/>
  <c r="Q291" i="6"/>
  <c r="I291" i="6"/>
  <c r="L291" i="4"/>
  <c r="L291" i="5" s="1"/>
  <c r="D291" i="4"/>
  <c r="D291" i="5" s="1"/>
  <c r="D291" i="6"/>
  <c r="O291" i="6"/>
  <c r="M291" i="6"/>
  <c r="P291" i="4"/>
  <c r="P291" i="5" s="1"/>
  <c r="E291" i="4"/>
  <c r="E291" i="5" s="1"/>
  <c r="N291" i="4"/>
  <c r="N291" i="5" s="1"/>
  <c r="U291" i="4"/>
  <c r="U291" i="5" s="1"/>
  <c r="D144" i="4"/>
  <c r="D144" i="5" s="1"/>
  <c r="I144" i="4"/>
  <c r="I144" i="5" s="1"/>
  <c r="G144" i="4"/>
  <c r="G144" i="5" s="1"/>
  <c r="T144" i="6"/>
  <c r="M144" i="4"/>
  <c r="M144" i="5" s="1"/>
  <c r="E144" i="6"/>
  <c r="R144" i="4"/>
  <c r="R144" i="5" s="1"/>
  <c r="T144" i="4"/>
  <c r="T144" i="5" s="1"/>
  <c r="V144" i="6"/>
  <c r="J144" i="6"/>
  <c r="Q144" i="4"/>
  <c r="Q144" i="5" s="1"/>
  <c r="U144" i="4"/>
  <c r="U144" i="5" s="1"/>
  <c r="V144" i="4"/>
  <c r="V144" i="5" s="1"/>
  <c r="H144" i="4"/>
  <c r="H144" i="5" s="1"/>
  <c r="E144" i="4"/>
  <c r="E144" i="5" s="1"/>
  <c r="D144" i="6"/>
  <c r="L144" i="6"/>
  <c r="N144" i="4"/>
  <c r="N144" i="5" s="1"/>
  <c r="O144" i="6"/>
  <c r="V12" i="4"/>
  <c r="V12" i="5" s="1"/>
  <c r="V12" i="6"/>
  <c r="Q12" i="6"/>
  <c r="T12" i="6"/>
  <c r="D12" i="6"/>
  <c r="Q12" i="4"/>
  <c r="Q12" i="5" s="1"/>
  <c r="S12" i="6"/>
  <c r="V301" i="6"/>
  <c r="N301" i="4"/>
  <c r="N301" i="5" s="1"/>
  <c r="O301" i="4"/>
  <c r="O301" i="5" s="1"/>
  <c r="N301" i="6"/>
  <c r="M301" i="6"/>
  <c r="M301" i="4"/>
  <c r="M301" i="5" s="1"/>
  <c r="T301" i="4"/>
  <c r="T301" i="5" s="1"/>
  <c r="P130" i="6"/>
  <c r="J130" i="4"/>
  <c r="J130" i="5" s="1"/>
  <c r="J130" i="6"/>
  <c r="V130" i="6"/>
  <c r="D375" i="4"/>
  <c r="D375" i="5" s="1"/>
  <c r="O375" i="4"/>
  <c r="O375" i="5" s="1"/>
  <c r="R375" i="6"/>
  <c r="Q375" i="4"/>
  <c r="Q375" i="5" s="1"/>
  <c r="M375" i="6"/>
  <c r="Q375" i="6"/>
  <c r="S375" i="6"/>
  <c r="V375" i="4"/>
  <c r="V375" i="5" s="1"/>
  <c r="I375" i="4"/>
  <c r="I375" i="5" s="1"/>
  <c r="H375" i="6"/>
  <c r="G375" i="4"/>
  <c r="G375" i="5" s="1"/>
  <c r="D375" i="6"/>
  <c r="K375" i="4"/>
  <c r="K375" i="5" s="1"/>
  <c r="T375" i="6"/>
  <c r="V229" i="4"/>
  <c r="V229" i="5" s="1"/>
  <c r="G261" i="4"/>
  <c r="G261" i="5" s="1"/>
  <c r="N261" i="4"/>
  <c r="N261" i="5" s="1"/>
  <c r="Q56" i="4"/>
  <c r="Q56" i="5" s="1"/>
  <c r="T446" i="6"/>
  <c r="S446" i="6"/>
  <c r="F258" i="4"/>
  <c r="F258" i="5" s="1"/>
  <c r="S258" i="6"/>
  <c r="R171" i="6"/>
  <c r="O171" i="6"/>
  <c r="P171" i="6"/>
  <c r="N171" i="6"/>
  <c r="I171" i="6"/>
  <c r="E171" i="4"/>
  <c r="E171" i="5" s="1"/>
  <c r="D171" i="6"/>
  <c r="V171" i="4"/>
  <c r="V171" i="5" s="1"/>
  <c r="I171" i="4"/>
  <c r="I171" i="5" s="1"/>
  <c r="U293" i="3"/>
  <c r="U293" i="6" s="1"/>
  <c r="H50" i="2"/>
  <c r="H77" i="2" s="1"/>
  <c r="V95" i="6"/>
  <c r="G95" i="6"/>
  <c r="K95" i="6"/>
  <c r="O95" i="6"/>
  <c r="S95" i="6"/>
  <c r="F95" i="4"/>
  <c r="F95" i="5" s="1"/>
  <c r="H95" i="4"/>
  <c r="H95" i="5" s="1"/>
  <c r="J95" i="4"/>
  <c r="J95" i="5" s="1"/>
  <c r="L95" i="4"/>
  <c r="L95" i="5" s="1"/>
  <c r="N95" i="4"/>
  <c r="N95" i="5" s="1"/>
  <c r="P95" i="4"/>
  <c r="P95" i="5" s="1"/>
  <c r="R95" i="4"/>
  <c r="R95" i="5" s="1"/>
  <c r="T95" i="4"/>
  <c r="T95" i="5" s="1"/>
  <c r="D95" i="4"/>
  <c r="D95" i="5" s="1"/>
  <c r="E95" i="6"/>
  <c r="I95" i="6"/>
  <c r="M95" i="6"/>
  <c r="Q95" i="6"/>
  <c r="U95" i="6"/>
  <c r="T122" i="4"/>
  <c r="T122" i="5" s="1"/>
  <c r="R122" i="4"/>
  <c r="R122" i="5" s="1"/>
  <c r="P122" i="4"/>
  <c r="P122" i="5" s="1"/>
  <c r="N122" i="4"/>
  <c r="N122" i="5" s="1"/>
  <c r="L122" i="4"/>
  <c r="L122" i="5" s="1"/>
  <c r="J122" i="4"/>
  <c r="J122" i="5" s="1"/>
  <c r="H122" i="4"/>
  <c r="H122" i="5" s="1"/>
  <c r="F122" i="4"/>
  <c r="F122" i="5" s="1"/>
  <c r="T122" i="6"/>
  <c r="R122" i="6"/>
  <c r="P122" i="6"/>
  <c r="N122" i="6"/>
  <c r="L122" i="6"/>
  <c r="J122" i="6"/>
  <c r="H122" i="6"/>
  <c r="F122" i="6"/>
  <c r="E122" i="4"/>
  <c r="E122" i="5" s="1"/>
  <c r="G122" i="6"/>
  <c r="I122" i="4"/>
  <c r="I122" i="5" s="1"/>
  <c r="K122" i="6"/>
  <c r="M122" i="4"/>
  <c r="M122" i="5" s="1"/>
  <c r="O122" i="6"/>
  <c r="Q122" i="4"/>
  <c r="Q122" i="5" s="1"/>
  <c r="S122" i="6"/>
  <c r="U122" i="4"/>
  <c r="U122" i="5" s="1"/>
  <c r="V122" i="4"/>
  <c r="V122" i="5" s="1"/>
  <c r="U284" i="4"/>
  <c r="U284" i="5" s="1"/>
  <c r="V284" i="6"/>
  <c r="F284" i="6"/>
  <c r="V284" i="4"/>
  <c r="V284" i="5" s="1"/>
  <c r="Q405" i="4"/>
  <c r="Q405" i="5" s="1"/>
  <c r="M405" i="4"/>
  <c r="M405" i="5" s="1"/>
  <c r="J405" i="6"/>
  <c r="E405" i="4"/>
  <c r="E405" i="5" s="1"/>
  <c r="T405" i="4"/>
  <c r="T405" i="5" s="1"/>
  <c r="U405" i="6"/>
  <c r="D405" i="6"/>
  <c r="D122" i="4"/>
  <c r="D122" i="5" s="1"/>
  <c r="D122" i="6"/>
  <c r="R195" i="3"/>
  <c r="C498" i="7"/>
  <c r="C499" i="7"/>
  <c r="N499" i="7" s="1"/>
  <c r="C510" i="7"/>
  <c r="N510" i="7" s="1"/>
  <c r="C513" i="7"/>
  <c r="N513" i="7" s="1"/>
  <c r="D49" i="2"/>
  <c r="D47" i="2"/>
  <c r="D74" i="2" s="1"/>
  <c r="C502" i="7"/>
  <c r="C507" i="7"/>
  <c r="N507" i="7" s="1"/>
  <c r="C504" i="7"/>
  <c r="C514" i="7"/>
  <c r="N514" i="7" s="1"/>
  <c r="C512" i="7"/>
  <c r="C515" i="7"/>
  <c r="N515" i="7" s="1"/>
  <c r="C509" i="7"/>
  <c r="C511" i="7"/>
  <c r="N511" i="7" s="1"/>
  <c r="D99" i="4"/>
  <c r="D99" i="5" s="1"/>
  <c r="D99" i="6"/>
  <c r="T99" i="4"/>
  <c r="T99" i="5" s="1"/>
  <c r="R99" i="4"/>
  <c r="R99" i="5" s="1"/>
  <c r="P99" i="4"/>
  <c r="P99" i="5" s="1"/>
  <c r="N99" i="4"/>
  <c r="N99" i="5" s="1"/>
  <c r="L99" i="4"/>
  <c r="L99" i="5" s="1"/>
  <c r="J99" i="4"/>
  <c r="J99" i="5" s="1"/>
  <c r="H99" i="4"/>
  <c r="H99" i="5" s="1"/>
  <c r="F99" i="4"/>
  <c r="F99" i="5" s="1"/>
  <c r="T99" i="6"/>
  <c r="R99" i="6"/>
  <c r="P99" i="6"/>
  <c r="N99" i="6"/>
  <c r="L99" i="6"/>
  <c r="J99" i="6"/>
  <c r="H99" i="6"/>
  <c r="F99" i="6"/>
  <c r="V99" i="6"/>
  <c r="V99" i="4"/>
  <c r="V99" i="5" s="1"/>
  <c r="L8" i="3"/>
  <c r="N93" i="6"/>
  <c r="J93" i="6"/>
  <c r="J93" i="4"/>
  <c r="J93" i="5" s="1"/>
  <c r="P93" i="4"/>
  <c r="P93" i="5" s="1"/>
  <c r="T93" i="4"/>
  <c r="T93" i="5" s="1"/>
  <c r="M93" i="6"/>
  <c r="G93" i="6"/>
  <c r="L93" i="6"/>
  <c r="S93" i="6"/>
  <c r="K93" i="4"/>
  <c r="K93" i="5" s="1"/>
  <c r="H93" i="6"/>
  <c r="T93" i="6"/>
  <c r="E93" i="6"/>
  <c r="M93" i="4"/>
  <c r="M93" i="5" s="1"/>
  <c r="H93" i="4"/>
  <c r="H93" i="5" s="1"/>
  <c r="Q93" i="6"/>
  <c r="U93" i="6"/>
  <c r="M94" i="4"/>
  <c r="M94" i="5" s="1"/>
  <c r="R94" i="6"/>
  <c r="I94" i="4"/>
  <c r="I94" i="5" s="1"/>
  <c r="P94" i="4"/>
  <c r="P94" i="5" s="1"/>
  <c r="E94" i="4"/>
  <c r="E94" i="5" s="1"/>
  <c r="E94" i="6"/>
  <c r="Q94" i="6"/>
  <c r="T94" i="4"/>
  <c r="T94" i="5" s="1"/>
  <c r="V94" i="6"/>
  <c r="S94" i="6"/>
  <c r="S94" i="4"/>
  <c r="S94" i="5" s="1"/>
  <c r="D94" i="6"/>
  <c r="R94" i="4"/>
  <c r="R94" i="5" s="1"/>
  <c r="N94" i="4"/>
  <c r="N94" i="5" s="1"/>
  <c r="K94" i="6"/>
  <c r="P94" i="6"/>
  <c r="D54" i="6"/>
  <c r="D54" i="4"/>
  <c r="D54" i="5" s="1"/>
  <c r="T54" i="6"/>
  <c r="R54" i="6"/>
  <c r="P54" i="6"/>
  <c r="N54" i="6"/>
  <c r="L54" i="6"/>
  <c r="J54" i="6"/>
  <c r="H54" i="6"/>
  <c r="F54" i="6"/>
  <c r="T54" i="4"/>
  <c r="T54" i="5" s="1"/>
  <c r="R54" i="4"/>
  <c r="R54" i="5" s="1"/>
  <c r="P54" i="4"/>
  <c r="P54" i="5" s="1"/>
  <c r="N54" i="4"/>
  <c r="N54" i="5" s="1"/>
  <c r="L54" i="4"/>
  <c r="L54" i="5" s="1"/>
  <c r="J54" i="4"/>
  <c r="J54" i="5" s="1"/>
  <c r="H54" i="4"/>
  <c r="H54" i="5" s="1"/>
  <c r="F54" i="4"/>
  <c r="F54" i="5" s="1"/>
  <c r="V54" i="4"/>
  <c r="V54" i="5" s="1"/>
  <c r="U54" i="4"/>
  <c r="U54" i="5" s="1"/>
  <c r="S54" i="6"/>
  <c r="Q54" i="4"/>
  <c r="Q54" i="5" s="1"/>
  <c r="O54" i="6"/>
  <c r="M54" i="4"/>
  <c r="M54" i="5" s="1"/>
  <c r="K54" i="6"/>
  <c r="I54" i="4"/>
  <c r="I54" i="5" s="1"/>
  <c r="G54" i="6"/>
  <c r="E54" i="4"/>
  <c r="E54" i="5" s="1"/>
  <c r="V54" i="6"/>
  <c r="U54" i="6"/>
  <c r="S54" i="4"/>
  <c r="S54" i="5" s="1"/>
  <c r="Q54" i="6"/>
  <c r="O54" i="4"/>
  <c r="O54" i="5" s="1"/>
  <c r="M54" i="6"/>
  <c r="K54" i="4"/>
  <c r="K54" i="5" s="1"/>
  <c r="I54" i="6"/>
  <c r="G54" i="4"/>
  <c r="G54" i="5" s="1"/>
  <c r="E54" i="6"/>
  <c r="I47" i="4"/>
  <c r="I47" i="5" s="1"/>
  <c r="R47" i="4"/>
  <c r="R47" i="5" s="1"/>
  <c r="P47" i="4"/>
  <c r="P47" i="5" s="1"/>
  <c r="U47" i="4"/>
  <c r="U47" i="5" s="1"/>
  <c r="K47" i="4"/>
  <c r="K47" i="5" s="1"/>
  <c r="P47" i="6"/>
  <c r="D47" i="4"/>
  <c r="D47" i="5" s="1"/>
  <c r="M47" i="6"/>
  <c r="O47" i="4"/>
  <c r="O47" i="5" s="1"/>
  <c r="T47" i="4"/>
  <c r="T47" i="5" s="1"/>
  <c r="H47" i="4"/>
  <c r="H47" i="5" s="1"/>
  <c r="M47" i="4"/>
  <c r="M47" i="5" s="1"/>
  <c r="H47" i="6"/>
  <c r="K47" i="6"/>
  <c r="N47" i="6"/>
  <c r="L47" i="4"/>
  <c r="L47" i="5" s="1"/>
  <c r="S47" i="4"/>
  <c r="S47" i="5" s="1"/>
  <c r="E47" i="6"/>
  <c r="J47" i="4"/>
  <c r="J47" i="5" s="1"/>
  <c r="U8" i="3"/>
  <c r="T94" i="6"/>
  <c r="Q94" i="4"/>
  <c r="Q94" i="5" s="1"/>
  <c r="U375" i="6"/>
  <c r="L375" i="4"/>
  <c r="L375" i="5" s="1"/>
  <c r="T375" i="4"/>
  <c r="T375" i="5" s="1"/>
  <c r="P375" i="6"/>
  <c r="K47" i="2"/>
  <c r="K74" i="2" s="1"/>
  <c r="R431" i="3"/>
  <c r="R431" i="4" s="1"/>
  <c r="R431" i="5" s="1"/>
  <c r="S8" i="3"/>
  <c r="C43" i="2"/>
  <c r="C51" i="2"/>
  <c r="H241" i="6"/>
  <c r="P241" i="6"/>
  <c r="H241" i="4"/>
  <c r="H241" i="5" s="1"/>
  <c r="T241" i="4"/>
  <c r="T241" i="5" s="1"/>
  <c r="T241" i="6"/>
  <c r="P241" i="4"/>
  <c r="P241" i="5" s="1"/>
  <c r="F224" i="4"/>
  <c r="F224" i="5" s="1"/>
  <c r="R224" i="4"/>
  <c r="R224" i="5" s="1"/>
  <c r="R224" i="6"/>
  <c r="F224" i="6"/>
  <c r="J216" i="6"/>
  <c r="K216" i="6"/>
  <c r="J216" i="4"/>
  <c r="J216" i="5" s="1"/>
  <c r="S216" i="4"/>
  <c r="S216" i="5" s="1"/>
  <c r="V216" i="6"/>
  <c r="K170" i="6"/>
  <c r="S170" i="4"/>
  <c r="S170" i="5" s="1"/>
  <c r="S170" i="6"/>
  <c r="H114" i="4"/>
  <c r="H114" i="5" s="1"/>
  <c r="O114" i="4"/>
  <c r="O114" i="5" s="1"/>
  <c r="I114" i="6"/>
  <c r="P114" i="6"/>
  <c r="D114" i="6"/>
  <c r="P114" i="4"/>
  <c r="P114" i="5" s="1"/>
  <c r="Q114" i="4"/>
  <c r="Q114" i="5" s="1"/>
  <c r="F469" i="4"/>
  <c r="F469" i="5" s="1"/>
  <c r="F469" i="6"/>
  <c r="V469" i="4"/>
  <c r="V469" i="5" s="1"/>
  <c r="H469" i="4"/>
  <c r="H469" i="5" s="1"/>
  <c r="D303" i="4"/>
  <c r="D303" i="5" s="1"/>
  <c r="O303" i="4"/>
  <c r="O303" i="5" s="1"/>
  <c r="T303" i="6"/>
  <c r="U303" i="4"/>
  <c r="U303" i="5" s="1"/>
  <c r="E303" i="6"/>
  <c r="D303" i="6"/>
  <c r="U303" i="6"/>
  <c r="J303" i="4"/>
  <c r="J303" i="5" s="1"/>
  <c r="V303" i="4"/>
  <c r="V303" i="5" s="1"/>
  <c r="I303" i="6"/>
  <c r="K303" i="4"/>
  <c r="K303" i="5" s="1"/>
  <c r="H303" i="6"/>
  <c r="T303" i="4"/>
  <c r="T303" i="5" s="1"/>
  <c r="G303" i="6"/>
  <c r="N303" i="6"/>
  <c r="K303" i="6"/>
  <c r="S303" i="4"/>
  <c r="S303" i="5" s="1"/>
  <c r="Q303" i="4"/>
  <c r="Q303" i="5" s="1"/>
  <c r="E303" i="4"/>
  <c r="E303" i="5" s="1"/>
  <c r="N303" i="4"/>
  <c r="N303" i="5" s="1"/>
  <c r="H303" i="4"/>
  <c r="H303" i="5" s="1"/>
  <c r="V303" i="6"/>
  <c r="O303" i="6"/>
  <c r="G303" i="4"/>
  <c r="G303" i="5" s="1"/>
  <c r="M303" i="4"/>
  <c r="M303" i="5" s="1"/>
  <c r="R303" i="4"/>
  <c r="R303" i="5" s="1"/>
  <c r="S303" i="6"/>
  <c r="L303" i="6"/>
  <c r="M303" i="6"/>
  <c r="R303" i="6"/>
  <c r="I303" i="4"/>
  <c r="I303" i="5" s="1"/>
  <c r="Q303" i="6"/>
  <c r="J303" i="6"/>
  <c r="P303" i="6"/>
  <c r="F303" i="4"/>
  <c r="F303" i="5" s="1"/>
  <c r="R202" i="6"/>
  <c r="J202" i="4"/>
  <c r="J202" i="5" s="1"/>
  <c r="V202" i="4"/>
  <c r="V202" i="5" s="1"/>
  <c r="R202" i="4"/>
  <c r="R202" i="5" s="1"/>
  <c r="F202" i="6"/>
  <c r="J202" i="6"/>
  <c r="N202" i="4"/>
  <c r="N202" i="5" s="1"/>
  <c r="V202" i="6"/>
  <c r="K198" i="6"/>
  <c r="K198" i="4"/>
  <c r="K198" i="5" s="1"/>
  <c r="S198" i="6"/>
  <c r="E390" i="6"/>
  <c r="F390" i="4"/>
  <c r="F390" i="5" s="1"/>
  <c r="Q390" i="6"/>
  <c r="T390" i="6"/>
  <c r="D390" i="6"/>
  <c r="S390" i="6"/>
  <c r="O390" i="4"/>
  <c r="O390" i="5" s="1"/>
  <c r="G390" i="4"/>
  <c r="G390" i="5" s="1"/>
  <c r="L390" i="4"/>
  <c r="L390" i="5" s="1"/>
  <c r="J390" i="6"/>
  <c r="F390" i="6"/>
  <c r="E390" i="4"/>
  <c r="E390" i="5" s="1"/>
  <c r="N390" i="4"/>
  <c r="N390" i="5" s="1"/>
  <c r="O390" i="6"/>
  <c r="H390" i="6"/>
  <c r="L390" i="6"/>
  <c r="Q390" i="4"/>
  <c r="Q390" i="5" s="1"/>
  <c r="I390" i="6"/>
  <c r="S390" i="4"/>
  <c r="S390" i="5" s="1"/>
  <c r="H390" i="4"/>
  <c r="H390" i="5" s="1"/>
  <c r="J390" i="4"/>
  <c r="J390" i="5" s="1"/>
  <c r="P390" i="4"/>
  <c r="P390" i="5" s="1"/>
  <c r="U390" i="6"/>
  <c r="N390" i="6"/>
  <c r="M390" i="6"/>
  <c r="K390" i="6"/>
  <c r="K390" i="4"/>
  <c r="K390" i="5" s="1"/>
  <c r="G390" i="6"/>
  <c r="P390" i="6"/>
  <c r="M390" i="4"/>
  <c r="M390" i="5" s="1"/>
  <c r="V390" i="4"/>
  <c r="V390" i="5" s="1"/>
  <c r="V390" i="6"/>
  <c r="I390" i="4"/>
  <c r="I390" i="5" s="1"/>
  <c r="H201" i="4"/>
  <c r="H201" i="5" s="1"/>
  <c r="D201" i="4"/>
  <c r="D201" i="5" s="1"/>
  <c r="K201" i="6"/>
  <c r="M201" i="4"/>
  <c r="M201" i="5" s="1"/>
  <c r="I201" i="4"/>
  <c r="I201" i="5" s="1"/>
  <c r="K201" i="4"/>
  <c r="K201" i="5" s="1"/>
  <c r="G201" i="6"/>
  <c r="E201" i="4"/>
  <c r="E201" i="5" s="1"/>
  <c r="O201" i="6"/>
  <c r="Q201" i="6"/>
  <c r="E201" i="6"/>
  <c r="Q201" i="4"/>
  <c r="Q201" i="5" s="1"/>
  <c r="N201" i="6"/>
  <c r="F201" i="4"/>
  <c r="F201" i="5" s="1"/>
  <c r="L201" i="6"/>
  <c r="D201" i="6"/>
  <c r="I201" i="6"/>
  <c r="N201" i="4"/>
  <c r="N201" i="5" s="1"/>
  <c r="R201" i="6"/>
  <c r="J201" i="4"/>
  <c r="J201" i="5" s="1"/>
  <c r="S201" i="6"/>
  <c r="M201" i="6"/>
  <c r="F201" i="6"/>
  <c r="J201" i="6"/>
  <c r="R201" i="4"/>
  <c r="R201" i="5" s="1"/>
  <c r="E117" i="6"/>
  <c r="M117" i="4"/>
  <c r="M117" i="5" s="1"/>
  <c r="Q117" i="6"/>
  <c r="U117" i="6"/>
  <c r="O117" i="6"/>
  <c r="D117" i="4"/>
  <c r="D117" i="5" s="1"/>
  <c r="S117" i="4"/>
  <c r="S117" i="5" s="1"/>
  <c r="Q117" i="4"/>
  <c r="Q117" i="5" s="1"/>
  <c r="T117" i="4"/>
  <c r="T117" i="5" s="1"/>
  <c r="P117" i="4"/>
  <c r="P117" i="5" s="1"/>
  <c r="L117" i="4"/>
  <c r="L117" i="5" s="1"/>
  <c r="H117" i="6"/>
  <c r="L117" i="6"/>
  <c r="R117" i="6"/>
  <c r="G117" i="4"/>
  <c r="G117" i="5" s="1"/>
  <c r="U117" i="4"/>
  <c r="U117" i="5" s="1"/>
  <c r="F117" i="4"/>
  <c r="F117" i="5" s="1"/>
  <c r="D117" i="6"/>
  <c r="V117" i="6"/>
  <c r="J117" i="6"/>
  <c r="I117" i="6"/>
  <c r="K117" i="4"/>
  <c r="K117" i="5" s="1"/>
  <c r="V117" i="4"/>
  <c r="V117" i="5" s="1"/>
  <c r="N117" i="4"/>
  <c r="N117" i="5" s="1"/>
  <c r="H117" i="4"/>
  <c r="H117" i="5" s="1"/>
  <c r="K117" i="6"/>
  <c r="G117" i="6"/>
  <c r="O117" i="4"/>
  <c r="O117" i="5" s="1"/>
  <c r="P117" i="6"/>
  <c r="S117" i="6"/>
  <c r="I117" i="4"/>
  <c r="I117" i="5" s="1"/>
  <c r="N117" i="6"/>
  <c r="T117" i="6"/>
  <c r="M117" i="6"/>
  <c r="R117" i="4"/>
  <c r="R117" i="5" s="1"/>
  <c r="J117" i="4"/>
  <c r="J117" i="5" s="1"/>
  <c r="E117" i="4"/>
  <c r="E117" i="5" s="1"/>
  <c r="F117" i="6"/>
  <c r="K436" i="6"/>
  <c r="K436" i="4"/>
  <c r="K436" i="5" s="1"/>
  <c r="L436" i="4"/>
  <c r="L436" i="5" s="1"/>
  <c r="J436" i="6"/>
  <c r="E436" i="4"/>
  <c r="E436" i="5" s="1"/>
  <c r="T436" i="4"/>
  <c r="T436" i="5" s="1"/>
  <c r="P436" i="4"/>
  <c r="P436" i="5" s="1"/>
  <c r="E436" i="6"/>
  <c r="O436" i="4"/>
  <c r="O436" i="5" s="1"/>
  <c r="P436" i="6"/>
  <c r="R436" i="6"/>
  <c r="U436" i="6"/>
  <c r="Q436" i="6"/>
  <c r="O436" i="6"/>
  <c r="G436" i="4"/>
  <c r="G436" i="5" s="1"/>
  <c r="U436" i="4"/>
  <c r="U436" i="5" s="1"/>
  <c r="H436" i="6"/>
  <c r="M436" i="6"/>
  <c r="G377" i="6"/>
  <c r="K377" i="4"/>
  <c r="K377" i="5" s="1"/>
  <c r="J377" i="6"/>
  <c r="V377" i="4"/>
  <c r="V377" i="5" s="1"/>
  <c r="L377" i="6"/>
  <c r="G377" i="4"/>
  <c r="G377" i="5" s="1"/>
  <c r="L377" i="4"/>
  <c r="L377" i="5" s="1"/>
  <c r="Q377" i="4"/>
  <c r="Q377" i="5" s="1"/>
  <c r="I377" i="6"/>
  <c r="D377" i="6"/>
  <c r="M377" i="4"/>
  <c r="M377" i="5" s="1"/>
  <c r="O377" i="4"/>
  <c r="O377" i="5" s="1"/>
  <c r="F377" i="4"/>
  <c r="F377" i="5" s="1"/>
  <c r="F377" i="6"/>
  <c r="J377" i="4"/>
  <c r="J377" i="5" s="1"/>
  <c r="P377" i="4"/>
  <c r="P377" i="5" s="1"/>
  <c r="N377" i="6"/>
  <c r="P377" i="6"/>
  <c r="Q377" i="6"/>
  <c r="D377" i="4"/>
  <c r="D377" i="5" s="1"/>
  <c r="O377" i="6"/>
  <c r="V377" i="6"/>
  <c r="H377" i="6"/>
  <c r="E377" i="4"/>
  <c r="E377" i="5" s="1"/>
  <c r="U377" i="6"/>
  <c r="U377" i="4"/>
  <c r="U377" i="5" s="1"/>
  <c r="I377" i="4"/>
  <c r="I377" i="5" s="1"/>
  <c r="N377" i="4"/>
  <c r="N377" i="5" s="1"/>
  <c r="R377" i="6"/>
  <c r="E377" i="6"/>
  <c r="Q353" i="4"/>
  <c r="Q353" i="5" s="1"/>
  <c r="U353" i="6"/>
  <c r="F353" i="4"/>
  <c r="F353" i="5" s="1"/>
  <c r="J353" i="4"/>
  <c r="J353" i="5" s="1"/>
  <c r="H353" i="6"/>
  <c r="H336" i="4"/>
  <c r="H336" i="5" s="1"/>
  <c r="H336" i="6"/>
  <c r="R336" i="4"/>
  <c r="R336" i="5" s="1"/>
  <c r="V336" i="4"/>
  <c r="V336" i="5" s="1"/>
  <c r="F256" i="6"/>
  <c r="R256" i="4"/>
  <c r="R256" i="5" s="1"/>
  <c r="R256" i="6"/>
  <c r="F256" i="4"/>
  <c r="F256" i="5" s="1"/>
  <c r="I256" i="6"/>
  <c r="K250" i="6"/>
  <c r="K250" i="4"/>
  <c r="K250" i="5" s="1"/>
  <c r="P250" i="4"/>
  <c r="P250" i="5" s="1"/>
  <c r="M250" i="4"/>
  <c r="M250" i="5" s="1"/>
  <c r="I250" i="4"/>
  <c r="I250" i="5" s="1"/>
  <c r="F250" i="6"/>
  <c r="R250" i="4"/>
  <c r="R250" i="5" s="1"/>
  <c r="V250" i="4"/>
  <c r="V250" i="5" s="1"/>
  <c r="J250" i="4"/>
  <c r="J250" i="5" s="1"/>
  <c r="R250" i="6"/>
  <c r="O250" i="4"/>
  <c r="O250" i="5" s="1"/>
  <c r="I250" i="6"/>
  <c r="F250" i="4"/>
  <c r="F250" i="5" s="1"/>
  <c r="V250" i="6"/>
  <c r="H219" i="6"/>
  <c r="T219" i="4"/>
  <c r="T219" i="5" s="1"/>
  <c r="H219" i="4"/>
  <c r="H219" i="5" s="1"/>
  <c r="T219" i="6"/>
  <c r="P207" i="6"/>
  <c r="H207" i="6"/>
  <c r="T207" i="4"/>
  <c r="T207" i="5" s="1"/>
  <c r="L207" i="6"/>
  <c r="H207" i="4"/>
  <c r="H207" i="5" s="1"/>
  <c r="L207" i="4"/>
  <c r="L207" i="5" s="1"/>
  <c r="T207" i="6"/>
  <c r="P207" i="4"/>
  <c r="P207" i="5" s="1"/>
  <c r="D145" i="6"/>
  <c r="T145" i="4"/>
  <c r="T145" i="5" s="1"/>
  <c r="H145" i="6"/>
  <c r="S145" i="6"/>
  <c r="D145" i="4"/>
  <c r="D145" i="5" s="1"/>
  <c r="U145" i="4"/>
  <c r="U145" i="5" s="1"/>
  <c r="Q145" i="6"/>
  <c r="T145" i="6"/>
  <c r="F145" i="6"/>
  <c r="E145" i="4"/>
  <c r="E145" i="5" s="1"/>
  <c r="Q145" i="4"/>
  <c r="Q145" i="5" s="1"/>
  <c r="F145" i="4"/>
  <c r="F145" i="5" s="1"/>
  <c r="S145" i="4"/>
  <c r="S145" i="5" s="1"/>
  <c r="K145" i="6"/>
  <c r="L145" i="4"/>
  <c r="L145" i="5" s="1"/>
  <c r="M145" i="4"/>
  <c r="M145" i="5" s="1"/>
  <c r="N145" i="6"/>
  <c r="K145" i="4"/>
  <c r="K145" i="5" s="1"/>
  <c r="O145" i="6"/>
  <c r="V20" i="4"/>
  <c r="V20" i="5" s="1"/>
  <c r="F20" i="4"/>
  <c r="F20" i="5" s="1"/>
  <c r="M20" i="6"/>
  <c r="D20" i="6"/>
  <c r="D20" i="4"/>
  <c r="D20" i="5" s="1"/>
  <c r="G20" i="4"/>
  <c r="G20" i="5" s="1"/>
  <c r="S20" i="6"/>
  <c r="G20" i="6"/>
  <c r="Q20" i="6"/>
  <c r="R20" i="4"/>
  <c r="R20" i="5" s="1"/>
  <c r="E20" i="4"/>
  <c r="E20" i="5" s="1"/>
  <c r="E20" i="6"/>
  <c r="P20" i="6"/>
  <c r="Q20" i="4"/>
  <c r="Q20" i="5" s="1"/>
  <c r="R20" i="6"/>
  <c r="O20" i="6"/>
  <c r="H20" i="6"/>
  <c r="I41" i="4"/>
  <c r="I41" i="5" s="1"/>
  <c r="I41" i="6"/>
  <c r="F59" i="4"/>
  <c r="F59" i="5" s="1"/>
  <c r="F59" i="6"/>
  <c r="M59" i="6"/>
  <c r="E49" i="4"/>
  <c r="E49" i="5" s="1"/>
  <c r="E49" i="6"/>
  <c r="S73" i="6"/>
  <c r="S73" i="4"/>
  <c r="S73" i="5" s="1"/>
  <c r="N94" i="6"/>
  <c r="O94" i="4"/>
  <c r="O94" i="5" s="1"/>
  <c r="L94" i="4"/>
  <c r="L94" i="5" s="1"/>
  <c r="H94" i="4"/>
  <c r="H94" i="5" s="1"/>
  <c r="I13" i="4"/>
  <c r="I13" i="5" s="1"/>
  <c r="H13" i="4"/>
  <c r="H13" i="5" s="1"/>
  <c r="N13" i="6"/>
  <c r="M13" i="6"/>
  <c r="D13" i="4"/>
  <c r="D13" i="5" s="1"/>
  <c r="O13" i="4"/>
  <c r="O13" i="5" s="1"/>
  <c r="Q13" i="6"/>
  <c r="L13" i="6"/>
  <c r="S13" i="4"/>
  <c r="S13" i="5" s="1"/>
  <c r="H13" i="6"/>
  <c r="F13" i="6"/>
  <c r="T13" i="6"/>
  <c r="U13" i="4"/>
  <c r="U13" i="5" s="1"/>
  <c r="E13" i="4"/>
  <c r="E13" i="5" s="1"/>
  <c r="I13" i="6"/>
  <c r="O13" i="6"/>
  <c r="P13" i="4"/>
  <c r="P13" i="5" s="1"/>
  <c r="F13" i="4"/>
  <c r="F13" i="5" s="1"/>
  <c r="R13" i="6"/>
  <c r="U13" i="6"/>
  <c r="G13" i="6"/>
  <c r="G13" i="4"/>
  <c r="G13" i="5" s="1"/>
  <c r="K13" i="4"/>
  <c r="K13" i="5" s="1"/>
  <c r="D13" i="6"/>
  <c r="K13" i="6"/>
  <c r="P13" i="6"/>
  <c r="N13" i="4"/>
  <c r="N13" i="5" s="1"/>
  <c r="E13" i="6"/>
  <c r="J13" i="6"/>
  <c r="L13" i="4"/>
  <c r="L13" i="5" s="1"/>
  <c r="Q13" i="4"/>
  <c r="Q13" i="5" s="1"/>
  <c r="J13" i="4"/>
  <c r="J13" i="5" s="1"/>
  <c r="S13" i="6"/>
  <c r="I463" i="4"/>
  <c r="I463" i="5" s="1"/>
  <c r="G463" i="6"/>
  <c r="L463" i="4"/>
  <c r="L463" i="5" s="1"/>
  <c r="M463" i="4"/>
  <c r="M463" i="5" s="1"/>
  <c r="O463" i="6"/>
  <c r="K463" i="6"/>
  <c r="S463" i="4"/>
  <c r="S463" i="5" s="1"/>
  <c r="J463" i="4"/>
  <c r="J463" i="5" s="1"/>
  <c r="P463" i="4"/>
  <c r="P463" i="5" s="1"/>
  <c r="K463" i="4"/>
  <c r="K463" i="5" s="1"/>
  <c r="M463" i="6"/>
  <c r="T463" i="6"/>
  <c r="H463" i="6"/>
  <c r="R463" i="4"/>
  <c r="R463" i="5" s="1"/>
  <c r="E463" i="6"/>
  <c r="L463" i="6"/>
  <c r="S463" i="6"/>
  <c r="D463" i="6"/>
  <c r="J463" i="6"/>
  <c r="Q463" i="6"/>
  <c r="N463" i="4"/>
  <c r="N463" i="5" s="1"/>
  <c r="F463" i="6"/>
  <c r="R463" i="6"/>
  <c r="E463" i="4"/>
  <c r="E463" i="5" s="1"/>
  <c r="O463" i="4"/>
  <c r="O463" i="5" s="1"/>
  <c r="Q463" i="4"/>
  <c r="Q463" i="5" s="1"/>
  <c r="G463" i="4"/>
  <c r="G463" i="5" s="1"/>
  <c r="T463" i="4"/>
  <c r="T463" i="5" s="1"/>
  <c r="D463" i="4"/>
  <c r="D463" i="5" s="1"/>
  <c r="P463" i="6"/>
  <c r="H463" i="4"/>
  <c r="H463" i="5" s="1"/>
  <c r="D309" i="4"/>
  <c r="D309" i="5" s="1"/>
  <c r="H309" i="6"/>
  <c r="P309" i="4"/>
  <c r="P309" i="5" s="1"/>
  <c r="M309" i="4"/>
  <c r="M309" i="5" s="1"/>
  <c r="K309" i="4"/>
  <c r="K309" i="5" s="1"/>
  <c r="F309" i="6"/>
  <c r="T309" i="4"/>
  <c r="T309" i="5" s="1"/>
  <c r="T309" i="6"/>
  <c r="M309" i="6"/>
  <c r="T52" i="6"/>
  <c r="H52" i="4"/>
  <c r="H52" i="5" s="1"/>
  <c r="H52" i="6"/>
  <c r="P52" i="4"/>
  <c r="P52" i="5" s="1"/>
  <c r="G52" i="4"/>
  <c r="G52" i="5" s="1"/>
  <c r="T52" i="4"/>
  <c r="T52" i="5" s="1"/>
  <c r="G52" i="6"/>
  <c r="H445" i="4"/>
  <c r="H445" i="5" s="1"/>
  <c r="L445" i="6"/>
  <c r="V445" i="4"/>
  <c r="V445" i="5" s="1"/>
  <c r="V445" i="6"/>
  <c r="H445" i="6"/>
  <c r="L445" i="4"/>
  <c r="L445" i="5" s="1"/>
  <c r="G152" i="6"/>
  <c r="F152" i="4"/>
  <c r="F152" i="5" s="1"/>
  <c r="D152" i="6"/>
  <c r="J152" i="4"/>
  <c r="J152" i="5" s="1"/>
  <c r="S152" i="4"/>
  <c r="S152" i="5" s="1"/>
  <c r="S152" i="6"/>
  <c r="M152" i="6"/>
  <c r="T152" i="6"/>
  <c r="T152" i="4"/>
  <c r="T152" i="5" s="1"/>
  <c r="L152" i="4"/>
  <c r="L152" i="5" s="1"/>
  <c r="K152" i="6"/>
  <c r="U152" i="6"/>
  <c r="H152" i="4"/>
  <c r="H152" i="5" s="1"/>
  <c r="H152" i="6"/>
  <c r="E152" i="6"/>
  <c r="N152" i="6"/>
  <c r="H48" i="6"/>
  <c r="M48" i="4"/>
  <c r="M48" i="5" s="1"/>
  <c r="V48" i="4"/>
  <c r="V48" i="5" s="1"/>
  <c r="I48" i="4"/>
  <c r="I48" i="5" s="1"/>
  <c r="D48" i="6"/>
  <c r="T48" i="6"/>
  <c r="R48" i="6"/>
  <c r="S48" i="4"/>
  <c r="S48" i="5" s="1"/>
  <c r="K48" i="6"/>
  <c r="D48" i="4"/>
  <c r="D48" i="5" s="1"/>
  <c r="R48" i="4"/>
  <c r="R48" i="5" s="1"/>
  <c r="K48" i="4"/>
  <c r="K48" i="5" s="1"/>
  <c r="P48" i="6"/>
  <c r="N48" i="6"/>
  <c r="T48" i="4"/>
  <c r="T48" i="5" s="1"/>
  <c r="O48" i="6"/>
  <c r="F48" i="4"/>
  <c r="F48" i="5" s="1"/>
  <c r="U48" i="4"/>
  <c r="U48" i="5" s="1"/>
  <c r="J48" i="4"/>
  <c r="J48" i="5" s="1"/>
  <c r="Q48" i="6"/>
  <c r="F48" i="6"/>
  <c r="U48" i="6"/>
  <c r="J48" i="6"/>
  <c r="O48" i="4"/>
  <c r="O48" i="5" s="1"/>
  <c r="H48" i="4"/>
  <c r="H48" i="5" s="1"/>
  <c r="S48" i="6"/>
  <c r="M48" i="6"/>
  <c r="G48" i="6"/>
  <c r="G48" i="4"/>
  <c r="G48" i="5" s="1"/>
  <c r="I48" i="6"/>
  <c r="E48" i="4"/>
  <c r="E48" i="5" s="1"/>
  <c r="L48" i="6"/>
  <c r="P48" i="4"/>
  <c r="P48" i="5" s="1"/>
  <c r="N48" i="4"/>
  <c r="N48" i="5" s="1"/>
  <c r="V48" i="6"/>
  <c r="E48" i="6"/>
  <c r="L48" i="4"/>
  <c r="L48" i="5" s="1"/>
  <c r="Q48" i="4"/>
  <c r="Q48" i="5" s="1"/>
  <c r="S273" i="6"/>
  <c r="Q273" i="4"/>
  <c r="Q273" i="5" s="1"/>
  <c r="Q273" i="6"/>
  <c r="L273" i="6"/>
  <c r="N273" i="6"/>
  <c r="E273" i="6"/>
  <c r="P273" i="6"/>
  <c r="O273" i="6"/>
  <c r="F273" i="4"/>
  <c r="F273" i="5" s="1"/>
  <c r="R273" i="4"/>
  <c r="R273" i="5" s="1"/>
  <c r="N273" i="4"/>
  <c r="N273" i="5" s="1"/>
  <c r="V273" i="6"/>
  <c r="K273" i="4"/>
  <c r="K273" i="5" s="1"/>
  <c r="M273" i="4"/>
  <c r="M273" i="5" s="1"/>
  <c r="I273" i="4"/>
  <c r="I273" i="5" s="1"/>
  <c r="E273" i="4"/>
  <c r="E273" i="5" s="1"/>
  <c r="N530" i="6"/>
  <c r="I530" i="4"/>
  <c r="I530" i="5" s="1"/>
  <c r="P530" i="6"/>
  <c r="D530" i="6"/>
  <c r="Q530" i="6"/>
  <c r="H530" i="4"/>
  <c r="H530" i="5" s="1"/>
  <c r="N530" i="4"/>
  <c r="N530" i="5" s="1"/>
  <c r="T530" i="4"/>
  <c r="T530" i="5" s="1"/>
  <c r="S530" i="4"/>
  <c r="S530" i="5" s="1"/>
  <c r="T351" i="4"/>
  <c r="T351" i="5" s="1"/>
  <c r="H351" i="4"/>
  <c r="H351" i="5" s="1"/>
  <c r="G351" i="4"/>
  <c r="G351" i="5" s="1"/>
  <c r="U351" i="6"/>
  <c r="N434" i="6"/>
  <c r="T434" i="4"/>
  <c r="T434" i="5" s="1"/>
  <c r="N434" i="4"/>
  <c r="N434" i="5" s="1"/>
  <c r="T434" i="6"/>
  <c r="Q66" i="4"/>
  <c r="Q66" i="5" s="1"/>
  <c r="Q66" i="6"/>
  <c r="S377" i="6"/>
  <c r="U280" i="6"/>
  <c r="P201" i="4"/>
  <c r="P201" i="5" s="1"/>
  <c r="R130" i="4"/>
  <c r="R130" i="5" s="1"/>
  <c r="R434" i="4"/>
  <c r="R434" i="5" s="1"/>
  <c r="R186" i="4"/>
  <c r="R186" i="5" s="1"/>
  <c r="R373" i="6"/>
  <c r="P303" i="4"/>
  <c r="P303" i="5" s="1"/>
  <c r="T13" i="4"/>
  <c r="T13" i="5" s="1"/>
  <c r="K254" i="6"/>
  <c r="K85" i="6"/>
  <c r="G258" i="6"/>
  <c r="E349" i="6"/>
  <c r="V201" i="6"/>
  <c r="U201" i="6"/>
  <c r="U85" i="6"/>
  <c r="V324" i="4"/>
  <c r="V324" i="5" s="1"/>
  <c r="R336" i="6"/>
  <c r="P434" i="6"/>
  <c r="P234" i="6"/>
  <c r="P145" i="4"/>
  <c r="P145" i="5" s="1"/>
  <c r="P52" i="6"/>
  <c r="V463" i="4"/>
  <c r="V463" i="5" s="1"/>
  <c r="V152" i="4"/>
  <c r="V152" i="5" s="1"/>
  <c r="H171" i="4"/>
  <c r="H171" i="5" s="1"/>
  <c r="U171" i="6"/>
  <c r="H324" i="6"/>
  <c r="G324" i="6"/>
  <c r="Q324" i="4"/>
  <c r="Q324" i="5" s="1"/>
  <c r="F324" i="6"/>
  <c r="M324" i="6"/>
  <c r="R324" i="6"/>
  <c r="R220" i="6"/>
  <c r="F220" i="4"/>
  <c r="F220" i="5" s="1"/>
  <c r="K220" i="6"/>
  <c r="K220" i="4"/>
  <c r="K220" i="5" s="1"/>
  <c r="D186" i="6"/>
  <c r="L186" i="4"/>
  <c r="L186" i="5" s="1"/>
  <c r="Q186" i="4"/>
  <c r="Q186" i="5" s="1"/>
  <c r="I186" i="6"/>
  <c r="H186" i="6"/>
  <c r="O186" i="6"/>
  <c r="F186" i="6"/>
  <c r="H186" i="4"/>
  <c r="H186" i="5" s="1"/>
  <c r="K186" i="4"/>
  <c r="K186" i="5" s="1"/>
  <c r="K186" i="6"/>
  <c r="U186" i="4"/>
  <c r="U186" i="5" s="1"/>
  <c r="I186" i="4"/>
  <c r="I186" i="5" s="1"/>
  <c r="S186" i="6"/>
  <c r="N186" i="6"/>
  <c r="Q186" i="6"/>
  <c r="P186" i="4"/>
  <c r="P186" i="5" s="1"/>
  <c r="D186" i="4"/>
  <c r="D186" i="5" s="1"/>
  <c r="M186" i="4"/>
  <c r="M186" i="5" s="1"/>
  <c r="G186" i="6"/>
  <c r="L186" i="6"/>
  <c r="F186" i="4"/>
  <c r="F186" i="5" s="1"/>
  <c r="P186" i="6"/>
  <c r="M186" i="6"/>
  <c r="U186" i="6"/>
  <c r="J186" i="6"/>
  <c r="S186" i="4"/>
  <c r="S186" i="5" s="1"/>
  <c r="O186" i="4"/>
  <c r="O186" i="5" s="1"/>
  <c r="G186" i="4"/>
  <c r="G186" i="5" s="1"/>
  <c r="Q118" i="6"/>
  <c r="E118" i="6"/>
  <c r="N118" i="4"/>
  <c r="N118" i="5" s="1"/>
  <c r="T118" i="4"/>
  <c r="T118" i="5" s="1"/>
  <c r="G118" i="6"/>
  <c r="Q118" i="4"/>
  <c r="Q118" i="5" s="1"/>
  <c r="P118" i="4"/>
  <c r="P118" i="5" s="1"/>
  <c r="N118" i="6"/>
  <c r="H118" i="6"/>
  <c r="H118" i="4"/>
  <c r="H118" i="5" s="1"/>
  <c r="T118" i="6"/>
  <c r="J118" i="6"/>
  <c r="K118" i="6"/>
  <c r="D118" i="4"/>
  <c r="D118" i="5" s="1"/>
  <c r="P118" i="6"/>
  <c r="R118" i="4"/>
  <c r="R118" i="5" s="1"/>
  <c r="O118" i="4"/>
  <c r="O118" i="5" s="1"/>
  <c r="G118" i="4"/>
  <c r="G118" i="5" s="1"/>
  <c r="F118" i="4"/>
  <c r="F118" i="5" s="1"/>
  <c r="M11" i="4"/>
  <c r="M11" i="5" s="1"/>
  <c r="U11" i="6"/>
  <c r="U11" i="4"/>
  <c r="U11" i="5" s="1"/>
  <c r="U134" i="4"/>
  <c r="U134" i="5" s="1"/>
  <c r="N134" i="4"/>
  <c r="N134" i="5" s="1"/>
  <c r="D134" i="4"/>
  <c r="D134" i="5" s="1"/>
  <c r="K134" i="4"/>
  <c r="K134" i="5" s="1"/>
  <c r="S134" i="4"/>
  <c r="S134" i="5" s="1"/>
  <c r="K134" i="6"/>
  <c r="O134" i="4"/>
  <c r="O134" i="5" s="1"/>
  <c r="S134" i="6"/>
  <c r="G134" i="4"/>
  <c r="G134" i="5" s="1"/>
  <c r="M134" i="6"/>
  <c r="M134" i="4"/>
  <c r="M134" i="5" s="1"/>
  <c r="T134" i="6"/>
  <c r="T200" i="6"/>
  <c r="H200" i="6"/>
  <c r="H200" i="4"/>
  <c r="H200" i="5" s="1"/>
  <c r="L200" i="6"/>
  <c r="P200" i="6"/>
  <c r="L200" i="4"/>
  <c r="L200" i="5" s="1"/>
  <c r="G446" i="6"/>
  <c r="K446" i="6"/>
  <c r="M446" i="6"/>
  <c r="F446" i="4"/>
  <c r="F446" i="5" s="1"/>
  <c r="K446" i="4"/>
  <c r="K446" i="5" s="1"/>
  <c r="Q446" i="4"/>
  <c r="Q446" i="5" s="1"/>
  <c r="D446" i="4"/>
  <c r="D446" i="5" s="1"/>
  <c r="Q446" i="6"/>
  <c r="L446" i="6"/>
  <c r="H446" i="6"/>
  <c r="F446" i="6"/>
  <c r="I446" i="4"/>
  <c r="I446" i="5" s="1"/>
  <c r="G446" i="4"/>
  <c r="G446" i="5" s="1"/>
  <c r="D446" i="6"/>
  <c r="H446" i="4"/>
  <c r="H446" i="5" s="1"/>
  <c r="N446" i="4"/>
  <c r="N446" i="5" s="1"/>
  <c r="U446" i="6"/>
  <c r="O446" i="6"/>
  <c r="L446" i="4"/>
  <c r="L446" i="5" s="1"/>
  <c r="E446" i="4"/>
  <c r="E446" i="5" s="1"/>
  <c r="J446" i="4"/>
  <c r="J446" i="5" s="1"/>
  <c r="R446" i="4"/>
  <c r="R446" i="5" s="1"/>
  <c r="I446" i="6"/>
  <c r="P446" i="6"/>
  <c r="P446" i="4"/>
  <c r="P446" i="5" s="1"/>
  <c r="E446" i="6"/>
  <c r="J446" i="6"/>
  <c r="R446" i="6"/>
  <c r="O446" i="4"/>
  <c r="O446" i="5" s="1"/>
  <c r="N446" i="6"/>
  <c r="U446" i="4"/>
  <c r="U446" i="5" s="1"/>
  <c r="K373" i="4"/>
  <c r="K373" i="5" s="1"/>
  <c r="D373" i="6"/>
  <c r="Q373" i="6"/>
  <c r="M373" i="4"/>
  <c r="M373" i="5" s="1"/>
  <c r="M373" i="6"/>
  <c r="H373" i="4"/>
  <c r="H373" i="5" s="1"/>
  <c r="P373" i="6"/>
  <c r="J373" i="4"/>
  <c r="J373" i="5" s="1"/>
  <c r="L373" i="4"/>
  <c r="L373" i="5" s="1"/>
  <c r="O373" i="6"/>
  <c r="K373" i="6"/>
  <c r="N373" i="4"/>
  <c r="N373" i="5" s="1"/>
  <c r="J373" i="6"/>
  <c r="O373" i="4"/>
  <c r="O373" i="5" s="1"/>
  <c r="P373" i="4"/>
  <c r="P373" i="5" s="1"/>
  <c r="L373" i="6"/>
  <c r="E373" i="4"/>
  <c r="E373" i="5" s="1"/>
  <c r="F373" i="4"/>
  <c r="F373" i="5" s="1"/>
  <c r="T318" i="4"/>
  <c r="T318" i="5" s="1"/>
  <c r="G318" i="4"/>
  <c r="G318" i="5" s="1"/>
  <c r="F318" i="4"/>
  <c r="F318" i="5" s="1"/>
  <c r="I318" i="4"/>
  <c r="I318" i="5" s="1"/>
  <c r="K318" i="4"/>
  <c r="K318" i="5" s="1"/>
  <c r="M318" i="4"/>
  <c r="M318" i="5" s="1"/>
  <c r="Q318" i="4"/>
  <c r="Q318" i="5" s="1"/>
  <c r="N318" i="6"/>
  <c r="Q318" i="6"/>
  <c r="L318" i="4"/>
  <c r="L318" i="5" s="1"/>
  <c r="R318" i="6"/>
  <c r="R318" i="4"/>
  <c r="R318" i="5" s="1"/>
  <c r="D318" i="6"/>
  <c r="T318" i="6"/>
  <c r="K318" i="6"/>
  <c r="V318" i="6"/>
  <c r="E318" i="4"/>
  <c r="E318" i="5" s="1"/>
  <c r="O318" i="4"/>
  <c r="O318" i="5" s="1"/>
  <c r="V318" i="4"/>
  <c r="V318" i="5" s="1"/>
  <c r="D318" i="4"/>
  <c r="D318" i="5" s="1"/>
  <c r="E318" i="6"/>
  <c r="L318" i="6"/>
  <c r="G318" i="6"/>
  <c r="I318" i="6"/>
  <c r="F318" i="6"/>
  <c r="N318" i="4"/>
  <c r="N318" i="5" s="1"/>
  <c r="P318" i="6"/>
  <c r="M318" i="6"/>
  <c r="H318" i="6"/>
  <c r="J318" i="6"/>
  <c r="O318" i="6"/>
  <c r="H318" i="4"/>
  <c r="H318" i="5" s="1"/>
  <c r="P318" i="4"/>
  <c r="P318" i="5" s="1"/>
  <c r="J318" i="4"/>
  <c r="J318" i="5" s="1"/>
  <c r="E258" i="6"/>
  <c r="D258" i="6"/>
  <c r="D258" i="4"/>
  <c r="D258" i="5" s="1"/>
  <c r="H258" i="4"/>
  <c r="H258" i="5" s="1"/>
  <c r="T258" i="4"/>
  <c r="T258" i="5" s="1"/>
  <c r="O258" i="4"/>
  <c r="O258" i="5" s="1"/>
  <c r="V258" i="4"/>
  <c r="V258" i="5" s="1"/>
  <c r="M258" i="4"/>
  <c r="M258" i="5" s="1"/>
  <c r="V258" i="6"/>
  <c r="L258" i="6"/>
  <c r="R258" i="6"/>
  <c r="O258" i="6"/>
  <c r="F258" i="6"/>
  <c r="I258" i="4"/>
  <c r="I258" i="5" s="1"/>
  <c r="R258" i="4"/>
  <c r="R258" i="5" s="1"/>
  <c r="J258" i="6"/>
  <c r="G258" i="4"/>
  <c r="G258" i="5" s="1"/>
  <c r="H223" i="4"/>
  <c r="H223" i="5" s="1"/>
  <c r="T223" i="6"/>
  <c r="T223" i="4"/>
  <c r="T223" i="5" s="1"/>
  <c r="D425" i="4"/>
  <c r="D425" i="5" s="1"/>
  <c r="D425" i="6"/>
  <c r="K425" i="4"/>
  <c r="K425" i="5" s="1"/>
  <c r="E425" i="6"/>
  <c r="F425" i="6"/>
  <c r="G425" i="6"/>
  <c r="I425" i="6"/>
  <c r="K425" i="6"/>
  <c r="P425" i="4"/>
  <c r="P425" i="5" s="1"/>
  <c r="J425" i="6"/>
  <c r="L425" i="6"/>
  <c r="H425" i="4"/>
  <c r="H425" i="5" s="1"/>
  <c r="U425" i="4"/>
  <c r="U425" i="5" s="1"/>
  <c r="H425" i="6"/>
  <c r="L425" i="4"/>
  <c r="L425" i="5" s="1"/>
  <c r="F22" i="4"/>
  <c r="F22" i="5" s="1"/>
  <c r="P22" i="4"/>
  <c r="P22" i="5" s="1"/>
  <c r="H22" i="6"/>
  <c r="T22" i="4"/>
  <c r="T22" i="5" s="1"/>
  <c r="U45" i="4"/>
  <c r="U45" i="5" s="1"/>
  <c r="J45" i="6"/>
  <c r="M45" i="6"/>
  <c r="O45" i="4"/>
  <c r="O45" i="5" s="1"/>
  <c r="K45" i="6"/>
  <c r="E45" i="6"/>
  <c r="H45" i="4"/>
  <c r="H45" i="5" s="1"/>
  <c r="O45" i="6"/>
  <c r="P45" i="4"/>
  <c r="P45" i="5" s="1"/>
  <c r="N45" i="6"/>
  <c r="H45" i="6"/>
  <c r="E45" i="4"/>
  <c r="E45" i="5" s="1"/>
  <c r="S45" i="4"/>
  <c r="S45" i="5" s="1"/>
  <c r="Q45" i="4"/>
  <c r="Q45" i="5" s="1"/>
  <c r="J45" i="4"/>
  <c r="J45" i="5" s="1"/>
  <c r="S45" i="6"/>
  <c r="L45" i="4"/>
  <c r="L45" i="5" s="1"/>
  <c r="F45" i="4"/>
  <c r="F45" i="5" s="1"/>
  <c r="U45" i="6"/>
  <c r="D45" i="4"/>
  <c r="D45" i="5" s="1"/>
  <c r="N45" i="4"/>
  <c r="N45" i="5" s="1"/>
  <c r="M45" i="4"/>
  <c r="M45" i="5" s="1"/>
  <c r="R45" i="6"/>
  <c r="G45" i="6"/>
  <c r="R45" i="4"/>
  <c r="R45" i="5" s="1"/>
  <c r="I45" i="4"/>
  <c r="I45" i="5" s="1"/>
  <c r="D45" i="6"/>
  <c r="Q45" i="6"/>
  <c r="L45" i="6"/>
  <c r="K45" i="4"/>
  <c r="K45" i="5" s="1"/>
  <c r="P45" i="6"/>
  <c r="G45" i="4"/>
  <c r="G45" i="5" s="1"/>
  <c r="F45" i="6"/>
  <c r="I45" i="6"/>
  <c r="H37" i="6"/>
  <c r="L37" i="6"/>
  <c r="P37" i="6"/>
  <c r="T37" i="4"/>
  <c r="T37" i="5" s="1"/>
  <c r="L37" i="4"/>
  <c r="L37" i="5" s="1"/>
  <c r="T37" i="6"/>
  <c r="P37" i="4"/>
  <c r="P37" i="5" s="1"/>
  <c r="I37" i="6"/>
  <c r="F55" i="4"/>
  <c r="F55" i="5" s="1"/>
  <c r="E55" i="4"/>
  <c r="E55" i="5" s="1"/>
  <c r="R55" i="6"/>
  <c r="E55" i="6"/>
  <c r="F55" i="6"/>
  <c r="G85" i="6"/>
  <c r="G85" i="4"/>
  <c r="G85" i="5" s="1"/>
  <c r="D85" i="4"/>
  <c r="D85" i="5" s="1"/>
  <c r="S85" i="6"/>
  <c r="Q85" i="6"/>
  <c r="I85" i="4"/>
  <c r="I85" i="5" s="1"/>
  <c r="L85" i="6"/>
  <c r="N85" i="4"/>
  <c r="N85" i="5" s="1"/>
  <c r="E85" i="6"/>
  <c r="J85" i="6"/>
  <c r="S85" i="4"/>
  <c r="S85" i="5" s="1"/>
  <c r="D85" i="6"/>
  <c r="R85" i="4"/>
  <c r="R85" i="5" s="1"/>
  <c r="K85" i="4"/>
  <c r="K85" i="5" s="1"/>
  <c r="H85" i="6"/>
  <c r="E85" i="4"/>
  <c r="E85" i="5" s="1"/>
  <c r="J85" i="4"/>
  <c r="J85" i="5" s="1"/>
  <c r="L85" i="4"/>
  <c r="L85" i="5" s="1"/>
  <c r="O85" i="6"/>
  <c r="F85" i="4"/>
  <c r="F85" i="5" s="1"/>
  <c r="I85" i="6"/>
  <c r="R85" i="6"/>
  <c r="Q85" i="4"/>
  <c r="Q85" i="5" s="1"/>
  <c r="O85" i="4"/>
  <c r="O85" i="5" s="1"/>
  <c r="F85" i="6"/>
  <c r="H85" i="4"/>
  <c r="H85" i="5" s="1"/>
  <c r="V291" i="6"/>
  <c r="F291" i="4"/>
  <c r="F291" i="5" s="1"/>
  <c r="V291" i="4"/>
  <c r="V291" i="5" s="1"/>
  <c r="F291" i="6"/>
  <c r="R291" i="4"/>
  <c r="R291" i="5" s="1"/>
  <c r="R12" i="4"/>
  <c r="R12" i="5" s="1"/>
  <c r="R12" i="6"/>
  <c r="G12" i="6"/>
  <c r="G12" i="4"/>
  <c r="G12" i="5" s="1"/>
  <c r="E12" i="6"/>
  <c r="E12" i="4"/>
  <c r="E12" i="5" s="1"/>
  <c r="M280" i="6"/>
  <c r="H280" i="4"/>
  <c r="H280" i="5" s="1"/>
  <c r="L280" i="4"/>
  <c r="L280" i="5" s="1"/>
  <c r="J280" i="6"/>
  <c r="P280" i="6"/>
  <c r="O280" i="4"/>
  <c r="O280" i="5" s="1"/>
  <c r="K280" i="4"/>
  <c r="K280" i="5" s="1"/>
  <c r="K280" i="6"/>
  <c r="Q280" i="6"/>
  <c r="E280" i="4"/>
  <c r="E280" i="5" s="1"/>
  <c r="I280" i="6"/>
  <c r="L280" i="6"/>
  <c r="J280" i="4"/>
  <c r="J280" i="5" s="1"/>
  <c r="F280" i="6"/>
  <c r="G280" i="4"/>
  <c r="G280" i="5" s="1"/>
  <c r="P280" i="4"/>
  <c r="P280" i="5" s="1"/>
  <c r="N280" i="4"/>
  <c r="N280" i="5" s="1"/>
  <c r="F280" i="4"/>
  <c r="F280" i="5" s="1"/>
  <c r="T280" i="6"/>
  <c r="T280" i="4"/>
  <c r="T280" i="5" s="1"/>
  <c r="Q280" i="4"/>
  <c r="Q280" i="5" s="1"/>
  <c r="E280" i="6"/>
  <c r="I280" i="4"/>
  <c r="I280" i="5" s="1"/>
  <c r="D280" i="6"/>
  <c r="S280" i="6"/>
  <c r="R280" i="6"/>
  <c r="N280" i="6"/>
  <c r="S280" i="4"/>
  <c r="S280" i="5" s="1"/>
  <c r="R280" i="4"/>
  <c r="R280" i="5" s="1"/>
  <c r="G280" i="6"/>
  <c r="H280" i="6"/>
  <c r="M280" i="4"/>
  <c r="M280" i="5" s="1"/>
  <c r="D280" i="4"/>
  <c r="D280" i="5" s="1"/>
  <c r="O280" i="6"/>
  <c r="U280" i="4"/>
  <c r="U280" i="5" s="1"/>
  <c r="D506" i="6"/>
  <c r="F506" i="6"/>
  <c r="T506" i="4"/>
  <c r="T506" i="5" s="1"/>
  <c r="I506" i="4"/>
  <c r="I506" i="5" s="1"/>
  <c r="M506" i="6"/>
  <c r="P506" i="4"/>
  <c r="P506" i="5" s="1"/>
  <c r="U506" i="6"/>
  <c r="U506" i="4"/>
  <c r="U506" i="5" s="1"/>
  <c r="K506" i="6"/>
  <c r="L506" i="6"/>
  <c r="G506" i="4"/>
  <c r="G506" i="5" s="1"/>
  <c r="E506" i="4"/>
  <c r="E506" i="5" s="1"/>
  <c r="K506" i="4"/>
  <c r="K506" i="5" s="1"/>
  <c r="H506" i="6"/>
  <c r="H506" i="4"/>
  <c r="H506" i="5" s="1"/>
  <c r="Q506" i="4"/>
  <c r="Q506" i="5" s="1"/>
  <c r="V506" i="4"/>
  <c r="V506" i="5" s="1"/>
  <c r="S506" i="6"/>
  <c r="H38" i="4"/>
  <c r="H38" i="5" s="1"/>
  <c r="P38" i="4"/>
  <c r="P38" i="5" s="1"/>
  <c r="H38" i="6"/>
  <c r="M38" i="6"/>
  <c r="K38" i="6"/>
  <c r="G38" i="6"/>
  <c r="L38" i="6"/>
  <c r="G38" i="4"/>
  <c r="G38" i="5" s="1"/>
  <c r="Q38" i="4"/>
  <c r="Q38" i="5" s="1"/>
  <c r="U38" i="4"/>
  <c r="U38" i="5" s="1"/>
  <c r="I38" i="6"/>
  <c r="D38" i="4"/>
  <c r="D38" i="5" s="1"/>
  <c r="U38" i="6"/>
  <c r="F38" i="4"/>
  <c r="F38" i="5" s="1"/>
  <c r="J38" i="6"/>
  <c r="M38" i="4"/>
  <c r="M38" i="5" s="1"/>
  <c r="E38" i="4"/>
  <c r="E38" i="5" s="1"/>
  <c r="O38" i="4"/>
  <c r="O38" i="5" s="1"/>
  <c r="J38" i="4"/>
  <c r="J38" i="5" s="1"/>
  <c r="R38" i="4"/>
  <c r="R38" i="5" s="1"/>
  <c r="F38" i="6"/>
  <c r="E38" i="6"/>
  <c r="H301" i="4"/>
  <c r="H301" i="5" s="1"/>
  <c r="I301" i="6"/>
  <c r="E301" i="4"/>
  <c r="E301" i="5" s="1"/>
  <c r="D301" i="6"/>
  <c r="R301" i="4"/>
  <c r="R301" i="5" s="1"/>
  <c r="H301" i="6"/>
  <c r="R301" i="6"/>
  <c r="L301" i="6"/>
  <c r="L544" i="4"/>
  <c r="L544" i="5" s="1"/>
  <c r="L544" i="6"/>
  <c r="J544" i="6"/>
  <c r="J544" i="4"/>
  <c r="J544" i="5" s="1"/>
  <c r="O544" i="6"/>
  <c r="U544" i="4"/>
  <c r="U544" i="5" s="1"/>
  <c r="H544" i="6"/>
  <c r="K544" i="4"/>
  <c r="K544" i="5" s="1"/>
  <c r="Q544" i="4"/>
  <c r="Q544" i="5" s="1"/>
  <c r="I544" i="6"/>
  <c r="E544" i="4"/>
  <c r="E544" i="5" s="1"/>
  <c r="P544" i="6"/>
  <c r="H544" i="4"/>
  <c r="H544" i="5" s="1"/>
  <c r="F544" i="4"/>
  <c r="F544" i="5" s="1"/>
  <c r="O544" i="4"/>
  <c r="O544" i="5" s="1"/>
  <c r="T544" i="6"/>
  <c r="M544" i="6"/>
  <c r="N544" i="6"/>
  <c r="E72" i="6"/>
  <c r="E72" i="4"/>
  <c r="E72" i="5" s="1"/>
  <c r="Q64" i="4"/>
  <c r="Q64" i="5" s="1"/>
  <c r="Q64" i="6"/>
  <c r="I64" i="4"/>
  <c r="I64" i="5" s="1"/>
  <c r="I42" i="4"/>
  <c r="I42" i="5" s="1"/>
  <c r="I42" i="6"/>
  <c r="F495" i="6"/>
  <c r="J495" i="6"/>
  <c r="R504" i="6"/>
  <c r="H504" i="4"/>
  <c r="H504" i="5" s="1"/>
  <c r="R504" i="4"/>
  <c r="R504" i="5" s="1"/>
  <c r="O130" i="6"/>
  <c r="U130" i="6"/>
  <c r="E130" i="6"/>
  <c r="M130" i="4"/>
  <c r="M130" i="5" s="1"/>
  <c r="N130" i="4"/>
  <c r="N130" i="5" s="1"/>
  <c r="I130" i="6"/>
  <c r="E130" i="4"/>
  <c r="E130" i="5" s="1"/>
  <c r="Q130" i="6"/>
  <c r="T130" i="6"/>
  <c r="S130" i="6"/>
  <c r="U130" i="4"/>
  <c r="U130" i="5" s="1"/>
  <c r="G130" i="6"/>
  <c r="H130" i="6"/>
  <c r="L130" i="6"/>
  <c r="L130" i="4"/>
  <c r="L130" i="5" s="1"/>
  <c r="G130" i="4"/>
  <c r="G130" i="5" s="1"/>
  <c r="T130" i="4"/>
  <c r="T130" i="5" s="1"/>
  <c r="D130" i="4"/>
  <c r="D130" i="5" s="1"/>
  <c r="M130" i="6"/>
  <c r="N130" i="6"/>
  <c r="F130" i="6"/>
  <c r="V130" i="4"/>
  <c r="V130" i="5" s="1"/>
  <c r="S130" i="4"/>
  <c r="S130" i="5" s="1"/>
  <c r="K130" i="6"/>
  <c r="O130" i="4"/>
  <c r="O130" i="5" s="1"/>
  <c r="I130" i="4"/>
  <c r="I130" i="5" s="1"/>
  <c r="D130" i="6"/>
  <c r="Q130" i="4"/>
  <c r="Q130" i="5" s="1"/>
  <c r="H130" i="4"/>
  <c r="H130" i="5" s="1"/>
  <c r="K130" i="4"/>
  <c r="K130" i="5" s="1"/>
  <c r="S425" i="6"/>
  <c r="O250" i="6"/>
  <c r="I256" i="4"/>
  <c r="I256" i="5" s="1"/>
  <c r="R373" i="4"/>
  <c r="R373" i="5" s="1"/>
  <c r="R390" i="4"/>
  <c r="R390" i="5" s="1"/>
  <c r="V544" i="4"/>
  <c r="V544" i="5" s="1"/>
  <c r="T38" i="6"/>
  <c r="T250" i="4"/>
  <c r="T250" i="5" s="1"/>
  <c r="R506" i="6"/>
  <c r="R130" i="6"/>
  <c r="R434" i="6"/>
  <c r="R186" i="6"/>
  <c r="P201" i="6"/>
  <c r="P219" i="4"/>
  <c r="P219" i="5" s="1"/>
  <c r="P130" i="4"/>
  <c r="P130" i="5" s="1"/>
  <c r="P85" i="4"/>
  <c r="P85" i="5" s="1"/>
  <c r="M269" i="6"/>
  <c r="K254" i="4"/>
  <c r="K254" i="5" s="1"/>
  <c r="I273" i="6"/>
  <c r="E234" i="6"/>
  <c r="V446" i="6"/>
  <c r="V256" i="6"/>
  <c r="U201" i="4"/>
  <c r="U201" i="5" s="1"/>
  <c r="U85" i="4"/>
  <c r="U85" i="5" s="1"/>
  <c r="T425" i="6"/>
  <c r="T20" i="4"/>
  <c r="T20" i="5" s="1"/>
  <c r="V324" i="6"/>
  <c r="R254" i="6"/>
  <c r="R351" i="6"/>
  <c r="R390" i="6"/>
  <c r="P324" i="4"/>
  <c r="P324" i="5" s="1"/>
  <c r="N463" i="6"/>
  <c r="H504" i="6"/>
  <c r="R469" i="4"/>
  <c r="R469" i="5" s="1"/>
  <c r="V59" i="4"/>
  <c r="V59" i="5" s="1"/>
  <c r="T201" i="4"/>
  <c r="T201" i="5" s="1"/>
  <c r="T85" i="4"/>
  <c r="T85" i="5" s="1"/>
  <c r="V301" i="4"/>
  <c r="V301" i="5" s="1"/>
  <c r="V280" i="4"/>
  <c r="V280" i="5" s="1"/>
  <c r="V216" i="4"/>
  <c r="V216" i="5" s="1"/>
  <c r="V55" i="6"/>
  <c r="R80" i="4"/>
  <c r="R80" i="5" s="1"/>
  <c r="T80" i="4"/>
  <c r="T80" i="5" s="1"/>
  <c r="Q80" i="4"/>
  <c r="Q80" i="5" s="1"/>
  <c r="I80" i="4"/>
  <c r="I80" i="5" s="1"/>
  <c r="T80" i="6"/>
  <c r="I80" i="6"/>
  <c r="Q80" i="6"/>
  <c r="U431" i="3"/>
  <c r="U431" i="4" s="1"/>
  <c r="U431" i="5" s="1"/>
  <c r="K50" i="2"/>
  <c r="K77" i="2" s="1"/>
  <c r="K227" i="4"/>
  <c r="K227" i="5" s="1"/>
  <c r="S227" i="4"/>
  <c r="S227" i="5" s="1"/>
  <c r="K127" i="6"/>
  <c r="K127" i="4"/>
  <c r="K127" i="5" s="1"/>
  <c r="T72" i="2"/>
  <c r="X45" i="2"/>
  <c r="D48" i="2"/>
  <c r="D75" i="2" s="1"/>
  <c r="R106" i="1"/>
  <c r="S195" i="3"/>
  <c r="S169" i="4"/>
  <c r="S169" i="5" s="1"/>
  <c r="E46" i="2"/>
  <c r="E73" i="2" s="1"/>
  <c r="Q213" i="3"/>
  <c r="I455" i="4"/>
  <c r="I455" i="5" s="1"/>
  <c r="Q455" i="4"/>
  <c r="Q455" i="5" s="1"/>
  <c r="G455" i="6"/>
  <c r="K455" i="4"/>
  <c r="K455" i="5" s="1"/>
  <c r="P455" i="6"/>
  <c r="N455" i="4"/>
  <c r="N455" i="5" s="1"/>
  <c r="U455" i="4"/>
  <c r="U455" i="5" s="1"/>
  <c r="E455" i="4"/>
  <c r="E455" i="5" s="1"/>
  <c r="H444" i="4"/>
  <c r="H444" i="5" s="1"/>
  <c r="N444" i="6"/>
  <c r="N444" i="4"/>
  <c r="N444" i="5" s="1"/>
  <c r="E444" i="4"/>
  <c r="E444" i="5" s="1"/>
  <c r="S444" i="4"/>
  <c r="S444" i="5" s="1"/>
  <c r="J444" i="6"/>
  <c r="S444" i="6"/>
  <c r="I444" i="4"/>
  <c r="I444" i="5" s="1"/>
  <c r="I444" i="6"/>
  <c r="L444" i="6"/>
  <c r="R444" i="4"/>
  <c r="R444" i="5" s="1"/>
  <c r="E444" i="6"/>
  <c r="P444" i="4"/>
  <c r="P444" i="5" s="1"/>
  <c r="P444" i="6"/>
  <c r="U444" i="4"/>
  <c r="U444" i="5" s="1"/>
  <c r="U444" i="6"/>
  <c r="E393" i="7"/>
  <c r="U126" i="4"/>
  <c r="U126" i="5" s="1"/>
  <c r="U126" i="6"/>
  <c r="L226" i="4"/>
  <c r="L226" i="5" s="1"/>
  <c r="E226" i="6"/>
  <c r="T126" i="4"/>
  <c r="T126" i="5" s="1"/>
  <c r="J126" i="6"/>
  <c r="D126" i="4"/>
  <c r="D126" i="5" s="1"/>
  <c r="F126" i="6"/>
  <c r="O126" i="6"/>
  <c r="E126" i="4"/>
  <c r="E126" i="5" s="1"/>
  <c r="L126" i="4"/>
  <c r="L126" i="5" s="1"/>
  <c r="N126" i="4"/>
  <c r="N126" i="5" s="1"/>
  <c r="J126" i="4"/>
  <c r="J126" i="5" s="1"/>
  <c r="Q126" i="4"/>
  <c r="Q126" i="5" s="1"/>
  <c r="L126" i="6"/>
  <c r="V126" i="6"/>
  <c r="F126" i="4"/>
  <c r="F126" i="5" s="1"/>
  <c r="O126" i="4"/>
  <c r="O126" i="5" s="1"/>
  <c r="R126" i="6"/>
  <c r="P126" i="4"/>
  <c r="P126" i="5" s="1"/>
  <c r="I126" i="6"/>
  <c r="I126" i="4"/>
  <c r="I126" i="5" s="1"/>
  <c r="T126" i="6"/>
  <c r="D126" i="6"/>
  <c r="N126" i="6"/>
  <c r="H126" i="6"/>
  <c r="C405" i="7"/>
  <c r="C397" i="7" s="1"/>
  <c r="F397" i="7" s="1"/>
  <c r="D148" i="3"/>
  <c r="K433" i="4"/>
  <c r="K433" i="5" s="1"/>
  <c r="H382" i="7"/>
  <c r="Z43" i="2"/>
  <c r="L27" i="7" s="1"/>
  <c r="G169" i="6"/>
  <c r="R169" i="6"/>
  <c r="K169" i="4"/>
  <c r="K169" i="5" s="1"/>
  <c r="V169" i="6"/>
  <c r="V381" i="3"/>
  <c r="V381" i="4" s="1"/>
  <c r="V381" i="5" s="1"/>
  <c r="N103" i="1"/>
  <c r="O103" i="3" s="1"/>
  <c r="I103" i="1"/>
  <c r="I104" i="1" s="1"/>
  <c r="J104" i="3" s="1"/>
  <c r="E494" i="6"/>
  <c r="H35" i="4"/>
  <c r="H35" i="5" s="1"/>
  <c r="S494" i="4"/>
  <c r="S494" i="5" s="1"/>
  <c r="K433" i="6"/>
  <c r="V8" i="1"/>
  <c r="D8" i="3" s="1"/>
  <c r="U35" i="4"/>
  <c r="U35" i="5" s="1"/>
  <c r="J494" i="4"/>
  <c r="J494" i="5" s="1"/>
  <c r="D383" i="7"/>
  <c r="F383" i="7" s="1"/>
  <c r="H383" i="7" s="1"/>
  <c r="D380" i="7"/>
  <c r="F380" i="7" s="1"/>
  <c r="H380" i="7" s="1"/>
  <c r="D394" i="7"/>
  <c r="F394" i="7" s="1"/>
  <c r="H394" i="7" s="1"/>
  <c r="D389" i="7"/>
  <c r="F389" i="7" s="1"/>
  <c r="H389" i="7" s="1"/>
  <c r="D393" i="7"/>
  <c r="F393" i="7" s="1"/>
  <c r="H393" i="7" s="1"/>
  <c r="D390" i="7"/>
  <c r="F390" i="7" s="1"/>
  <c r="H390" i="7" s="1"/>
  <c r="D378" i="7"/>
  <c r="F378" i="7" s="1"/>
  <c r="H378" i="7" s="1"/>
  <c r="D384" i="7"/>
  <c r="F384" i="7" s="1"/>
  <c r="H384" i="7" s="1"/>
  <c r="I494" i="4"/>
  <c r="I494" i="5" s="1"/>
  <c r="G494" i="4"/>
  <c r="G494" i="5" s="1"/>
  <c r="R494" i="4"/>
  <c r="R494" i="5" s="1"/>
  <c r="V35" i="6"/>
  <c r="D35" i="4"/>
  <c r="D35" i="5" s="1"/>
  <c r="S35" i="4"/>
  <c r="S35" i="5" s="1"/>
  <c r="J35" i="6"/>
  <c r="O35" i="6"/>
  <c r="T35" i="6"/>
  <c r="F35" i="6"/>
  <c r="E35" i="6"/>
  <c r="M35" i="6"/>
  <c r="L35" i="4"/>
  <c r="L35" i="5" s="1"/>
  <c r="E35" i="4"/>
  <c r="E35" i="5" s="1"/>
  <c r="T35" i="4"/>
  <c r="T35" i="5" s="1"/>
  <c r="D35" i="6"/>
  <c r="N35" i="4"/>
  <c r="N35" i="5" s="1"/>
  <c r="P35" i="4"/>
  <c r="P35" i="5" s="1"/>
  <c r="R35" i="6"/>
  <c r="L52" i="2"/>
  <c r="L79" i="2" s="1"/>
  <c r="L92" i="2" s="1"/>
  <c r="D503" i="7"/>
  <c r="D501" i="7"/>
  <c r="P501" i="7" s="1"/>
  <c r="K443" i="7" s="1"/>
  <c r="D514" i="7"/>
  <c r="I514" i="7" s="1"/>
  <c r="K514" i="7" s="1"/>
  <c r="D511" i="7"/>
  <c r="D513" i="7"/>
  <c r="D506" i="7"/>
  <c r="I506" i="7" s="1"/>
  <c r="K506" i="7" s="1"/>
  <c r="D502" i="7"/>
  <c r="D509" i="7"/>
  <c r="P509" i="7" s="1"/>
  <c r="K451" i="7" s="1"/>
  <c r="D505" i="7"/>
  <c r="D504" i="7"/>
  <c r="P504" i="7" s="1"/>
  <c r="K446" i="7" s="1"/>
  <c r="D498" i="7"/>
  <c r="D499" i="7"/>
  <c r="P499" i="7" s="1"/>
  <c r="K441" i="7" s="1"/>
  <c r="D515" i="7"/>
  <c r="P515" i="7" s="1"/>
  <c r="K457" i="7" s="1"/>
  <c r="D510" i="7"/>
  <c r="D507" i="7"/>
  <c r="I507" i="7" s="1"/>
  <c r="D508" i="7"/>
  <c r="D500" i="7"/>
  <c r="P500" i="7" s="1"/>
  <c r="K442" i="7" s="1"/>
  <c r="D512" i="7"/>
  <c r="N87" i="2"/>
  <c r="H191" i="7" s="1"/>
  <c r="E293" i="6"/>
  <c r="N431" i="6"/>
  <c r="K48" i="2"/>
  <c r="K75" i="2" s="1"/>
  <c r="S431" i="3"/>
  <c r="S126" i="6"/>
  <c r="S126" i="4"/>
  <c r="S126" i="5" s="1"/>
  <c r="F87" i="2"/>
  <c r="E237" i="7" s="1"/>
  <c r="H156" i="2"/>
  <c r="D89" i="7" s="1"/>
  <c r="G89" i="7" s="1"/>
  <c r="D71" i="7"/>
  <c r="G71" i="7" s="1"/>
  <c r="N86" i="2"/>
  <c r="G86" i="2"/>
  <c r="F236" i="7" s="1"/>
  <c r="F535" i="3"/>
  <c r="E548" i="1"/>
  <c r="F548" i="3" s="1"/>
  <c r="D68" i="2"/>
  <c r="I41" i="2"/>
  <c r="I68" i="2" s="1"/>
  <c r="M535" i="3"/>
  <c r="L548" i="1"/>
  <c r="M548" i="3" s="1"/>
  <c r="Q535" i="3"/>
  <c r="P548" i="1"/>
  <c r="Q548" i="3" s="1"/>
  <c r="L106" i="3"/>
  <c r="K103" i="1"/>
  <c r="X39" i="2"/>
  <c r="T66" i="2"/>
  <c r="T68" i="2"/>
  <c r="X41" i="2"/>
  <c r="T69" i="2"/>
  <c r="T73" i="2"/>
  <c r="X46" i="2"/>
  <c r="T169" i="4"/>
  <c r="T169" i="5" s="1"/>
  <c r="T169" i="6"/>
  <c r="D169" i="6"/>
  <c r="E169" i="4"/>
  <c r="E169" i="5" s="1"/>
  <c r="O169" i="6"/>
  <c r="N169" i="6"/>
  <c r="E169" i="6"/>
  <c r="I169" i="4"/>
  <c r="I169" i="5" s="1"/>
  <c r="M169" i="6"/>
  <c r="U169" i="6"/>
  <c r="P169" i="4"/>
  <c r="P169" i="5" s="1"/>
  <c r="I169" i="6"/>
  <c r="F169" i="6"/>
  <c r="P169" i="6"/>
  <c r="Q169" i="4"/>
  <c r="Q169" i="5" s="1"/>
  <c r="F169" i="4"/>
  <c r="F169" i="5" s="1"/>
  <c r="Q169" i="6"/>
  <c r="L169" i="4"/>
  <c r="L169" i="5" s="1"/>
  <c r="O169" i="4"/>
  <c r="O169" i="5" s="1"/>
  <c r="U169" i="4"/>
  <c r="U169" i="5" s="1"/>
  <c r="D169" i="4"/>
  <c r="D169" i="5" s="1"/>
  <c r="M169" i="4"/>
  <c r="M169" i="5" s="1"/>
  <c r="N169" i="4"/>
  <c r="N169" i="5" s="1"/>
  <c r="J169" i="4"/>
  <c r="J169" i="5" s="1"/>
  <c r="L169" i="6"/>
  <c r="J169" i="6"/>
  <c r="H169" i="4"/>
  <c r="H169" i="5" s="1"/>
  <c r="H169" i="6"/>
  <c r="H516" i="7"/>
  <c r="N293" i="4"/>
  <c r="N293" i="5" s="1"/>
  <c r="N293" i="6"/>
  <c r="C71" i="2"/>
  <c r="S293" i="4"/>
  <c r="S293" i="5" s="1"/>
  <c r="S293" i="6"/>
  <c r="E381" i="6"/>
  <c r="E381" i="4"/>
  <c r="E381" i="5" s="1"/>
  <c r="G293" i="6"/>
  <c r="G293" i="4"/>
  <c r="G293" i="5" s="1"/>
  <c r="O431" i="6"/>
  <c r="O431" i="4"/>
  <c r="O431" i="5" s="1"/>
  <c r="N106" i="3"/>
  <c r="M103" i="1"/>
  <c r="I215" i="6"/>
  <c r="R215" i="4"/>
  <c r="R215" i="5" s="1"/>
  <c r="F215" i="6"/>
  <c r="D215" i="4"/>
  <c r="D215" i="5" s="1"/>
  <c r="M215" i="4"/>
  <c r="M215" i="5" s="1"/>
  <c r="M215" i="6"/>
  <c r="D215" i="6"/>
  <c r="Q215" i="6"/>
  <c r="U215" i="4"/>
  <c r="U215" i="5" s="1"/>
  <c r="U215" i="6"/>
  <c r="P215" i="6"/>
  <c r="E215" i="6"/>
  <c r="H215" i="4"/>
  <c r="H215" i="5" s="1"/>
  <c r="Q215" i="4"/>
  <c r="Q215" i="5" s="1"/>
  <c r="E215" i="4"/>
  <c r="E215" i="5" s="1"/>
  <c r="F215" i="4"/>
  <c r="F215" i="5" s="1"/>
  <c r="K215" i="4"/>
  <c r="K215" i="5" s="1"/>
  <c r="T215" i="4"/>
  <c r="T215" i="5" s="1"/>
  <c r="L215" i="4"/>
  <c r="L215" i="5" s="1"/>
  <c r="L215" i="6"/>
  <c r="S215" i="4"/>
  <c r="S215" i="5" s="1"/>
  <c r="P215" i="4"/>
  <c r="P215" i="5" s="1"/>
  <c r="V215" i="6"/>
  <c r="H215" i="6"/>
  <c r="V215" i="4"/>
  <c r="V215" i="5" s="1"/>
  <c r="K215" i="6"/>
  <c r="R215" i="6"/>
  <c r="I215" i="4"/>
  <c r="I215" i="5" s="1"/>
  <c r="T215" i="6"/>
  <c r="G215" i="4"/>
  <c r="G215" i="5" s="1"/>
  <c r="S215" i="6"/>
  <c r="G215" i="6"/>
  <c r="C61" i="2"/>
  <c r="N112" i="2"/>
  <c r="H168" i="7" s="1"/>
  <c r="H519" i="7"/>
  <c r="R106" i="3"/>
  <c r="Q103" i="1"/>
  <c r="H75" i="2"/>
  <c r="J61" i="2"/>
  <c r="J52" i="2"/>
  <c r="J79" i="2" s="1"/>
  <c r="J87" i="2" s="1"/>
  <c r="I381" i="6"/>
  <c r="I381" i="4"/>
  <c r="I381" i="5" s="1"/>
  <c r="J381" i="6"/>
  <c r="J381" i="4"/>
  <c r="J381" i="5" s="1"/>
  <c r="F516" i="7"/>
  <c r="F519" i="7"/>
  <c r="D70" i="2"/>
  <c r="I43" i="2"/>
  <c r="I70" i="2" s="1"/>
  <c r="M213" i="4"/>
  <c r="M213" i="5" s="1"/>
  <c r="M213" i="6"/>
  <c r="F213" i="6"/>
  <c r="U213" i="6"/>
  <c r="I213" i="6"/>
  <c r="D213" i="6"/>
  <c r="U213" i="4"/>
  <c r="U213" i="5" s="1"/>
  <c r="H213" i="6"/>
  <c r="S213" i="6"/>
  <c r="G213" i="4"/>
  <c r="G213" i="5" s="1"/>
  <c r="Q213" i="4"/>
  <c r="Q213" i="5" s="1"/>
  <c r="R213" i="6"/>
  <c r="Q213" i="6"/>
  <c r="F213" i="4"/>
  <c r="F213" i="5" s="1"/>
  <c r="E213" i="6"/>
  <c r="K213" i="6"/>
  <c r="H213" i="4"/>
  <c r="H213" i="5" s="1"/>
  <c r="I213" i="4"/>
  <c r="I213" i="5" s="1"/>
  <c r="L213" i="4"/>
  <c r="L213" i="5" s="1"/>
  <c r="S213" i="4"/>
  <c r="S213" i="5" s="1"/>
  <c r="E213" i="4"/>
  <c r="E213" i="5" s="1"/>
  <c r="G213" i="6"/>
  <c r="D213" i="4"/>
  <c r="D213" i="5" s="1"/>
  <c r="R213" i="4"/>
  <c r="R213" i="5" s="1"/>
  <c r="K213" i="4"/>
  <c r="K213" i="5" s="1"/>
  <c r="T213" i="4"/>
  <c r="T213" i="5" s="1"/>
  <c r="V213" i="4"/>
  <c r="V213" i="5" s="1"/>
  <c r="V213" i="6"/>
  <c r="L213" i="6"/>
  <c r="T213" i="6"/>
  <c r="K64" i="2"/>
  <c r="R102" i="2"/>
  <c r="R127" i="2" s="1"/>
  <c r="R98" i="2"/>
  <c r="R123" i="2" s="1"/>
  <c r="R94" i="2"/>
  <c r="R119" i="2" s="1"/>
  <c r="R90" i="2"/>
  <c r="R115" i="2" s="1"/>
  <c r="R101" i="2"/>
  <c r="R126" i="2" s="1"/>
  <c r="R97" i="2"/>
  <c r="R122" i="2" s="1"/>
  <c r="R93" i="2"/>
  <c r="R118" i="2" s="1"/>
  <c r="R88" i="2"/>
  <c r="R113" i="2" s="1"/>
  <c r="R89" i="2"/>
  <c r="R114" i="2" s="1"/>
  <c r="R104" i="2"/>
  <c r="R129" i="2" s="1"/>
  <c r="R100" i="2"/>
  <c r="R125" i="2" s="1"/>
  <c r="R96" i="2"/>
  <c r="R121" i="2" s="1"/>
  <c r="R92" i="2"/>
  <c r="R117" i="2" s="1"/>
  <c r="R103" i="2"/>
  <c r="R128" i="2" s="1"/>
  <c r="R99" i="2"/>
  <c r="R124" i="2" s="1"/>
  <c r="R95" i="2"/>
  <c r="R120" i="2" s="1"/>
  <c r="R91" i="2"/>
  <c r="R116" i="2" s="1"/>
  <c r="R86" i="2"/>
  <c r="R111" i="2" s="1"/>
  <c r="R87" i="2"/>
  <c r="R112" i="2" s="1"/>
  <c r="H195" i="7"/>
  <c r="N116" i="2"/>
  <c r="H172" i="7" s="1"/>
  <c r="T74" i="2"/>
  <c r="X47" i="2"/>
  <c r="Q548" i="1"/>
  <c r="R548" i="3" s="1"/>
  <c r="R535" i="3"/>
  <c r="I38" i="2"/>
  <c r="I65" i="2" s="1"/>
  <c r="D65" i="2"/>
  <c r="M106" i="3"/>
  <c r="L103" i="1"/>
  <c r="D69" i="2"/>
  <c r="I42" i="2"/>
  <c r="E71" i="2"/>
  <c r="I44" i="2"/>
  <c r="I71" i="2" s="1"/>
  <c r="C74" i="2"/>
  <c r="S103" i="2"/>
  <c r="S128" i="2" s="1"/>
  <c r="S99" i="2"/>
  <c r="S124" i="2" s="1"/>
  <c r="S95" i="2"/>
  <c r="S120" i="2" s="1"/>
  <c r="S91" i="2"/>
  <c r="S116" i="2" s="1"/>
  <c r="S102" i="2"/>
  <c r="S127" i="2" s="1"/>
  <c r="S98" i="2"/>
  <c r="S123" i="2" s="1"/>
  <c r="S94" i="2"/>
  <c r="S119" i="2" s="1"/>
  <c r="S90" i="2"/>
  <c r="S115" i="2" s="1"/>
  <c r="S87" i="2"/>
  <c r="S112" i="2" s="1"/>
  <c r="S86" i="2"/>
  <c r="S111" i="2" s="1"/>
  <c r="S101" i="2"/>
  <c r="S126" i="2" s="1"/>
  <c r="S97" i="2"/>
  <c r="S122" i="2" s="1"/>
  <c r="S93" i="2"/>
  <c r="S118" i="2" s="1"/>
  <c r="S104" i="2"/>
  <c r="S129" i="2" s="1"/>
  <c r="S100" i="2"/>
  <c r="S125" i="2" s="1"/>
  <c r="S96" i="2"/>
  <c r="S121" i="2" s="1"/>
  <c r="S92" i="2"/>
  <c r="S117" i="2" s="1"/>
  <c r="S89" i="2"/>
  <c r="S114" i="2" s="1"/>
  <c r="S88" i="2"/>
  <c r="S113" i="2" s="1"/>
  <c r="V106" i="3"/>
  <c r="U103" i="1"/>
  <c r="D78" i="2"/>
  <c r="I51" i="2"/>
  <c r="I78" i="2" s="1"/>
  <c r="N502" i="7"/>
  <c r="N504" i="7"/>
  <c r="N512" i="7"/>
  <c r="N509" i="7"/>
  <c r="N506" i="7"/>
  <c r="C63" i="2"/>
  <c r="J215" i="6"/>
  <c r="N213" i="6"/>
  <c r="N213" i="4"/>
  <c r="N213" i="5" s="1"/>
  <c r="S103" i="1"/>
  <c r="T106" i="3"/>
  <c r="P106" i="3"/>
  <c r="O103" i="1"/>
  <c r="T108" i="6"/>
  <c r="Q108" i="4"/>
  <c r="Q108" i="5" s="1"/>
  <c r="D108" i="4"/>
  <c r="D108" i="5" s="1"/>
  <c r="D108" i="6"/>
  <c r="Q108" i="6"/>
  <c r="H108" i="6"/>
  <c r="E108" i="6"/>
  <c r="P108" i="6"/>
  <c r="J108" i="6"/>
  <c r="V108" i="6"/>
  <c r="V108" i="4"/>
  <c r="V108" i="5" s="1"/>
  <c r="S108" i="6"/>
  <c r="P108" i="4"/>
  <c r="P108" i="5" s="1"/>
  <c r="E108" i="4"/>
  <c r="E108" i="5" s="1"/>
  <c r="O108" i="6"/>
  <c r="L108" i="6"/>
  <c r="R108" i="4"/>
  <c r="R108" i="5" s="1"/>
  <c r="R108" i="6"/>
  <c r="F108" i="4"/>
  <c r="F108" i="5" s="1"/>
  <c r="F108" i="6"/>
  <c r="G108" i="4"/>
  <c r="G108" i="5" s="1"/>
  <c r="G108" i="6"/>
  <c r="H108" i="4"/>
  <c r="H108" i="5" s="1"/>
  <c r="K108" i="6"/>
  <c r="J108" i="4"/>
  <c r="J108" i="5" s="1"/>
  <c r="N108" i="4"/>
  <c r="N108" i="5" s="1"/>
  <c r="O108" i="4"/>
  <c r="O108" i="5" s="1"/>
  <c r="K108" i="4"/>
  <c r="K108" i="5" s="1"/>
  <c r="S108" i="4"/>
  <c r="S108" i="5" s="1"/>
  <c r="U108" i="6"/>
  <c r="N108" i="6"/>
  <c r="L108" i="4"/>
  <c r="L108" i="5" s="1"/>
  <c r="U108" i="4"/>
  <c r="U108" i="5" s="1"/>
  <c r="M108" i="6"/>
  <c r="M108" i="4"/>
  <c r="M108" i="5" s="1"/>
  <c r="T108" i="4"/>
  <c r="T108" i="5" s="1"/>
  <c r="V106" i="1"/>
  <c r="D195" i="3"/>
  <c r="G195" i="6" s="1"/>
  <c r="S295" i="4"/>
  <c r="S295" i="5" s="1"/>
  <c r="S295" i="6"/>
  <c r="E295" i="4"/>
  <c r="G295" i="4"/>
  <c r="G295" i="5" s="1"/>
  <c r="U295" i="6"/>
  <c r="P295" i="6"/>
  <c r="Q295" i="6"/>
  <c r="F295" i="6"/>
  <c r="T295" i="4"/>
  <c r="T295" i="5" s="1"/>
  <c r="V295" i="4"/>
  <c r="V295" i="5" s="1"/>
  <c r="L295" i="6"/>
  <c r="M295" i="6"/>
  <c r="J295" i="4"/>
  <c r="J295" i="5" s="1"/>
  <c r="J295" i="6"/>
  <c r="O295" i="4"/>
  <c r="O295" i="5" s="1"/>
  <c r="H295" i="4"/>
  <c r="H295" i="5" s="1"/>
  <c r="L295" i="4"/>
  <c r="L295" i="5" s="1"/>
  <c r="P295" i="4"/>
  <c r="P295" i="5" s="1"/>
  <c r="I295" i="4"/>
  <c r="I295" i="5" s="1"/>
  <c r="R295" i="4"/>
  <c r="R295" i="5" s="1"/>
  <c r="H295" i="6"/>
  <c r="R295" i="6"/>
  <c r="E295" i="6"/>
  <c r="D295" i="6"/>
  <c r="Q295" i="4"/>
  <c r="Q295" i="5" s="1"/>
  <c r="F295" i="4"/>
  <c r="F295" i="5" s="1"/>
  <c r="G295" i="6"/>
  <c r="I295" i="6"/>
  <c r="T295" i="6"/>
  <c r="O295" i="6"/>
  <c r="D295" i="4"/>
  <c r="D295" i="5" s="1"/>
  <c r="U295" i="4"/>
  <c r="U295" i="5" s="1"/>
  <c r="M295" i="4"/>
  <c r="M295" i="5" s="1"/>
  <c r="V295" i="6"/>
  <c r="E335" i="5"/>
  <c r="E259" i="7" s="1" a="1"/>
  <c r="E282" i="7" a="1"/>
  <c r="E355" i="5"/>
  <c r="F259" i="7" s="1" a="1"/>
  <c r="F282" i="7" a="1"/>
  <c r="M381" i="4"/>
  <c r="M381" i="5" s="1"/>
  <c r="M381" i="6"/>
  <c r="G381" i="4"/>
  <c r="G381" i="5" s="1"/>
  <c r="P381" i="6"/>
  <c r="D381" i="6"/>
  <c r="P381" i="4"/>
  <c r="P381" i="5" s="1"/>
  <c r="S381" i="6"/>
  <c r="K381" i="6"/>
  <c r="G381" i="6"/>
  <c r="Q381" i="6"/>
  <c r="D381" i="4"/>
  <c r="D381" i="5" s="1"/>
  <c r="U381" i="6"/>
  <c r="Q381" i="4"/>
  <c r="Q381" i="5" s="1"/>
  <c r="V381" i="6"/>
  <c r="S381" i="4"/>
  <c r="S381" i="5" s="1"/>
  <c r="K381" i="4"/>
  <c r="K381" i="5" s="1"/>
  <c r="R381" i="4"/>
  <c r="R381" i="5" s="1"/>
  <c r="U381" i="4"/>
  <c r="U381" i="5" s="1"/>
  <c r="R381" i="6"/>
  <c r="D103" i="1"/>
  <c r="E106" i="3"/>
  <c r="H377" i="7"/>
  <c r="X67" i="2"/>
  <c r="Z40" i="2"/>
  <c r="E360" i="5"/>
  <c r="G259" i="7" s="1" a="1"/>
  <c r="G282" i="7" a="1"/>
  <c r="C65" i="2"/>
  <c r="F242" i="7"/>
  <c r="F88" i="2"/>
  <c r="F89" i="2"/>
  <c r="F100" i="2"/>
  <c r="F97" i="2"/>
  <c r="F104" i="2"/>
  <c r="F129" i="2" s="1"/>
  <c r="F98" i="2"/>
  <c r="F93" i="2"/>
  <c r="F99" i="2"/>
  <c r="F102" i="2"/>
  <c r="F86" i="2"/>
  <c r="F101" i="2"/>
  <c r="F92" i="2"/>
  <c r="F103" i="2"/>
  <c r="F95" i="2"/>
  <c r="F91" i="2"/>
  <c r="F96" i="2"/>
  <c r="H293" i="4"/>
  <c r="H293" i="5" s="1"/>
  <c r="H293" i="6"/>
  <c r="N295" i="6"/>
  <c r="N102" i="2"/>
  <c r="N90" i="2"/>
  <c r="N100" i="2"/>
  <c r="N98" i="2"/>
  <c r="N104" i="2"/>
  <c r="N129" i="2" s="1"/>
  <c r="N89" i="2"/>
  <c r="N99" i="2"/>
  <c r="N95" i="2"/>
  <c r="N94" i="2"/>
  <c r="N101" i="2"/>
  <c r="N88" i="2"/>
  <c r="N96" i="2"/>
  <c r="N92" i="2"/>
  <c r="R498" i="7"/>
  <c r="D63" i="2"/>
  <c r="I36" i="2"/>
  <c r="I63" i="2" s="1"/>
  <c r="F94" i="2"/>
  <c r="O381" i="6"/>
  <c r="O381" i="4"/>
  <c r="O381" i="5" s="1"/>
  <c r="L33" i="7"/>
  <c r="Y104" i="2"/>
  <c r="Y129" i="2" s="1"/>
  <c r="Y103" i="2"/>
  <c r="Y89" i="2"/>
  <c r="Y99" i="2"/>
  <c r="Y97" i="2"/>
  <c r="Y88" i="2"/>
  <c r="Y98" i="2"/>
  <c r="Y93" i="2"/>
  <c r="Y102" i="2"/>
  <c r="Y86" i="2"/>
  <c r="Y100" i="2"/>
  <c r="Y95" i="2"/>
  <c r="Y94" i="2"/>
  <c r="Y87" i="2"/>
  <c r="Y92" i="2"/>
  <c r="Y90" i="2"/>
  <c r="Y96" i="2"/>
  <c r="Y101" i="2"/>
  <c r="Y91" i="2"/>
  <c r="G101" i="2"/>
  <c r="G99" i="2"/>
  <c r="G89" i="2"/>
  <c r="G103" i="2"/>
  <c r="G102" i="2"/>
  <c r="G100" i="2"/>
  <c r="G97" i="2"/>
  <c r="G93" i="2"/>
  <c r="G98" i="2"/>
  <c r="C64" i="2"/>
  <c r="I108" i="6"/>
  <c r="F381" i="7"/>
  <c r="H381" i="7" s="1"/>
  <c r="O215" i="4"/>
  <c r="O215" i="5" s="1"/>
  <c r="X48" i="2"/>
  <c r="T75" i="2"/>
  <c r="R548" i="1"/>
  <c r="S548" i="3" s="1"/>
  <c r="S535" i="3"/>
  <c r="O512" i="7"/>
  <c r="G519" i="7"/>
  <c r="C66" i="2"/>
  <c r="D64" i="2"/>
  <c r="I37" i="2"/>
  <c r="I64" i="2" s="1"/>
  <c r="H106" i="3"/>
  <c r="G103" i="1"/>
  <c r="P511" i="7"/>
  <c r="K453" i="7" s="1"/>
  <c r="P505" i="7"/>
  <c r="K447" i="7" s="1"/>
  <c r="P508" i="7"/>
  <c r="K450" i="7" s="1"/>
  <c r="P503" i="7"/>
  <c r="K445" i="7" s="1"/>
  <c r="P506" i="7"/>
  <c r="K448" i="7" s="1"/>
  <c r="E519" i="7"/>
  <c r="P512" i="7"/>
  <c r="P513" i="7"/>
  <c r="K455" i="7" s="1"/>
  <c r="V535" i="1"/>
  <c r="V549" i="1"/>
  <c r="D549" i="3" s="1"/>
  <c r="J549" i="4" s="1"/>
  <c r="J549" i="5" s="1"/>
  <c r="D492" i="3"/>
  <c r="R492" i="6" s="1"/>
  <c r="I35" i="2"/>
  <c r="D62" i="2"/>
  <c r="E103" i="1"/>
  <c r="F106" i="3"/>
  <c r="J213" i="4"/>
  <c r="J213" i="5" s="1"/>
  <c r="J213" i="6"/>
  <c r="C77" i="2"/>
  <c r="V492" i="6"/>
  <c r="K295" i="6"/>
  <c r="N215" i="6"/>
  <c r="V431" i="6"/>
  <c r="V431" i="4"/>
  <c r="V431" i="5" s="1"/>
  <c r="P213" i="6"/>
  <c r="P213" i="4"/>
  <c r="P213" i="5" s="1"/>
  <c r="J431" i="4"/>
  <c r="J431" i="5" s="1"/>
  <c r="J431" i="6"/>
  <c r="G431" i="4"/>
  <c r="G431" i="5" s="1"/>
  <c r="D431" i="4"/>
  <c r="D431" i="5" s="1"/>
  <c r="D431" i="6"/>
  <c r="T431" i="4"/>
  <c r="T431" i="5" s="1"/>
  <c r="T431" i="6"/>
  <c r="S431" i="6"/>
  <c r="F431" i="4"/>
  <c r="F431" i="5" s="1"/>
  <c r="P431" i="6"/>
  <c r="F431" i="6"/>
  <c r="L431" i="4"/>
  <c r="L431" i="5" s="1"/>
  <c r="G431" i="6"/>
  <c r="P431" i="4"/>
  <c r="P431" i="5" s="1"/>
  <c r="S431" i="4"/>
  <c r="S431" i="5" s="1"/>
  <c r="E431" i="6"/>
  <c r="I431" i="4"/>
  <c r="I431" i="5" s="1"/>
  <c r="I431" i="6"/>
  <c r="E431" i="4"/>
  <c r="E431" i="5" s="1"/>
  <c r="L431" i="6"/>
  <c r="N97" i="2"/>
  <c r="C78" i="2"/>
  <c r="L97" i="2"/>
  <c r="L104" i="2"/>
  <c r="L129" i="2" s="1"/>
  <c r="L93" i="2"/>
  <c r="L94" i="2"/>
  <c r="L98" i="2"/>
  <c r="L102" i="2"/>
  <c r="L90" i="2"/>
  <c r="L87" i="2"/>
  <c r="L101" i="2"/>
  <c r="L88" i="2"/>
  <c r="L100" i="2"/>
  <c r="L96" i="2"/>
  <c r="L91" i="2"/>
  <c r="L95" i="2"/>
  <c r="N103" i="2"/>
  <c r="H548" i="1"/>
  <c r="I548" i="3" s="1"/>
  <c r="I535" i="3"/>
  <c r="G492" i="6"/>
  <c r="J68" i="2"/>
  <c r="J93" i="2" s="1"/>
  <c r="D155" i="7"/>
  <c r="U122" i="2"/>
  <c r="D132" i="7" s="1"/>
  <c r="U116" i="2"/>
  <c r="D126" i="7" s="1"/>
  <c r="D149" i="7"/>
  <c r="U121" i="2"/>
  <c r="D131" i="7" s="1"/>
  <c r="D154" i="7"/>
  <c r="U113" i="2"/>
  <c r="D123" i="7" s="1"/>
  <c r="D146" i="7"/>
  <c r="U120" i="2"/>
  <c r="D130" i="7" s="1"/>
  <c r="D153" i="7"/>
  <c r="U126" i="2"/>
  <c r="D136" i="7" s="1"/>
  <c r="D159" i="7"/>
  <c r="U111" i="2"/>
  <c r="D121" i="7" s="1"/>
  <c r="D144" i="7"/>
  <c r="D151" i="7"/>
  <c r="U118" i="2"/>
  <c r="D128" i="7" s="1"/>
  <c r="U119" i="2"/>
  <c r="D129" i="7" s="1"/>
  <c r="D152" i="7"/>
  <c r="T62" i="2"/>
  <c r="X35" i="2"/>
  <c r="X50" i="2"/>
  <c r="T77" i="2"/>
  <c r="T381" i="4"/>
  <c r="T381" i="5" s="1"/>
  <c r="T381" i="6"/>
  <c r="H431" i="4"/>
  <c r="H431" i="5" s="1"/>
  <c r="H431" i="6"/>
  <c r="X34" i="2"/>
  <c r="T61" i="2"/>
  <c r="T52" i="2"/>
  <c r="T79" i="2" s="1"/>
  <c r="I40" i="2"/>
  <c r="D67" i="2"/>
  <c r="K106" i="3"/>
  <c r="J103" i="1"/>
  <c r="F381" i="6"/>
  <c r="F381" i="4"/>
  <c r="F381" i="5" s="1"/>
  <c r="H103" i="1"/>
  <c r="I106" i="3"/>
  <c r="I195" i="6"/>
  <c r="O213" i="4"/>
  <c r="O213" i="5" s="1"/>
  <c r="O213" i="6"/>
  <c r="D73" i="2"/>
  <c r="Q106" i="3"/>
  <c r="P103" i="1"/>
  <c r="V195" i="4"/>
  <c r="V195" i="5" s="1"/>
  <c r="N381" i="4"/>
  <c r="N381" i="5" s="1"/>
  <c r="N381" i="6"/>
  <c r="W103" i="2"/>
  <c r="W93" i="2"/>
  <c r="W90" i="2"/>
  <c r="W99" i="2"/>
  <c r="W104" i="2"/>
  <c r="W129" i="2" s="1"/>
  <c r="W95" i="2"/>
  <c r="W91" i="2"/>
  <c r="W98" i="2"/>
  <c r="W96" i="2"/>
  <c r="W86" i="2"/>
  <c r="W102" i="2"/>
  <c r="W100" i="2"/>
  <c r="W88" i="2"/>
  <c r="W97" i="2"/>
  <c r="W87" i="2"/>
  <c r="W92" i="2"/>
  <c r="W94" i="2"/>
  <c r="W89" i="2"/>
  <c r="W101" i="2"/>
  <c r="N498" i="7"/>
  <c r="N505" i="7"/>
  <c r="I505" i="7"/>
  <c r="K505" i="7" s="1"/>
  <c r="I510" i="7"/>
  <c r="K510" i="7" s="1"/>
  <c r="N501" i="7"/>
  <c r="I501" i="7"/>
  <c r="K501" i="7" s="1"/>
  <c r="N508" i="7"/>
  <c r="J215" i="4"/>
  <c r="J215" i="5" s="1"/>
  <c r="C75" i="2"/>
  <c r="G548" i="1"/>
  <c r="H548" i="3" s="1"/>
  <c r="H535" i="3"/>
  <c r="T78" i="2"/>
  <c r="X51" i="2"/>
  <c r="K293" i="6"/>
  <c r="K293" i="4"/>
  <c r="K293" i="5" s="1"/>
  <c r="I49" i="2"/>
  <c r="D76" i="2"/>
  <c r="I45" i="2"/>
  <c r="D72" i="2"/>
  <c r="P293" i="4"/>
  <c r="P293" i="5" s="1"/>
  <c r="D293" i="4"/>
  <c r="D293" i="5" s="1"/>
  <c r="P293" i="6"/>
  <c r="R293" i="4"/>
  <c r="R293" i="5" s="1"/>
  <c r="R293" i="6"/>
  <c r="D293" i="6"/>
  <c r="J293" i="4"/>
  <c r="J293" i="5" s="1"/>
  <c r="J293" i="6"/>
  <c r="I293" i="4"/>
  <c r="I293" i="5" s="1"/>
  <c r="M293" i="6"/>
  <c r="O293" i="4"/>
  <c r="O293" i="5" s="1"/>
  <c r="O293" i="6"/>
  <c r="F293" i="4"/>
  <c r="F293" i="5" s="1"/>
  <c r="T293" i="6"/>
  <c r="I293" i="6"/>
  <c r="V293" i="4"/>
  <c r="V293" i="5" s="1"/>
  <c r="T293" i="4"/>
  <c r="T293" i="5" s="1"/>
  <c r="V293" i="6"/>
  <c r="F293" i="6"/>
  <c r="M293" i="4"/>
  <c r="M293" i="5" s="1"/>
  <c r="L293" i="4"/>
  <c r="L293" i="5" s="1"/>
  <c r="L293" i="6"/>
  <c r="E321" i="5"/>
  <c r="D259" i="7" s="1" a="1"/>
  <c r="D282" i="7" a="1"/>
  <c r="I34" i="2"/>
  <c r="D61" i="2"/>
  <c r="H388" i="7"/>
  <c r="U293" i="4"/>
  <c r="U293" i="5" s="1"/>
  <c r="T65" i="2"/>
  <c r="X38" i="2"/>
  <c r="Z70" i="2"/>
  <c r="F112" i="2"/>
  <c r="H381" i="4"/>
  <c r="H381" i="5" s="1"/>
  <c r="H381" i="6"/>
  <c r="N295" i="4"/>
  <c r="N295" i="5" s="1"/>
  <c r="N111" i="2"/>
  <c r="H167" i="7" s="1"/>
  <c r="H190" i="7"/>
  <c r="R512" i="7"/>
  <c r="G106" i="3"/>
  <c r="F103" i="1"/>
  <c r="F90" i="2"/>
  <c r="D77" i="2"/>
  <c r="T103" i="1"/>
  <c r="U106" i="3"/>
  <c r="J96" i="2"/>
  <c r="Q431" i="4"/>
  <c r="Q431" i="5" s="1"/>
  <c r="Q431" i="6"/>
  <c r="D548" i="1"/>
  <c r="E548" i="3" s="1"/>
  <c r="E535" i="3"/>
  <c r="I108" i="4"/>
  <c r="I108" i="5" s="1"/>
  <c r="M431" i="6"/>
  <c r="M431" i="4"/>
  <c r="M431" i="5" s="1"/>
  <c r="O215" i="6"/>
  <c r="S549" i="6"/>
  <c r="G516" i="7"/>
  <c r="O498" i="7"/>
  <c r="E516" i="7"/>
  <c r="E518" i="7" s="1"/>
  <c r="P502" i="7"/>
  <c r="K444" i="7" s="1"/>
  <c r="P510" i="7"/>
  <c r="K452" i="7" s="1"/>
  <c r="K431" i="6"/>
  <c r="K431" i="4"/>
  <c r="K431" i="5" s="1"/>
  <c r="V494" i="6"/>
  <c r="Q494" i="6"/>
  <c r="U494" i="4"/>
  <c r="U494" i="5" s="1"/>
  <c r="K494" i="6"/>
  <c r="Q494" i="4"/>
  <c r="Q494" i="5" s="1"/>
  <c r="F494" i="4"/>
  <c r="F494" i="5" s="1"/>
  <c r="F494" i="6"/>
  <c r="P494" i="6"/>
  <c r="O494" i="6"/>
  <c r="O494" i="4"/>
  <c r="O494" i="5" s="1"/>
  <c r="M494" i="4"/>
  <c r="M494" i="5" s="1"/>
  <c r="U494" i="6"/>
  <c r="L494" i="6"/>
  <c r="V494" i="4"/>
  <c r="V494" i="5" s="1"/>
  <c r="T494" i="6"/>
  <c r="D494" i="4"/>
  <c r="D494" i="5" s="1"/>
  <c r="P494" i="4"/>
  <c r="P494" i="5" s="1"/>
  <c r="N494" i="6"/>
  <c r="L494" i="4"/>
  <c r="L494" i="5" s="1"/>
  <c r="D494" i="6"/>
  <c r="K494" i="4"/>
  <c r="K494" i="5" s="1"/>
  <c r="M494" i="6"/>
  <c r="N494" i="4"/>
  <c r="N494" i="5" s="1"/>
  <c r="T494" i="4"/>
  <c r="T494" i="5" s="1"/>
  <c r="E66" i="2"/>
  <c r="I39" i="2"/>
  <c r="I66" i="2" s="1"/>
  <c r="T64" i="2"/>
  <c r="X37" i="2"/>
  <c r="H494" i="6"/>
  <c r="I548" i="1"/>
  <c r="J548" i="3" s="1"/>
  <c r="J535" i="3"/>
  <c r="U548" i="1"/>
  <c r="V548" i="3" s="1"/>
  <c r="V535" i="3"/>
  <c r="K295" i="4"/>
  <c r="K295" i="5" s="1"/>
  <c r="N215" i="4"/>
  <c r="N215" i="5" s="1"/>
  <c r="Q293" i="4"/>
  <c r="Q293" i="5" s="1"/>
  <c r="Q293" i="6"/>
  <c r="T433" i="4"/>
  <c r="T433" i="5" s="1"/>
  <c r="J433" i="6"/>
  <c r="M433" i="6"/>
  <c r="I433" i="6"/>
  <c r="N433" i="6"/>
  <c r="E433" i="6"/>
  <c r="G433" i="6"/>
  <c r="L433" i="6"/>
  <c r="U433" i="6"/>
  <c r="F433" i="4"/>
  <c r="F433" i="5" s="1"/>
  <c r="S433" i="6"/>
  <c r="U433" i="4"/>
  <c r="U433" i="5" s="1"/>
  <c r="I433" i="4"/>
  <c r="I433" i="5" s="1"/>
  <c r="N433" i="4"/>
  <c r="N433" i="5" s="1"/>
  <c r="V433" i="4"/>
  <c r="V433" i="5" s="1"/>
  <c r="S433" i="4"/>
  <c r="S433" i="5" s="1"/>
  <c r="L433" i="4"/>
  <c r="L433" i="5" s="1"/>
  <c r="J433" i="4"/>
  <c r="J433" i="5" s="1"/>
  <c r="P433" i="4"/>
  <c r="P433" i="5" s="1"/>
  <c r="R433" i="4"/>
  <c r="R433" i="5" s="1"/>
  <c r="R433" i="6"/>
  <c r="T433" i="6"/>
  <c r="H433" i="4"/>
  <c r="H433" i="5" s="1"/>
  <c r="E433" i="4"/>
  <c r="E433" i="5" s="1"/>
  <c r="F433" i="6"/>
  <c r="D433" i="4"/>
  <c r="D433" i="5" s="1"/>
  <c r="G433" i="4"/>
  <c r="G433" i="5" s="1"/>
  <c r="V433" i="6"/>
  <c r="M433" i="4"/>
  <c r="M433" i="5" s="1"/>
  <c r="Q433" i="6"/>
  <c r="D433" i="6"/>
  <c r="P433" i="6"/>
  <c r="H433" i="6"/>
  <c r="Q433" i="4"/>
  <c r="Q433" i="5" s="1"/>
  <c r="L86" i="2"/>
  <c r="I492" i="6"/>
  <c r="T63" i="2"/>
  <c r="X36" i="2"/>
  <c r="G535" i="3"/>
  <c r="F548" i="1"/>
  <c r="G548" i="3" s="1"/>
  <c r="L89" i="2"/>
  <c r="X71" i="2"/>
  <c r="Z44" i="2"/>
  <c r="T548" i="1"/>
  <c r="U548" i="3" s="1"/>
  <c r="U535" i="3"/>
  <c r="L381" i="6"/>
  <c r="L381" i="4"/>
  <c r="L381" i="5" s="1"/>
  <c r="D157" i="7"/>
  <c r="U124" i="2"/>
  <c r="D134" i="7" s="1"/>
  <c r="U125" i="2"/>
  <c r="D135" i="7" s="1"/>
  <c r="D158" i="7"/>
  <c r="U115" i="2"/>
  <c r="D125" i="7" s="1"/>
  <c r="D148" i="7"/>
  <c r="D160" i="7"/>
  <c r="U127" i="2"/>
  <c r="D137" i="7" s="1"/>
  <c r="D145" i="7"/>
  <c r="U112" i="2"/>
  <c r="D122" i="7" s="1"/>
  <c r="D147" i="7"/>
  <c r="U114" i="2"/>
  <c r="D124" i="7" s="1"/>
  <c r="U123" i="2"/>
  <c r="D133" i="7" s="1"/>
  <c r="D156" i="7"/>
  <c r="D150" i="7"/>
  <c r="U117" i="2"/>
  <c r="D127" i="7" s="1"/>
  <c r="U128" i="2"/>
  <c r="D138" i="7" s="1"/>
  <c r="D161" i="7"/>
  <c r="N93" i="2"/>
  <c r="J519" i="7" l="1"/>
  <c r="I513" i="7"/>
  <c r="K513" i="7" s="1"/>
  <c r="I509" i="7"/>
  <c r="K509" i="7" s="1"/>
  <c r="I512" i="7"/>
  <c r="I519" i="7" s="1"/>
  <c r="I504" i="7"/>
  <c r="K504" i="7" s="1"/>
  <c r="C516" i="7"/>
  <c r="I508" i="7"/>
  <c r="K508" i="7" s="1"/>
  <c r="J516" i="7"/>
  <c r="C519" i="7"/>
  <c r="K507" i="7"/>
  <c r="I498" i="7"/>
  <c r="K498" i="7" s="1"/>
  <c r="I502" i="7"/>
  <c r="K502" i="7" s="1"/>
  <c r="I549" i="4"/>
  <c r="I549" i="5" s="1"/>
  <c r="P195" i="6"/>
  <c r="J89" i="2"/>
  <c r="J95" i="2"/>
  <c r="J548" i="1"/>
  <c r="K548" i="3" s="1"/>
  <c r="K535" i="3"/>
  <c r="N481" i="1"/>
  <c r="J492" i="4"/>
  <c r="J492" i="5" s="1"/>
  <c r="H492" i="6"/>
  <c r="U492" i="4"/>
  <c r="U492" i="5" s="1"/>
  <c r="E549" i="6"/>
  <c r="C27" i="7"/>
  <c r="R549" i="4"/>
  <c r="R549" i="5" s="1"/>
  <c r="U549" i="6"/>
  <c r="G549" i="6"/>
  <c r="Z76" i="2"/>
  <c r="U431" i="6"/>
  <c r="H52" i="2"/>
  <c r="H79" i="2" s="1"/>
  <c r="I50" i="2"/>
  <c r="I77" i="2" s="1"/>
  <c r="G111" i="2"/>
  <c r="G87" i="2"/>
  <c r="F237" i="7" s="1"/>
  <c r="G104" i="2"/>
  <c r="G129" i="2" s="1"/>
  <c r="G88" i="2"/>
  <c r="F238" i="7" s="1"/>
  <c r="G95" i="2"/>
  <c r="G94" i="2"/>
  <c r="F244" i="7" s="1"/>
  <c r="G91" i="2"/>
  <c r="G90" i="2"/>
  <c r="G115" i="2" s="1"/>
  <c r="G96" i="2"/>
  <c r="N475" i="1"/>
  <c r="O475" i="3" s="1"/>
  <c r="I503" i="7"/>
  <c r="K503" i="7" s="1"/>
  <c r="I475" i="1"/>
  <c r="J475" i="3" s="1"/>
  <c r="I499" i="7"/>
  <c r="K499" i="7" s="1"/>
  <c r="I515" i="7"/>
  <c r="K515" i="7" s="1"/>
  <c r="J103" i="3"/>
  <c r="I47" i="2"/>
  <c r="I74" i="2" s="1"/>
  <c r="I511" i="7"/>
  <c r="K511" i="7" s="1"/>
  <c r="E195" i="4"/>
  <c r="E195" i="5" s="1"/>
  <c r="C52" i="2"/>
  <c r="C79" i="2" s="1"/>
  <c r="C91" i="2" s="1"/>
  <c r="C116" i="2" s="1"/>
  <c r="C70" i="2"/>
  <c r="C100" i="2"/>
  <c r="C125" i="2" s="1"/>
  <c r="R431" i="6"/>
  <c r="C90" i="2"/>
  <c r="C115" i="2" s="1"/>
  <c r="N104" i="1"/>
  <c r="O104" i="3" s="1"/>
  <c r="V549" i="6"/>
  <c r="M51" i="2"/>
  <c r="O51" i="2" s="1"/>
  <c r="I492" i="4"/>
  <c r="I492" i="5" s="1"/>
  <c r="J492" i="6"/>
  <c r="E52" i="2"/>
  <c r="E79" i="2" s="1"/>
  <c r="E97" i="2" s="1"/>
  <c r="E122" i="2" s="1"/>
  <c r="D224" i="7" s="1"/>
  <c r="F195" i="6"/>
  <c r="P507" i="7"/>
  <c r="K449" i="7" s="1"/>
  <c r="P498" i="7"/>
  <c r="Q498" i="7" s="1"/>
  <c r="H195" i="4"/>
  <c r="H195" i="5" s="1"/>
  <c r="D52" i="2"/>
  <c r="T195" i="4"/>
  <c r="T195" i="5" s="1"/>
  <c r="H492" i="4"/>
  <c r="H492" i="5" s="1"/>
  <c r="H554" i="5" s="1"/>
  <c r="I500" i="7"/>
  <c r="K500" i="7" s="1"/>
  <c r="I46" i="2"/>
  <c r="I73" i="2" s="1"/>
  <c r="M195" i="4"/>
  <c r="M195" i="5" s="1"/>
  <c r="M41" i="2"/>
  <c r="M68" i="2" s="1"/>
  <c r="U492" i="6"/>
  <c r="G492" i="4"/>
  <c r="G492" i="5" s="1"/>
  <c r="C103" i="2"/>
  <c r="C128" i="2" s="1"/>
  <c r="V492" i="4"/>
  <c r="V492" i="5" s="1"/>
  <c r="C102" i="2"/>
  <c r="C127" i="2" s="1"/>
  <c r="P514" i="7"/>
  <c r="K456" i="7" s="1"/>
  <c r="I481" i="1"/>
  <c r="J481" i="3" s="1"/>
  <c r="U195" i="6"/>
  <c r="M38" i="2"/>
  <c r="M65" i="2" s="1"/>
  <c r="K52" i="2"/>
  <c r="K79" i="2" s="1"/>
  <c r="K92" i="2" s="1"/>
  <c r="I48" i="2"/>
  <c r="I75" i="2" s="1"/>
  <c r="D519" i="7"/>
  <c r="E8" i="6"/>
  <c r="R8" i="6"/>
  <c r="G8" i="6"/>
  <c r="H8" i="4"/>
  <c r="H8" i="5" s="1"/>
  <c r="J8" i="4"/>
  <c r="J8" i="5" s="1"/>
  <c r="U8" i="4"/>
  <c r="U8" i="5" s="1"/>
  <c r="V8" i="4"/>
  <c r="V8" i="5" s="1"/>
  <c r="N8" i="6"/>
  <c r="S8" i="6"/>
  <c r="I8" i="4"/>
  <c r="I8" i="5" s="1"/>
  <c r="J8" i="6"/>
  <c r="U8" i="6"/>
  <c r="V8" i="6"/>
  <c r="S106" i="3"/>
  <c r="R103" i="1"/>
  <c r="X72" i="2"/>
  <c r="Z45" i="2"/>
  <c r="J148" i="4"/>
  <c r="J148" i="5" s="1"/>
  <c r="N148" i="6"/>
  <c r="H148" i="4"/>
  <c r="H148" i="5" s="1"/>
  <c r="I148" i="4"/>
  <c r="I148" i="5" s="1"/>
  <c r="N148" i="4"/>
  <c r="N148" i="5" s="1"/>
  <c r="Q148" i="4"/>
  <c r="Q148" i="5" s="1"/>
  <c r="J148" i="6"/>
  <c r="H148" i="6"/>
  <c r="I148" i="6"/>
  <c r="Q148" i="6"/>
  <c r="T148" i="6"/>
  <c r="F148" i="4"/>
  <c r="F148" i="5" s="1"/>
  <c r="D148" i="6"/>
  <c r="T148" i="4"/>
  <c r="T148" i="5" s="1"/>
  <c r="V148" i="4"/>
  <c r="V148" i="5" s="1"/>
  <c r="R148" i="4"/>
  <c r="R148" i="5" s="1"/>
  <c r="S148" i="4"/>
  <c r="S148" i="5" s="1"/>
  <c r="U148" i="6"/>
  <c r="K148" i="6"/>
  <c r="D148" i="4"/>
  <c r="D148" i="5" s="1"/>
  <c r="M148" i="6"/>
  <c r="M148" i="4"/>
  <c r="M148" i="5" s="1"/>
  <c r="E148" i="4"/>
  <c r="E148" i="5" s="1"/>
  <c r="G148" i="4"/>
  <c r="G148" i="5" s="1"/>
  <c r="E148" i="6"/>
  <c r="G148" i="6"/>
  <c r="R148" i="6"/>
  <c r="P148" i="6"/>
  <c r="P148" i="4"/>
  <c r="P148" i="5" s="1"/>
  <c r="S148" i="6"/>
  <c r="L148" i="6"/>
  <c r="U148" i="4"/>
  <c r="U148" i="5" s="1"/>
  <c r="V148" i="6"/>
  <c r="F148" i="6"/>
  <c r="L148" i="4"/>
  <c r="L148" i="5" s="1"/>
  <c r="K148" i="4"/>
  <c r="K148" i="5" s="1"/>
  <c r="O148" i="6"/>
  <c r="O148" i="4"/>
  <c r="O148" i="5" s="1"/>
  <c r="H8" i="6"/>
  <c r="I8" i="6"/>
  <c r="S8" i="4"/>
  <c r="S8" i="5" s="1"/>
  <c r="G8" i="4"/>
  <c r="G8" i="5" s="1"/>
  <c r="R8" i="4"/>
  <c r="R8" i="5" s="1"/>
  <c r="N8" i="4"/>
  <c r="N8" i="5" s="1"/>
  <c r="F196" i="7"/>
  <c r="L117" i="2"/>
  <c r="L103" i="2"/>
  <c r="L99" i="2"/>
  <c r="D516" i="7"/>
  <c r="D518" i="7" s="1"/>
  <c r="C86" i="2"/>
  <c r="C111" i="2" s="1"/>
  <c r="S492" i="4"/>
  <c r="S492" i="5" s="1"/>
  <c r="M37" i="2"/>
  <c r="O37" i="2" s="1"/>
  <c r="E492" i="4"/>
  <c r="E492" i="5" s="1"/>
  <c r="E554" i="5" s="1"/>
  <c r="F518" i="7"/>
  <c r="X73" i="2"/>
  <c r="Z46" i="2"/>
  <c r="X68" i="2"/>
  <c r="Z41" i="2"/>
  <c r="K104" i="1"/>
  <c r="L104" i="3" s="1"/>
  <c r="L103" i="3"/>
  <c r="K475" i="1"/>
  <c r="L475" i="3" s="1"/>
  <c r="K481" i="1"/>
  <c r="O8" i="6"/>
  <c r="Z42" i="2"/>
  <c r="X69" i="2"/>
  <c r="X66" i="2"/>
  <c r="Z39" i="2"/>
  <c r="N118" i="2"/>
  <c r="H174" i="7" s="1"/>
  <c r="H197" i="7"/>
  <c r="Z71" i="2"/>
  <c r="L28" i="7"/>
  <c r="C28" i="7"/>
  <c r="L114" i="2"/>
  <c r="F193" i="7"/>
  <c r="E89" i="2"/>
  <c r="E86" i="2"/>
  <c r="H101" i="2"/>
  <c r="H91" i="2"/>
  <c r="H90" i="2"/>
  <c r="H94" i="2"/>
  <c r="H104" i="2"/>
  <c r="H129" i="2" s="1"/>
  <c r="H97" i="2"/>
  <c r="H93" i="2"/>
  <c r="H87" i="2"/>
  <c r="H96" i="2"/>
  <c r="H99" i="2"/>
  <c r="H103" i="2"/>
  <c r="H102" i="2"/>
  <c r="O516" i="7"/>
  <c r="J440" i="7"/>
  <c r="D200" i="7"/>
  <c r="J121" i="2"/>
  <c r="U103" i="3"/>
  <c r="T104" i="1"/>
  <c r="U104" i="3" s="1"/>
  <c r="T475" i="1"/>
  <c r="U475" i="3" s="1"/>
  <c r="T481" i="1"/>
  <c r="G103" i="3"/>
  <c r="F104" i="1"/>
  <c r="G104" i="3" s="1"/>
  <c r="F481" i="1"/>
  <c r="F475" i="1"/>
  <c r="G475" i="3" s="1"/>
  <c r="I61" i="2"/>
  <c r="D291" i="7"/>
  <c r="D285" i="7"/>
  <c r="D294" i="7"/>
  <c r="D282" i="7"/>
  <c r="D286" i="7"/>
  <c r="D284" i="7"/>
  <c r="D298" i="7"/>
  <c r="D292" i="7"/>
  <c r="D283" i="7"/>
  <c r="D290" i="7"/>
  <c r="D287" i="7"/>
  <c r="D299" i="7"/>
  <c r="D295" i="7"/>
  <c r="D288" i="7"/>
  <c r="D289" i="7"/>
  <c r="D293" i="7"/>
  <c r="D296" i="7"/>
  <c r="D297" i="7"/>
  <c r="E95" i="2"/>
  <c r="N516" i="7"/>
  <c r="I440" i="7"/>
  <c r="Q500" i="7"/>
  <c r="I442" i="7"/>
  <c r="W114" i="2"/>
  <c r="E124" i="7" s="1"/>
  <c r="E147" i="7"/>
  <c r="E150" i="7"/>
  <c r="W117" i="2"/>
  <c r="E127" i="7" s="1"/>
  <c r="W122" i="2"/>
  <c r="E132" i="7" s="1"/>
  <c r="E155" i="7"/>
  <c r="W125" i="2"/>
  <c r="E135" i="7" s="1"/>
  <c r="E158" i="7"/>
  <c r="E144" i="7"/>
  <c r="W123" i="2"/>
  <c r="E133" i="7" s="1"/>
  <c r="E156" i="7"/>
  <c r="W120" i="2"/>
  <c r="E130" i="7" s="1"/>
  <c r="E153" i="7"/>
  <c r="W124" i="2"/>
  <c r="E134" i="7" s="1"/>
  <c r="E157" i="7"/>
  <c r="W118" i="2"/>
  <c r="E128" i="7" s="1"/>
  <c r="E151" i="7"/>
  <c r="P104" i="1"/>
  <c r="Q104" i="3" s="1"/>
  <c r="P475" i="1"/>
  <c r="Q475" i="3" s="1"/>
  <c r="Q103" i="3"/>
  <c r="P481" i="1"/>
  <c r="M46" i="2"/>
  <c r="J104" i="1"/>
  <c r="K104" i="3" s="1"/>
  <c r="K103" i="3"/>
  <c r="J475" i="1"/>
  <c r="K475" i="3" s="1"/>
  <c r="J481" i="1"/>
  <c r="T96" i="2"/>
  <c r="T95" i="2"/>
  <c r="T103" i="2"/>
  <c r="T97" i="2"/>
  <c r="T91" i="2"/>
  <c r="T92" i="2"/>
  <c r="T99" i="2"/>
  <c r="T89" i="2"/>
  <c r="T102" i="2"/>
  <c r="T98" i="2"/>
  <c r="T101" i="2"/>
  <c r="T94" i="2"/>
  <c r="T104" i="2"/>
  <c r="T90" i="2"/>
  <c r="T100" i="2"/>
  <c r="T88" i="2"/>
  <c r="T86" i="2"/>
  <c r="T93" i="2"/>
  <c r="T87" i="2"/>
  <c r="X61" i="2"/>
  <c r="Z34" i="2"/>
  <c r="X52" i="2"/>
  <c r="X79" i="2" s="1"/>
  <c r="Z50" i="2"/>
  <c r="X77" i="2"/>
  <c r="J118" i="2"/>
  <c r="D197" i="7"/>
  <c r="L120" i="2"/>
  <c r="F199" i="7"/>
  <c r="F200" i="7"/>
  <c r="L121" i="2"/>
  <c r="F192" i="7"/>
  <c r="L113" i="2"/>
  <c r="L112" i="2"/>
  <c r="F191" i="7"/>
  <c r="F206" i="7"/>
  <c r="L127" i="2"/>
  <c r="F198" i="7"/>
  <c r="L119" i="2"/>
  <c r="H201" i="7"/>
  <c r="N122" i="2"/>
  <c r="H178" i="7" s="1"/>
  <c r="H86" i="2"/>
  <c r="D549" i="4"/>
  <c r="D549" i="5" s="1"/>
  <c r="D549" i="6"/>
  <c r="L549" i="4"/>
  <c r="L549" i="5" s="1"/>
  <c r="T549" i="4"/>
  <c r="T549" i="5" s="1"/>
  <c r="L549" i="6"/>
  <c r="N549" i="4"/>
  <c r="N549" i="5" s="1"/>
  <c r="T549" i="6"/>
  <c r="N549" i="6"/>
  <c r="M549" i="4"/>
  <c r="M549" i="5" s="1"/>
  <c r="Q549" i="4"/>
  <c r="Q549" i="5" s="1"/>
  <c r="F549" i="4"/>
  <c r="F549" i="5" s="1"/>
  <c r="O549" i="6"/>
  <c r="K549" i="4"/>
  <c r="K549" i="5" s="1"/>
  <c r="P549" i="6"/>
  <c r="M549" i="6"/>
  <c r="Q549" i="6"/>
  <c r="F549" i="6"/>
  <c r="O549" i="4"/>
  <c r="O549" i="5" s="1"/>
  <c r="K549" i="6"/>
  <c r="P549" i="4"/>
  <c r="P549" i="5" s="1"/>
  <c r="E196" i="7"/>
  <c r="K117" i="2"/>
  <c r="G123" i="2"/>
  <c r="F248" i="7"/>
  <c r="G118" i="2"/>
  <c r="F243" i="7"/>
  <c r="F247" i="7"/>
  <c r="G122" i="2"/>
  <c r="F250" i="7"/>
  <c r="G125" i="2"/>
  <c r="G127" i="2"/>
  <c r="F252" i="7"/>
  <c r="G128" i="2"/>
  <c r="F253" i="7"/>
  <c r="G114" i="2"/>
  <c r="F239" i="7"/>
  <c r="G124" i="2"/>
  <c r="F249" i="7"/>
  <c r="F251" i="7"/>
  <c r="G126" i="2"/>
  <c r="Y126" i="2"/>
  <c r="H136" i="7" s="1"/>
  <c r="H159" i="7"/>
  <c r="Y115" i="2"/>
  <c r="H125" i="7" s="1"/>
  <c r="H148" i="7"/>
  <c r="H145" i="7"/>
  <c r="Y112" i="2"/>
  <c r="H122" i="7" s="1"/>
  <c r="Y120" i="2"/>
  <c r="H130" i="7" s="1"/>
  <c r="H153" i="7"/>
  <c r="Y111" i="2"/>
  <c r="H121" i="7" s="1"/>
  <c r="H144" i="7"/>
  <c r="H151" i="7"/>
  <c r="Y118" i="2"/>
  <c r="H128" i="7" s="1"/>
  <c r="H146" i="7"/>
  <c r="Y113" i="2"/>
  <c r="H123" i="7" s="1"/>
  <c r="H157" i="7"/>
  <c r="Y124" i="2"/>
  <c r="H134" i="7" s="1"/>
  <c r="H161" i="7"/>
  <c r="Y128" i="2"/>
  <c r="H138" i="7" s="1"/>
  <c r="M440" i="7"/>
  <c r="R516" i="7"/>
  <c r="H196" i="7"/>
  <c r="N117" i="2"/>
  <c r="H173" i="7" s="1"/>
  <c r="H192" i="7"/>
  <c r="N113" i="2"/>
  <c r="H169" i="7" s="1"/>
  <c r="H198" i="7"/>
  <c r="N119" i="2"/>
  <c r="H175" i="7" s="1"/>
  <c r="H203" i="7"/>
  <c r="N124" i="2"/>
  <c r="H180" i="7" s="1"/>
  <c r="H204" i="7"/>
  <c r="N125" i="2"/>
  <c r="H181" i="7" s="1"/>
  <c r="N127" i="2"/>
  <c r="H183" i="7" s="1"/>
  <c r="H206" i="7"/>
  <c r="D193" i="7"/>
  <c r="J114" i="2"/>
  <c r="E241" i="7"/>
  <c r="F116" i="2"/>
  <c r="E253" i="7"/>
  <c r="F128" i="2"/>
  <c r="F126" i="2"/>
  <c r="E251" i="7"/>
  <c r="F127" i="2"/>
  <c r="E252" i="7"/>
  <c r="F118" i="2"/>
  <c r="E243" i="7"/>
  <c r="E250" i="7"/>
  <c r="F125" i="2"/>
  <c r="E238" i="7"/>
  <c r="F113" i="2"/>
  <c r="G275" i="7"/>
  <c r="G270" i="7"/>
  <c r="G265" i="7"/>
  <c r="G268" i="7"/>
  <c r="G272" i="7"/>
  <c r="G273" i="7"/>
  <c r="G266" i="7"/>
  <c r="G259" i="7"/>
  <c r="G271" i="7"/>
  <c r="G260" i="7"/>
  <c r="G276" i="7"/>
  <c r="G267" i="7"/>
  <c r="G263" i="7"/>
  <c r="G274" i="7"/>
  <c r="G264" i="7"/>
  <c r="G262" i="7"/>
  <c r="G269" i="7"/>
  <c r="G261" i="7"/>
  <c r="U554" i="5"/>
  <c r="F296" i="7"/>
  <c r="F291" i="7"/>
  <c r="F295" i="7"/>
  <c r="F290" i="7"/>
  <c r="F288" i="7"/>
  <c r="F292" i="7"/>
  <c r="F283" i="7"/>
  <c r="F284" i="7"/>
  <c r="F297" i="7"/>
  <c r="F286" i="7"/>
  <c r="F299" i="7"/>
  <c r="F282" i="7"/>
  <c r="F293" i="7"/>
  <c r="F298" i="7"/>
  <c r="F285" i="7"/>
  <c r="F289" i="7"/>
  <c r="F287" i="7"/>
  <c r="F294" i="7"/>
  <c r="E289" i="7"/>
  <c r="E299" i="7"/>
  <c r="E291" i="7"/>
  <c r="E284" i="7"/>
  <c r="E292" i="7"/>
  <c r="E296" i="7"/>
  <c r="E294" i="7"/>
  <c r="E298" i="7"/>
  <c r="E293" i="7"/>
  <c r="E290" i="7"/>
  <c r="E297" i="7"/>
  <c r="E283" i="7"/>
  <c r="E288" i="7"/>
  <c r="E295" i="7"/>
  <c r="E282" i="7"/>
  <c r="E285" i="7"/>
  <c r="E286" i="7"/>
  <c r="E287" i="7"/>
  <c r="O195" i="4"/>
  <c r="O195" i="5" s="1"/>
  <c r="L195" i="6"/>
  <c r="O195" i="6"/>
  <c r="D195" i="6"/>
  <c r="D195" i="4"/>
  <c r="D195" i="5" s="1"/>
  <c r="L195" i="4"/>
  <c r="L195" i="5" s="1"/>
  <c r="J195" i="6"/>
  <c r="J195" i="4"/>
  <c r="J195" i="5" s="1"/>
  <c r="S195" i="4"/>
  <c r="S195" i="5" s="1"/>
  <c r="S195" i="6"/>
  <c r="O481" i="1"/>
  <c r="O475" i="1"/>
  <c r="P475" i="3" s="1"/>
  <c r="P103" i="3"/>
  <c r="O104" i="1"/>
  <c r="P104" i="3" s="1"/>
  <c r="H92" i="2"/>
  <c r="H549" i="6"/>
  <c r="I448" i="7"/>
  <c r="Q506" i="7"/>
  <c r="Q511" i="7"/>
  <c r="I453" i="7"/>
  <c r="K512" i="7"/>
  <c r="K519" i="7" s="1"/>
  <c r="I456" i="7"/>
  <c r="I449" i="7"/>
  <c r="Q507" i="7"/>
  <c r="Q502" i="7"/>
  <c r="I444" i="7"/>
  <c r="D199" i="7"/>
  <c r="J120" i="2"/>
  <c r="Q195" i="6"/>
  <c r="I69" i="2"/>
  <c r="M42" i="2"/>
  <c r="L475" i="1"/>
  <c r="M475" i="3" s="1"/>
  <c r="L481" i="1"/>
  <c r="M103" i="3"/>
  <c r="L104" i="1"/>
  <c r="M104" i="3" s="1"/>
  <c r="J112" i="2"/>
  <c r="D191" i="7"/>
  <c r="K195" i="4"/>
  <c r="K195" i="5" s="1"/>
  <c r="K102" i="2"/>
  <c r="K86" i="2"/>
  <c r="K100" i="2"/>
  <c r="K93" i="2"/>
  <c r="K104" i="2"/>
  <c r="K129" i="2" s="1"/>
  <c r="K101" i="2"/>
  <c r="K88" i="2"/>
  <c r="K90" i="2"/>
  <c r="K97" i="2"/>
  <c r="K91" i="2"/>
  <c r="K95" i="2"/>
  <c r="K99" i="2"/>
  <c r="K87" i="2"/>
  <c r="K96" i="2"/>
  <c r="J104" i="2"/>
  <c r="J129" i="2" s="1"/>
  <c r="J88" i="2"/>
  <c r="J98" i="2"/>
  <c r="J99" i="2"/>
  <c r="J92" i="2"/>
  <c r="J103" i="2"/>
  <c r="J94" i="2"/>
  <c r="J97" i="2"/>
  <c r="J102" i="2"/>
  <c r="J100" i="2"/>
  <c r="Q104" i="1"/>
  <c r="R104" i="3" s="1"/>
  <c r="R103" i="3"/>
  <c r="Q475" i="1"/>
  <c r="R475" i="3" s="1"/>
  <c r="Q481" i="1"/>
  <c r="N195" i="6"/>
  <c r="M104" i="1"/>
  <c r="N104" i="3" s="1"/>
  <c r="N103" i="3"/>
  <c r="M475" i="1"/>
  <c r="N475" i="3" s="1"/>
  <c r="M481" i="1"/>
  <c r="J91" i="2"/>
  <c r="R195" i="6"/>
  <c r="M44" i="2"/>
  <c r="N482" i="1"/>
  <c r="O482" i="3" s="1"/>
  <c r="O481" i="3"/>
  <c r="J101" i="2"/>
  <c r="X63" i="2"/>
  <c r="Z36" i="2"/>
  <c r="I549" i="6"/>
  <c r="L111" i="2"/>
  <c r="F190" i="7"/>
  <c r="K103" i="2"/>
  <c r="Z37" i="2"/>
  <c r="X64" i="2"/>
  <c r="E91" i="2"/>
  <c r="F195" i="4"/>
  <c r="F195" i="5" s="1"/>
  <c r="H195" i="6"/>
  <c r="G518" i="7"/>
  <c r="S549" i="4"/>
  <c r="S549" i="5" s="1"/>
  <c r="M43" i="2"/>
  <c r="F213" i="7"/>
  <c r="L323" i="7"/>
  <c r="E549" i="4"/>
  <c r="E549" i="5" s="1"/>
  <c r="F115" i="2"/>
  <c r="E240" i="7"/>
  <c r="R519" i="7"/>
  <c r="M461" i="7" s="1"/>
  <c r="M454" i="7"/>
  <c r="H89" i="2"/>
  <c r="K324" i="7"/>
  <c r="E214" i="7"/>
  <c r="X65" i="2"/>
  <c r="Z38" i="2"/>
  <c r="E195" i="6"/>
  <c r="D79" i="2"/>
  <c r="D101" i="2" s="1"/>
  <c r="D274" i="7"/>
  <c r="D261" i="7"/>
  <c r="D266" i="7"/>
  <c r="D273" i="7"/>
  <c r="D269" i="7"/>
  <c r="D264" i="7"/>
  <c r="D271" i="7"/>
  <c r="D260" i="7"/>
  <c r="D262" i="7"/>
  <c r="D263" i="7"/>
  <c r="D259" i="7"/>
  <c r="D268" i="7"/>
  <c r="D275" i="7"/>
  <c r="D270" i="7"/>
  <c r="D276" i="7"/>
  <c r="D265" i="7"/>
  <c r="D272" i="7"/>
  <c r="D267" i="7"/>
  <c r="P195" i="4"/>
  <c r="P195" i="5" s="1"/>
  <c r="M45" i="2"/>
  <c r="I72" i="2"/>
  <c r="T195" i="6"/>
  <c r="I76" i="2"/>
  <c r="M49" i="2"/>
  <c r="Z51" i="2"/>
  <c r="X78" i="2"/>
  <c r="M48" i="2"/>
  <c r="I450" i="7"/>
  <c r="Q508" i="7"/>
  <c r="I455" i="7"/>
  <c r="Q513" i="7"/>
  <c r="I443" i="7"/>
  <c r="Q501" i="7"/>
  <c r="Q510" i="7"/>
  <c r="I452" i="7"/>
  <c r="I445" i="7"/>
  <c r="Q503" i="7"/>
  <c r="I441" i="7"/>
  <c r="Q499" i="7"/>
  <c r="Q505" i="7"/>
  <c r="I447" i="7"/>
  <c r="W126" i="2"/>
  <c r="E136" i="7" s="1"/>
  <c r="E159" i="7"/>
  <c r="E152" i="7"/>
  <c r="W119" i="2"/>
  <c r="E129" i="7" s="1"/>
  <c r="W112" i="2"/>
  <c r="E122" i="7" s="1"/>
  <c r="E145" i="7"/>
  <c r="W113" i="2"/>
  <c r="E123" i="7" s="1"/>
  <c r="E146" i="7"/>
  <c r="W127" i="2"/>
  <c r="E137" i="7" s="1"/>
  <c r="E160" i="7"/>
  <c r="W121" i="2"/>
  <c r="E131" i="7" s="1"/>
  <c r="E154" i="7"/>
  <c r="W116" i="2"/>
  <c r="E126" i="7" s="1"/>
  <c r="E149" i="7"/>
  <c r="E148" i="7"/>
  <c r="W115" i="2"/>
  <c r="E125" i="7" s="1"/>
  <c r="E161" i="7"/>
  <c r="W128" i="2"/>
  <c r="E138" i="7" s="1"/>
  <c r="V195" i="6"/>
  <c r="M195" i="6"/>
  <c r="I195" i="4"/>
  <c r="I195" i="5" s="1"/>
  <c r="H104" i="1"/>
  <c r="I104" i="3" s="1"/>
  <c r="I103" i="3"/>
  <c r="H481" i="1"/>
  <c r="H475" i="1"/>
  <c r="I475" i="3" s="1"/>
  <c r="R549" i="6"/>
  <c r="I67" i="2"/>
  <c r="M40" i="2"/>
  <c r="X62" i="2"/>
  <c r="Z35" i="2"/>
  <c r="U549" i="4"/>
  <c r="U549" i="5" s="1"/>
  <c r="G549" i="4"/>
  <c r="G549" i="5" s="1"/>
  <c r="N128" i="2"/>
  <c r="H184" i="7" s="1"/>
  <c r="H207" i="7"/>
  <c r="L116" i="2"/>
  <c r="F195" i="7"/>
  <c r="L125" i="2"/>
  <c r="F204" i="7"/>
  <c r="L126" i="2"/>
  <c r="F205" i="7"/>
  <c r="L115" i="2"/>
  <c r="F194" i="7"/>
  <c r="F202" i="7"/>
  <c r="L123" i="2"/>
  <c r="L118" i="2"/>
  <c r="F197" i="7"/>
  <c r="L122" i="2"/>
  <c r="F201" i="7"/>
  <c r="H98" i="2"/>
  <c r="V549" i="4"/>
  <c r="V549" i="5" s="1"/>
  <c r="J549" i="6"/>
  <c r="M50" i="2"/>
  <c r="F103" i="3"/>
  <c r="E104" i="1"/>
  <c r="F104" i="3" s="1"/>
  <c r="E481" i="1"/>
  <c r="E475" i="1"/>
  <c r="F475" i="3" s="1"/>
  <c r="M35" i="2"/>
  <c r="I62" i="2"/>
  <c r="D492" i="4"/>
  <c r="D492" i="5" s="1"/>
  <c r="D554" i="5" s="1"/>
  <c r="D492" i="6"/>
  <c r="Q492" i="4"/>
  <c r="Q492" i="5" s="1"/>
  <c r="Q554" i="5" s="1"/>
  <c r="Q492" i="6"/>
  <c r="P492" i="4"/>
  <c r="P492" i="5" s="1"/>
  <c r="P554" i="5" s="1"/>
  <c r="P492" i="6"/>
  <c r="K492" i="6"/>
  <c r="K492" i="4"/>
  <c r="K492" i="5" s="1"/>
  <c r="K554" i="5" s="1"/>
  <c r="F492" i="4"/>
  <c r="F492" i="5" s="1"/>
  <c r="F554" i="5" s="1"/>
  <c r="L492" i="6"/>
  <c r="T492" i="6"/>
  <c r="N492" i="4"/>
  <c r="N492" i="5" s="1"/>
  <c r="N554" i="5" s="1"/>
  <c r="F492" i="6"/>
  <c r="L492" i="4"/>
  <c r="L492" i="5" s="1"/>
  <c r="L554" i="5" s="1"/>
  <c r="M492" i="4"/>
  <c r="M492" i="5" s="1"/>
  <c r="M554" i="5" s="1"/>
  <c r="M492" i="6"/>
  <c r="N492" i="6"/>
  <c r="T492" i="4"/>
  <c r="T492" i="5" s="1"/>
  <c r="T554" i="5" s="1"/>
  <c r="O492" i="4"/>
  <c r="O492" i="5" s="1"/>
  <c r="O554" i="5" s="1"/>
  <c r="O492" i="6"/>
  <c r="D535" i="3"/>
  <c r="R535" i="6" s="1"/>
  <c r="V548" i="1"/>
  <c r="D548" i="3" s="1"/>
  <c r="H548" i="6" s="1"/>
  <c r="K454" i="7"/>
  <c r="P519" i="7"/>
  <c r="K461" i="7" s="1"/>
  <c r="G104" i="1"/>
  <c r="H104" i="3" s="1"/>
  <c r="H103" i="3"/>
  <c r="G475" i="1"/>
  <c r="H475" i="3" s="1"/>
  <c r="G481" i="1"/>
  <c r="M39" i="2"/>
  <c r="O519" i="7"/>
  <c r="J461" i="7" s="1"/>
  <c r="J454" i="7"/>
  <c r="S492" i="6"/>
  <c r="Z48" i="2"/>
  <c r="X75" i="2"/>
  <c r="K94" i="2"/>
  <c r="G112" i="2"/>
  <c r="G113" i="2"/>
  <c r="F245" i="7"/>
  <c r="G120" i="2"/>
  <c r="G119" i="2"/>
  <c r="F241" i="7"/>
  <c r="G116" i="2"/>
  <c r="F240" i="7"/>
  <c r="F246" i="7"/>
  <c r="G121" i="2"/>
  <c r="Y116" i="2"/>
  <c r="H126" i="7" s="1"/>
  <c r="H149" i="7"/>
  <c r="H154" i="7"/>
  <c r="Y121" i="2"/>
  <c r="H131" i="7" s="1"/>
  <c r="Y117" i="2"/>
  <c r="H127" i="7" s="1"/>
  <c r="H150" i="7"/>
  <c r="Y119" i="2"/>
  <c r="H129" i="7" s="1"/>
  <c r="H152" i="7"/>
  <c r="Y125" i="2"/>
  <c r="H135" i="7" s="1"/>
  <c r="H158" i="7"/>
  <c r="H160" i="7"/>
  <c r="Y127" i="2"/>
  <c r="H137" i="7" s="1"/>
  <c r="H156" i="7"/>
  <c r="Y123" i="2"/>
  <c r="H133" i="7" s="1"/>
  <c r="Y122" i="2"/>
  <c r="H132" i="7" s="1"/>
  <c r="H155" i="7"/>
  <c r="Y114" i="2"/>
  <c r="H124" i="7" s="1"/>
  <c r="H147" i="7"/>
  <c r="E492" i="6"/>
  <c r="K98" i="2"/>
  <c r="U195" i="4"/>
  <c r="U195" i="5" s="1"/>
  <c r="F119" i="2"/>
  <c r="E244" i="7"/>
  <c r="G195" i="4"/>
  <c r="G195" i="5" s="1"/>
  <c r="J518" i="7"/>
  <c r="H200" i="7"/>
  <c r="N121" i="2"/>
  <c r="H177" i="7" s="1"/>
  <c r="H205" i="7"/>
  <c r="N126" i="2"/>
  <c r="H182" i="7" s="1"/>
  <c r="N120" i="2"/>
  <c r="H176" i="7" s="1"/>
  <c r="H199" i="7"/>
  <c r="H193" i="7"/>
  <c r="N114" i="2"/>
  <c r="H170" i="7" s="1"/>
  <c r="N123" i="2"/>
  <c r="H179" i="7" s="1"/>
  <c r="H202" i="7"/>
  <c r="N115" i="2"/>
  <c r="H171" i="7" s="1"/>
  <c r="H194" i="7"/>
  <c r="F121" i="2"/>
  <c r="E246" i="7"/>
  <c r="F120" i="2"/>
  <c r="E245" i="7"/>
  <c r="E242" i="7"/>
  <c r="F117" i="2"/>
  <c r="F111" i="2"/>
  <c r="E236" i="7"/>
  <c r="F124" i="2"/>
  <c r="E249" i="7"/>
  <c r="F123" i="2"/>
  <c r="E248" i="7"/>
  <c r="E247" i="7"/>
  <c r="F122" i="2"/>
  <c r="F114" i="2"/>
  <c r="E239" i="7"/>
  <c r="F219" i="7"/>
  <c r="L329" i="7"/>
  <c r="G282" i="7"/>
  <c r="G295" i="7"/>
  <c r="G286" i="7"/>
  <c r="G283" i="7"/>
  <c r="G296" i="7"/>
  <c r="G298" i="7"/>
  <c r="G289" i="7"/>
  <c r="G297" i="7"/>
  <c r="G288" i="7"/>
  <c r="G285" i="7"/>
  <c r="G291" i="7"/>
  <c r="G293" i="7"/>
  <c r="G294" i="7"/>
  <c r="G299" i="7"/>
  <c r="G292" i="7"/>
  <c r="G287" i="7"/>
  <c r="G284" i="7"/>
  <c r="G290" i="7"/>
  <c r="L24" i="7"/>
  <c r="Z67" i="2"/>
  <c r="C24" i="7"/>
  <c r="D104" i="1"/>
  <c r="E104" i="3" s="1"/>
  <c r="E103" i="3"/>
  <c r="D475" i="1"/>
  <c r="E475" i="3" s="1"/>
  <c r="D481" i="1"/>
  <c r="V554" i="5"/>
  <c r="S554" i="5"/>
  <c r="G554" i="5"/>
  <c r="F271" i="7"/>
  <c r="F273" i="7"/>
  <c r="F270" i="7"/>
  <c r="F265" i="7"/>
  <c r="F272" i="7"/>
  <c r="F266" i="7"/>
  <c r="F259" i="7"/>
  <c r="F275" i="7"/>
  <c r="F269" i="7"/>
  <c r="F276" i="7"/>
  <c r="F264" i="7"/>
  <c r="F263" i="7"/>
  <c r="F268" i="7"/>
  <c r="F260" i="7"/>
  <c r="F262" i="7"/>
  <c r="F261" i="7"/>
  <c r="F267" i="7"/>
  <c r="F274" i="7"/>
  <c r="E272" i="7"/>
  <c r="E264" i="7"/>
  <c r="E274" i="7"/>
  <c r="E262" i="7"/>
  <c r="E266" i="7"/>
  <c r="E276" i="7"/>
  <c r="E259" i="7"/>
  <c r="E260" i="7"/>
  <c r="E271" i="7"/>
  <c r="E275" i="7"/>
  <c r="E261" i="7"/>
  <c r="E267" i="7"/>
  <c r="E269" i="7"/>
  <c r="E273" i="7"/>
  <c r="E265" i="7"/>
  <c r="E270" i="7"/>
  <c r="E263" i="7"/>
  <c r="E268" i="7"/>
  <c r="E295" i="5"/>
  <c r="C259" i="7" s="1" a="1"/>
  <c r="C282" i="7" a="1"/>
  <c r="V103" i="1"/>
  <c r="D106" i="3"/>
  <c r="Q106" i="4" s="1"/>
  <c r="Q106" i="5" s="1"/>
  <c r="F173" i="7"/>
  <c r="I329" i="7"/>
  <c r="S475" i="1"/>
  <c r="T475" i="3" s="1"/>
  <c r="S481" i="1"/>
  <c r="T103" i="3"/>
  <c r="S104" i="1"/>
  <c r="T104" i="3" s="1"/>
  <c r="H549" i="4"/>
  <c r="H549" i="5" s="1"/>
  <c r="M36" i="2"/>
  <c r="I451" i="7"/>
  <c r="Q509" i="7"/>
  <c r="Q515" i="7"/>
  <c r="I457" i="7"/>
  <c r="Q512" i="7"/>
  <c r="I454" i="7"/>
  <c r="N519" i="7"/>
  <c r="I461" i="7" s="1"/>
  <c r="I446" i="7"/>
  <c r="Q504" i="7"/>
  <c r="D8" i="4"/>
  <c r="D8" i="5" s="1"/>
  <c r="D8" i="6"/>
  <c r="Q8" i="4"/>
  <c r="Q8" i="5" s="1"/>
  <c r="Q8" i="6"/>
  <c r="T8" i="6"/>
  <c r="L8" i="6"/>
  <c r="F8" i="4"/>
  <c r="F8" i="5" s="1"/>
  <c r="F8" i="6"/>
  <c r="K8" i="6"/>
  <c r="T8" i="4"/>
  <c r="T8" i="5" s="1"/>
  <c r="K8" i="4"/>
  <c r="K8" i="5" s="1"/>
  <c r="M8" i="4"/>
  <c r="M8" i="5" s="1"/>
  <c r="L8" i="4"/>
  <c r="L8" i="5" s="1"/>
  <c r="P8" i="4"/>
  <c r="P8" i="5" s="1"/>
  <c r="P8" i="6"/>
  <c r="M8" i="6"/>
  <c r="U104" i="1"/>
  <c r="V104" i="3" s="1"/>
  <c r="V103" i="3"/>
  <c r="U475" i="1"/>
  <c r="V475" i="3" s="1"/>
  <c r="U481" i="1"/>
  <c r="Q195" i="4"/>
  <c r="Q195" i="5" s="1"/>
  <c r="E96" i="2"/>
  <c r="R492" i="4"/>
  <c r="R492" i="5" s="1"/>
  <c r="R554" i="5" s="1"/>
  <c r="Z47" i="2"/>
  <c r="X74" i="2"/>
  <c r="K195" i="6"/>
  <c r="K89" i="2"/>
  <c r="J554" i="5"/>
  <c r="I554" i="5"/>
  <c r="H88" i="2"/>
  <c r="J86" i="2"/>
  <c r="H100" i="2"/>
  <c r="O8" i="4"/>
  <c r="O8" i="5" s="1"/>
  <c r="H95" i="2"/>
  <c r="M34" i="2"/>
  <c r="C87" i="2"/>
  <c r="C112" i="2" s="1"/>
  <c r="C94" i="2"/>
  <c r="C119" i="2" s="1"/>
  <c r="C104" i="2"/>
  <c r="C92" i="2"/>
  <c r="C117" i="2" s="1"/>
  <c r="C101" i="2"/>
  <c r="C126" i="2" s="1"/>
  <c r="C97" i="2"/>
  <c r="C122" i="2" s="1"/>
  <c r="C98" i="2"/>
  <c r="C123" i="2" s="1"/>
  <c r="C93" i="2"/>
  <c r="C118" i="2" s="1"/>
  <c r="N195" i="4"/>
  <c r="N195" i="5" s="1"/>
  <c r="J90" i="2"/>
  <c r="R195" i="4"/>
  <c r="R195" i="5" s="1"/>
  <c r="C96" i="2"/>
  <c r="C121" i="2" s="1"/>
  <c r="H518" i="7"/>
  <c r="E8" i="4"/>
  <c r="E8" i="5" s="1"/>
  <c r="K440" i="7" l="1"/>
  <c r="Q514" i="7"/>
  <c r="S514" i="7" s="1"/>
  <c r="C518" i="7"/>
  <c r="P516" i="7"/>
  <c r="K458" i="7" s="1"/>
  <c r="E92" i="2"/>
  <c r="E90" i="2"/>
  <c r="C88" i="2"/>
  <c r="C113" i="2" s="1"/>
  <c r="E93" i="2"/>
  <c r="D243" i="7" s="1"/>
  <c r="E100" i="2"/>
  <c r="E125" i="2" s="1"/>
  <c r="D227" i="7" s="1"/>
  <c r="E88" i="2"/>
  <c r="E113" i="2" s="1"/>
  <c r="D215" i="7" s="1"/>
  <c r="E103" i="2"/>
  <c r="E128" i="2" s="1"/>
  <c r="D230" i="7" s="1"/>
  <c r="D247" i="7"/>
  <c r="C89" i="2"/>
  <c r="C114" i="2" s="1"/>
  <c r="C95" i="2"/>
  <c r="C120" i="2" s="1"/>
  <c r="N106" i="6"/>
  <c r="M47" i="2"/>
  <c r="M74" i="2" s="1"/>
  <c r="D99" i="2"/>
  <c r="C249" i="7" s="1"/>
  <c r="D95" i="2"/>
  <c r="D120" i="2" s="1"/>
  <c r="I516" i="7"/>
  <c r="I518" i="7" s="1"/>
  <c r="D94" i="2"/>
  <c r="C244" i="7" s="1"/>
  <c r="D88" i="2"/>
  <c r="D113" i="2" s="1"/>
  <c r="O47" i="2"/>
  <c r="D31" i="7" s="1"/>
  <c r="C99" i="2"/>
  <c r="C124" i="2" s="1"/>
  <c r="I482" i="1"/>
  <c r="J482" i="3" s="1"/>
  <c r="M78" i="2"/>
  <c r="R106" i="4"/>
  <c r="R106" i="5" s="1"/>
  <c r="M106" i="6"/>
  <c r="D98" i="2"/>
  <c r="C248" i="7" s="1"/>
  <c r="I52" i="2"/>
  <c r="I79" i="2" s="1"/>
  <c r="K516" i="7"/>
  <c r="K518" i="7" s="1"/>
  <c r="E101" i="2"/>
  <c r="E126" i="2" s="1"/>
  <c r="D228" i="7" s="1"/>
  <c r="E98" i="2"/>
  <c r="D248" i="7" s="1"/>
  <c r="E104" i="2"/>
  <c r="E129" i="2" s="1"/>
  <c r="E99" i="2"/>
  <c r="E124" i="2" s="1"/>
  <c r="D226" i="7" s="1"/>
  <c r="E102" i="2"/>
  <c r="E127" i="2" s="1"/>
  <c r="D229" i="7" s="1"/>
  <c r="E94" i="2"/>
  <c r="E119" i="2" s="1"/>
  <c r="D221" i="7" s="1"/>
  <c r="E87" i="2"/>
  <c r="D237" i="7" s="1"/>
  <c r="O38" i="2"/>
  <c r="O65" i="2" s="1"/>
  <c r="O41" i="2"/>
  <c r="M25" i="7" s="1"/>
  <c r="M64" i="2"/>
  <c r="C29" i="7"/>
  <c r="Z72" i="2"/>
  <c r="L29" i="7"/>
  <c r="R475" i="1"/>
  <c r="S475" i="3" s="1"/>
  <c r="R104" i="1"/>
  <c r="S104" i="3" s="1"/>
  <c r="R481" i="1"/>
  <c r="S103" i="3"/>
  <c r="S548" i="4"/>
  <c r="S548" i="5" s="1"/>
  <c r="F203" i="7"/>
  <c r="L124" i="2"/>
  <c r="F207" i="7"/>
  <c r="L128" i="2"/>
  <c r="S548" i="6"/>
  <c r="P106" i="4"/>
  <c r="P106" i="5" s="1"/>
  <c r="E548" i="4"/>
  <c r="E548" i="5" s="1"/>
  <c r="V548" i="6"/>
  <c r="U548" i="6"/>
  <c r="D90" i="2"/>
  <c r="C240" i="7" s="1"/>
  <c r="I548" i="4"/>
  <c r="I548" i="5" s="1"/>
  <c r="D102" i="2"/>
  <c r="D127" i="2" s="1"/>
  <c r="C26" i="7"/>
  <c r="L26" i="7"/>
  <c r="Z69" i="2"/>
  <c r="L481" i="3"/>
  <c r="K482" i="1"/>
  <c r="L482" i="3" s="1"/>
  <c r="Z68" i="2"/>
  <c r="C25" i="7"/>
  <c r="L25" i="7"/>
  <c r="Z73" i="2"/>
  <c r="L30" i="7"/>
  <c r="C30" i="7"/>
  <c r="J548" i="4"/>
  <c r="J548" i="5" s="1"/>
  <c r="G548" i="4"/>
  <c r="G548" i="5" s="1"/>
  <c r="R548" i="4"/>
  <c r="R548" i="5" s="1"/>
  <c r="D89" i="2"/>
  <c r="D114" i="2" s="1"/>
  <c r="D87" i="2"/>
  <c r="C237" i="7" s="1"/>
  <c r="D92" i="2"/>
  <c r="D117" i="2" s="1"/>
  <c r="L23" i="7"/>
  <c r="Z66" i="2"/>
  <c r="C23" i="7"/>
  <c r="H120" i="2"/>
  <c r="G245" i="7"/>
  <c r="D246" i="7"/>
  <c r="E121" i="2"/>
  <c r="D223" i="7" s="1"/>
  <c r="C451" i="7"/>
  <c r="L451" i="7"/>
  <c r="S509" i="7"/>
  <c r="C293" i="7"/>
  <c r="H293" i="7" s="1"/>
  <c r="C290" i="7"/>
  <c r="H290" i="7" s="1"/>
  <c r="C283" i="7"/>
  <c r="H283" i="7" s="1"/>
  <c r="C294" i="7"/>
  <c r="H294" i="7" s="1"/>
  <c r="C296" i="7"/>
  <c r="H296" i="7" s="1"/>
  <c r="C287" i="7"/>
  <c r="H287" i="7" s="1"/>
  <c r="C298" i="7"/>
  <c r="H298" i="7" s="1"/>
  <c r="C297" i="7"/>
  <c r="H297" i="7" s="1"/>
  <c r="C291" i="7"/>
  <c r="H291" i="7" s="1"/>
  <c r="C288" i="7"/>
  <c r="H288" i="7" s="1"/>
  <c r="C299" i="7"/>
  <c r="H299" i="7" s="1"/>
  <c r="C289" i="7"/>
  <c r="H289" i="7" s="1"/>
  <c r="C295" i="7"/>
  <c r="H295" i="7" s="1"/>
  <c r="C284" i="7"/>
  <c r="H284" i="7" s="1"/>
  <c r="C292" i="7"/>
  <c r="H292" i="7" s="1"/>
  <c r="C285" i="7"/>
  <c r="H285" i="7" s="1"/>
  <c r="C286" i="7"/>
  <c r="H286" i="7" s="1"/>
  <c r="C282" i="7"/>
  <c r="H282" i="7" s="1"/>
  <c r="K329" i="7"/>
  <c r="E219" i="7"/>
  <c r="L324" i="7"/>
  <c r="F214" i="7"/>
  <c r="D535" i="4"/>
  <c r="D535" i="5" s="1"/>
  <c r="D535" i="6"/>
  <c r="M535" i="4"/>
  <c r="M535" i="5" s="1"/>
  <c r="M535" i="6"/>
  <c r="F535" i="6"/>
  <c r="Q535" i="6"/>
  <c r="Q535" i="4"/>
  <c r="Q535" i="5" s="1"/>
  <c r="F535" i="4"/>
  <c r="F535" i="5" s="1"/>
  <c r="L535" i="6"/>
  <c r="L535" i="4"/>
  <c r="L535" i="5" s="1"/>
  <c r="O535" i="6"/>
  <c r="N535" i="4"/>
  <c r="N535" i="5" s="1"/>
  <c r="K535" i="4"/>
  <c r="K535" i="5" s="1"/>
  <c r="T535" i="6"/>
  <c r="P535" i="6"/>
  <c r="O535" i="4"/>
  <c r="O535" i="5" s="1"/>
  <c r="N535" i="6"/>
  <c r="K535" i="6"/>
  <c r="T535" i="4"/>
  <c r="T535" i="5" s="1"/>
  <c r="P535" i="4"/>
  <c r="P535" i="5" s="1"/>
  <c r="M62" i="2"/>
  <c r="O35" i="2"/>
  <c r="G248" i="7"/>
  <c r="H123" i="2"/>
  <c r="I330" i="7"/>
  <c r="F174" i="7"/>
  <c r="I338" i="7"/>
  <c r="F182" i="7"/>
  <c r="F172" i="7"/>
  <c r="I328" i="7"/>
  <c r="K106" i="4"/>
  <c r="K106" i="5" s="1"/>
  <c r="J111" i="2"/>
  <c r="D190" i="7"/>
  <c r="L31" i="7"/>
  <c r="C31" i="7"/>
  <c r="Z74" i="2"/>
  <c r="U482" i="1"/>
  <c r="V482" i="3" s="1"/>
  <c r="V481" i="3"/>
  <c r="O36" i="2"/>
  <c r="M63" i="2"/>
  <c r="S482" i="1"/>
  <c r="T482" i="3" s="1"/>
  <c r="T481" i="3"/>
  <c r="D106" i="4"/>
  <c r="D106" i="5" s="1"/>
  <c r="D106" i="6"/>
  <c r="L106" i="4"/>
  <c r="L106" i="5" s="1"/>
  <c r="J106" i="4"/>
  <c r="J106" i="5" s="1"/>
  <c r="L106" i="6"/>
  <c r="J106" i="6"/>
  <c r="O106" i="6"/>
  <c r="O106" i="4"/>
  <c r="O106" i="5" s="1"/>
  <c r="S106" i="6"/>
  <c r="S106" i="4"/>
  <c r="S106" i="5" s="1"/>
  <c r="K334" i="7"/>
  <c r="E224" i="7"/>
  <c r="K331" i="7"/>
  <c r="E221" i="7"/>
  <c r="F221" i="7"/>
  <c r="L331" i="7"/>
  <c r="F215" i="7"/>
  <c r="L325" i="7"/>
  <c r="F481" i="3"/>
  <c r="E482" i="1"/>
  <c r="F482" i="3" s="1"/>
  <c r="I334" i="7"/>
  <c r="F178" i="7"/>
  <c r="F171" i="7"/>
  <c r="I327" i="7"/>
  <c r="F181" i="7"/>
  <c r="I337" i="7"/>
  <c r="I535" i="4"/>
  <c r="I535" i="5" s="1"/>
  <c r="D123" i="2"/>
  <c r="L447" i="7"/>
  <c r="S505" i="7"/>
  <c r="C447" i="7"/>
  <c r="L452" i="7"/>
  <c r="S510" i="7"/>
  <c r="C452" i="7"/>
  <c r="H535" i="6"/>
  <c r="M76" i="2"/>
  <c r="O49" i="2"/>
  <c r="O45" i="2"/>
  <c r="M72" i="2"/>
  <c r="G106" i="6"/>
  <c r="U106" i="6"/>
  <c r="M70" i="2"/>
  <c r="O43" i="2"/>
  <c r="Z64" i="2"/>
  <c r="C21" i="7"/>
  <c r="L21" i="7"/>
  <c r="M71" i="2"/>
  <c r="O44" i="2"/>
  <c r="M482" i="1"/>
  <c r="N482" i="3" s="1"/>
  <c r="N481" i="3"/>
  <c r="J125" i="2"/>
  <c r="D204" i="7"/>
  <c r="D201" i="7"/>
  <c r="J122" i="2"/>
  <c r="D207" i="7"/>
  <c r="J128" i="2"/>
  <c r="D203" i="7"/>
  <c r="J124" i="2"/>
  <c r="D192" i="7"/>
  <c r="J113" i="2"/>
  <c r="K121" i="2"/>
  <c r="E200" i="7"/>
  <c r="E191" i="7"/>
  <c r="K112" i="2"/>
  <c r="K120" i="2"/>
  <c r="E199" i="7"/>
  <c r="K122" i="2"/>
  <c r="E201" i="7"/>
  <c r="K113" i="2"/>
  <c r="E192" i="7"/>
  <c r="K125" i="2"/>
  <c r="E204" i="7"/>
  <c r="E206" i="7"/>
  <c r="K127" i="2"/>
  <c r="V106" i="4"/>
  <c r="V106" i="5" s="1"/>
  <c r="G332" i="7"/>
  <c r="D176" i="7"/>
  <c r="L449" i="7"/>
  <c r="C449" i="7"/>
  <c r="S507" i="7"/>
  <c r="L456" i="7"/>
  <c r="S506" i="7"/>
  <c r="L448" i="7"/>
  <c r="C448" i="7"/>
  <c r="T106" i="6"/>
  <c r="E106" i="4"/>
  <c r="E106" i="5" s="1"/>
  <c r="E220" i="7"/>
  <c r="K330" i="7"/>
  <c r="K339" i="7"/>
  <c r="E229" i="7"/>
  <c r="K338" i="7"/>
  <c r="E228" i="7"/>
  <c r="F228" i="7"/>
  <c r="L338" i="7"/>
  <c r="F227" i="7"/>
  <c r="L337" i="7"/>
  <c r="F224" i="7"/>
  <c r="L334" i="7"/>
  <c r="S535" i="4"/>
  <c r="S535" i="5" s="1"/>
  <c r="H106" i="4"/>
  <c r="H106" i="5" s="1"/>
  <c r="F106" i="6"/>
  <c r="AC51" i="2"/>
  <c r="AC78" i="2" s="1"/>
  <c r="O78" i="2"/>
  <c r="D35" i="7"/>
  <c r="M35" i="7"/>
  <c r="I324" i="7"/>
  <c r="F168" i="7"/>
  <c r="F176" i="7"/>
  <c r="I332" i="7"/>
  <c r="D174" i="7"/>
  <c r="G330" i="7"/>
  <c r="Z77" i="2"/>
  <c r="L34" i="7"/>
  <c r="C34" i="7"/>
  <c r="X102" i="2"/>
  <c r="X127" i="2" s="1"/>
  <c r="X98" i="2"/>
  <c r="X123" i="2" s="1"/>
  <c r="X94" i="2"/>
  <c r="X119" i="2" s="1"/>
  <c r="X90" i="2"/>
  <c r="X115" i="2" s="1"/>
  <c r="X101" i="2"/>
  <c r="X126" i="2" s="1"/>
  <c r="X97" i="2"/>
  <c r="X122" i="2" s="1"/>
  <c r="X93" i="2"/>
  <c r="X118" i="2" s="1"/>
  <c r="X88" i="2"/>
  <c r="X113" i="2" s="1"/>
  <c r="X89" i="2"/>
  <c r="X114" i="2" s="1"/>
  <c r="X104" i="2"/>
  <c r="X129" i="2" s="1"/>
  <c r="X100" i="2"/>
  <c r="X125" i="2" s="1"/>
  <c r="X96" i="2"/>
  <c r="X121" i="2" s="1"/>
  <c r="X92" i="2"/>
  <c r="X117" i="2" s="1"/>
  <c r="X103" i="2"/>
  <c r="X128" i="2" s="1"/>
  <c r="X99" i="2"/>
  <c r="X124" i="2" s="1"/>
  <c r="X95" i="2"/>
  <c r="X120" i="2" s="1"/>
  <c r="X91" i="2"/>
  <c r="X116" i="2" s="1"/>
  <c r="X86" i="2"/>
  <c r="X111" i="2" s="1"/>
  <c r="X87" i="2"/>
  <c r="X112" i="2" s="1"/>
  <c r="AD93" i="2"/>
  <c r="F151" i="7" s="1"/>
  <c r="C151" i="7"/>
  <c r="T118" i="2"/>
  <c r="C146" i="7"/>
  <c r="AD88" i="2"/>
  <c r="F146" i="7" s="1"/>
  <c r="T113" i="2"/>
  <c r="T115" i="2"/>
  <c r="AD90" i="2"/>
  <c r="F148" i="7" s="1"/>
  <c r="C148" i="7"/>
  <c r="AD94" i="2"/>
  <c r="F152" i="7" s="1"/>
  <c r="C152" i="7"/>
  <c r="T119" i="2"/>
  <c r="C156" i="7"/>
  <c r="T123" i="2"/>
  <c r="AD98" i="2"/>
  <c r="F156" i="7" s="1"/>
  <c r="T114" i="2"/>
  <c r="C147" i="7"/>
  <c r="AD89" i="2"/>
  <c r="F147" i="7" s="1"/>
  <c r="AD92" i="2"/>
  <c r="F150" i="7" s="1"/>
  <c r="C150" i="7"/>
  <c r="T117" i="2"/>
  <c r="T122" i="2"/>
  <c r="C155" i="7"/>
  <c r="AD97" i="2"/>
  <c r="F155" i="7" s="1"/>
  <c r="AD95" i="2"/>
  <c r="F153" i="7" s="1"/>
  <c r="C153" i="7"/>
  <c r="T120" i="2"/>
  <c r="I106" i="6"/>
  <c r="Q481" i="3"/>
  <c r="P482" i="1"/>
  <c r="Q482" i="3" s="1"/>
  <c r="N518" i="7"/>
  <c r="I460" i="7" s="1"/>
  <c r="I462" i="7" s="1"/>
  <c r="I458" i="7"/>
  <c r="C251" i="7"/>
  <c r="D126" i="2"/>
  <c r="E535" i="4"/>
  <c r="E535" i="5" s="1"/>
  <c r="J458" i="7"/>
  <c r="O518" i="7"/>
  <c r="J460" i="7" s="1"/>
  <c r="J462" i="7" s="1"/>
  <c r="G253" i="7"/>
  <c r="H128" i="2"/>
  <c r="G246" i="7"/>
  <c r="H121" i="2"/>
  <c r="G243" i="7"/>
  <c r="H118" i="2"/>
  <c r="G240" i="7"/>
  <c r="H115" i="2"/>
  <c r="G251" i="7"/>
  <c r="H126" i="2"/>
  <c r="D251" i="7"/>
  <c r="E123" i="2"/>
  <c r="D225" i="7" s="1"/>
  <c r="D249" i="7"/>
  <c r="D252" i="7"/>
  <c r="D244" i="7"/>
  <c r="E112" i="2"/>
  <c r="D214" i="7" s="1"/>
  <c r="J535" i="6"/>
  <c r="V535" i="4"/>
  <c r="V535" i="5" s="1"/>
  <c r="G535" i="4"/>
  <c r="G535" i="5" s="1"/>
  <c r="U535" i="4"/>
  <c r="U535" i="5" s="1"/>
  <c r="D194" i="7"/>
  <c r="J115" i="2"/>
  <c r="N106" i="4"/>
  <c r="N106" i="5" s="1"/>
  <c r="M61" i="2"/>
  <c r="M52" i="2"/>
  <c r="O34" i="2"/>
  <c r="R106" i="6"/>
  <c r="G250" i="7"/>
  <c r="H125" i="2"/>
  <c r="G238" i="7"/>
  <c r="H113" i="2"/>
  <c r="K114" i="2"/>
  <c r="E193" i="7"/>
  <c r="R535" i="4"/>
  <c r="R535" i="5" s="1"/>
  <c r="M106" i="4"/>
  <c r="M106" i="5" s="1"/>
  <c r="L446" i="7"/>
  <c r="C446" i="7"/>
  <c r="S504" i="7"/>
  <c r="C454" i="7"/>
  <c r="S512" i="7"/>
  <c r="L454" i="7"/>
  <c r="Q519" i="7"/>
  <c r="S515" i="7"/>
  <c r="L457" i="7"/>
  <c r="C457" i="7"/>
  <c r="P106" i="6"/>
  <c r="V104" i="1"/>
  <c r="D104" i="3" s="1"/>
  <c r="H104" i="4" s="1"/>
  <c r="H104" i="5" s="1"/>
  <c r="D103" i="3"/>
  <c r="E103" i="4" s="1"/>
  <c r="E103" i="5" s="1"/>
  <c r="V481" i="1"/>
  <c r="V475" i="1"/>
  <c r="D475" i="3" s="1"/>
  <c r="F475" i="4" s="1"/>
  <c r="F475" i="5" s="1"/>
  <c r="C262" i="7"/>
  <c r="H262" i="7" s="1"/>
  <c r="C274" i="7"/>
  <c r="H274" i="7" s="1"/>
  <c r="C265" i="7"/>
  <c r="H265" i="7" s="1"/>
  <c r="C266" i="7"/>
  <c r="H266" i="7" s="1"/>
  <c r="C272" i="7"/>
  <c r="H272" i="7" s="1"/>
  <c r="C264" i="7"/>
  <c r="H264" i="7" s="1"/>
  <c r="C270" i="7"/>
  <c r="H270" i="7" s="1"/>
  <c r="C260" i="7"/>
  <c r="H260" i="7" s="1"/>
  <c r="C259" i="7"/>
  <c r="H259" i="7" s="1"/>
  <c r="C269" i="7"/>
  <c r="H269" i="7" s="1"/>
  <c r="C268" i="7"/>
  <c r="H268" i="7" s="1"/>
  <c r="C263" i="7"/>
  <c r="H263" i="7" s="1"/>
  <c r="C271" i="7"/>
  <c r="H271" i="7" s="1"/>
  <c r="C261" i="7"/>
  <c r="H261" i="7" s="1"/>
  <c r="C267" i="7"/>
  <c r="H267" i="7" s="1"/>
  <c r="C275" i="7"/>
  <c r="H275" i="7" s="1"/>
  <c r="C276" i="7"/>
  <c r="H276" i="7" s="1"/>
  <c r="C273" i="7"/>
  <c r="H273" i="7" s="1"/>
  <c r="E481" i="3"/>
  <c r="D482" i="1"/>
  <c r="E482" i="3" s="1"/>
  <c r="K326" i="7"/>
  <c r="E216" i="7"/>
  <c r="K335" i="7"/>
  <c r="E225" i="7"/>
  <c r="K336" i="7"/>
  <c r="E226" i="7"/>
  <c r="K323" i="7"/>
  <c r="E213" i="7"/>
  <c r="E222" i="7"/>
  <c r="K332" i="7"/>
  <c r="K333" i="7"/>
  <c r="E223" i="7"/>
  <c r="E202" i="7"/>
  <c r="K123" i="2"/>
  <c r="F223" i="7"/>
  <c r="L333" i="7"/>
  <c r="L327" i="7"/>
  <c r="F217" i="7"/>
  <c r="F218" i="7"/>
  <c r="L328" i="7"/>
  <c r="F222" i="7"/>
  <c r="L332" i="7"/>
  <c r="K119" i="2"/>
  <c r="E198" i="7"/>
  <c r="Z75" i="2"/>
  <c r="L32" i="7"/>
  <c r="C32" i="7"/>
  <c r="M66" i="2"/>
  <c r="O39" i="2"/>
  <c r="G482" i="1"/>
  <c r="H482" i="3" s="1"/>
  <c r="H481" i="3"/>
  <c r="H103" i="4"/>
  <c r="H103" i="5" s="1"/>
  <c r="D548" i="6"/>
  <c r="D548" i="4"/>
  <c r="D548" i="5" s="1"/>
  <c r="L548" i="4"/>
  <c r="L548" i="5" s="1"/>
  <c r="Q548" i="6"/>
  <c r="M548" i="4"/>
  <c r="M548" i="5" s="1"/>
  <c r="L548" i="6"/>
  <c r="Q548" i="4"/>
  <c r="Q548" i="5" s="1"/>
  <c r="M548" i="6"/>
  <c r="F548" i="4"/>
  <c r="F548" i="5" s="1"/>
  <c r="F548" i="6"/>
  <c r="O548" i="6"/>
  <c r="K548" i="4"/>
  <c r="K548" i="5" s="1"/>
  <c r="T548" i="4"/>
  <c r="T548" i="5" s="1"/>
  <c r="P548" i="6"/>
  <c r="N548" i="6"/>
  <c r="O548" i="4"/>
  <c r="O548" i="5" s="1"/>
  <c r="K548" i="6"/>
  <c r="T548" i="6"/>
  <c r="P548" i="4"/>
  <c r="P548" i="5" s="1"/>
  <c r="N548" i="4"/>
  <c r="N548" i="5" s="1"/>
  <c r="M77" i="2"/>
  <c r="O50" i="2"/>
  <c r="I335" i="7"/>
  <c r="F179" i="7"/>
  <c r="I535" i="6"/>
  <c r="L19" i="7"/>
  <c r="C19" i="7"/>
  <c r="Z62" i="2"/>
  <c r="O40" i="2"/>
  <c r="M67" i="2"/>
  <c r="K106" i="6"/>
  <c r="H482" i="1"/>
  <c r="I482" i="3" s="1"/>
  <c r="I481" i="3"/>
  <c r="Q106" i="6"/>
  <c r="L441" i="7"/>
  <c r="S499" i="7"/>
  <c r="C441" i="7"/>
  <c r="C445" i="7"/>
  <c r="L445" i="7"/>
  <c r="S503" i="7"/>
  <c r="C443" i="7"/>
  <c r="L443" i="7"/>
  <c r="S501" i="7"/>
  <c r="L455" i="7"/>
  <c r="S513" i="7"/>
  <c r="C455" i="7"/>
  <c r="L450" i="7"/>
  <c r="S508" i="7"/>
  <c r="C450" i="7"/>
  <c r="O48" i="2"/>
  <c r="M75" i="2"/>
  <c r="H535" i="4"/>
  <c r="H535" i="5" s="1"/>
  <c r="Z78" i="2"/>
  <c r="L35" i="7"/>
  <c r="C35" i="7"/>
  <c r="D93" i="2"/>
  <c r="D104" i="2"/>
  <c r="D129" i="2" s="1"/>
  <c r="D100" i="2"/>
  <c r="D91" i="2"/>
  <c r="D96" i="2"/>
  <c r="D86" i="2"/>
  <c r="C22" i="7"/>
  <c r="Z65" i="2"/>
  <c r="L22" i="7"/>
  <c r="G239" i="7"/>
  <c r="H114" i="2"/>
  <c r="G106" i="4"/>
  <c r="G106" i="5" s="1"/>
  <c r="K327" i="7"/>
  <c r="E217" i="7"/>
  <c r="U106" i="4"/>
  <c r="U106" i="5" s="1"/>
  <c r="E548" i="6"/>
  <c r="D241" i="7"/>
  <c r="E116" i="2"/>
  <c r="D218" i="7" s="1"/>
  <c r="J548" i="6"/>
  <c r="V548" i="4"/>
  <c r="V548" i="5" s="1"/>
  <c r="E207" i="7"/>
  <c r="K128" i="2"/>
  <c r="F167" i="7"/>
  <c r="I323" i="7"/>
  <c r="Z63" i="2"/>
  <c r="C20" i="7"/>
  <c r="L20" i="7"/>
  <c r="G548" i="6"/>
  <c r="U548" i="4"/>
  <c r="U548" i="5" s="1"/>
  <c r="D205" i="7"/>
  <c r="J126" i="2"/>
  <c r="J116" i="2"/>
  <c r="D195" i="7"/>
  <c r="R481" i="3"/>
  <c r="Q482" i="1"/>
  <c r="R482" i="3" s="1"/>
  <c r="D206" i="7"/>
  <c r="J127" i="2"/>
  <c r="J119" i="2"/>
  <c r="D198" i="7"/>
  <c r="D196" i="7"/>
  <c r="J117" i="2"/>
  <c r="D202" i="7"/>
  <c r="J123" i="2"/>
  <c r="E203" i="7"/>
  <c r="K124" i="2"/>
  <c r="E195" i="7"/>
  <c r="K116" i="2"/>
  <c r="K115" i="2"/>
  <c r="E194" i="7"/>
  <c r="K126" i="2"/>
  <c r="E205" i="7"/>
  <c r="K118" i="2"/>
  <c r="E197" i="7"/>
  <c r="K111" i="2"/>
  <c r="E190" i="7"/>
  <c r="R548" i="6"/>
  <c r="D168" i="7"/>
  <c r="G324" i="7"/>
  <c r="M481" i="3"/>
  <c r="L482" i="1"/>
  <c r="M482" i="3" s="1"/>
  <c r="O42" i="2"/>
  <c r="M69" i="2"/>
  <c r="V106" i="6"/>
  <c r="D103" i="2"/>
  <c r="L444" i="7"/>
  <c r="S502" i="7"/>
  <c r="C444" i="7"/>
  <c r="C453" i="7"/>
  <c r="S511" i="7"/>
  <c r="L453" i="7"/>
  <c r="G242" i="7"/>
  <c r="H117" i="2"/>
  <c r="T106" i="4"/>
  <c r="T106" i="5" s="1"/>
  <c r="P103" i="6"/>
  <c r="P481" i="3"/>
  <c r="O482" i="1"/>
  <c r="P482" i="3" s="1"/>
  <c r="E106" i="6"/>
  <c r="E215" i="7"/>
  <c r="K325" i="7"/>
  <c r="K337" i="7"/>
  <c r="E227" i="7"/>
  <c r="K340" i="7"/>
  <c r="E230" i="7"/>
  <c r="E218" i="7"/>
  <c r="K328" i="7"/>
  <c r="D170" i="7"/>
  <c r="G326" i="7"/>
  <c r="R518" i="7"/>
  <c r="M460" i="7" s="1"/>
  <c r="M462" i="7" s="1"/>
  <c r="M458" i="7"/>
  <c r="L336" i="7"/>
  <c r="F226" i="7"/>
  <c r="L326" i="7"/>
  <c r="F216" i="7"/>
  <c r="L340" i="7"/>
  <c r="F230" i="7"/>
  <c r="F229" i="7"/>
  <c r="L339" i="7"/>
  <c r="F220" i="7"/>
  <c r="L330" i="7"/>
  <c r="L335" i="7"/>
  <c r="F225" i="7"/>
  <c r="M21" i="7"/>
  <c r="D21" i="7"/>
  <c r="E21" i="7" s="1"/>
  <c r="O64" i="2"/>
  <c r="AC37" i="2"/>
  <c r="AC64" i="2" s="1"/>
  <c r="S535" i="6"/>
  <c r="H106" i="6"/>
  <c r="E173" i="7"/>
  <c r="H329" i="7"/>
  <c r="H111" i="2"/>
  <c r="G236" i="7"/>
  <c r="F106" i="4"/>
  <c r="F106" i="5" s="1"/>
  <c r="I331" i="7"/>
  <c r="F175" i="7"/>
  <c r="I339" i="7"/>
  <c r="F183" i="7"/>
  <c r="I325" i="7"/>
  <c r="F169" i="7"/>
  <c r="I333" i="7"/>
  <c r="F177" i="7"/>
  <c r="I548" i="6"/>
  <c r="Z61" i="2"/>
  <c r="Z52" i="2"/>
  <c r="C18" i="7"/>
  <c r="L18" i="7"/>
  <c r="T112" i="2"/>
  <c r="AD87" i="2"/>
  <c r="F145" i="7" s="1"/>
  <c r="C145" i="7"/>
  <c r="T111" i="2"/>
  <c r="AD86" i="2"/>
  <c r="F144" i="7" s="1"/>
  <c r="C144" i="7"/>
  <c r="T125" i="2"/>
  <c r="AD100" i="2"/>
  <c r="F158" i="7" s="1"/>
  <c r="C158" i="7"/>
  <c r="AD104" i="2"/>
  <c r="G63" i="7" s="1"/>
  <c r="T129" i="2"/>
  <c r="AF129" i="2" s="1"/>
  <c r="C159" i="7"/>
  <c r="AD101" i="2"/>
  <c r="F159" i="7" s="1"/>
  <c r="T126" i="2"/>
  <c r="C160" i="7"/>
  <c r="T127" i="2"/>
  <c r="AD102" i="2"/>
  <c r="F160" i="7" s="1"/>
  <c r="T124" i="2"/>
  <c r="C157" i="7"/>
  <c r="AD99" i="2"/>
  <c r="F157" i="7" s="1"/>
  <c r="AD91" i="2"/>
  <c r="F149" i="7" s="1"/>
  <c r="C149" i="7"/>
  <c r="T116" i="2"/>
  <c r="C161" i="7"/>
  <c r="T128" i="2"/>
  <c r="AD103" i="2"/>
  <c r="F161" i="7" s="1"/>
  <c r="AD96" i="2"/>
  <c r="F154" i="7" s="1"/>
  <c r="T121" i="2"/>
  <c r="C154" i="7"/>
  <c r="J482" i="1"/>
  <c r="K482" i="3" s="1"/>
  <c r="K481" i="3"/>
  <c r="I106" i="4"/>
  <c r="I106" i="5" s="1"/>
  <c r="M73" i="2"/>
  <c r="O46" i="2"/>
  <c r="L442" i="7"/>
  <c r="C442" i="7"/>
  <c r="S500" i="7"/>
  <c r="C440" i="7"/>
  <c r="S498" i="7"/>
  <c r="L440" i="7"/>
  <c r="H548" i="4"/>
  <c r="H548" i="5" s="1"/>
  <c r="D245" i="7"/>
  <c r="E120" i="2"/>
  <c r="D222" i="7" s="1"/>
  <c r="D97" i="2"/>
  <c r="F482" i="1"/>
  <c r="G482" i="3" s="1"/>
  <c r="G481" i="3"/>
  <c r="T482" i="1"/>
  <c r="U482" i="3" s="1"/>
  <c r="U481" i="3"/>
  <c r="D177" i="7"/>
  <c r="G333" i="7"/>
  <c r="E535" i="6"/>
  <c r="G252" i="7"/>
  <c r="H127" i="2"/>
  <c r="H124" i="2"/>
  <c r="G249" i="7"/>
  <c r="H112" i="2"/>
  <c r="G237" i="7"/>
  <c r="H122" i="2"/>
  <c r="G247" i="7"/>
  <c r="G244" i="7"/>
  <c r="H119" i="2"/>
  <c r="G241" i="7"/>
  <c r="H116" i="2"/>
  <c r="E118" i="2"/>
  <c r="D220" i="7" s="1"/>
  <c r="E111" i="2"/>
  <c r="D213" i="7" s="1"/>
  <c r="D236" i="7"/>
  <c r="D250" i="7"/>
  <c r="D242" i="7"/>
  <c r="E117" i="2"/>
  <c r="D219" i="7" s="1"/>
  <c r="D238" i="7"/>
  <c r="D239" i="7"/>
  <c r="E114" i="2"/>
  <c r="D216" i="7" s="1"/>
  <c r="D253" i="7"/>
  <c r="D240" i="7"/>
  <c r="E115" i="2"/>
  <c r="D217" i="7" s="1"/>
  <c r="J535" i="4"/>
  <c r="J535" i="5" s="1"/>
  <c r="V535" i="6"/>
  <c r="G535" i="6"/>
  <c r="I326" i="7"/>
  <c r="F170" i="7"/>
  <c r="U535" i="6"/>
  <c r="Q516" i="7" l="1"/>
  <c r="Q517" i="7" s="1"/>
  <c r="L459" i="7" s="1"/>
  <c r="C456" i="7"/>
  <c r="P518" i="7"/>
  <c r="K460" i="7" s="1"/>
  <c r="K462" i="7" s="1"/>
  <c r="C245" i="7"/>
  <c r="C129" i="2"/>
  <c r="G103" i="6"/>
  <c r="U104" i="4"/>
  <c r="U104" i="5" s="1"/>
  <c r="Q104" i="4"/>
  <c r="Q104" i="5" s="1"/>
  <c r="C238" i="7"/>
  <c r="H238" i="7" s="1"/>
  <c r="D124" i="2"/>
  <c r="J336" i="7" s="1"/>
  <c r="M104" i="4"/>
  <c r="M104" i="5" s="1"/>
  <c r="N104" i="6"/>
  <c r="I104" i="6"/>
  <c r="F104" i="4"/>
  <c r="F104" i="5" s="1"/>
  <c r="D112" i="2"/>
  <c r="J324" i="7" s="1"/>
  <c r="C252" i="7"/>
  <c r="H252" i="7" s="1"/>
  <c r="C242" i="7"/>
  <c r="H242" i="7" s="1"/>
  <c r="AC47" i="2"/>
  <c r="AC74" i="2" s="1"/>
  <c r="Q103" i="6"/>
  <c r="K103" i="6"/>
  <c r="D119" i="2"/>
  <c r="C221" i="7" s="1"/>
  <c r="C239" i="7"/>
  <c r="H239" i="7" s="1"/>
  <c r="O74" i="2"/>
  <c r="D115" i="2"/>
  <c r="C217" i="7" s="1"/>
  <c r="E31" i="7"/>
  <c r="Q31" i="7" s="1"/>
  <c r="R31" i="7" s="1"/>
  <c r="G103" i="4"/>
  <c r="G103" i="5" s="1"/>
  <c r="Q103" i="4"/>
  <c r="Q103" i="5" s="1"/>
  <c r="K103" i="4"/>
  <c r="K103" i="5" s="1"/>
  <c r="P103" i="4"/>
  <c r="P103" i="5" s="1"/>
  <c r="R103" i="6"/>
  <c r="M31" i="7"/>
  <c r="D25" i="7"/>
  <c r="E25" i="7" s="1"/>
  <c r="H25" i="7" s="1"/>
  <c r="I25" i="7" s="1"/>
  <c r="D22" i="7"/>
  <c r="E22" i="7" s="1"/>
  <c r="AC38" i="2"/>
  <c r="AC65" i="2" s="1"/>
  <c r="M22" i="7"/>
  <c r="N22" i="7" s="1"/>
  <c r="O22" i="7" s="1"/>
  <c r="O68" i="2"/>
  <c r="N31" i="7"/>
  <c r="O31" i="7" s="1"/>
  <c r="E55" i="2"/>
  <c r="I94" i="2"/>
  <c r="I119" i="2" s="1"/>
  <c r="I92" i="2"/>
  <c r="I101" i="2"/>
  <c r="I93" i="2"/>
  <c r="I118" i="2" s="1"/>
  <c r="I87" i="2"/>
  <c r="I98" i="2"/>
  <c r="I104" i="2"/>
  <c r="I129" i="2" s="1"/>
  <c r="I86" i="2"/>
  <c r="I97" i="2"/>
  <c r="N25" i="7"/>
  <c r="O25" i="7" s="1"/>
  <c r="I96" i="2"/>
  <c r="I99" i="2"/>
  <c r="I89" i="2"/>
  <c r="I103" i="2"/>
  <c r="I88" i="2"/>
  <c r="I95" i="2"/>
  <c r="I100" i="2"/>
  <c r="I91" i="2"/>
  <c r="I102" i="2"/>
  <c r="I90" i="2"/>
  <c r="E103" i="6"/>
  <c r="AC41" i="2"/>
  <c r="AC68" i="2" s="1"/>
  <c r="N475" i="6"/>
  <c r="R482" i="1"/>
  <c r="S482" i="3" s="1"/>
  <c r="S481" i="3"/>
  <c r="U104" i="6"/>
  <c r="Q104" i="6"/>
  <c r="N21" i="7"/>
  <c r="O21" i="7" s="1"/>
  <c r="M104" i="6"/>
  <c r="N104" i="4"/>
  <c r="N104" i="5" s="1"/>
  <c r="I104" i="4"/>
  <c r="I104" i="5" s="1"/>
  <c r="F104" i="6"/>
  <c r="F475" i="6"/>
  <c r="F184" i="7"/>
  <c r="I340" i="7"/>
  <c r="F180" i="7"/>
  <c r="I336" i="7"/>
  <c r="R103" i="4"/>
  <c r="R103" i="5" s="1"/>
  <c r="N475" i="4"/>
  <c r="N475" i="5" s="1"/>
  <c r="H103" i="6"/>
  <c r="M328" i="7"/>
  <c r="G218" i="7"/>
  <c r="M339" i="7"/>
  <c r="G229" i="7"/>
  <c r="M334" i="7"/>
  <c r="G224" i="7"/>
  <c r="G214" i="7"/>
  <c r="M324" i="7"/>
  <c r="G226" i="7"/>
  <c r="M336" i="7"/>
  <c r="D122" i="2"/>
  <c r="C247" i="7"/>
  <c r="H247" i="7" s="1"/>
  <c r="D440" i="7"/>
  <c r="S516" i="7"/>
  <c r="N440" i="7"/>
  <c r="D442" i="7"/>
  <c r="N442" i="7"/>
  <c r="AF128" i="2"/>
  <c r="F138" i="7" s="1"/>
  <c r="C138" i="7"/>
  <c r="C126" i="7"/>
  <c r="AF116" i="2"/>
  <c r="F126" i="7" s="1"/>
  <c r="AF125" i="2"/>
  <c r="F135" i="7" s="1"/>
  <c r="C135" i="7"/>
  <c r="AF112" i="2"/>
  <c r="F122" i="7" s="1"/>
  <c r="C122" i="7"/>
  <c r="H21" i="7"/>
  <c r="I21" i="7" s="1"/>
  <c r="Q21" i="7"/>
  <c r="R21" i="7" s="1"/>
  <c r="F21" i="7"/>
  <c r="M329" i="7"/>
  <c r="G219" i="7"/>
  <c r="N444" i="7"/>
  <c r="D444" i="7"/>
  <c r="D128" i="2"/>
  <c r="C253" i="7"/>
  <c r="H253" i="7" s="1"/>
  <c r="M26" i="7"/>
  <c r="N26" i="7" s="1"/>
  <c r="O26" i="7" s="1"/>
  <c r="AC42" i="2"/>
  <c r="AC69" i="2" s="1"/>
  <c r="O69" i="2"/>
  <c r="D26" i="7"/>
  <c r="E26" i="7" s="1"/>
  <c r="E172" i="7"/>
  <c r="H328" i="7"/>
  <c r="H336" i="7"/>
  <c r="E180" i="7"/>
  <c r="G335" i="7"/>
  <c r="D179" i="7"/>
  <c r="G329" i="7"/>
  <c r="D173" i="7"/>
  <c r="G339" i="7"/>
  <c r="D183" i="7"/>
  <c r="G338" i="7"/>
  <c r="D182" i="7"/>
  <c r="C246" i="7"/>
  <c r="H246" i="7" s="1"/>
  <c r="D121" i="2"/>
  <c r="D125" i="2"/>
  <c r="C250" i="7"/>
  <c r="H250" i="7" s="1"/>
  <c r="C243" i="7"/>
  <c r="H243" i="7" s="1"/>
  <c r="D118" i="2"/>
  <c r="M32" i="7"/>
  <c r="N32" i="7" s="1"/>
  <c r="O32" i="7" s="1"/>
  <c r="AC48" i="2"/>
  <c r="AC75" i="2" s="1"/>
  <c r="O75" i="2"/>
  <c r="D32" i="7"/>
  <c r="E32" i="7" s="1"/>
  <c r="N450" i="7"/>
  <c r="D450" i="7"/>
  <c r="D445" i="7"/>
  <c r="N445" i="7"/>
  <c r="N441" i="7"/>
  <c r="D441" i="7"/>
  <c r="M34" i="7"/>
  <c r="N34" i="7" s="1"/>
  <c r="O34" i="7" s="1"/>
  <c r="D34" i="7"/>
  <c r="E34" i="7" s="1"/>
  <c r="AC50" i="2"/>
  <c r="AC77" i="2" s="1"/>
  <c r="O77" i="2"/>
  <c r="H335" i="7"/>
  <c r="E179" i="7"/>
  <c r="D475" i="4"/>
  <c r="D475" i="5" s="1"/>
  <c r="D475" i="6"/>
  <c r="S475" i="6"/>
  <c r="L475" i="6"/>
  <c r="S475" i="4"/>
  <c r="S475" i="5" s="1"/>
  <c r="L475" i="4"/>
  <c r="L475" i="5" s="1"/>
  <c r="O475" i="6"/>
  <c r="J475" i="4"/>
  <c r="J475" i="5" s="1"/>
  <c r="O475" i="4"/>
  <c r="O475" i="5" s="1"/>
  <c r="J475" i="6"/>
  <c r="D103" i="4"/>
  <c r="D103" i="5" s="1"/>
  <c r="D103" i="6"/>
  <c r="L103" i="4"/>
  <c r="L103" i="5" s="1"/>
  <c r="L103" i="6"/>
  <c r="S103" i="6"/>
  <c r="J103" i="4"/>
  <c r="J103" i="5" s="1"/>
  <c r="O103" i="4"/>
  <c r="O103" i="5" s="1"/>
  <c r="S103" i="4"/>
  <c r="S103" i="5" s="1"/>
  <c r="J103" i="6"/>
  <c r="O103" i="6"/>
  <c r="T475" i="4"/>
  <c r="T475" i="5" s="1"/>
  <c r="T103" i="4"/>
  <c r="T103" i="5" s="1"/>
  <c r="D457" i="7"/>
  <c r="N457" i="7"/>
  <c r="N446" i="7"/>
  <c r="D446" i="7"/>
  <c r="V104" i="4"/>
  <c r="V104" i="5" s="1"/>
  <c r="V475" i="4"/>
  <c r="V475" i="5" s="1"/>
  <c r="J331" i="7"/>
  <c r="E170" i="7"/>
  <c r="H326" i="7"/>
  <c r="M18" i="7"/>
  <c r="N18" i="7" s="1"/>
  <c r="O18" i="7" s="1"/>
  <c r="O61" i="2"/>
  <c r="O52" i="2"/>
  <c r="D18" i="7"/>
  <c r="E18" i="7" s="1"/>
  <c r="AC34" i="2"/>
  <c r="G327" i="7"/>
  <c r="D171" i="7"/>
  <c r="M338" i="7"/>
  <c r="G228" i="7"/>
  <c r="G217" i="7"/>
  <c r="M327" i="7"/>
  <c r="G220" i="7"/>
  <c r="M330" i="7"/>
  <c r="M333" i="7"/>
  <c r="G223" i="7"/>
  <c r="M340" i="7"/>
  <c r="G230" i="7"/>
  <c r="U103" i="4"/>
  <c r="U103" i="5" s="1"/>
  <c r="U475" i="4"/>
  <c r="U475" i="5" s="1"/>
  <c r="G104" i="6"/>
  <c r="G475" i="4"/>
  <c r="G475" i="5" s="1"/>
  <c r="H251" i="7"/>
  <c r="Q475" i="4"/>
  <c r="Q475" i="5" s="1"/>
  <c r="K104" i="6"/>
  <c r="K475" i="6"/>
  <c r="AF120" i="2"/>
  <c r="F130" i="7" s="1"/>
  <c r="C130" i="7"/>
  <c r="AF117" i="2"/>
  <c r="F127" i="7" s="1"/>
  <c r="C127" i="7"/>
  <c r="AF115" i="2"/>
  <c r="F125" i="7" s="1"/>
  <c r="C125" i="7"/>
  <c r="AF118" i="2"/>
  <c r="F128" i="7" s="1"/>
  <c r="C128" i="7"/>
  <c r="E35" i="7"/>
  <c r="C214" i="7"/>
  <c r="J326" i="7"/>
  <c r="C216" i="7"/>
  <c r="P475" i="4"/>
  <c r="P475" i="5" s="1"/>
  <c r="P104" i="6"/>
  <c r="D456" i="7"/>
  <c r="N456" i="7"/>
  <c r="M475" i="4"/>
  <c r="M475" i="5" s="1"/>
  <c r="M103" i="4"/>
  <c r="M103" i="5" s="1"/>
  <c r="J327" i="7"/>
  <c r="E181" i="7"/>
  <c r="H337" i="7"/>
  <c r="E169" i="7"/>
  <c r="H325" i="7"/>
  <c r="E178" i="7"/>
  <c r="H334" i="7"/>
  <c r="E176" i="7"/>
  <c r="H332" i="7"/>
  <c r="E177" i="7"/>
  <c r="H333" i="7"/>
  <c r="D181" i="7"/>
  <c r="G337" i="7"/>
  <c r="R104" i="6"/>
  <c r="R475" i="4"/>
  <c r="R475" i="5" s="1"/>
  <c r="N103" i="4"/>
  <c r="N103" i="5" s="1"/>
  <c r="O70" i="2"/>
  <c r="M27" i="7"/>
  <c r="N27" i="7" s="1"/>
  <c r="O27" i="7" s="1"/>
  <c r="AC43" i="2"/>
  <c r="AC70" i="2" s="1"/>
  <c r="D27" i="7"/>
  <c r="E27" i="7" s="1"/>
  <c r="O76" i="2"/>
  <c r="AC49" i="2"/>
  <c r="AC76" i="2" s="1"/>
  <c r="D33" i="7"/>
  <c r="E33" i="7" s="1"/>
  <c r="M33" i="7"/>
  <c r="N33" i="7" s="1"/>
  <c r="O33" i="7" s="1"/>
  <c r="D452" i="7"/>
  <c r="N452" i="7"/>
  <c r="C225" i="7"/>
  <c r="J335" i="7"/>
  <c r="I475" i="4"/>
  <c r="I475" i="5" s="1"/>
  <c r="H475" i="4"/>
  <c r="H475" i="5" s="1"/>
  <c r="E104" i="6"/>
  <c r="T104" i="6"/>
  <c r="H245" i="7"/>
  <c r="G323" i="7"/>
  <c r="D167" i="7"/>
  <c r="I103" i="6"/>
  <c r="G225" i="7"/>
  <c r="M335" i="7"/>
  <c r="F103" i="4"/>
  <c r="F103" i="5" s="1"/>
  <c r="D19" i="7"/>
  <c r="E19" i="7" s="1"/>
  <c r="AC35" i="2"/>
  <c r="AC62" i="2" s="1"/>
  <c r="M19" i="7"/>
  <c r="N19" i="7" s="1"/>
  <c r="O19" i="7" s="1"/>
  <c r="C215" i="7"/>
  <c r="J325" i="7"/>
  <c r="E475" i="6"/>
  <c r="V103" i="4"/>
  <c r="V103" i="5" s="1"/>
  <c r="G221" i="7"/>
  <c r="M331" i="7"/>
  <c r="L458" i="7"/>
  <c r="C458" i="7"/>
  <c r="D30" i="7"/>
  <c r="E30" i="7" s="1"/>
  <c r="O73" i="2"/>
  <c r="AC46" i="2"/>
  <c r="AC73" i="2" s="1"/>
  <c r="M30" i="7"/>
  <c r="N30" i="7" s="1"/>
  <c r="O30" i="7" s="1"/>
  <c r="AF121" i="2"/>
  <c r="F131" i="7" s="1"/>
  <c r="C131" i="7"/>
  <c r="AF124" i="2"/>
  <c r="F134" i="7" s="1"/>
  <c r="C134" i="7"/>
  <c r="C137" i="7"/>
  <c r="AF127" i="2"/>
  <c r="F137" i="7" s="1"/>
  <c r="AF126" i="2"/>
  <c r="F136" i="7" s="1"/>
  <c r="C136" i="7"/>
  <c r="C121" i="7"/>
  <c r="AF111" i="2"/>
  <c r="F121" i="7" s="1"/>
  <c r="Z79" i="2"/>
  <c r="Z86" i="2" s="1"/>
  <c r="G45" i="7" s="1"/>
  <c r="L36" i="7"/>
  <c r="C36" i="7"/>
  <c r="M323" i="7"/>
  <c r="G213" i="7"/>
  <c r="N453" i="7"/>
  <c r="D453" i="7"/>
  <c r="E167" i="7"/>
  <c r="H323" i="7"/>
  <c r="E174" i="7"/>
  <c r="H330" i="7"/>
  <c r="E182" i="7"/>
  <c r="H338" i="7"/>
  <c r="E171" i="7"/>
  <c r="H327" i="7"/>
  <c r="D175" i="7"/>
  <c r="G331" i="7"/>
  <c r="G328" i="7"/>
  <c r="D172" i="7"/>
  <c r="E184" i="7"/>
  <c r="H340" i="7"/>
  <c r="M326" i="7"/>
  <c r="G216" i="7"/>
  <c r="D111" i="2"/>
  <c r="C236" i="7"/>
  <c r="H236" i="7" s="1"/>
  <c r="C241" i="7"/>
  <c r="H241" i="7" s="1"/>
  <c r="D116" i="2"/>
  <c r="D455" i="7"/>
  <c r="N455" i="7"/>
  <c r="D443" i="7"/>
  <c r="N443" i="7"/>
  <c r="M24" i="7"/>
  <c r="N24" i="7" s="1"/>
  <c r="O24" i="7" s="1"/>
  <c r="AC40" i="2"/>
  <c r="AC67" i="2" s="1"/>
  <c r="O67" i="2"/>
  <c r="D24" i="7"/>
  <c r="E24" i="7" s="1"/>
  <c r="AC39" i="2"/>
  <c r="AC66" i="2" s="1"/>
  <c r="D23" i="7"/>
  <c r="E23" i="7" s="1"/>
  <c r="M23" i="7"/>
  <c r="N23" i="7" s="1"/>
  <c r="O23" i="7" s="1"/>
  <c r="O66" i="2"/>
  <c r="E175" i="7"/>
  <c r="H331" i="7"/>
  <c r="V482" i="1"/>
  <c r="D482" i="3" s="1"/>
  <c r="Q482" i="4" s="1"/>
  <c r="Q482" i="5" s="1"/>
  <c r="D481" i="3"/>
  <c r="U481" i="6" s="1"/>
  <c r="D104" i="4"/>
  <c r="D104" i="5" s="1"/>
  <c r="D104" i="6"/>
  <c r="L104" i="4"/>
  <c r="L104" i="5" s="1"/>
  <c r="L104" i="6"/>
  <c r="S104" i="4"/>
  <c r="S104" i="5" s="1"/>
  <c r="J104" i="6"/>
  <c r="O104" i="4"/>
  <c r="O104" i="5" s="1"/>
  <c r="S104" i="6"/>
  <c r="J104" i="4"/>
  <c r="J104" i="5" s="1"/>
  <c r="O104" i="6"/>
  <c r="T475" i="6"/>
  <c r="T103" i="6"/>
  <c r="C461" i="7"/>
  <c r="L461" i="7"/>
  <c r="D454" i="7"/>
  <c r="N454" i="7"/>
  <c r="S519" i="7"/>
  <c r="V104" i="6"/>
  <c r="V475" i="6"/>
  <c r="H244" i="7"/>
  <c r="G215" i="7"/>
  <c r="M325" i="7"/>
  <c r="G227" i="7"/>
  <c r="M337" i="7"/>
  <c r="M79" i="2"/>
  <c r="M95" i="2" s="1"/>
  <c r="E56" i="2"/>
  <c r="U103" i="6"/>
  <c r="U475" i="6"/>
  <c r="J339" i="7"/>
  <c r="C229" i="7"/>
  <c r="G104" i="4"/>
  <c r="G104" i="5" s="1"/>
  <c r="G475" i="6"/>
  <c r="C228" i="7"/>
  <c r="J338" i="7"/>
  <c r="Q475" i="6"/>
  <c r="K104" i="4"/>
  <c r="K104" i="5" s="1"/>
  <c r="K475" i="4"/>
  <c r="K475" i="5" s="1"/>
  <c r="C219" i="7"/>
  <c r="J329" i="7"/>
  <c r="AF122" i="2"/>
  <c r="F132" i="7" s="1"/>
  <c r="C132" i="7"/>
  <c r="C124" i="7"/>
  <c r="AF114" i="2"/>
  <c r="F124" i="7" s="1"/>
  <c r="AF123" i="2"/>
  <c r="F133" i="7" s="1"/>
  <c r="C133" i="7"/>
  <c r="AF119" i="2"/>
  <c r="F129" i="7" s="1"/>
  <c r="C129" i="7"/>
  <c r="C123" i="7"/>
  <c r="AF113" i="2"/>
  <c r="F123" i="7" s="1"/>
  <c r="N35" i="7"/>
  <c r="O35" i="7" s="1"/>
  <c r="H237" i="7"/>
  <c r="P475" i="6"/>
  <c r="P104" i="4"/>
  <c r="P104" i="5" s="1"/>
  <c r="D448" i="7"/>
  <c r="N448" i="7"/>
  <c r="N449" i="7"/>
  <c r="D449" i="7"/>
  <c r="M475" i="6"/>
  <c r="M103" i="6"/>
  <c r="H240" i="7"/>
  <c r="H339" i="7"/>
  <c r="E183" i="7"/>
  <c r="H324" i="7"/>
  <c r="E168" i="7"/>
  <c r="D169" i="7"/>
  <c r="G325" i="7"/>
  <c r="G336" i="7"/>
  <c r="D180" i="7"/>
  <c r="D184" i="7"/>
  <c r="G340" i="7"/>
  <c r="G334" i="7"/>
  <c r="D178" i="7"/>
  <c r="R104" i="4"/>
  <c r="R104" i="5" s="1"/>
  <c r="R475" i="6"/>
  <c r="N103" i="6"/>
  <c r="M28" i="7"/>
  <c r="N28" i="7" s="1"/>
  <c r="O28" i="7" s="1"/>
  <c r="D28" i="7"/>
  <c r="E28" i="7" s="1"/>
  <c r="AC44" i="2"/>
  <c r="AC71" i="2" s="1"/>
  <c r="O71" i="2"/>
  <c r="M29" i="7"/>
  <c r="N29" i="7" s="1"/>
  <c r="O29" i="7" s="1"/>
  <c r="D29" i="7"/>
  <c r="E29" i="7" s="1"/>
  <c r="AC45" i="2"/>
  <c r="AC72" i="2" s="1"/>
  <c r="O72" i="2"/>
  <c r="N447" i="7"/>
  <c r="D447" i="7"/>
  <c r="H248" i="7"/>
  <c r="I475" i="6"/>
  <c r="H475" i="6"/>
  <c r="E104" i="4"/>
  <c r="E104" i="5" s="1"/>
  <c r="T104" i="4"/>
  <c r="T104" i="5" s="1"/>
  <c r="D20" i="7"/>
  <c r="E20" i="7" s="1"/>
  <c r="O63" i="2"/>
  <c r="M20" i="7"/>
  <c r="N20" i="7" s="1"/>
  <c r="O20" i="7" s="1"/>
  <c r="AC36" i="2"/>
  <c r="AC63" i="2" s="1"/>
  <c r="J332" i="7"/>
  <c r="C222" i="7"/>
  <c r="I103" i="4"/>
  <c r="I103" i="5" s="1"/>
  <c r="F103" i="6"/>
  <c r="H104" i="6"/>
  <c r="E475" i="4"/>
  <c r="E475" i="5" s="1"/>
  <c r="N451" i="7"/>
  <c r="D451" i="7"/>
  <c r="V103" i="6"/>
  <c r="H249" i="7"/>
  <c r="G222" i="7"/>
  <c r="M332" i="7"/>
  <c r="Q518" i="7" l="1"/>
  <c r="Q25" i="7"/>
  <c r="R25" i="7" s="1"/>
  <c r="C226" i="7"/>
  <c r="M101" i="2"/>
  <c r="M126" i="2" s="1"/>
  <c r="G182" i="7" s="1"/>
  <c r="F31" i="7"/>
  <c r="F25" i="7"/>
  <c r="H31" i="7"/>
  <c r="I31" i="7" s="1"/>
  <c r="C198" i="7"/>
  <c r="H221" i="7"/>
  <c r="F331" i="7" s="1"/>
  <c r="C175" i="7"/>
  <c r="C197" i="7"/>
  <c r="I123" i="2"/>
  <c r="C202" i="7"/>
  <c r="C196" i="7"/>
  <c r="I117" i="2"/>
  <c r="C191" i="7"/>
  <c r="I112" i="2"/>
  <c r="C205" i="7"/>
  <c r="I126" i="2"/>
  <c r="I122" i="2"/>
  <c r="C201" i="7"/>
  <c r="C190" i="7"/>
  <c r="I111" i="2"/>
  <c r="I127" i="2"/>
  <c r="C206" i="7"/>
  <c r="I125" i="2"/>
  <c r="C204" i="7"/>
  <c r="C192" i="7"/>
  <c r="I113" i="2"/>
  <c r="C193" i="7"/>
  <c r="I114" i="2"/>
  <c r="I121" i="2"/>
  <c r="C200" i="7"/>
  <c r="I115" i="2"/>
  <c r="C194" i="7"/>
  <c r="C195" i="7"/>
  <c r="I116" i="2"/>
  <c r="C199" i="7"/>
  <c r="I120" i="2"/>
  <c r="C207" i="7"/>
  <c r="I128" i="2"/>
  <c r="C203" i="7"/>
  <c r="I124" i="2"/>
  <c r="V482" i="4"/>
  <c r="V482" i="5" s="1"/>
  <c r="T482" i="4"/>
  <c r="T482" i="5" s="1"/>
  <c r="N481" i="4"/>
  <c r="N481" i="5" s="1"/>
  <c r="N552" i="5" s="1"/>
  <c r="M87" i="2"/>
  <c r="G191" i="7" s="1"/>
  <c r="F482" i="4"/>
  <c r="F482" i="5" s="1"/>
  <c r="Q482" i="6"/>
  <c r="V482" i="6"/>
  <c r="T482" i="6"/>
  <c r="F482" i="6"/>
  <c r="N481" i="6"/>
  <c r="E481" i="4"/>
  <c r="E481" i="5" s="1"/>
  <c r="E552" i="5" s="1"/>
  <c r="Q29" i="7"/>
  <c r="R29" i="7" s="1"/>
  <c r="F29" i="7"/>
  <c r="H29" i="7"/>
  <c r="I29" i="7" s="1"/>
  <c r="M120" i="2"/>
  <c r="G176" i="7" s="1"/>
  <c r="G199" i="7"/>
  <c r="M104" i="2"/>
  <c r="M129" i="2" s="1"/>
  <c r="M93" i="2"/>
  <c r="M90" i="2"/>
  <c r="M89" i="2"/>
  <c r="M99" i="2"/>
  <c r="M103" i="2"/>
  <c r="D482" i="6"/>
  <c r="D482" i="4"/>
  <c r="D482" i="5" s="1"/>
  <c r="L482" i="6"/>
  <c r="S482" i="6"/>
  <c r="L482" i="4"/>
  <c r="L482" i="5" s="1"/>
  <c r="S482" i="4"/>
  <c r="S482" i="5" s="1"/>
  <c r="J482" i="6"/>
  <c r="O482" i="4"/>
  <c r="O482" i="5" s="1"/>
  <c r="J482" i="4"/>
  <c r="J482" i="5" s="1"/>
  <c r="O482" i="6"/>
  <c r="H481" i="4"/>
  <c r="H481" i="5" s="1"/>
  <c r="H552" i="5" s="1"/>
  <c r="I481" i="6"/>
  <c r="J328" i="7"/>
  <c r="C218" i="7"/>
  <c r="R481" i="4"/>
  <c r="R481" i="5" s="1"/>
  <c r="R552" i="5" s="1"/>
  <c r="M482" i="4"/>
  <c r="M482" i="5" s="1"/>
  <c r="P482" i="4"/>
  <c r="P482" i="5" s="1"/>
  <c r="K482" i="6"/>
  <c r="Q30" i="7"/>
  <c r="R30" i="7" s="1"/>
  <c r="H30" i="7"/>
  <c r="I30" i="7" s="1"/>
  <c r="F30" i="7"/>
  <c r="G482" i="6"/>
  <c r="Q19" i="7"/>
  <c r="R19" i="7" s="1"/>
  <c r="H19" i="7"/>
  <c r="I19" i="7" s="1"/>
  <c r="F19" i="7"/>
  <c r="V481" i="6"/>
  <c r="T481" i="6"/>
  <c r="F481" i="6"/>
  <c r="Q33" i="7"/>
  <c r="R33" i="7" s="1"/>
  <c r="H33" i="7"/>
  <c r="I33" i="7" s="1"/>
  <c r="F33" i="7"/>
  <c r="H27" i="7"/>
  <c r="I27" i="7" s="1"/>
  <c r="F27" i="7"/>
  <c r="Q27" i="7"/>
  <c r="R27" i="7" s="1"/>
  <c r="M96" i="2"/>
  <c r="N482" i="4"/>
  <c r="N482" i="5" s="1"/>
  <c r="Q35" i="7"/>
  <c r="R35" i="7" s="1"/>
  <c r="H35" i="7"/>
  <c r="I35" i="7" s="1"/>
  <c r="F35" i="7"/>
  <c r="Q481" i="6"/>
  <c r="M86" i="2"/>
  <c r="Q18" i="7"/>
  <c r="H18" i="7"/>
  <c r="I18" i="7" s="1"/>
  <c r="F18" i="7"/>
  <c r="E482" i="4"/>
  <c r="E482" i="5" s="1"/>
  <c r="H22" i="7"/>
  <c r="I22" i="7" s="1"/>
  <c r="Q22" i="7"/>
  <c r="R22" i="7" s="1"/>
  <c r="F22" i="7"/>
  <c r="H482" i="4"/>
  <c r="H482" i="5" s="1"/>
  <c r="Q34" i="7"/>
  <c r="R34" i="7" s="1"/>
  <c r="H34" i="7"/>
  <c r="I34" i="7" s="1"/>
  <c r="F34" i="7"/>
  <c r="M92" i="2"/>
  <c r="I482" i="4"/>
  <c r="I482" i="5" s="1"/>
  <c r="J337" i="7"/>
  <c r="C227" i="7"/>
  <c r="R482" i="6"/>
  <c r="M481" i="4"/>
  <c r="M481" i="5" s="1"/>
  <c r="M552" i="5" s="1"/>
  <c r="H26" i="7"/>
  <c r="I26" i="7" s="1"/>
  <c r="Q26" i="7"/>
  <c r="R26" i="7" s="1"/>
  <c r="F26" i="7"/>
  <c r="P481" i="6"/>
  <c r="K481" i="4"/>
  <c r="K481" i="5" s="1"/>
  <c r="K552" i="5" s="1"/>
  <c r="N458" i="7"/>
  <c r="S518" i="7"/>
  <c r="D458" i="7"/>
  <c r="J334" i="7"/>
  <c r="C224" i="7"/>
  <c r="H220" i="7"/>
  <c r="F330" i="7" s="1"/>
  <c r="C174" i="7"/>
  <c r="G481" i="4"/>
  <c r="G481" i="5" s="1"/>
  <c r="G552" i="5" s="1"/>
  <c r="U482" i="6"/>
  <c r="Q20" i="7"/>
  <c r="R20" i="7" s="1"/>
  <c r="H20" i="7"/>
  <c r="I20" i="7" s="1"/>
  <c r="F20" i="7"/>
  <c r="Q28" i="7"/>
  <c r="R28" i="7" s="1"/>
  <c r="H28" i="7"/>
  <c r="I28" i="7" s="1"/>
  <c r="F28" i="7"/>
  <c r="N461" i="7"/>
  <c r="D461" i="7"/>
  <c r="D481" i="4"/>
  <c r="D481" i="5" s="1"/>
  <c r="D552" i="5" s="1"/>
  <c r="D481" i="6"/>
  <c r="S481" i="4"/>
  <c r="S481" i="5" s="1"/>
  <c r="S552" i="5" s="1"/>
  <c r="L481" i="6"/>
  <c r="S481" i="6"/>
  <c r="L481" i="4"/>
  <c r="L481" i="5" s="1"/>
  <c r="L552" i="5" s="1"/>
  <c r="J481" i="6"/>
  <c r="O481" i="4"/>
  <c r="O481" i="5" s="1"/>
  <c r="O552" i="5" s="1"/>
  <c r="J481" i="4"/>
  <c r="J481" i="5" s="1"/>
  <c r="J552" i="5" s="1"/>
  <c r="O481" i="6"/>
  <c r="E481" i="6"/>
  <c r="Q23" i="7"/>
  <c r="R23" i="7" s="1"/>
  <c r="H23" i="7"/>
  <c r="I23" i="7" s="1"/>
  <c r="F23" i="7"/>
  <c r="H481" i="6"/>
  <c r="M102" i="2"/>
  <c r="Q24" i="7"/>
  <c r="R24" i="7" s="1"/>
  <c r="F24" i="7"/>
  <c r="H24" i="7"/>
  <c r="I24" i="7" s="1"/>
  <c r="I481" i="4"/>
  <c r="I481" i="5" s="1"/>
  <c r="I552" i="5" s="1"/>
  <c r="M100" i="2"/>
  <c r="J323" i="7"/>
  <c r="C213" i="7"/>
  <c r="R481" i="6"/>
  <c r="M482" i="6"/>
  <c r="M94" i="2"/>
  <c r="P482" i="6"/>
  <c r="Z90" i="2"/>
  <c r="Z102" i="2"/>
  <c r="Z93" i="2"/>
  <c r="Z101" i="2"/>
  <c r="Z88" i="2"/>
  <c r="Z96" i="2"/>
  <c r="Z87" i="2"/>
  <c r="Z95" i="2"/>
  <c r="Z103" i="2"/>
  <c r="Z98" i="2"/>
  <c r="Z97" i="2"/>
  <c r="Z92" i="2"/>
  <c r="Z91" i="2"/>
  <c r="Z94" i="2"/>
  <c r="Z89" i="2"/>
  <c r="Z104" i="2"/>
  <c r="Z129" i="2" s="1"/>
  <c r="C63" i="7" s="1"/>
  <c r="Z100" i="2"/>
  <c r="Z99" i="2"/>
  <c r="K482" i="4"/>
  <c r="K482" i="5" s="1"/>
  <c r="L460" i="7"/>
  <c r="C489" i="7" s="1"/>
  <c r="C431" i="7" s="1"/>
  <c r="C460" i="7"/>
  <c r="G482" i="4"/>
  <c r="G482" i="5" s="1"/>
  <c r="V481" i="4"/>
  <c r="V481" i="5" s="1"/>
  <c r="V552" i="5" s="1"/>
  <c r="M88" i="2"/>
  <c r="T481" i="4"/>
  <c r="T481" i="5" s="1"/>
  <c r="T552" i="5" s="1"/>
  <c r="F481" i="4"/>
  <c r="F481" i="5" s="1"/>
  <c r="F552" i="5" s="1"/>
  <c r="M97" i="2"/>
  <c r="N482" i="6"/>
  <c r="Q481" i="4"/>
  <c r="Q481" i="5" s="1"/>
  <c r="Q552" i="5" s="1"/>
  <c r="AC61" i="2"/>
  <c r="AC52" i="2"/>
  <c r="AC79" i="2" s="1"/>
  <c r="M36" i="7"/>
  <c r="N36" i="7" s="1"/>
  <c r="O36" i="7" s="1"/>
  <c r="O79" i="2"/>
  <c r="D36" i="7"/>
  <c r="E482" i="6"/>
  <c r="M91" i="2"/>
  <c r="H482" i="6"/>
  <c r="I482" i="6"/>
  <c r="Q32" i="7"/>
  <c r="R32" i="7" s="1"/>
  <c r="F32" i="7"/>
  <c r="H32" i="7"/>
  <c r="I32" i="7" s="1"/>
  <c r="C220" i="7"/>
  <c r="J330" i="7"/>
  <c r="J333" i="7"/>
  <c r="C223" i="7"/>
  <c r="R482" i="4"/>
  <c r="R482" i="5" s="1"/>
  <c r="M481" i="6"/>
  <c r="C230" i="7"/>
  <c r="J340" i="7"/>
  <c r="P481" i="4"/>
  <c r="P481" i="5" s="1"/>
  <c r="P552" i="5" s="1"/>
  <c r="K481" i="6"/>
  <c r="M98" i="2"/>
  <c r="G481" i="6"/>
  <c r="U481" i="4"/>
  <c r="U481" i="5" s="1"/>
  <c r="U552" i="5" s="1"/>
  <c r="U482" i="4"/>
  <c r="U482" i="5" s="1"/>
  <c r="G205" i="7" l="1"/>
  <c r="C182" i="7"/>
  <c r="H228" i="7"/>
  <c r="F338" i="7" s="1"/>
  <c r="C168" i="7"/>
  <c r="H214" i="7"/>
  <c r="F324" i="7" s="1"/>
  <c r="C173" i="7"/>
  <c r="H219" i="7"/>
  <c r="F329" i="7" s="1"/>
  <c r="C179" i="7"/>
  <c r="H225" i="7"/>
  <c r="F335" i="7" s="1"/>
  <c r="H213" i="7"/>
  <c r="F323" i="7" s="1"/>
  <c r="C167" i="7"/>
  <c r="M112" i="2"/>
  <c r="G168" i="7" s="1"/>
  <c r="C178" i="7"/>
  <c r="H224" i="7"/>
  <c r="F334" i="7" s="1"/>
  <c r="C180" i="7"/>
  <c r="H226" i="7"/>
  <c r="F336" i="7" s="1"/>
  <c r="H230" i="7"/>
  <c r="F340" i="7" s="1"/>
  <c r="C184" i="7"/>
  <c r="C176" i="7"/>
  <c r="H222" i="7"/>
  <c r="F332" i="7" s="1"/>
  <c r="H218" i="7"/>
  <c r="F328" i="7" s="1"/>
  <c r="C172" i="7"/>
  <c r="C170" i="7"/>
  <c r="H216" i="7"/>
  <c r="F326" i="7" s="1"/>
  <c r="C169" i="7"/>
  <c r="H215" i="7"/>
  <c r="F325" i="7" s="1"/>
  <c r="C171" i="7"/>
  <c r="H217" i="7"/>
  <c r="F327" i="7" s="1"/>
  <c r="C177" i="7"/>
  <c r="H223" i="7"/>
  <c r="F333" i="7" s="1"/>
  <c r="C181" i="7"/>
  <c r="H227" i="7"/>
  <c r="F337" i="7" s="1"/>
  <c r="H229" i="7"/>
  <c r="F339" i="7" s="1"/>
  <c r="C183" i="7"/>
  <c r="M123" i="2"/>
  <c r="G179" i="7" s="1"/>
  <c r="G202" i="7"/>
  <c r="I198" i="7"/>
  <c r="H53" i="7"/>
  <c r="AC94" i="2"/>
  <c r="O119" i="2"/>
  <c r="O104" i="2"/>
  <c r="O93" i="2"/>
  <c r="O90" i="2"/>
  <c r="O99" i="2"/>
  <c r="O89" i="2"/>
  <c r="O103" i="2"/>
  <c r="O95" i="2"/>
  <c r="M122" i="2"/>
  <c r="G178" i="7" s="1"/>
  <c r="G201" i="7"/>
  <c r="E488" i="7"/>
  <c r="E474" i="7"/>
  <c r="E486" i="7"/>
  <c r="E483" i="7"/>
  <c r="E478" i="7"/>
  <c r="E471" i="7"/>
  <c r="E473" i="7"/>
  <c r="E477" i="7"/>
  <c r="E480" i="7"/>
  <c r="E482" i="7"/>
  <c r="E484" i="7"/>
  <c r="E485" i="7"/>
  <c r="E476" i="7"/>
  <c r="E469" i="7"/>
  <c r="E479" i="7"/>
  <c r="E472" i="7"/>
  <c r="E470" i="7"/>
  <c r="E475" i="7"/>
  <c r="E481" i="7"/>
  <c r="O98" i="2"/>
  <c r="I157" i="7"/>
  <c r="Z124" i="2"/>
  <c r="G58" i="7"/>
  <c r="Z119" i="2"/>
  <c r="G53" i="7"/>
  <c r="I152" i="7"/>
  <c r="G51" i="7"/>
  <c r="I150" i="7"/>
  <c r="Z117" i="2"/>
  <c r="Z123" i="2"/>
  <c r="I156" i="7"/>
  <c r="G57" i="7"/>
  <c r="I161" i="7"/>
  <c r="Z128" i="2"/>
  <c r="G62" i="7"/>
  <c r="I145" i="7"/>
  <c r="G46" i="7"/>
  <c r="Z112" i="2"/>
  <c r="Z113" i="2"/>
  <c r="I146" i="7"/>
  <c r="G47" i="7"/>
  <c r="G52" i="7"/>
  <c r="I151" i="7"/>
  <c r="Z118" i="2"/>
  <c r="I148" i="7"/>
  <c r="G49" i="7"/>
  <c r="Z115" i="2"/>
  <c r="M119" i="2"/>
  <c r="G175" i="7" s="1"/>
  <c r="G198" i="7"/>
  <c r="G204" i="7"/>
  <c r="M125" i="2"/>
  <c r="G181" i="7" s="1"/>
  <c r="O91" i="2"/>
  <c r="O96" i="2"/>
  <c r="N460" i="7"/>
  <c r="D487" i="7" s="1"/>
  <c r="D429" i="7" s="1"/>
  <c r="D460" i="7"/>
  <c r="F489" i="7" s="1"/>
  <c r="O100" i="2"/>
  <c r="M111" i="2"/>
  <c r="G167" i="7" s="1"/>
  <c r="G190" i="7"/>
  <c r="M121" i="2"/>
  <c r="G177" i="7" s="1"/>
  <c r="G200" i="7"/>
  <c r="O101" i="2"/>
  <c r="E487" i="7"/>
  <c r="O92" i="2"/>
  <c r="M128" i="2"/>
  <c r="G184" i="7" s="1"/>
  <c r="G207" i="7"/>
  <c r="M114" i="2"/>
  <c r="G170" i="7" s="1"/>
  <c r="G193" i="7"/>
  <c r="M118" i="2"/>
  <c r="G174" i="7" s="1"/>
  <c r="G197" i="7"/>
  <c r="O97" i="2"/>
  <c r="O88" i="2"/>
  <c r="G195" i="7"/>
  <c r="M116" i="2"/>
  <c r="G172" i="7" s="1"/>
  <c r="E36" i="7"/>
  <c r="M113" i="2"/>
  <c r="G169" i="7" s="1"/>
  <c r="G192" i="7"/>
  <c r="C488" i="7"/>
  <c r="C430" i="7" s="1"/>
  <c r="C482" i="7"/>
  <c r="C424" i="7" s="1"/>
  <c r="C484" i="7"/>
  <c r="C426" i="7" s="1"/>
  <c r="C477" i="7"/>
  <c r="C419" i="7" s="1"/>
  <c r="C476" i="7"/>
  <c r="C418" i="7" s="1"/>
  <c r="C480" i="7"/>
  <c r="C422" i="7" s="1"/>
  <c r="C479" i="7"/>
  <c r="C421" i="7" s="1"/>
  <c r="C474" i="7"/>
  <c r="C416" i="7" s="1"/>
  <c r="C470" i="7"/>
  <c r="C412" i="7" s="1"/>
  <c r="C478" i="7"/>
  <c r="C420" i="7" s="1"/>
  <c r="C481" i="7"/>
  <c r="C423" i="7" s="1"/>
  <c r="C469" i="7"/>
  <c r="C411" i="7" s="1"/>
  <c r="C471" i="7"/>
  <c r="C413" i="7" s="1"/>
  <c r="C472" i="7"/>
  <c r="C414" i="7" s="1"/>
  <c r="C483" i="7"/>
  <c r="C425" i="7" s="1"/>
  <c r="C475" i="7"/>
  <c r="C417" i="7" s="1"/>
  <c r="C473" i="7"/>
  <c r="C415" i="7" s="1"/>
  <c r="C486" i="7"/>
  <c r="C428" i="7" s="1"/>
  <c r="C485" i="7"/>
  <c r="C427" i="7" s="1"/>
  <c r="G59" i="7"/>
  <c r="I158" i="7"/>
  <c r="Z125" i="2"/>
  <c r="G48" i="7"/>
  <c r="I147" i="7"/>
  <c r="Z114" i="2"/>
  <c r="Z116" i="2"/>
  <c r="G50" i="7"/>
  <c r="I149" i="7"/>
  <c r="G56" i="7"/>
  <c r="I155" i="7"/>
  <c r="Z122" i="2"/>
  <c r="I144" i="7"/>
  <c r="Z111" i="2"/>
  <c r="I153" i="7"/>
  <c r="Z120" i="2"/>
  <c r="G54" i="7"/>
  <c r="I154" i="7"/>
  <c r="G55" i="7"/>
  <c r="Z121" i="2"/>
  <c r="I159" i="7"/>
  <c r="G60" i="7"/>
  <c r="Z126" i="2"/>
  <c r="Z127" i="2"/>
  <c r="I160" i="7"/>
  <c r="G61" i="7"/>
  <c r="H66" i="7"/>
  <c r="I66" i="7" s="1"/>
  <c r="M127" i="2"/>
  <c r="G183" i="7" s="1"/>
  <c r="G206" i="7"/>
  <c r="E489" i="7"/>
  <c r="G196" i="7"/>
  <c r="M117" i="2"/>
  <c r="G173" i="7" s="1"/>
  <c r="O102" i="2"/>
  <c r="R18" i="7"/>
  <c r="Q36" i="7"/>
  <c r="R36" i="7" s="1"/>
  <c r="O87" i="2"/>
  <c r="C487" i="7"/>
  <c r="C429" i="7" s="1"/>
  <c r="L462" i="7"/>
  <c r="M124" i="2"/>
  <c r="G180" i="7" s="1"/>
  <c r="G203" i="7"/>
  <c r="M115" i="2"/>
  <c r="G171" i="7" s="1"/>
  <c r="G194" i="7"/>
  <c r="I53" i="7" l="1"/>
  <c r="F487" i="7"/>
  <c r="O127" i="2"/>
  <c r="AC102" i="2"/>
  <c r="I206" i="7"/>
  <c r="H61" i="7"/>
  <c r="C60" i="7"/>
  <c r="I136" i="7"/>
  <c r="I132" i="7"/>
  <c r="C56" i="7"/>
  <c r="I124" i="7"/>
  <c r="C48" i="7"/>
  <c r="F36" i="7"/>
  <c r="H36" i="7"/>
  <c r="I36" i="7" s="1"/>
  <c r="I201" i="7"/>
  <c r="O122" i="2"/>
  <c r="AC97" i="2"/>
  <c r="H56" i="7"/>
  <c r="I487" i="7"/>
  <c r="E429" i="7"/>
  <c r="I190" i="7"/>
  <c r="O111" i="2"/>
  <c r="H45" i="7"/>
  <c r="AC86" i="2"/>
  <c r="D488" i="7"/>
  <c r="D430" i="7" s="1"/>
  <c r="D476" i="7"/>
  <c r="D418" i="7" s="1"/>
  <c r="D483" i="7"/>
  <c r="D425" i="7" s="1"/>
  <c r="D470" i="7"/>
  <c r="D412" i="7" s="1"/>
  <c r="D479" i="7"/>
  <c r="D421" i="7" s="1"/>
  <c r="D477" i="7"/>
  <c r="D419" i="7" s="1"/>
  <c r="D484" i="7"/>
  <c r="D426" i="7" s="1"/>
  <c r="D482" i="7"/>
  <c r="D424" i="7" s="1"/>
  <c r="D481" i="7"/>
  <c r="D423" i="7" s="1"/>
  <c r="D471" i="7"/>
  <c r="D413" i="7" s="1"/>
  <c r="D485" i="7"/>
  <c r="D427" i="7" s="1"/>
  <c r="D475" i="7"/>
  <c r="D417" i="7" s="1"/>
  <c r="D474" i="7"/>
  <c r="D416" i="7" s="1"/>
  <c r="D480" i="7"/>
  <c r="D422" i="7" s="1"/>
  <c r="D478" i="7"/>
  <c r="D420" i="7" s="1"/>
  <c r="D472" i="7"/>
  <c r="D414" i="7" s="1"/>
  <c r="D486" i="7"/>
  <c r="D428" i="7" s="1"/>
  <c r="D473" i="7"/>
  <c r="D415" i="7" s="1"/>
  <c r="D469" i="7"/>
  <c r="D411" i="7" s="1"/>
  <c r="D489" i="7"/>
  <c r="D431" i="7" s="1"/>
  <c r="I125" i="7"/>
  <c r="C49" i="7"/>
  <c r="I123" i="7"/>
  <c r="C47" i="7"/>
  <c r="I127" i="7"/>
  <c r="C51" i="7"/>
  <c r="I134" i="7"/>
  <c r="C58" i="7"/>
  <c r="H57" i="7"/>
  <c r="I202" i="7"/>
  <c r="O123" i="2"/>
  <c r="AC98" i="2"/>
  <c r="I475" i="7"/>
  <c r="E417" i="7"/>
  <c r="E414" i="7"/>
  <c r="I472" i="7"/>
  <c r="I469" i="7"/>
  <c r="E411" i="7"/>
  <c r="I485" i="7"/>
  <c r="E427" i="7"/>
  <c r="I482" i="7"/>
  <c r="E424" i="7"/>
  <c r="I477" i="7"/>
  <c r="E419" i="7"/>
  <c r="E413" i="7"/>
  <c r="I471" i="7"/>
  <c r="E425" i="7"/>
  <c r="I483" i="7"/>
  <c r="E416" i="7"/>
  <c r="I474" i="7"/>
  <c r="O120" i="2"/>
  <c r="H54" i="7"/>
  <c r="AC95" i="2"/>
  <c r="I199" i="7"/>
  <c r="H48" i="7"/>
  <c r="I193" i="7"/>
  <c r="AC89" i="2"/>
  <c r="O114" i="2"/>
  <c r="H49" i="7"/>
  <c r="O115" i="2"/>
  <c r="AC90" i="2"/>
  <c r="I194" i="7"/>
  <c r="O129" i="2"/>
  <c r="D63" i="7" s="1"/>
  <c r="H63" i="7"/>
  <c r="AC104" i="2"/>
  <c r="D53" i="7"/>
  <c r="I175" i="7"/>
  <c r="AC119" i="2"/>
  <c r="AI119" i="2" s="1"/>
  <c r="E431" i="7"/>
  <c r="I489" i="7"/>
  <c r="H46" i="7"/>
  <c r="I191" i="7"/>
  <c r="AC87" i="2"/>
  <c r="O112" i="2"/>
  <c r="F431" i="7"/>
  <c r="I137" i="7"/>
  <c r="C61" i="7"/>
  <c r="C55" i="7"/>
  <c r="I131" i="7"/>
  <c r="I130" i="7"/>
  <c r="C54" i="7"/>
  <c r="C45" i="7"/>
  <c r="I121" i="7"/>
  <c r="I126" i="7"/>
  <c r="C50" i="7"/>
  <c r="C59" i="7"/>
  <c r="I135" i="7"/>
  <c r="I192" i="7"/>
  <c r="H47" i="7"/>
  <c r="AC88" i="2"/>
  <c r="O113" i="2"/>
  <c r="I196" i="7"/>
  <c r="AC92" i="2"/>
  <c r="O117" i="2"/>
  <c r="H51" i="7"/>
  <c r="H60" i="7"/>
  <c r="I205" i="7"/>
  <c r="O126" i="2"/>
  <c r="AC101" i="2"/>
  <c r="I204" i="7"/>
  <c r="AC100" i="2"/>
  <c r="H59" i="7"/>
  <c r="O125" i="2"/>
  <c r="F488" i="7"/>
  <c r="F478" i="7"/>
  <c r="F484" i="7"/>
  <c r="F482" i="7"/>
  <c r="F486" i="7"/>
  <c r="F476" i="7"/>
  <c r="F485" i="7"/>
  <c r="F475" i="7"/>
  <c r="F474" i="7"/>
  <c r="F469" i="7"/>
  <c r="F477" i="7"/>
  <c r="F472" i="7"/>
  <c r="F481" i="7"/>
  <c r="F473" i="7"/>
  <c r="F471" i="7"/>
  <c r="F480" i="7"/>
  <c r="F483" i="7"/>
  <c r="F470" i="7"/>
  <c r="F479" i="7"/>
  <c r="O121" i="2"/>
  <c r="AC96" i="2"/>
  <c r="I200" i="7"/>
  <c r="H55" i="7"/>
  <c r="N462" i="7"/>
  <c r="O116" i="2"/>
  <c r="AC91" i="2"/>
  <c r="H50" i="7"/>
  <c r="I195" i="7"/>
  <c r="C52" i="7"/>
  <c r="I128" i="7"/>
  <c r="C46" i="7"/>
  <c r="I122" i="7"/>
  <c r="I138" i="7"/>
  <c r="C62" i="7"/>
  <c r="I57" i="7"/>
  <c r="C57" i="7"/>
  <c r="I133" i="7"/>
  <c r="C53" i="7"/>
  <c r="I129" i="7"/>
  <c r="I481" i="7"/>
  <c r="E423" i="7"/>
  <c r="I470" i="7"/>
  <c r="E412" i="7"/>
  <c r="E421" i="7"/>
  <c r="I479" i="7"/>
  <c r="I476" i="7"/>
  <c r="E418" i="7"/>
  <c r="E426" i="7"/>
  <c r="I484" i="7"/>
  <c r="I480" i="7"/>
  <c r="E422" i="7"/>
  <c r="E415" i="7"/>
  <c r="I473" i="7"/>
  <c r="E420" i="7"/>
  <c r="I478" i="7"/>
  <c r="I486" i="7"/>
  <c r="E428" i="7"/>
  <c r="E430" i="7"/>
  <c r="I488" i="7"/>
  <c r="H62" i="7"/>
  <c r="AC103" i="2"/>
  <c r="I207" i="7"/>
  <c r="O128" i="2"/>
  <c r="I203" i="7"/>
  <c r="H58" i="7"/>
  <c r="O124" i="2"/>
  <c r="AC99" i="2"/>
  <c r="I197" i="7"/>
  <c r="AC93" i="2"/>
  <c r="H52" i="7"/>
  <c r="O118" i="2"/>
  <c r="F429" i="7" l="1"/>
  <c r="I52" i="7"/>
  <c r="I62" i="7"/>
  <c r="I51" i="7"/>
  <c r="I47" i="7"/>
  <c r="E63" i="7"/>
  <c r="I49" i="7"/>
  <c r="I48" i="7"/>
  <c r="I58" i="7"/>
  <c r="I50" i="7"/>
  <c r="I55" i="7"/>
  <c r="I59" i="7"/>
  <c r="I60" i="7"/>
  <c r="I46" i="7"/>
  <c r="E331" i="7"/>
  <c r="I63" i="7"/>
  <c r="I54" i="7"/>
  <c r="I45" i="7"/>
  <c r="I56" i="7"/>
  <c r="I61" i="7"/>
  <c r="D58" i="7"/>
  <c r="I180" i="7"/>
  <c r="AC124" i="2"/>
  <c r="AI124" i="2" s="1"/>
  <c r="D324" i="7"/>
  <c r="D50" i="7"/>
  <c r="I172" i="7"/>
  <c r="AC116" i="2"/>
  <c r="AI116" i="2" s="1"/>
  <c r="F421" i="7"/>
  <c r="F425" i="7"/>
  <c r="F413" i="7"/>
  <c r="F423" i="7"/>
  <c r="F419" i="7"/>
  <c r="F416" i="7"/>
  <c r="F427" i="7"/>
  <c r="F428" i="7"/>
  <c r="F426" i="7"/>
  <c r="F430" i="7"/>
  <c r="D60" i="7"/>
  <c r="I182" i="7"/>
  <c r="AC126" i="2"/>
  <c r="AI126" i="2" s="1"/>
  <c r="I173" i="7"/>
  <c r="AC117" i="2"/>
  <c r="AI117" i="2" s="1"/>
  <c r="D51" i="7"/>
  <c r="D328" i="7"/>
  <c r="D332" i="7"/>
  <c r="I168" i="7"/>
  <c r="AC112" i="2"/>
  <c r="AI112" i="2" s="1"/>
  <c r="D46" i="7"/>
  <c r="D54" i="7"/>
  <c r="I176" i="7"/>
  <c r="AC120" i="2"/>
  <c r="AI120" i="2" s="1"/>
  <c r="D336" i="7"/>
  <c r="D329" i="7"/>
  <c r="D325" i="7"/>
  <c r="AC122" i="2"/>
  <c r="AI122" i="2" s="1"/>
  <c r="I178" i="7"/>
  <c r="D56" i="7"/>
  <c r="D52" i="7"/>
  <c r="AC118" i="2"/>
  <c r="AI118" i="2" s="1"/>
  <c r="I174" i="7"/>
  <c r="D62" i="7"/>
  <c r="I184" i="7"/>
  <c r="AC128" i="2"/>
  <c r="AI128" i="2" s="1"/>
  <c r="E53" i="7"/>
  <c r="D331" i="7"/>
  <c r="D335" i="7"/>
  <c r="E62" i="7"/>
  <c r="D340" i="7"/>
  <c r="D330" i="7"/>
  <c r="D55" i="7"/>
  <c r="I177" i="7"/>
  <c r="AC121" i="2"/>
  <c r="AI121" i="2" s="1"/>
  <c r="F412" i="7"/>
  <c r="F422" i="7"/>
  <c r="F415" i="7"/>
  <c r="F414" i="7"/>
  <c r="F411" i="7"/>
  <c r="F417" i="7"/>
  <c r="F418" i="7"/>
  <c r="F424" i="7"/>
  <c r="F420" i="7"/>
  <c r="AC125" i="2"/>
  <c r="AI125" i="2" s="1"/>
  <c r="I181" i="7"/>
  <c r="D59" i="7"/>
  <c r="D47" i="7"/>
  <c r="AC113" i="2"/>
  <c r="AI113" i="2" s="1"/>
  <c r="I169" i="7"/>
  <c r="E59" i="7"/>
  <c r="D337" i="7"/>
  <c r="D323" i="7"/>
  <c r="E55" i="7"/>
  <c r="D333" i="7"/>
  <c r="D339" i="7"/>
  <c r="L53" i="7"/>
  <c r="AE119" i="2"/>
  <c r="AC115" i="2"/>
  <c r="AI115" i="2" s="1"/>
  <c r="I171" i="7"/>
  <c r="D49" i="7"/>
  <c r="D48" i="7"/>
  <c r="I170" i="7"/>
  <c r="AC114" i="2"/>
  <c r="AI114" i="2" s="1"/>
  <c r="I179" i="7"/>
  <c r="AC123" i="2"/>
  <c r="AI123" i="2" s="1"/>
  <c r="D57" i="7"/>
  <c r="D327" i="7"/>
  <c r="D45" i="7"/>
  <c r="AC111" i="2"/>
  <c r="AI111" i="2" s="1"/>
  <c r="I167" i="7"/>
  <c r="D326" i="7"/>
  <c r="D334" i="7"/>
  <c r="D338" i="7"/>
  <c r="D61" i="7"/>
  <c r="I183" i="7"/>
  <c r="AC127" i="2"/>
  <c r="AI127" i="2" s="1"/>
  <c r="E339" i="7" l="1"/>
  <c r="E323" i="7"/>
  <c r="E335" i="7"/>
  <c r="E327" i="7"/>
  <c r="E337" i="7"/>
  <c r="E340" i="7"/>
  <c r="E334" i="7"/>
  <c r="E332" i="7"/>
  <c r="E329" i="7"/>
  <c r="E328" i="7"/>
  <c r="E336" i="7"/>
  <c r="E326" i="7"/>
  <c r="E325" i="7"/>
  <c r="E333" i="7"/>
  <c r="E330" i="7"/>
  <c r="E324" i="7"/>
  <c r="E338" i="7"/>
  <c r="C89" i="7"/>
  <c r="E60" i="7"/>
  <c r="E56" i="7"/>
  <c r="E49" i="7"/>
  <c r="E52" i="7"/>
  <c r="E51" i="7"/>
  <c r="E58" i="7"/>
  <c r="E50" i="7"/>
  <c r="E48" i="7"/>
  <c r="F60" i="7"/>
  <c r="C82" i="7"/>
  <c r="AE123" i="2"/>
  <c r="L57" i="7"/>
  <c r="L48" i="7"/>
  <c r="AE114" i="2"/>
  <c r="E45" i="7"/>
  <c r="L55" i="7"/>
  <c r="AE121" i="2"/>
  <c r="F52" i="7"/>
  <c r="F62" i="7"/>
  <c r="C340" i="7"/>
  <c r="D368" i="7" s="1"/>
  <c r="C88" i="7"/>
  <c r="E57" i="7"/>
  <c r="F53" i="7"/>
  <c r="C331" i="7"/>
  <c r="G306" i="7"/>
  <c r="C79" i="7"/>
  <c r="E47" i="7"/>
  <c r="C336" i="7"/>
  <c r="D364" i="7" s="1"/>
  <c r="AE120" i="2"/>
  <c r="L54" i="7"/>
  <c r="L46" i="7"/>
  <c r="AE112" i="2"/>
  <c r="AE116" i="2"/>
  <c r="L50" i="7"/>
  <c r="AE127" i="2"/>
  <c r="L61" i="7"/>
  <c r="F306" i="7"/>
  <c r="AE111" i="2"/>
  <c r="AC129" i="2"/>
  <c r="AI129" i="2" s="1"/>
  <c r="L45" i="7"/>
  <c r="L49" i="7"/>
  <c r="AE115" i="2"/>
  <c r="E61" i="7"/>
  <c r="F55" i="7"/>
  <c r="C333" i="7"/>
  <c r="H306" i="7"/>
  <c r="C81" i="7"/>
  <c r="C85" i="7"/>
  <c r="F59" i="7"/>
  <c r="C337" i="7"/>
  <c r="L47" i="7"/>
  <c r="AE113" i="2"/>
  <c r="AE125" i="2"/>
  <c r="L59" i="7"/>
  <c r="D359" i="7"/>
  <c r="G307" i="7" s="1"/>
  <c r="L62" i="7"/>
  <c r="AE128" i="2"/>
  <c r="AE118" i="2"/>
  <c r="L52" i="7"/>
  <c r="AE122" i="2"/>
  <c r="L56" i="7"/>
  <c r="E54" i="7"/>
  <c r="L51" i="7"/>
  <c r="AE117" i="2"/>
  <c r="L60" i="7"/>
  <c r="AE126" i="2"/>
  <c r="AE124" i="2"/>
  <c r="L58" i="7"/>
  <c r="F81" i="7" l="1"/>
  <c r="G106" i="7" s="1"/>
  <c r="H106" i="7" s="1"/>
  <c r="F79" i="7"/>
  <c r="G104" i="7" s="1"/>
  <c r="H104" i="7" s="1"/>
  <c r="F88" i="7"/>
  <c r="G113" i="7" s="1"/>
  <c r="H113" i="7" s="1"/>
  <c r="E64" i="7"/>
  <c r="F64" i="7" s="1"/>
  <c r="F86" i="7"/>
  <c r="G111" i="7" s="1"/>
  <c r="H111" i="7" s="1"/>
  <c r="C76" i="7"/>
  <c r="E76" i="7" s="1"/>
  <c r="H76" i="7" s="1"/>
  <c r="F51" i="7"/>
  <c r="C327" i="7"/>
  <c r="D355" i="7" s="1"/>
  <c r="J307" i="7" s="1"/>
  <c r="C338" i="7"/>
  <c r="D366" i="7" s="1"/>
  <c r="E89" i="7"/>
  <c r="H89" i="7" s="1"/>
  <c r="D114" i="7"/>
  <c r="E114" i="7" s="1"/>
  <c r="F85" i="7"/>
  <c r="G110" i="7" s="1"/>
  <c r="H110" i="7" s="1"/>
  <c r="F78" i="7"/>
  <c r="G103" i="7" s="1"/>
  <c r="H103" i="7" s="1"/>
  <c r="C74" i="7"/>
  <c r="D99" i="7" s="1"/>
  <c r="E99" i="7" s="1"/>
  <c r="F58" i="7"/>
  <c r="C78" i="7"/>
  <c r="E78" i="7" s="1"/>
  <c r="H78" i="7" s="1"/>
  <c r="C334" i="7"/>
  <c r="D362" i="7" s="1"/>
  <c r="C86" i="7"/>
  <c r="E86" i="7" s="1"/>
  <c r="H86" i="7" s="1"/>
  <c r="E368" i="7"/>
  <c r="F48" i="7"/>
  <c r="F56" i="7"/>
  <c r="F49" i="7"/>
  <c r="C326" i="7"/>
  <c r="E354" i="7" s="1"/>
  <c r="F308" i="7" s="1"/>
  <c r="C84" i="7"/>
  <c r="D109" i="7" s="1"/>
  <c r="E109" i="7" s="1"/>
  <c r="C330" i="7"/>
  <c r="C358" i="7" s="1"/>
  <c r="E364" i="7"/>
  <c r="F50" i="7"/>
  <c r="C329" i="7"/>
  <c r="K357" i="7" s="1"/>
  <c r="J306" i="7"/>
  <c r="C328" i="7"/>
  <c r="D356" i="7" s="1"/>
  <c r="C77" i="7"/>
  <c r="D102" i="7" s="1"/>
  <c r="E102" i="7" s="1"/>
  <c r="C75" i="7"/>
  <c r="E75" i="7" s="1"/>
  <c r="H75" i="7" s="1"/>
  <c r="C365" i="7"/>
  <c r="K365" i="7"/>
  <c r="L365" i="7"/>
  <c r="I365" i="7"/>
  <c r="H365" i="7"/>
  <c r="F365" i="7"/>
  <c r="G365" i="7"/>
  <c r="M365" i="7"/>
  <c r="J365" i="7"/>
  <c r="D106" i="7"/>
  <c r="E106" i="7" s="1"/>
  <c r="E81" i="7"/>
  <c r="H81" i="7" s="1"/>
  <c r="C87" i="7"/>
  <c r="F61" i="7"/>
  <c r="C339" i="7"/>
  <c r="D101" i="7"/>
  <c r="E101" i="7" s="1"/>
  <c r="E365" i="7"/>
  <c r="L63" i="7"/>
  <c r="AE129" i="2"/>
  <c r="E74" i="7"/>
  <c r="H74" i="7" s="1"/>
  <c r="F46" i="7"/>
  <c r="C324" i="7"/>
  <c r="C72" i="7"/>
  <c r="I306" i="7"/>
  <c r="C73" i="7"/>
  <c r="F47" i="7"/>
  <c r="C325" i="7"/>
  <c r="D104" i="7"/>
  <c r="E104" i="7" s="1"/>
  <c r="E79" i="7"/>
  <c r="H79" i="7" s="1"/>
  <c r="C359" i="7"/>
  <c r="I359" i="7"/>
  <c r="G316" i="7" s="1"/>
  <c r="K359" i="7"/>
  <c r="G311" i="7" s="1"/>
  <c r="L359" i="7"/>
  <c r="G312" i="7" s="1"/>
  <c r="G359" i="7"/>
  <c r="G314" i="7" s="1"/>
  <c r="H359" i="7"/>
  <c r="G315" i="7" s="1"/>
  <c r="F359" i="7"/>
  <c r="G309" i="7" s="1"/>
  <c r="M359" i="7"/>
  <c r="J359" i="7"/>
  <c r="G310" i="7" s="1"/>
  <c r="F57" i="7"/>
  <c r="C335" i="7"/>
  <c r="E306" i="7"/>
  <c r="C83" i="7"/>
  <c r="C368" i="7"/>
  <c r="I368" i="7"/>
  <c r="K368" i="7"/>
  <c r="L368" i="7"/>
  <c r="F368" i="7"/>
  <c r="M368" i="7"/>
  <c r="G368" i="7"/>
  <c r="H368" i="7"/>
  <c r="J368" i="7"/>
  <c r="D103" i="7"/>
  <c r="E103" i="7" s="1"/>
  <c r="F45" i="7"/>
  <c r="C323" i="7"/>
  <c r="C71" i="7"/>
  <c r="K355" i="7"/>
  <c r="J311" i="7" s="1"/>
  <c r="F355" i="7"/>
  <c r="J309" i="7" s="1"/>
  <c r="E82" i="7"/>
  <c r="H82" i="7" s="1"/>
  <c r="D107" i="7"/>
  <c r="E107" i="7" s="1"/>
  <c r="C366" i="7"/>
  <c r="H366" i="7"/>
  <c r="G366" i="7"/>
  <c r="C80" i="7"/>
  <c r="F54" i="7"/>
  <c r="C332" i="7"/>
  <c r="D110" i="7"/>
  <c r="E110" i="7" s="1"/>
  <c r="E85" i="7"/>
  <c r="H85" i="7" s="1"/>
  <c r="C361" i="7"/>
  <c r="G361" i="7"/>
  <c r="H314" i="7" s="1"/>
  <c r="K361" i="7"/>
  <c r="H311" i="7" s="1"/>
  <c r="L361" i="7"/>
  <c r="H312" i="7" s="1"/>
  <c r="I361" i="7"/>
  <c r="H316" i="7" s="1"/>
  <c r="H361" i="7"/>
  <c r="H315" i="7" s="1"/>
  <c r="F361" i="7"/>
  <c r="H309" i="7" s="1"/>
  <c r="M361" i="7"/>
  <c r="J361" i="7"/>
  <c r="H310" i="7" s="1"/>
  <c r="O45" i="7"/>
  <c r="P45" i="7"/>
  <c r="C364" i="7"/>
  <c r="I364" i="7"/>
  <c r="K364" i="7"/>
  <c r="L364" i="7"/>
  <c r="J364" i="7"/>
  <c r="M364" i="7"/>
  <c r="G364" i="7"/>
  <c r="F364" i="7"/>
  <c r="H364" i="7"/>
  <c r="E88" i="7"/>
  <c r="H88" i="7" s="1"/>
  <c r="D113" i="7"/>
  <c r="E113" i="7" s="1"/>
  <c r="E361" i="7"/>
  <c r="H308" i="7" s="1"/>
  <c r="D365" i="7"/>
  <c r="D361" i="7"/>
  <c r="H307" i="7" s="1"/>
  <c r="I362" i="7"/>
  <c r="K362" i="7"/>
  <c r="F362" i="7"/>
  <c r="G362" i="7"/>
  <c r="M366" i="7" l="1"/>
  <c r="L366" i="7"/>
  <c r="J355" i="7"/>
  <c r="J310" i="7" s="1"/>
  <c r="L355" i="7"/>
  <c r="J312" i="7" s="1"/>
  <c r="E355" i="7"/>
  <c r="J308" i="7" s="1"/>
  <c r="E366" i="7"/>
  <c r="E356" i="7"/>
  <c r="J362" i="7"/>
  <c r="M362" i="7"/>
  <c r="H362" i="7"/>
  <c r="L362" i="7"/>
  <c r="C362" i="7"/>
  <c r="E77" i="7"/>
  <c r="H77" i="7" s="1"/>
  <c r="E362" i="7"/>
  <c r="F83" i="7"/>
  <c r="G108" i="7" s="1"/>
  <c r="H108" i="7" s="1"/>
  <c r="F73" i="7"/>
  <c r="G98" i="7" s="1"/>
  <c r="H98" i="7" s="1"/>
  <c r="F87" i="7"/>
  <c r="G112" i="7" s="1"/>
  <c r="H112" i="7" s="1"/>
  <c r="F76" i="7"/>
  <c r="G101" i="7" s="1"/>
  <c r="H101" i="7" s="1"/>
  <c r="F82" i="7"/>
  <c r="G107" i="7" s="1"/>
  <c r="H107" i="7" s="1"/>
  <c r="F77" i="7"/>
  <c r="G102" i="7" s="1"/>
  <c r="H102" i="7" s="1"/>
  <c r="F80" i="7"/>
  <c r="G105" i="7" s="1"/>
  <c r="H105" i="7" s="1"/>
  <c r="F366" i="7"/>
  <c r="J366" i="7"/>
  <c r="I366" i="7"/>
  <c r="K366" i="7"/>
  <c r="G355" i="7"/>
  <c r="J314" i="7" s="1"/>
  <c r="H355" i="7"/>
  <c r="J315" i="7" s="1"/>
  <c r="M355" i="7"/>
  <c r="I355" i="7"/>
  <c r="J316" i="7" s="1"/>
  <c r="C355" i="7"/>
  <c r="F71" i="7"/>
  <c r="G96" i="7" s="1"/>
  <c r="H96" i="7" s="1"/>
  <c r="F72" i="7"/>
  <c r="G97" i="7" s="1"/>
  <c r="H97" i="7" s="1"/>
  <c r="F75" i="7"/>
  <c r="G100" i="7" s="1"/>
  <c r="H100" i="7" s="1"/>
  <c r="F74" i="7"/>
  <c r="G99" i="7" s="1"/>
  <c r="H99" i="7" s="1"/>
  <c r="F84" i="7"/>
  <c r="G109" i="7" s="1"/>
  <c r="H109" i="7" s="1"/>
  <c r="J358" i="7"/>
  <c r="I354" i="7"/>
  <c r="F316" i="7" s="1"/>
  <c r="D111" i="7"/>
  <c r="E111" i="7" s="1"/>
  <c r="I357" i="7"/>
  <c r="M356" i="7"/>
  <c r="D354" i="7"/>
  <c r="F307" i="7" s="1"/>
  <c r="L358" i="7"/>
  <c r="H354" i="7"/>
  <c r="F315" i="7" s="1"/>
  <c r="D100" i="7"/>
  <c r="E100" i="7" s="1"/>
  <c r="H358" i="7"/>
  <c r="G358" i="7"/>
  <c r="F354" i="7"/>
  <c r="F309" i="7" s="1"/>
  <c r="K354" i="7"/>
  <c r="F311" i="7" s="1"/>
  <c r="F357" i="7"/>
  <c r="E84" i="7"/>
  <c r="H84" i="7" s="1"/>
  <c r="I356" i="7"/>
  <c r="F358" i="7"/>
  <c r="M358" i="7"/>
  <c r="K358" i="7"/>
  <c r="I358" i="7"/>
  <c r="J354" i="7"/>
  <c r="F310" i="7" s="1"/>
  <c r="M354" i="7"/>
  <c r="F313" i="7" s="1"/>
  <c r="G354" i="7"/>
  <c r="F314" i="7" s="1"/>
  <c r="L354" i="7"/>
  <c r="F312" i="7" s="1"/>
  <c r="C354" i="7"/>
  <c r="G357" i="7"/>
  <c r="G356" i="7"/>
  <c r="K356" i="7"/>
  <c r="E358" i="7"/>
  <c r="D358" i="7"/>
  <c r="E357" i="7"/>
  <c r="D357" i="7"/>
  <c r="M357" i="7"/>
  <c r="J357" i="7"/>
  <c r="H357" i="7"/>
  <c r="L357" i="7"/>
  <c r="C357" i="7"/>
  <c r="J356" i="7"/>
  <c r="F356" i="7"/>
  <c r="H356" i="7"/>
  <c r="L356" i="7"/>
  <c r="C356" i="7"/>
  <c r="K343" i="7"/>
  <c r="J343" i="7"/>
  <c r="C341" i="7"/>
  <c r="H343" i="7"/>
  <c r="D343" i="7"/>
  <c r="M343" i="7"/>
  <c r="E343" i="7"/>
  <c r="L343" i="7"/>
  <c r="C351" i="7"/>
  <c r="G343" i="7"/>
  <c r="F343" i="7"/>
  <c r="I343" i="7"/>
  <c r="C343" i="7"/>
  <c r="L351" i="7"/>
  <c r="I351" i="7"/>
  <c r="K351" i="7"/>
  <c r="H351" i="7"/>
  <c r="M351" i="7"/>
  <c r="F351" i="7"/>
  <c r="G351" i="7"/>
  <c r="J351" i="7"/>
  <c r="E351" i="7"/>
  <c r="D351" i="7"/>
  <c r="D97" i="7"/>
  <c r="E97" i="7" s="1"/>
  <c r="E72" i="7"/>
  <c r="H72" i="7" s="1"/>
  <c r="C367" i="7"/>
  <c r="L367" i="7"/>
  <c r="K367" i="7"/>
  <c r="I367" i="7"/>
  <c r="H367" i="7"/>
  <c r="F367" i="7"/>
  <c r="J367" i="7"/>
  <c r="G367" i="7"/>
  <c r="M367" i="7"/>
  <c r="D367" i="7"/>
  <c r="E367" i="7"/>
  <c r="E87" i="7"/>
  <c r="H87" i="7" s="1"/>
  <c r="D112" i="7"/>
  <c r="E112" i="7" s="1"/>
  <c r="C360" i="7"/>
  <c r="K360" i="7"/>
  <c r="L360" i="7"/>
  <c r="I360" i="7"/>
  <c r="G360" i="7"/>
  <c r="M360" i="7"/>
  <c r="J360" i="7"/>
  <c r="F360" i="7"/>
  <c r="H360" i="7"/>
  <c r="E360" i="7"/>
  <c r="D360" i="7"/>
  <c r="E80" i="7"/>
  <c r="H80" i="7" s="1"/>
  <c r="D105" i="7"/>
  <c r="E105" i="7" s="1"/>
  <c r="E71" i="7"/>
  <c r="H71" i="7" s="1"/>
  <c r="D96" i="7"/>
  <c r="E96" i="7" s="1"/>
  <c r="E83" i="7"/>
  <c r="H83" i="7" s="1"/>
  <c r="D108" i="7"/>
  <c r="E108" i="7" s="1"/>
  <c r="C363" i="7"/>
  <c r="L363" i="7"/>
  <c r="E312" i="7" s="1"/>
  <c r="I363" i="7"/>
  <c r="E316" i="7" s="1"/>
  <c r="K363" i="7"/>
  <c r="E311" i="7" s="1"/>
  <c r="M363" i="7"/>
  <c r="E313" i="7" s="1"/>
  <c r="F363" i="7"/>
  <c r="E309" i="7" s="1"/>
  <c r="J363" i="7"/>
  <c r="E310" i="7" s="1"/>
  <c r="H363" i="7"/>
  <c r="E315" i="7" s="1"/>
  <c r="G363" i="7"/>
  <c r="E314" i="7" s="1"/>
  <c r="E363" i="7"/>
  <c r="E308" i="7" s="1"/>
  <c r="D363" i="7"/>
  <c r="E307" i="7" s="1"/>
  <c r="C353" i="7"/>
  <c r="L353" i="7"/>
  <c r="I312" i="7" s="1"/>
  <c r="I353" i="7"/>
  <c r="I316" i="7" s="1"/>
  <c r="K353" i="7"/>
  <c r="I311" i="7" s="1"/>
  <c r="G353" i="7"/>
  <c r="I314" i="7" s="1"/>
  <c r="M353" i="7"/>
  <c r="H353" i="7"/>
  <c r="I315" i="7" s="1"/>
  <c r="F353" i="7"/>
  <c r="I309" i="7" s="1"/>
  <c r="J353" i="7"/>
  <c r="I310" i="7" s="1"/>
  <c r="D353" i="7"/>
  <c r="I307" i="7" s="1"/>
  <c r="E353" i="7"/>
  <c r="I308" i="7" s="1"/>
  <c r="E73" i="7"/>
  <c r="H73" i="7" s="1"/>
  <c r="D98" i="7"/>
  <c r="E98" i="7" s="1"/>
  <c r="C352" i="7"/>
  <c r="K352" i="7"/>
  <c r="I352" i="7"/>
  <c r="L352" i="7"/>
  <c r="G352" i="7"/>
  <c r="F352" i="7"/>
  <c r="J352" i="7"/>
  <c r="M352" i="7"/>
  <c r="H352" i="7"/>
  <c r="E352" i="7"/>
  <c r="D352" i="7"/>
  <c r="I342" i="7" l="1"/>
  <c r="I346" i="7"/>
  <c r="G346" i="7"/>
  <c r="G342" i="7"/>
  <c r="L342" i="7"/>
  <c r="L346" i="7"/>
  <c r="M346" i="7"/>
  <c r="M342" i="7"/>
  <c r="H342" i="7"/>
  <c r="H346" i="7"/>
  <c r="J346" i="7"/>
  <c r="J342" i="7"/>
  <c r="C346" i="7"/>
  <c r="C342" i="7"/>
  <c r="C345" i="7" s="1"/>
  <c r="F342" i="7"/>
  <c r="C309" i="7"/>
  <c r="D346" i="7"/>
  <c r="D342" i="7"/>
  <c r="D345" i="7" s="1"/>
  <c r="K342" i="7"/>
  <c r="K346" i="7"/>
  <c r="K345" i="7" l="1"/>
  <c r="K369" i="7" s="1"/>
  <c r="F345" i="7"/>
  <c r="F369" i="7" s="1"/>
  <c r="C307" i="7"/>
  <c r="D369" i="7"/>
  <c r="E369" i="7"/>
  <c r="C308" i="7"/>
  <c r="J345" i="7"/>
  <c r="M345" i="7"/>
  <c r="G345" i="7"/>
  <c r="H345" i="7"/>
  <c r="L345" i="7"/>
  <c r="I345" i="7"/>
  <c r="C311" i="7" l="1"/>
  <c r="J369" i="7"/>
  <c r="C310" i="7"/>
  <c r="C316" i="7"/>
  <c r="I369" i="7"/>
  <c r="C315" i="7"/>
  <c r="H369" i="7"/>
  <c r="C313" i="7"/>
  <c r="M369" i="7"/>
  <c r="L369" i="7"/>
  <c r="C312" i="7"/>
  <c r="G369" i="7"/>
  <c r="C314" i="7"/>
</calcChain>
</file>

<file path=xl/sharedStrings.xml><?xml version="1.0" encoding="utf-8"?>
<sst xmlns="http://schemas.openxmlformats.org/spreadsheetml/2006/main" count="5305" uniqueCount="1246">
  <si>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</si>
  <si>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</si>
  <si>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</si>
  <si>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</si>
  <si>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</si>
  <si>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</si>
  <si>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</si>
  <si>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</si>
  <si>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</si>
  <si>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</si>
  <si>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</si>
  <si>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</si>
  <si>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</si>
  <si>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</si>
  <si>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</si>
  <si>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</si>
  <si>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</si>
  <si>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</si>
  <si>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</si>
  <si>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</si>
  <si>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</si>
  <si>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</si>
  <si>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</si>
  <si>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</si>
  <si>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</si>
  <si>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</si>
  <si>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</si>
  <si>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</si>
  <si>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</si>
  <si>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</si>
  <si>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</si>
  <si>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</si>
  <si>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</si>
  <si>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</si>
  <si>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</si>
  <si>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</si>
  <si>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</si>
  <si>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</si>
  <si>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</si>
  <si>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</si>
  <si>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</si>
  <si>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</si>
  <si>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</si>
  <si>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</si>
  <si>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</si>
  <si>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</si>
  <si>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</si>
  <si>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</si>
  <si>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</si>
  <si>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</si>
  <si>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</si>
  <si>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</si>
  <si>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</si>
  <si>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</si>
  <si>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</si>
  <si>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</si>
  <si>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</si>
  <si>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</si>
  <si>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</si>
  <si>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</si>
  <si>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</si>
  <si>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</si>
  <si>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</si>
  <si>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</si>
  <si>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</si>
  <si>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</si>
  <si>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</si>
  <si>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</si>
  <si>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</si>
  <si>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</si>
  <si>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</si>
  <si>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</si>
  <si>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</si>
  <si>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</si>
  <si>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</si>
  <si>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</si>
  <si>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</si>
  <si>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</si>
  <si>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</si>
  <si>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</si>
  <si>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</si>
  <si>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</si>
  <si>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</si>
  <si>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</si>
  <si>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</si>
  <si>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</si>
  <si>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</si>
  <si>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</si>
  <si>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</si>
  <si>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</si>
  <si>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</si>
  <si>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</si>
  <si>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</si>
  <si>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</si>
  <si>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</si>
  <si>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</si>
  <si>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</si>
  <si>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</si>
  <si>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</si>
  <si>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</si>
  <si>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</si>
  <si>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</si>
  <si>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</si>
  <si>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</si>
  <si>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</si>
  <si>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</si>
  <si>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</si>
  <si>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</si>
  <si>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</si>
  <si>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</si>
  <si>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</si>
  <si>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</si>
  <si>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</si>
  <si>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</si>
  <si>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</si>
  <si>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</si>
  <si>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</si>
  <si>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</si>
  <si>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</si>
  <si>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</si>
  <si>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</si>
  <si>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</si>
  <si>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</si>
  <si>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</si>
  <si>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</si>
  <si>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</si>
  <si>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</si>
  <si>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</si>
  <si>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</si>
  <si>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</si>
  <si>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</si>
  <si>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</si>
  <si>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</si>
  <si>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</si>
  <si>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</si>
  <si>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</si>
  <si>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</si>
  <si>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</si>
  <si>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</si>
  <si>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</si>
  <si>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</si>
  <si>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</si>
  <si>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</si>
  <si>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</si>
  <si>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</si>
  <si>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</si>
  <si>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</si>
  <si>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</si>
  <si>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</si>
  <si>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</si>
  <si>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</si>
  <si>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</si>
  <si>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</si>
  <si>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</si>
  <si>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</si>
  <si>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</si>
  <si>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</si>
  <si>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</si>
  <si>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</si>
  <si>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</si>
  <si>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</si>
  <si>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</si>
  <si>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</si>
  <si>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</si>
  <si>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</si>
  <si>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</si>
  <si>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</si>
  <si>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</si>
  <si>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</si>
  <si>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</si>
  <si>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</si>
  <si>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</si>
  <si>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</si>
  <si>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</si>
  <si>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</si>
  <si>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</si>
  <si>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</si>
  <si>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</si>
  <si>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</si>
  <si>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</si>
  <si>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</si>
  <si>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</si>
  <si>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</si>
  <si>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</si>
  <si>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</si>
  <si>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</si>
  <si>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467D</t>
  </si>
  <si>
    <t>467E</t>
  </si>
  <si>
    <t>467F</t>
  </si>
  <si>
    <t>Investigación geológico-minera y medioambiental</t>
  </si>
  <si>
    <t>467H</t>
  </si>
  <si>
    <t>495A</t>
  </si>
  <si>
    <t>923C</t>
  </si>
  <si>
    <t>Elaboración y difusión estadística</t>
  </si>
  <si>
    <t>493M</t>
  </si>
  <si>
    <t>Dirección, control y gestión de seguros</t>
  </si>
  <si>
    <t>493O</t>
  </si>
  <si>
    <t>FP003</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</si>
  <si>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</si>
  <si>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</si>
  <si>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</si>
  <si>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</si>
  <si>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</si>
  <si>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</si>
  <si>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</si>
  <si>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</si>
  <si>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</si>
  <si>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</si>
  <si>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</si>
  <si>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</si>
  <si>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</si>
  <si>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</si>
  <si>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</si>
  <si>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</si>
  <si>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</si>
  <si>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</si>
  <si>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</si>
  <si>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</si>
  <si>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</si>
  <si>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</si>
  <si>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</si>
  <si>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</si>
  <si>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</si>
  <si>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</si>
  <si>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</si>
  <si>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</si>
  <si>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</si>
  <si>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</si>
  <si>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</si>
  <si>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</si>
  <si>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</si>
  <si>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</si>
  <si>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</si>
  <si>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</si>
  <si>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</si>
  <si>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</si>
  <si>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</si>
  <si>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</si>
  <si>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</si>
  <si>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</si>
  <si>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</si>
  <si>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</si>
  <si>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</si>
  <si>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</si>
  <si>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</si>
  <si>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</si>
  <si>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</si>
  <si>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</si>
  <si>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</si>
  <si>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</si>
  <si>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</si>
  <si>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</si>
  <si>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</si>
  <si>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</si>
  <si>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</si>
  <si>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</si>
  <si>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</si>
  <si>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</si>
  <si>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</si>
  <si>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</si>
  <si>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</si>
  <si>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</si>
  <si>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</si>
  <si>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</si>
  <si>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</si>
  <si>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</si>
  <si>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</si>
  <si>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</si>
  <si>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</si>
  <si>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</si>
  <si>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</si>
  <si>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</si>
  <si>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</si>
  <si>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</si>
  <si>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</si>
  <si>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</si>
  <si>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</si>
  <si>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</si>
  <si>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</si>
  <si>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</si>
  <si>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</si>
  <si>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</si>
  <si>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</si>
  <si>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</si>
  <si>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</si>
  <si>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</si>
  <si>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</si>
  <si>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</si>
  <si>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</si>
  <si>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</si>
  <si>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</si>
  <si>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</si>
  <si>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</si>
  <si>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</si>
  <si>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</si>
  <si>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</si>
  <si>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</si>
  <si>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</si>
  <si>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</si>
  <si>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</si>
  <si>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</si>
  <si>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</si>
  <si>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</si>
  <si>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</si>
  <si>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</si>
  <si>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</si>
  <si>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</si>
  <si>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</si>
  <si>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</si>
  <si>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</si>
  <si>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</si>
  <si>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</si>
  <si>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</si>
  <si>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</si>
  <si>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</si>
  <si>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</si>
  <si>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</si>
  <si>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</si>
  <si>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</si>
  <si>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</si>
  <si>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</si>
  <si>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</si>
  <si>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</si>
  <si>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</si>
  <si>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</si>
  <si>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</si>
  <si>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</si>
  <si>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</si>
  <si>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</si>
  <si>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</si>
  <si>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</si>
  <si>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</si>
  <si>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</si>
  <si>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</si>
  <si>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</si>
  <si>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</si>
  <si>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</si>
  <si>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</si>
  <si>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</si>
  <si>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</si>
  <si>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</si>
  <si>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</si>
  <si>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</si>
  <si>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</si>
  <si>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</si>
  <si>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</si>
  <si>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</si>
  <si>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</si>
  <si>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</si>
  <si>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</si>
  <si>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</si>
  <si>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</si>
  <si>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</si>
  <si>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</si>
  <si>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</si>
  <si>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</si>
  <si>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</si>
  <si>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</si>
  <si>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</si>
  <si>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</si>
  <si>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</si>
  <si>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</si>
  <si>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</si>
  <si>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</si>
  <si>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</si>
  <si>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</si>
  <si>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</si>
  <si>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</si>
  <si>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</si>
  <si>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</si>
  <si>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</si>
  <si>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</si>
  <si>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</si>
  <si>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</si>
  <si>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</si>
  <si>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</si>
  <si>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</si>
  <si>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</si>
  <si>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</si>
  <si>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</si>
  <si>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</si>
  <si>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</si>
  <si>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</si>
  <si>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</si>
  <si>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</si>
  <si>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</si>
  <si>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</si>
  <si>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</si>
  <si>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</si>
  <si>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</si>
  <si>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</si>
  <si>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</si>
  <si>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</si>
  <si>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</si>
  <si>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</si>
  <si>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</si>
  <si>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</si>
  <si>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</si>
  <si>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</si>
  <si>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</si>
  <si>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</si>
  <si>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</si>
  <si>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</si>
  <si>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</si>
  <si>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</si>
  <si>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</si>
  <si>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</si>
  <si>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</si>
  <si>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</si>
  <si>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</si>
  <si>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</si>
  <si>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</si>
  <si>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</si>
  <si>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</si>
  <si>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</si>
  <si>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</si>
  <si>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</si>
  <si>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</si>
  <si>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</si>
  <si>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</si>
  <si>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</si>
  <si>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</si>
  <si>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</si>
  <si>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</si>
  <si>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</si>
  <si>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</si>
  <si>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</si>
  <si>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</si>
  <si>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</si>
  <si>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</si>
  <si>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</si>
  <si>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</si>
  <si>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</si>
  <si>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</si>
  <si>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</si>
  <si>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</si>
  <si>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</si>
  <si>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</si>
  <si>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</si>
  <si>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</si>
  <si>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</si>
  <si>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</si>
  <si>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</si>
  <si>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</si>
  <si>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</si>
  <si>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</si>
  <si>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</si>
  <si>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</si>
  <si>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</si>
  <si>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</si>
  <si>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</si>
  <si>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</si>
  <si>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</si>
  <si>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</si>
  <si>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</si>
  <si>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</si>
  <si>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</si>
  <si>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</si>
  <si>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</si>
  <si>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</si>
  <si>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</si>
  <si>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</si>
  <si>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</si>
  <si>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</si>
  <si>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</si>
  <si>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</si>
  <si>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</si>
  <si>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</si>
  <si>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</si>
  <si>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</si>
  <si>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</si>
  <si>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</si>
  <si>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</si>
  <si>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</si>
  <si>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</si>
  <si>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</si>
  <si>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</si>
  <si>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</si>
  <si>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</si>
  <si>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</si>
  <si>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</si>
  <si>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t>
  </si>
  <si>
    <t>Saldo absoluto total/PIB</t>
  </si>
  <si>
    <t>Saldo ajustado por operac. financieras</t>
  </si>
  <si>
    <t>Saldo ajustado por op. fin como % del PIB</t>
  </si>
  <si>
    <t>Total</t>
  </si>
  <si>
    <t>Saldos totales, millones de euros</t>
  </si>
  <si>
    <t>Saldos per capita, euros</t>
  </si>
  <si>
    <t xml:space="preserve">Ingresos fiscales </t>
  </si>
  <si>
    <t>Gasto público</t>
  </si>
  <si>
    <t>Total/PIB</t>
  </si>
  <si>
    <t>C. - La Mancha</t>
  </si>
  <si>
    <t xml:space="preserve"> España</t>
  </si>
  <si>
    <t>Suma positivos</t>
  </si>
  <si>
    <t>Adquisición de activos financieros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</si>
  <si>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</si>
  <si>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</si>
  <si>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</si>
  <si>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</si>
  <si>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</si>
  <si>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</si>
  <si>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</si>
  <si>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</si>
  <si>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</si>
  <si>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</si>
  <si>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</si>
  <si>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</si>
  <si>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</si>
  <si>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</si>
  <si>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</si>
  <si>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</si>
  <si>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</si>
  <si>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</si>
  <si>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</si>
  <si>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</si>
  <si>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</si>
  <si>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</si>
  <si>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</si>
  <si>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</si>
  <si>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</si>
  <si>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</si>
  <si>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</si>
  <si>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</si>
  <si>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</si>
  <si>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</si>
  <si>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</si>
  <si>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</si>
  <si>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</si>
  <si>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</si>
  <si>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</si>
  <si>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</si>
  <si>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</si>
  <si>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</si>
  <si>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</si>
  <si>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</si>
  <si>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</si>
  <si>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</si>
  <si>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</si>
  <si>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</si>
  <si>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</si>
  <si>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</si>
  <si>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</si>
  <si>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</si>
  <si>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</si>
  <si>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</si>
  <si>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</si>
  <si>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</si>
  <si>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</si>
  <si>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</si>
  <si>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</si>
  <si>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</si>
  <si>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</si>
  <si>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</si>
  <si>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</si>
  <si>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</si>
  <si>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</si>
  <si>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</si>
  <si>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</si>
  <si>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</si>
  <si>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</si>
  <si>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</si>
  <si>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</si>
  <si>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</si>
  <si>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</si>
  <si>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</si>
  <si>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</si>
  <si>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</si>
  <si>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</si>
  <si>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</si>
  <si>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</si>
  <si>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</si>
  <si>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</si>
  <si>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</si>
  <si>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</si>
  <si>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</si>
  <si>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</si>
  <si>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</si>
  <si>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</si>
  <si>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</si>
  <si>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</si>
  <si>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</si>
  <si>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</si>
  <si>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</si>
  <si>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</si>
  <si>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</si>
  <si>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</si>
  <si>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</si>
  <si>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</si>
  <si>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</si>
  <si>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</si>
  <si>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</si>
  <si>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</si>
  <si>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</si>
  <si>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</si>
  <si>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</si>
  <si>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</si>
  <si>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</si>
  <si>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</si>
  <si>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</si>
  <si>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</si>
  <si>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</si>
  <si>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</si>
  <si>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</si>
  <si>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</si>
  <si>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</si>
  <si>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</si>
  <si>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</si>
  <si>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</si>
  <si>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</si>
  <si>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</si>
  <si>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</si>
  <si>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</si>
  <si>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</si>
  <si>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</si>
  <si>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</si>
  <si>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</si>
  <si>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</si>
  <si>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</si>
  <si>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</si>
  <si>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</si>
  <si>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</si>
  <si>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</si>
  <si>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SS23</t>
  </si>
  <si>
    <t>FP071</t>
  </si>
  <si>
    <t>SS41</t>
  </si>
  <si>
    <t>951M</t>
  </si>
  <si>
    <t>951N</t>
  </si>
  <si>
    <t>Dirección y Servicios Generales de la Educación, gasto directo en Ceuta y Melilla</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</si>
  <si>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</si>
  <si>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</si>
  <si>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</si>
  <si>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</si>
  <si>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</si>
  <si>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</si>
  <si>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</si>
  <si>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</si>
  <si>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</si>
  <si>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</si>
  <si>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</si>
  <si>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</si>
  <si>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</si>
  <si>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</si>
  <si>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</si>
  <si>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</si>
  <si>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</si>
  <si>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</si>
  <si>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</si>
  <si>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</si>
  <si>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</si>
  <si>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</si>
  <si>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</si>
  <si>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</si>
  <si>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</si>
  <si>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</si>
  <si>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</si>
  <si>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</si>
  <si>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</si>
  <si>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</si>
  <si>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</si>
  <si>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</si>
  <si>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</si>
  <si>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</si>
  <si>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</si>
  <si>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</si>
  <si>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</si>
  <si>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</si>
  <si>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</si>
  <si>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</si>
  <si>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</si>
  <si>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</si>
  <si>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</si>
  <si>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</si>
  <si>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</si>
  <si>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</si>
  <si>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</si>
  <si>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</si>
  <si>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</si>
  <si>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</si>
  <si>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</si>
  <si>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</si>
  <si>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</si>
  <si>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</si>
  <si>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</si>
  <si>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</si>
  <si>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</si>
  <si>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</si>
  <si>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</si>
  <si>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</si>
  <si>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</si>
  <si>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</si>
  <si>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</si>
  <si>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</si>
  <si>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</si>
  <si>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</si>
  <si>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</si>
  <si>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</si>
  <si>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</si>
  <si>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</si>
  <si>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</si>
  <si>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</si>
  <si>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</si>
  <si>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</si>
  <si>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</si>
  <si>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</si>
  <si>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</si>
  <si>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</si>
  <si>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</si>
  <si>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</si>
  <si>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</si>
  <si>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</si>
  <si>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</si>
  <si>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</si>
  <si>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</si>
  <si>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</si>
  <si>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</si>
  <si>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Regulación contable y de auditorias</t>
  </si>
  <si>
    <t>Regulación del juego</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</si>
  <si>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</si>
  <si>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</si>
  <si>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</si>
  <si>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</si>
  <si>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</si>
  <si>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</si>
  <si>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</si>
  <si>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</si>
  <si>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</si>
  <si>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</si>
  <si>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</si>
  <si>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</si>
  <si>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</si>
  <si>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</si>
  <si>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</si>
  <si>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</si>
  <si>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</si>
  <si>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</si>
  <si>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</si>
  <si>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</si>
  <si>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</si>
  <si>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</si>
  <si>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</si>
  <si>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</si>
  <si>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</si>
  <si>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</si>
  <si>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</si>
  <si>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</si>
  <si>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</si>
  <si>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</si>
  <si>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</si>
  <si>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</si>
  <si>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</si>
  <si>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</si>
  <si>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</si>
  <si>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</si>
  <si>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</si>
  <si>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</si>
  <si>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</si>
  <si>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</si>
  <si>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</si>
  <si>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</si>
  <si>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</si>
  <si>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</si>
  <si>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</si>
  <si>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</si>
  <si>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</si>
  <si>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</si>
  <si>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</si>
  <si>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</si>
  <si>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</si>
  <si>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</si>
  <si>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</si>
  <si>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</si>
  <si>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</si>
  <si>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Direc. y serv. grales. de hacienda y admones. Públicas, transferencias a la ZEC</t>
  </si>
  <si>
    <t>Transfer. a cc.aa. por fondos de compens. intert.</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</si>
  <si>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</si>
  <si>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</si>
  <si>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</si>
  <si>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</si>
  <si>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</si>
  <si>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</si>
  <si>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</si>
  <si>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</si>
  <si>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</si>
  <si>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</si>
  <si>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</si>
  <si>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</si>
  <si>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</si>
  <si>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</si>
  <si>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</si>
  <si>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</si>
  <si>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</si>
  <si>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</si>
  <si>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</si>
  <si>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</si>
  <si>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</si>
  <si>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</si>
  <si>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</si>
  <si>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</si>
  <si>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</si>
  <si>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</si>
  <si>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</si>
  <si>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</si>
  <si>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</si>
  <si>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</si>
  <si>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</si>
  <si>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</si>
  <si>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</si>
  <si>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</si>
  <si>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</si>
  <si>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</si>
  <si>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</si>
  <si>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</si>
  <si>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</si>
  <si>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</si>
  <si>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</si>
  <si>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</si>
  <si>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</si>
  <si>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</si>
  <si>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</si>
  <si>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</si>
  <si>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</si>
  <si>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</si>
  <si>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</si>
  <si>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</si>
  <si>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</si>
  <si>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</si>
  <si>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</si>
  <si>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</si>
  <si>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</si>
  <si>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</si>
  <si>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</si>
  <si>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</si>
  <si>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</si>
  <si>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</si>
  <si>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</si>
  <si>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</si>
  <si>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</si>
  <si>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</si>
  <si>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</si>
  <si>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</si>
  <si>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</si>
  <si>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</si>
  <si>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</si>
  <si>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</si>
  <si>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</si>
  <si>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</si>
  <si>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</si>
  <si>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</si>
  <si>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</si>
  <si>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</si>
  <si>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</si>
  <si>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</si>
  <si>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</si>
  <si>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</si>
  <si>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</si>
  <si>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</si>
  <si>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</si>
  <si>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</si>
  <si>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</si>
  <si>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</si>
  <si>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</si>
  <si>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</si>
  <si>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</si>
  <si>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</si>
  <si>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</si>
  <si>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</si>
  <si>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</si>
  <si>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</si>
  <si>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</si>
  <si>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</si>
  <si>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</si>
  <si>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</si>
  <si>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</si>
  <si>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</si>
  <si>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</si>
  <si>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</si>
  <si>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</si>
  <si>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</si>
  <si>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</si>
  <si>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</si>
  <si>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</si>
  <si>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</si>
  <si>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</si>
  <si>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</si>
  <si>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</si>
  <si>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</si>
  <si>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</si>
  <si>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</si>
  <si>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</si>
  <si>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</si>
  <si>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</si>
  <si>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</si>
  <si>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</si>
  <si>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</si>
  <si>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</si>
  <si>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</si>
  <si>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</si>
  <si>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</si>
  <si>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</si>
  <si>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</si>
  <si>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</si>
  <si>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</si>
  <si>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</si>
  <si>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</si>
  <si>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</si>
  <si>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</si>
  <si>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</si>
  <si>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</si>
  <si>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</si>
  <si>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</si>
  <si>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</si>
  <si>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</si>
  <si>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</si>
  <si>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</si>
  <si>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</si>
  <si>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</si>
  <si>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</si>
  <si>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</si>
  <si>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</si>
  <si>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</si>
  <si>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</si>
  <si>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</si>
  <si>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</si>
  <si>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</si>
  <si>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</si>
  <si>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</si>
  <si>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</si>
  <si>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</si>
  <si>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</si>
  <si>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</si>
  <si>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</si>
  <si>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</si>
  <si>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</si>
  <si>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</si>
  <si>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</si>
  <si>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</si>
  <si>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</si>
  <si>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</si>
  <si>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</si>
  <si>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</si>
  <si>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</si>
  <si>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</si>
  <si>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</si>
  <si>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</si>
  <si>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</si>
  <si>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</si>
  <si>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</si>
  <si>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</si>
  <si>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</si>
  <si>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</si>
  <si>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</si>
  <si>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</si>
  <si>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</si>
  <si>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</si>
  <si>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</si>
  <si>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</si>
  <si>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</si>
  <si>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</si>
  <si>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</si>
  <si>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</si>
  <si>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</si>
  <si>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</si>
  <si>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</si>
  <si>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</si>
  <si>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</si>
  <si>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</si>
  <si>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</si>
  <si>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</si>
  <si>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</si>
  <si>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</si>
  <si>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</si>
  <si>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</si>
  <si>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</si>
  <si>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</si>
  <si>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</si>
  <si>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</si>
  <si>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</si>
  <si>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</si>
  <si>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</si>
  <si>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</si>
  <si>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</si>
  <si>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</si>
  <si>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</si>
  <si>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</si>
  <si>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</si>
  <si>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</si>
  <si>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</si>
  <si>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</si>
  <si>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</si>
  <si>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</si>
  <si>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</si>
  <si>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</si>
  <si>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</si>
  <si>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</si>
  <si>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</si>
  <si>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</si>
  <si>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</si>
  <si>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</si>
  <si>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</si>
  <si>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</si>
  <si>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</si>
  <si>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</si>
  <si>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</si>
  <si>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</si>
  <si>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</si>
  <si>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</si>
  <si>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</si>
  <si>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</si>
  <si>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</si>
  <si>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</si>
  <si>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</si>
  <si>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</si>
  <si>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</si>
  <si>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</si>
  <si>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</si>
  <si>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</si>
  <si>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</si>
  <si>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</si>
  <si>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</si>
  <si>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</si>
  <si>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</si>
  <si>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</si>
  <si>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</si>
  <si>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</si>
  <si>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</si>
  <si>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</si>
  <si>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</si>
  <si>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</si>
  <si>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</si>
  <si>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</si>
  <si>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</si>
  <si>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</si>
  <si>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</si>
  <si>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</si>
  <si>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</si>
  <si>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</si>
  <si>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</si>
  <si>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</si>
  <si>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</si>
  <si>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</si>
  <si>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</si>
  <si>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</si>
  <si>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</si>
  <si>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</si>
  <si>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</si>
  <si>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</si>
  <si>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</si>
  <si>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</si>
  <si>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</si>
  <si>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</si>
  <si>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</si>
  <si>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</si>
  <si>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</si>
  <si>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</si>
  <si>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</si>
  <si>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</si>
  <si>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</si>
  <si>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</si>
  <si>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</si>
  <si>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</si>
  <si>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</si>
  <si>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</si>
  <si>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</si>
  <si>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</si>
  <si>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</si>
  <si>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</si>
  <si>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</si>
  <si>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</si>
  <si>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</si>
  <si>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</si>
  <si>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</si>
  <si>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</si>
  <si>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</si>
  <si>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</si>
  <si>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</si>
  <si>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</si>
  <si>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</si>
  <si>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</si>
  <si>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Ruta: Balanza_Fiscal_20XX\Texto_informe_y_anexos_XX\Resultados_20XX</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</si>
  <si>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</si>
  <si>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</si>
  <si>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</si>
  <si>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</si>
  <si>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</si>
  <si>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</si>
  <si>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</si>
  <si>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</si>
  <si>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</si>
  <si>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</si>
  <si>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</si>
  <si>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</si>
  <si>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</si>
  <si>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</si>
  <si>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</si>
  <si>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</si>
  <si>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</si>
  <si>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</si>
  <si>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</si>
  <si>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</si>
  <si>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</si>
  <si>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</si>
  <si>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</si>
  <si>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</si>
  <si>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</si>
  <si>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</si>
  <si>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</si>
  <si>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</si>
  <si>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</si>
  <si>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</si>
  <si>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</si>
  <si>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</si>
  <si>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</si>
  <si>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</si>
  <si>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</si>
  <si>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</si>
  <si>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</si>
  <si>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</si>
  <si>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</si>
  <si>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</si>
  <si>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</si>
  <si>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</si>
  <si>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</si>
  <si>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</si>
  <si>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Adquisición de activos financieros repartidos por población</t>
  </si>
  <si>
    <t>Saldo ajustado por operac. Financieras repartidos por población</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</si>
  <si>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</si>
  <si>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</si>
  <si>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</si>
  <si>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</si>
  <si>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</si>
  <si>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</si>
  <si>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</si>
  <si>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</si>
  <si>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</si>
  <si>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</si>
  <si>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</si>
  <si>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</si>
  <si>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</si>
  <si>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</si>
  <si>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</si>
  <si>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</si>
  <si>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</si>
  <si>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</si>
  <si>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</si>
  <si>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</si>
  <si>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</si>
  <si>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</si>
  <si>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</si>
  <si>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</si>
  <si>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</si>
  <si>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</si>
  <si>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</si>
  <si>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</si>
  <si>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</si>
  <si>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</si>
  <si>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</si>
  <si>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</si>
  <si>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</si>
  <si>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</si>
  <si>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</si>
  <si>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</si>
  <si>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</si>
  <si>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</si>
  <si>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</si>
  <si>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</si>
  <si>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</si>
  <si>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</si>
  <si>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</si>
  <si>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</si>
  <si>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</si>
  <si>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</si>
  <si>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</si>
  <si>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Al final no se publica en el informe corto</t>
  </si>
  <si>
    <t xml:space="preserve"> IVA, ingresos comunidades forales</t>
  </si>
  <si>
    <t>Imp. Especiales (incl. Matriculación y electricidad),  sin ejercicio de la capacidad normativa en el IH</t>
  </si>
  <si>
    <t>Sin forales y CyM</t>
  </si>
  <si>
    <t>Beneficios del gasto público</t>
  </si>
  <si>
    <t>Cargas fiscales</t>
  </si>
  <si>
    <t>CCAA</t>
  </si>
  <si>
    <t>Financiación regional</t>
  </si>
  <si>
    <t>NOTA DE PRENSA</t>
  </si>
  <si>
    <t>Cooperación al desarrollo a través del fondo europeo de desarrollo</t>
  </si>
  <si>
    <t>Asesoramiento para la protección de los intereses nacionales</t>
  </si>
  <si>
    <t>923Q</t>
  </si>
  <si>
    <t>Dirección y Servicios Generales de Economía y Competitividad</t>
  </si>
  <si>
    <t>923R</t>
  </si>
  <si>
    <t>Contratación centralizada</t>
  </si>
  <si>
    <t>1.7. Organismos reguladores y supervisores económicos</t>
  </si>
  <si>
    <t>492M_1</t>
  </si>
  <si>
    <t>Defensa de la competencia en los mercados y regulación de sectores productivos </t>
  </si>
  <si>
    <t>Comisión Nacional del Mercado de Valores, CNMV</t>
  </si>
  <si>
    <t>931Q</t>
  </si>
  <si>
    <t>Control y supervisión de la política fiscal</t>
  </si>
  <si>
    <t>941O_4</t>
  </si>
  <si>
    <t xml:space="preserve"> Compensación  a CC.AA por Impuesto de Depósito de Entidades de Crédito y otros</t>
  </si>
  <si>
    <t>FP034_1</t>
  </si>
  <si>
    <t xml:space="preserve"> Impuesto sobre la actividad de juego. Ingresos homogeneizados de las CCAARC</t>
  </si>
  <si>
    <t>FP035</t>
  </si>
  <si>
    <t xml:space="preserve"> Impuesto sobre depósito de entidades de crédito. Ingresos homogeneizados de las CCAARC</t>
  </si>
  <si>
    <t xml:space="preserve">Atención Primaria de Salud, gasto directo del INGESA en Ceuta y Melilla </t>
  </si>
  <si>
    <t>Venta minorista de hidrocarburos (IVMH), ingresos de las comunidades forales</t>
  </si>
  <si>
    <t>FP081_1</t>
  </si>
  <si>
    <t xml:space="preserve"> Impuesto sobre la actividad de juego. Ingresos homogeneizados. Régimen foral</t>
  </si>
  <si>
    <t>FP082</t>
  </si>
  <si>
    <t>Impuestos medioambientales. Ingresos homogeneizados. Régimen foral</t>
  </si>
  <si>
    <t>FP083</t>
  </si>
  <si>
    <t>Impuestos sobre gases fluorados. Ingresos homogeneizados. Régimen foral</t>
  </si>
  <si>
    <t>FP084</t>
  </si>
  <si>
    <t>Impuesto sobre depósitos de entidades de crédito. Régimen foral</t>
  </si>
  <si>
    <t>Economía Social</t>
  </si>
  <si>
    <t>CT04</t>
  </si>
  <si>
    <t>Parques Nacionales transferidos durante el año, coste efectivo</t>
  </si>
  <si>
    <t>492M_3</t>
  </si>
  <si>
    <t>Otras transferencias a Comunidades Autónomas: Transferencias de capital a Aragón, Extremadura y Cantabria para proyectos de inversión</t>
  </si>
  <si>
    <t>CT08</t>
  </si>
  <si>
    <t>Gestion del Hospital Militar San Carlos (San Fernando)</t>
  </si>
  <si>
    <t>CT09</t>
  </si>
  <si>
    <t>Gestion de funciones y servicios traspasados en materia sanitaria</t>
  </si>
  <si>
    <t>CT02</t>
  </si>
  <si>
    <t>Administración de justicia, coste efectivo</t>
  </si>
  <si>
    <t>Desarrollo de la economía social y del Fondo Social Europeo + AF18</t>
  </si>
  <si>
    <t>492M_2</t>
  </si>
  <si>
    <t>Defensa de la competencia en los mercados y regulación de sectores productivos (sistema eléctrico)</t>
  </si>
  <si>
    <t>I116</t>
  </si>
  <si>
    <t>Impuestos mediombientales. Ingresos homogeneizados</t>
  </si>
  <si>
    <t>I117</t>
  </si>
  <si>
    <t>Impuesto sobre los depósitos de las entidades de crédito.  Ingresos homogeneizados</t>
  </si>
  <si>
    <t>I132</t>
  </si>
  <si>
    <t>Impuesto sobre la actividad de juego. Ingresos homogeneizados</t>
  </si>
  <si>
    <t>I133</t>
  </si>
  <si>
    <t>Impuesto sobre gases fluorados. Ingresos homogeneizados</t>
  </si>
  <si>
    <t>I505</t>
  </si>
  <si>
    <t>Tasas, CNMC</t>
  </si>
  <si>
    <r>
      <rPr>
        <i/>
        <vertAlign val="superscript"/>
        <sz val="10"/>
        <rFont val="Palatino"/>
        <family val="1"/>
      </rPr>
      <t>(i)</t>
    </r>
    <r>
      <rPr>
        <i/>
        <sz val="10"/>
        <rFont val="Palatino"/>
        <family val="1"/>
      </rPr>
      <t xml:space="preserve"> Ver fichero: Datos_generales_14\SGCAyL\Informac_SCT2014_apdos 1-2 y 3.xlsx</t>
    </r>
  </si>
  <si>
    <t>Está actualizado</t>
  </si>
  <si>
    <t>Ver fichero: K:\Ape\COMUN\SCPT\Balanza_Fiscal_2014\Imputacion\Sub_Balanza_UE\sub-balanza_UE 14vf.xlsx (hoja: Total)</t>
  </si>
  <si>
    <t>UE saldo bruto, no neutralizado</t>
  </si>
  <si>
    <t>Gasto Público+Ingreso fiscal</t>
  </si>
  <si>
    <t xml:space="preserve">Saldos totales, millones de euros </t>
  </si>
  <si>
    <t>Saldos per Cápita, euros</t>
  </si>
  <si>
    <t>CUADROS INFORME CORTO</t>
  </si>
  <si>
    <t>INFORME CORTO</t>
  </si>
  <si>
    <t>Este Cuadro 4a es el que se cuelga en el informe corto.</t>
  </si>
  <si>
    <t>Ejecutar macro: saldos_gastos.xlsm (ruta: \SCPT\Balanza_Fiscal_20XX\Macros)</t>
  </si>
  <si>
    <t>Ejecutar macro: saldos_Ingresos.xlsm (ruta: \SCPT\Balanza_Fiscal_20XX\Macros)</t>
  </si>
  <si>
    <r>
      <t>gastos (G</t>
    </r>
    <r>
      <rPr>
        <vertAlign val="subscript"/>
        <sz val="10"/>
        <rFont val="Palatino"/>
      </rPr>
      <t>ccaa</t>
    </r>
    <r>
      <rPr>
        <sz val="10"/>
        <rFont val="Palatino"/>
        <family val="1"/>
      </rPr>
      <t>-G</t>
    </r>
    <r>
      <rPr>
        <vertAlign val="subscript"/>
        <sz val="10"/>
        <rFont val="Palatino"/>
      </rPr>
      <t>nac</t>
    </r>
    <r>
      <rPr>
        <sz val="10"/>
        <rFont val="Palatino"/>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</si>
</sst>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0"/>
    <numFmt numFmtId="166" formatCode="#,##0.0000"/>
    <numFmt numFmtId="167" formatCode="#,##0.000"/>
    <numFmt numFmtId="168" formatCode="0.0"/>
    <numFmt numFmtId="169" formatCode="_-* #,##0\ _€_-;\-* #,##0\ _€_-;_-* &quot;-&quot;??\ _€_-;_-@_-"/>
    <numFmt numFmtId="170" formatCode="#,##0.00000"/>
    <numFmt numFmtId="171" formatCode="#,##0.000000"/>
    <numFmt numFmtId="172" formatCode="0.000000"/>
  </numFmts>
  <fonts count="71">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i/>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
      <sz val="26"/>
      <color rgb="FFFF0000"/>
      <name val="Palatino"/>
      <family val="1"/>
    </font>
    <font>
      <b/>
      <i/>
      <sz val="11"/>
      <name val="Palatino"/>
    </font>
    <font>
      <b/>
      <sz val="11"/>
      <name val="Calibri"/>
      <family val="2"/>
    </font>
    <font>
      <b/>
      <sz val="18"/>
      <color rgb="FFFF0000"/>
      <name val="Verdana"/>
      <family val="2"/>
    </font>
    <font>
      <b/>
      <u/>
      <sz val="14"/>
      <color theme="3"/>
      <name val="Verdana"/>
      <family val="2"/>
    </font>
    <font>
      <b/>
      <u/>
      <sz val="14"/>
      <color theme="7"/>
      <name val="Verdana"/>
      <family val="2"/>
    </font>
    <font>
      <b/>
      <i/>
      <sz val="12"/>
      <color rgb="FF000000"/>
      <name val="Palatino"/>
    </font>
    <font>
      <sz val="11"/>
      <name val="Times New Roman"/>
      <family val="1"/>
    </font>
    <font>
      <i/>
      <sz val="11"/>
      <name val="Times New Roman"/>
      <family val="1"/>
    </font>
    <font>
      <b/>
      <sz val="11"/>
      <name val="Times New Roman"/>
      <family val="1"/>
    </font>
    <font>
      <vertAlign val="subscript"/>
      <sz val="10"/>
      <name val="Palatino"/>
    </font>
    <font>
      <b/>
      <u/>
      <sz val="24"/>
      <color rgb="FF7030A0"/>
      <name val="Verdana"/>
      <family val="2"/>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33CC"/>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4" fillId="0" borderId="0"/>
    <xf numFmtId="43" fontId="54" fillId="0" borderId="0" applyFont="0" applyFill="0" applyBorder="0" applyAlignment="0" applyProtection="0"/>
  </cellStyleXfs>
  <cellXfs count="494">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3" fontId="17" fillId="0" borderId="3" xfId="0" applyNumberFormat="1" applyFont="1" applyBorder="1" applyAlignment="1">
      <alignment horizontal="right" vertical="center"/>
    </xf>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6" borderId="6" xfId="0" applyFont="1" applyFill="1" applyBorder="1" applyAlignment="1">
      <alignment wrapText="1"/>
    </xf>
    <xf numFmtId="0" fontId="21" fillId="6" borderId="6" xfId="0" applyFont="1" applyFill="1" applyBorder="1" applyAlignment="1">
      <alignment horizontal="center" vertical="center" wrapText="1"/>
    </xf>
    <xf numFmtId="0" fontId="5" fillId="2" borderId="3" xfId="0" applyFont="1" applyFill="1" applyBorder="1"/>
    <xf numFmtId="0" fontId="9" fillId="6" borderId="3" xfId="0" applyFont="1" applyFill="1" applyBorder="1"/>
    <xf numFmtId="0" fontId="9" fillId="6" borderId="3" xfId="0" applyNumberFormat="1" applyFont="1" applyFill="1" applyBorder="1"/>
    <xf numFmtId="0" fontId="5" fillId="6" borderId="3" xfId="0" applyFont="1" applyFill="1" applyBorder="1" applyAlignment="1">
      <alignment horizontal="justify" vertical="center" wrapText="1"/>
    </xf>
    <xf numFmtId="0" fontId="5" fillId="6" borderId="3" xfId="0" applyFont="1" applyFill="1" applyBorder="1" applyAlignment="1">
      <alignment horizontal="justify" wrapText="1"/>
    </xf>
    <xf numFmtId="3" fontId="5" fillId="6" borderId="3" xfId="0" applyNumberFormat="1" applyFont="1" applyFill="1" applyBorder="1" applyAlignment="1">
      <alignment wrapText="1"/>
    </xf>
    <xf numFmtId="3" fontId="9" fillId="6"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6"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6" borderId="3" xfId="0" applyNumberFormat="1" applyFont="1" applyFill="1" applyBorder="1" applyAlignment="1">
      <alignment horizontal="center" wrapText="1"/>
    </xf>
    <xf numFmtId="0" fontId="34" fillId="6" borderId="3" xfId="0" applyFont="1" applyFill="1" applyBorder="1" applyAlignment="1">
      <alignment horizontal="center" wrapText="1"/>
    </xf>
    <xf numFmtId="0" fontId="47" fillId="0" borderId="0" xfId="0" applyFont="1"/>
    <xf numFmtId="0" fontId="48" fillId="0" borderId="0" xfId="0" applyFont="1" applyAlignment="1">
      <alignment horizontal="center"/>
    </xf>
    <xf numFmtId="0" fontId="47" fillId="3" borderId="0" xfId="0" applyFont="1" applyFill="1"/>
    <xf numFmtId="0" fontId="49" fillId="0" borderId="0" xfId="0" applyFont="1"/>
    <xf numFmtId="3" fontId="18" fillId="5" borderId="5" xfId="0" applyNumberFormat="1" applyFont="1" applyFill="1" applyBorder="1"/>
    <xf numFmtId="3" fontId="18" fillId="4" borderId="0" xfId="0" applyNumberFormat="1" applyFont="1" applyFill="1"/>
    <xf numFmtId="0" fontId="9" fillId="0" borderId="3" xfId="0" applyFont="1" applyFill="1" applyBorder="1" applyAlignment="1">
      <alignment wrapText="1"/>
    </xf>
    <xf numFmtId="3" fontId="11" fillId="4" borderId="0" xfId="0" applyNumberFormat="1" applyFont="1" applyFill="1" applyBorder="1"/>
    <xf numFmtId="0" fontId="18" fillId="5" borderId="5" xfId="0" applyFont="1" applyFill="1" applyBorder="1"/>
    <xf numFmtId="0" fontId="47"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10" fillId="0" borderId="0" xfId="0" applyFont="1" applyBorder="1" applyAlignment="1">
      <alignment horizontal="justify" vertical="center"/>
    </xf>
    <xf numFmtId="0" fontId="10" fillId="0" borderId="0" xfId="0" applyFont="1" applyBorder="1" applyAlignment="1">
      <alignment horizontal="left" vertical="top"/>
    </xf>
    <xf numFmtId="3" fontId="16" fillId="0" borderId="0" xfId="0" applyNumberFormat="1" applyFont="1" applyFill="1" applyBorder="1" applyAlignment="1">
      <alignment horizontal="right" vertical="center"/>
    </xf>
    <xf numFmtId="10" fontId="11" fillId="0" borderId="0" xfId="1" applyNumberFormat="1" applyFont="1"/>
    <xf numFmtId="0" fontId="5" fillId="0" borderId="0" xfId="0" applyFont="1" applyAlignment="1">
      <alignment horizontal="center"/>
    </xf>
    <xf numFmtId="10" fontId="50"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1"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3"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0" fontId="48"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166" fontId="9" fillId="0" borderId="0" xfId="0" applyNumberFormat="1" applyFont="1" applyFill="1"/>
    <xf numFmtId="43" fontId="0" fillId="0" borderId="0" xfId="6" applyFont="1"/>
    <xf numFmtId="0" fontId="11" fillId="0" borderId="11" xfId="0" applyFont="1" applyBorder="1"/>
    <xf numFmtId="0" fontId="11" fillId="0" borderId="12" xfId="0" applyFont="1" applyBorder="1"/>
    <xf numFmtId="0" fontId="50" fillId="0" borderId="17" xfId="0" applyFont="1" applyBorder="1"/>
    <xf numFmtId="10" fontId="55" fillId="0" borderId="5" xfId="0" applyNumberFormat="1" applyFont="1" applyBorder="1"/>
    <xf numFmtId="10" fontId="55"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10" fontId="56" fillId="0" borderId="0" xfId="0" applyNumberFormat="1" applyFont="1" applyAlignment="1">
      <alignment horizontal="right" vertical="center"/>
    </xf>
    <xf numFmtId="10" fontId="52" fillId="0" borderId="0" xfId="0" applyNumberFormat="1" applyFont="1" applyAlignment="1">
      <alignment horizontal="right" vertical="center"/>
    </xf>
    <xf numFmtId="3" fontId="57" fillId="0" borderId="0" xfId="0" applyNumberFormat="1" applyFont="1" applyFill="1" applyAlignment="1">
      <alignment horizontal="right" vertical="center"/>
    </xf>
    <xf numFmtId="3" fontId="58" fillId="0" borderId="0" xfId="0" applyNumberFormat="1" applyFont="1" applyFill="1" applyAlignment="1">
      <alignment horizontal="righ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5" fillId="2" borderId="4" xfId="0" applyFont="1" applyFill="1" applyBorder="1" applyAlignment="1"/>
    <xf numFmtId="0" fontId="5" fillId="2" borderId="3" xfId="0" applyFont="1" applyFill="1" applyBorder="1" applyAlignment="1"/>
    <xf numFmtId="164" fontId="0" fillId="0" borderId="0" xfId="1" applyNumberFormat="1" applyFont="1"/>
    <xf numFmtId="164" fontId="0" fillId="0" borderId="3" xfId="1" applyNumberFormat="1" applyFont="1" applyBorder="1"/>
    <xf numFmtId="10" fontId="0" fillId="0" borderId="0" xfId="0" applyNumberFormat="1"/>
    <xf numFmtId="0" fontId="0" fillId="4" borderId="0" xfId="0" applyFill="1"/>
    <xf numFmtId="3" fontId="13" fillId="8" borderId="6" xfId="0" applyNumberFormat="1" applyFont="1" applyFill="1" applyBorder="1" applyAlignment="1">
      <alignment horizontal="center" wrapText="1"/>
    </xf>
    <xf numFmtId="169" fontId="11" fillId="0" borderId="0" xfId="6" applyNumberFormat="1" applyFont="1"/>
    <xf numFmtId="3" fontId="6" fillId="8" borderId="3" xfId="0" applyNumberFormat="1" applyFont="1" applyFill="1" applyBorder="1" applyAlignment="1">
      <alignment horizontal="center" wrapText="1"/>
    </xf>
    <xf numFmtId="0" fontId="9" fillId="8" borderId="3" xfId="0" applyFont="1" applyFill="1" applyBorder="1" applyAlignment="1">
      <alignment wrapText="1"/>
    </xf>
    <xf numFmtId="169" fontId="11" fillId="0" borderId="0" xfId="6" applyNumberFormat="1" applyFont="1" applyFill="1"/>
    <xf numFmtId="3" fontId="0" fillId="7" borderId="0" xfId="0" applyNumberFormat="1" applyFill="1"/>
    <xf numFmtId="0" fontId="32" fillId="8" borderId="10" xfId="0" applyFont="1" applyFill="1" applyBorder="1" applyAlignment="1">
      <alignment horizontal="center" vertical="center" wrapText="1"/>
    </xf>
    <xf numFmtId="0" fontId="59" fillId="0" borderId="0" xfId="0" applyFont="1"/>
    <xf numFmtId="0" fontId="17" fillId="0" borderId="3" xfId="0" applyFont="1" applyFill="1" applyBorder="1" applyAlignment="1">
      <alignment vertical="center"/>
    </xf>
    <xf numFmtId="0" fontId="45" fillId="8" borderId="8" xfId="0" applyFont="1" applyFill="1" applyBorder="1"/>
    <xf numFmtId="0" fontId="9" fillId="8" borderId="9" xfId="0" applyFont="1" applyFill="1" applyBorder="1"/>
    <xf numFmtId="1" fontId="11" fillId="0" borderId="0" xfId="0" applyNumberFormat="1" applyFont="1"/>
    <xf numFmtId="170" fontId="0" fillId="0" borderId="0" xfId="0" applyNumberFormat="1"/>
    <xf numFmtId="171" fontId="0" fillId="0" borderId="0" xfId="0" applyNumberFormat="1"/>
    <xf numFmtId="0" fontId="60" fillId="2" borderId="4" xfId="0" applyFont="1" applyFill="1" applyBorder="1" applyAlignment="1">
      <alignment vertical="center"/>
    </xf>
    <xf numFmtId="0" fontId="60" fillId="2" borderId="2" xfId="0" applyFont="1" applyFill="1" applyBorder="1" applyAlignment="1">
      <alignment vertical="center" wrapText="1"/>
    </xf>
    <xf numFmtId="0" fontId="60" fillId="2" borderId="2" xfId="0" applyFont="1" applyFill="1" applyBorder="1" applyAlignment="1">
      <alignment horizontal="center" vertical="center" wrapText="1"/>
    </xf>
    <xf numFmtId="0" fontId="61" fillId="0" borderId="0" xfId="0" applyFont="1"/>
    <xf numFmtId="172" fontId="0" fillId="0" borderId="0" xfId="0" quotePrefix="1" applyNumberFormat="1"/>
    <xf numFmtId="0" fontId="17" fillId="0" borderId="0" xfId="0" applyFont="1" applyBorder="1" applyAlignment="1">
      <alignment horizontal="center" vertical="center"/>
    </xf>
    <xf numFmtId="3" fontId="0" fillId="0" borderId="3" xfId="0" applyNumberFormat="1" applyFill="1" applyBorder="1"/>
    <xf numFmtId="0" fontId="17" fillId="3" borderId="0" xfId="0" applyFont="1" applyFill="1" applyBorder="1" applyAlignment="1">
      <alignment vertical="center"/>
    </xf>
    <xf numFmtId="0" fontId="17" fillId="3" borderId="3" xfId="0" applyFont="1" applyFill="1" applyBorder="1" applyAlignment="1">
      <alignment vertical="center"/>
    </xf>
    <xf numFmtId="0" fontId="17" fillId="3" borderId="0" xfId="0" applyFont="1" applyFill="1" applyBorder="1" applyAlignment="1">
      <alignment horizontal="center" vertical="center"/>
    </xf>
    <xf numFmtId="0" fontId="17" fillId="3" borderId="3" xfId="0" applyFont="1" applyFill="1" applyBorder="1" applyAlignment="1">
      <alignment horizontal="center" vertical="center"/>
    </xf>
    <xf numFmtId="3" fontId="0" fillId="0" borderId="4" xfId="0" applyNumberFormat="1" applyFill="1" applyBorder="1"/>
    <xf numFmtId="3" fontId="0" fillId="0" borderId="0" xfId="0" applyNumberFormat="1" applyFill="1" applyBorder="1"/>
    <xf numFmtId="0" fontId="62" fillId="0" borderId="0" xfId="0" applyFont="1"/>
    <xf numFmtId="0" fontId="63" fillId="0" borderId="0" xfId="0" applyFont="1" applyAlignment="1">
      <alignment horizontal="left" vertical="center" readingOrder="1"/>
    </xf>
    <xf numFmtId="0" fontId="64" fillId="0" borderId="0" xfId="0" applyFont="1" applyAlignment="1">
      <alignment horizontal="left" vertical="center" readingOrder="1"/>
    </xf>
    <xf numFmtId="0" fontId="50" fillId="0" borderId="0" xfId="0" applyFont="1"/>
    <xf numFmtId="3" fontId="66" fillId="0" borderId="0" xfId="0" applyNumberFormat="1" applyFont="1" applyAlignment="1">
      <alignment horizontal="right" vertical="center"/>
    </xf>
    <xf numFmtId="10" fontId="66" fillId="0" borderId="0" xfId="1" applyNumberFormat="1" applyFont="1" applyAlignment="1">
      <alignment horizontal="right" vertical="center"/>
    </xf>
    <xf numFmtId="0" fontId="67" fillId="0" borderId="3" xfId="0" applyFont="1" applyBorder="1" applyAlignment="1">
      <alignment horizontal="right" vertical="center"/>
    </xf>
    <xf numFmtId="3" fontId="66" fillId="0" borderId="3" xfId="0" applyNumberFormat="1" applyFont="1" applyBorder="1" applyAlignment="1">
      <alignment horizontal="right" vertical="center"/>
    </xf>
    <xf numFmtId="10" fontId="68" fillId="0" borderId="3" xfId="1" applyNumberFormat="1" applyFont="1" applyBorder="1" applyAlignment="1">
      <alignment horizontal="right" vertical="center"/>
    </xf>
    <xf numFmtId="0" fontId="66" fillId="0" borderId="3" xfId="0" applyFont="1" applyBorder="1" applyAlignment="1">
      <alignment horizontal="right" vertical="center"/>
    </xf>
    <xf numFmtId="0" fontId="70" fillId="0" borderId="0" xfId="0" applyFont="1" applyAlignment="1">
      <alignment horizontal="left" vertical="center" readingOrder="1"/>
    </xf>
    <xf numFmtId="0" fontId="9" fillId="7" borderId="0" xfId="0" applyFont="1" applyFill="1"/>
    <xf numFmtId="10" fontId="16" fillId="7" borderId="0" xfId="0" applyNumberFormat="1" applyFont="1" applyFill="1" applyBorder="1" applyAlignment="1">
      <alignment horizontal="right" vertical="center"/>
    </xf>
    <xf numFmtId="0" fontId="17" fillId="7" borderId="2" xfId="0" applyFont="1" applyFill="1" applyBorder="1" applyAlignment="1">
      <alignment horizontal="right" vertical="center"/>
    </xf>
    <xf numFmtId="3" fontId="9" fillId="7" borderId="0" xfId="0" applyNumberFormat="1" applyFont="1" applyFill="1" applyAlignment="1">
      <alignment horizontal="right" vertical="center"/>
    </xf>
    <xf numFmtId="3" fontId="9" fillId="7" borderId="2" xfId="0" applyNumberFormat="1" applyFont="1" applyFill="1" applyBorder="1" applyAlignment="1">
      <alignment horizontal="right" vertical="center"/>
    </xf>
    <xf numFmtId="3" fontId="16" fillId="7" borderId="0" xfId="0" applyNumberFormat="1" applyFont="1" applyFill="1" applyAlignment="1">
      <alignment horizontal="right" vertical="center" wrapText="1"/>
    </xf>
    <xf numFmtId="3" fontId="16" fillId="7" borderId="2" xfId="0" applyNumberFormat="1" applyFont="1" applyFill="1" applyBorder="1" applyAlignment="1">
      <alignment horizontal="right" vertical="center" wrapText="1"/>
    </xf>
    <xf numFmtId="3" fontId="16" fillId="7" borderId="0" xfId="0" applyNumberFormat="1" applyFont="1" applyFill="1" applyBorder="1" applyAlignment="1">
      <alignment horizontal="right" vertical="center" wrapText="1"/>
    </xf>
    <xf numFmtId="3" fontId="16" fillId="7" borderId="3" xfId="0" applyNumberFormat="1" applyFont="1" applyFill="1" applyBorder="1" applyAlignment="1">
      <alignment horizontal="right" vertical="center" wrapText="1"/>
    </xf>
    <xf numFmtId="3" fontId="52" fillId="7" borderId="0" xfId="0" applyNumberFormat="1" applyFont="1" applyFill="1" applyBorder="1" applyAlignment="1">
      <alignment horizontal="right" vertical="center" wrapText="1"/>
    </xf>
    <xf numFmtId="3" fontId="52" fillId="7" borderId="3" xfId="0" applyNumberFormat="1" applyFont="1" applyFill="1" applyBorder="1" applyAlignment="1">
      <alignment horizontal="right" vertical="center" wrapText="1"/>
    </xf>
    <xf numFmtId="3" fontId="16" fillId="7" borderId="4" xfId="0" applyNumberFormat="1" applyFont="1" applyFill="1" applyBorder="1" applyAlignment="1">
      <alignment horizontal="right" vertical="center" wrapText="1"/>
    </xf>
    <xf numFmtId="1" fontId="16" fillId="7" borderId="0" xfId="0" applyNumberFormat="1" applyFont="1" applyFill="1" applyBorder="1" applyAlignment="1">
      <alignment horizontal="right" vertical="center" wrapText="1"/>
    </xf>
    <xf numFmtId="1" fontId="16" fillId="7" borderId="2" xfId="0" applyNumberFormat="1" applyFont="1" applyFill="1" applyBorder="1" applyAlignment="1">
      <alignment horizontal="right" vertical="center" wrapText="1"/>
    </xf>
    <xf numFmtId="164" fontId="19" fillId="7" borderId="0" xfId="0" applyNumberFormat="1" applyFont="1" applyFill="1" applyAlignment="1">
      <alignment horizontal="right" vertical="center"/>
    </xf>
    <xf numFmtId="164" fontId="17" fillId="7" borderId="0" xfId="0" applyNumberFormat="1" applyFont="1" applyFill="1" applyAlignment="1">
      <alignment horizontal="right" vertical="center"/>
    </xf>
    <xf numFmtId="164" fontId="16" fillId="7" borderId="0" xfId="0" applyNumberFormat="1" applyFont="1" applyFill="1" applyAlignment="1">
      <alignment horizontal="right" vertical="center"/>
    </xf>
    <xf numFmtId="164" fontId="17" fillId="7" borderId="0" xfId="0" applyNumberFormat="1" applyFont="1" applyFill="1" applyBorder="1" applyAlignment="1">
      <alignment horizontal="right" vertical="center"/>
    </xf>
    <xf numFmtId="164" fontId="17" fillId="7" borderId="2" xfId="0" applyNumberFormat="1" applyFont="1" applyFill="1" applyBorder="1" applyAlignment="1">
      <alignment horizontal="right" vertical="center"/>
    </xf>
    <xf numFmtId="0" fontId="10" fillId="0" borderId="0" xfId="0" applyFont="1" applyBorder="1" applyAlignment="1">
      <alignment horizontal="justify" vertical="center"/>
    </xf>
    <xf numFmtId="0" fontId="21" fillId="2" borderId="4" xfId="0" applyFont="1" applyFill="1" applyBorder="1" applyAlignment="1">
      <alignment horizontal="center" vertical="center"/>
    </xf>
    <xf numFmtId="0" fontId="65" fillId="2" borderId="1" xfId="0" applyFont="1" applyFill="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10" fillId="0" borderId="0" xfId="0" quotePrefix="1" applyFont="1" applyBorder="1" applyAlignment="1">
      <alignment horizontal="justify" vertical="center"/>
    </xf>
    <xf numFmtId="0" fontId="9" fillId="0" borderId="0" xfId="0" applyFont="1" applyAlignment="1">
      <alignment vertical="center"/>
    </xf>
    <xf numFmtId="0" fontId="60" fillId="2" borderId="4" xfId="0" applyFont="1" applyFill="1" applyBorder="1" applyAlignment="1">
      <alignment horizontal="center"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F33CC"/>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FF33CC"/>
      <color rgb="FF99CC00"/>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'Gráficos Informe Corto'!$B$5</c:f>
          <c:strCache>
            <c:ptCount val="1"/>
            <c:pt idx="0">
              <c:v>Gráfico 1: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'Gráficos Informe Corto'!$D$8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 Informe Corto'!$C$9:$C$26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'Gráficos Informe Corto'!$D$9:$D$26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'Gráficos Informe Corto'!$G$9:$G$13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 Informe Corto'!$G$9:$G$26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'Gráficos Informe Corto'!$C$27:$C$28</c:f>
              <c:numCache>
                <c:formatCode>#,##0</c:formatCode>
                <c:ptCount val="2"/>
                <c:pt idx="0">
                  <c:v>30334.451377347978</c:v>
                </c:pt>
                <c:pt idx="1">
                  <c:v>15201.424317148269</c:v>
                </c:pt>
              </c:numCache>
            </c:numRef>
          </c:xVal>
          <c:yVal>
            <c:numRef>
              <c:f>'Gráficos Informe Corto'!$D$27:$D$28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672"/>
        <c:axId val="397066320"/>
      </c:scatterChart>
      <c:valAx>
        <c:axId val="397068672"/>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320"/>
        <c:crossesAt val="-4500"/>
        <c:crossBetween val="midCat"/>
        <c:majorUnit val="2000"/>
      </c:valAx>
      <c:valAx>
        <c:axId val="397066320"/>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672"/>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 Informe Corto'!$G$48</c:f>
              <c:strCache>
                <c:ptCount val="1"/>
                <c:pt idx="0">
                  <c:v>Financiación por habitante ajustado a igual esfuerzo fiscal</c:v>
                </c:pt>
              </c:strCache>
            </c:strRef>
          </c:tx>
          <c:spPr>
            <a:solidFill>
              <a:schemeClr val="accent1"/>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Corto'!$G$49:$G$65</c:f>
              <c:numCache>
                <c:formatCode>#,##0</c:formatCode>
                <c:ptCount val="17"/>
                <c:pt idx="0">
                  <c:v>92.188025557269398</c:v>
                </c:pt>
                <c:pt idx="1">
                  <c:v>93.543665875776213</c:v>
                </c:pt>
                <c:pt idx="2">
                  <c:v>96.601093447709673</c:v>
                </c:pt>
                <c:pt idx="3">
                  <c:v>96.982738339980799</c:v>
                </c:pt>
                <c:pt idx="4">
                  <c:v>98.213963916725234</c:v>
                </c:pt>
                <c:pt idx="5">
                  <c:v>100.22844994466705</c:v>
                </c:pt>
                <c:pt idx="6">
                  <c:v>103.02669862757661</c:v>
                </c:pt>
                <c:pt idx="7">
                  <c:v>105.39575534225813</c:v>
                </c:pt>
                <c:pt idx="8">
                  <c:v>105.44445655297754</c:v>
                </c:pt>
                <c:pt idx="9">
                  <c:v>105.46765964718257</c:v>
                </c:pt>
                <c:pt idx="10">
                  <c:v>106.7492250195772</c:v>
                </c:pt>
                <c:pt idx="11">
                  <c:v>109.03879424951575</c:v>
                </c:pt>
                <c:pt idx="12">
                  <c:v>112.6263865952065</c:v>
                </c:pt>
                <c:pt idx="13">
                  <c:v>116.3863545927599</c:v>
                </c:pt>
                <c:pt idx="14">
                  <c:v>123.88878408245536</c:v>
                </c:pt>
                <c:pt idx="15">
                  <c:v>182.24143792544027</c:v>
                </c:pt>
                <c:pt idx="16">
                  <c:v>227.76849336146998</c:v>
                </c:pt>
              </c:numCache>
            </c:numRef>
          </c:val>
        </c:ser>
        <c:ser>
          <c:idx val="1"/>
          <c:order val="1"/>
          <c:tx>
            <c:strRef>
              <c:f>'Gráficos Informe Corto'!$H$48</c:f>
              <c:strCache>
                <c:ptCount val="1"/>
                <c:pt idx="0">
                  <c:v>Financiación observada por habitante ajustado</c:v>
                </c:pt>
              </c:strCache>
            </c:strRef>
          </c:tx>
          <c:spPr>
            <a:solidFill>
              <a:schemeClr val="accent2"/>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Corto'!$H$49:$H$65</c:f>
              <c:numCache>
                <c:formatCode>#,##0</c:formatCode>
                <c:ptCount val="17"/>
                <c:pt idx="0">
                  <c:v>94.616752583965862</c:v>
                </c:pt>
                <c:pt idx="1">
                  <c:v>96.341144886778423</c:v>
                </c:pt>
                <c:pt idx="2">
                  <c:v>99.198050159797674</c:v>
                </c:pt>
                <c:pt idx="3">
                  <c:v>90.19363598246342</c:v>
                </c:pt>
                <c:pt idx="4">
                  <c:v>98.64624023348118</c:v>
                </c:pt>
                <c:pt idx="5">
                  <c:v>97.491515332008063</c:v>
                </c:pt>
                <c:pt idx="6">
                  <c:v>108.37165656444836</c:v>
                </c:pt>
                <c:pt idx="7">
                  <c:v>106.20017395094698</c:v>
                </c:pt>
                <c:pt idx="8">
                  <c:v>106.31113474915924</c:v>
                </c:pt>
                <c:pt idx="9">
                  <c:v>106.44078875528888</c:v>
                </c:pt>
                <c:pt idx="10">
                  <c:v>106.19093925821998</c:v>
                </c:pt>
                <c:pt idx="11">
                  <c:v>107.82714667078184</c:v>
                </c:pt>
                <c:pt idx="12">
                  <c:v>115.8422655146835</c:v>
                </c:pt>
                <c:pt idx="13">
                  <c:v>115.55717396642471</c:v>
                </c:pt>
                <c:pt idx="14">
                  <c:v>123.09304212257705</c:v>
                </c:pt>
                <c:pt idx="15">
                  <c:v>144.34307771578096</c:v>
                </c:pt>
                <c:pt idx="16">
                  <c:v>201.24489453800271</c:v>
                </c:pt>
              </c:numCache>
            </c:numRef>
          </c:val>
        </c:ser>
        <c:dLbls>
          <c:showLegendKey val="0"/>
          <c:showVal val="0"/>
          <c:showCatName val="0"/>
          <c:showSerName val="0"/>
          <c:showPercent val="0"/>
          <c:showBubbleSize val="0"/>
        </c:dLbls>
        <c:gapWidth val="150"/>
        <c:axId val="397071416"/>
        <c:axId val="397066712"/>
      </c:barChart>
      <c:catAx>
        <c:axId val="39707141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712"/>
        <c:crosses val="autoZero"/>
        <c:auto val="1"/>
        <c:lblAlgn val="ctr"/>
        <c:lblOffset val="100"/>
        <c:noMultiLvlLbl val="0"/>
      </c:catAx>
      <c:valAx>
        <c:axId val="397066712"/>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1416"/>
        <c:crosses val="autoZero"/>
        <c:crossBetween val="between"/>
      </c:valAx>
      <c:spPr>
        <a:noFill/>
        <a:ln>
          <a:solidFill>
            <a:schemeClr val="bg1">
              <a:lumMod val="50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prensa'!$B$35</c:f>
          <c:strCache>
            <c:ptCount val="1"/>
            <c:pt idx="0">
              <c:v>Gráfico 2: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'Nota de prensa'!$D$38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'Nota de prensa'!$C$39:$C$56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'Nota de prensa'!$D$39:$D$56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'Nota de prensa'!$G$39:$G$43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'Nota de prensa'!$G$39:$G$56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'Nota de prensa'!$C$57:$C$58</c:f>
              <c:numCache>
                <c:formatCode>#,##0</c:formatCode>
                <c:ptCount val="2"/>
                <c:pt idx="0">
                  <c:v>30334.451377347978</c:v>
                </c:pt>
                <c:pt idx="1">
                  <c:v>15201.424317148269</c:v>
                </c:pt>
              </c:numCache>
            </c:numRef>
          </c:xVal>
          <c:yVal>
            <c:numRef>
              <c:f>'Nota de prensa'!$D$57:$D$58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280"/>
        <c:axId val="397069848"/>
      </c:scatterChart>
      <c:valAx>
        <c:axId val="397068280"/>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9848"/>
        <c:crossesAt val="-4500"/>
        <c:crossBetween val="midCat"/>
        <c:majorUnit val="2000"/>
      </c:valAx>
      <c:valAx>
        <c:axId val="397069848"/>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280"/>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c:f>
          <c:strCache>
            <c:ptCount val="1"/>
            <c:pt idx="0">
              <c:v>Gráfico 1: Índices agregados de cargas fiscales per cápita, beneficios fiscales per cápita y PIB per cápita (promedio España = 100). Año 2014</c:v>
            </c:pt>
          </c:strCache>
        </c:strRef>
      </c:tx>
      <c:layout>
        <c:manualLayout>
          <c:xMode val="edge"/>
          <c:yMode val="edge"/>
          <c:x val="0.10771759013066128"/>
          <c:y val="1.625628437660136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barChart>
        <c:barDir val="col"/>
        <c:grouping val="clustered"/>
        <c:varyColors val="0"/>
        <c:ser>
          <c:idx val="0"/>
          <c:order val="0"/>
          <c:tx>
            <c:strRef>
              <c:f>'Nota de prensa'!$H$6</c:f>
              <c:strCache>
                <c:ptCount val="1"/>
                <c:pt idx="0">
                  <c:v>Beneficios del gasto público</c:v>
                </c:pt>
              </c:strCache>
            </c:strRef>
          </c:tx>
          <c:spPr>
            <a:solidFill>
              <a:srgbClr val="99CC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prensa'!$H$7:$H$24</c:f>
              <c:numCache>
                <c:formatCode>#,##0</c:formatCode>
                <c:ptCount val="18"/>
                <c:pt idx="0">
                  <c:v>107.1532491819727</c:v>
                </c:pt>
                <c:pt idx="1">
                  <c:v>91.799359189390856</c:v>
                </c:pt>
                <c:pt idx="2">
                  <c:v>93.448313096001641</c:v>
                </c:pt>
                <c:pt idx="3">
                  <c:v>126.13064774831165</c:v>
                </c:pt>
                <c:pt idx="4">
                  <c:v>85.319281774654897</c:v>
                </c:pt>
                <c:pt idx="5">
                  <c:v>98.122924287307541</c:v>
                </c:pt>
                <c:pt idx="6">
                  <c:v>124.34667586618812</c:v>
                </c:pt>
                <c:pt idx="7">
                  <c:v>87.106800788022028</c:v>
                </c:pt>
                <c:pt idx="8">
                  <c:v>108.02232529580162</c:v>
                </c:pt>
                <c:pt idx="9">
                  <c:v>112.13399789418376</c:v>
                </c:pt>
                <c:pt idx="10">
                  <c:v>115.91476802477594</c:v>
                </c:pt>
                <c:pt idx="11">
                  <c:v>91.977498469606758</c:v>
                </c:pt>
                <c:pt idx="12">
                  <c:v>103.89852913296941</c:v>
                </c:pt>
                <c:pt idx="13">
                  <c:v>113.53234443271344</c:v>
                </c:pt>
                <c:pt idx="14">
                  <c:v>100.22954970551096</c:v>
                </c:pt>
                <c:pt idx="15">
                  <c:v>112.44657953010426</c:v>
                </c:pt>
                <c:pt idx="16">
                  <c:v>135.5868702895356</c:v>
                </c:pt>
                <c:pt idx="17">
                  <c:v>95.005142489884747</c:v>
                </c:pt>
              </c:numCache>
            </c:numRef>
          </c:val>
        </c:ser>
        <c:ser>
          <c:idx val="1"/>
          <c:order val="1"/>
          <c:tx>
            <c:strRef>
              <c:f>'Nota de prensa'!$I$6</c:f>
              <c:strCache>
                <c:ptCount val="1"/>
                <c:pt idx="0">
                  <c:v>Cargas fiscales</c:v>
                </c:pt>
              </c:strCache>
            </c:strRef>
          </c:tx>
          <c:spPr>
            <a:solidFill>
              <a:srgbClr val="C000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prensa'!$I$7:$I$24</c:f>
              <c:numCache>
                <c:formatCode>#,##0</c:formatCode>
                <c:ptCount val="18"/>
                <c:pt idx="0">
                  <c:v>75.736217131175323</c:v>
                </c:pt>
                <c:pt idx="1">
                  <c:v>79.605711513164863</c:v>
                </c:pt>
                <c:pt idx="2">
                  <c:v>82.97967852625483</c:v>
                </c:pt>
                <c:pt idx="3">
                  <c:v>68.260425869588445</c:v>
                </c:pt>
                <c:pt idx="4">
                  <c:v>82.983027167813589</c:v>
                </c:pt>
                <c:pt idx="5">
                  <c:v>72.510694184887697</c:v>
                </c:pt>
                <c:pt idx="6">
                  <c:v>101.97025560957371</c:v>
                </c:pt>
                <c:pt idx="7">
                  <c:v>90.184188699889759</c:v>
                </c:pt>
                <c:pt idx="8">
                  <c:v>92.023277157274848</c:v>
                </c:pt>
                <c:pt idx="9">
                  <c:v>102.37025250718041</c:v>
                </c:pt>
                <c:pt idx="10">
                  <c:v>95.993662377471395</c:v>
                </c:pt>
                <c:pt idx="11">
                  <c:v>108.30068961360121</c:v>
                </c:pt>
                <c:pt idx="12">
                  <c:v>102.63934223981005</c:v>
                </c:pt>
                <c:pt idx="13">
                  <c:v>106.89124607182328</c:v>
                </c:pt>
                <c:pt idx="14">
                  <c:v>116.64824675703281</c:v>
                </c:pt>
                <c:pt idx="15">
                  <c:v>111.42052312774909</c:v>
                </c:pt>
                <c:pt idx="16">
                  <c:v>119.76448892327214</c:v>
                </c:pt>
                <c:pt idx="17">
                  <c:v>131.62598328899546</c:v>
                </c:pt>
              </c:numCache>
            </c:numRef>
          </c:val>
        </c:ser>
        <c:dLbls>
          <c:showLegendKey val="0"/>
          <c:showVal val="0"/>
          <c:showCatName val="0"/>
          <c:showSerName val="0"/>
          <c:showPercent val="0"/>
          <c:showBubbleSize val="0"/>
        </c:dLbls>
        <c:gapWidth val="101"/>
        <c:overlap val="-29"/>
        <c:axId val="397067104"/>
        <c:axId val="397072592"/>
      </c:barChart>
      <c:lineChart>
        <c:grouping val="standard"/>
        <c:varyColors val="0"/>
        <c:ser>
          <c:idx val="2"/>
          <c:order val="2"/>
          <c:tx>
            <c:strRef>
              <c:f>'Nota de prensa'!$J$6</c:f>
              <c:strCache>
                <c:ptCount val="1"/>
                <c:pt idx="0">
                  <c:v>PIB </c:v>
                </c:pt>
              </c:strCache>
            </c:strRef>
          </c:tx>
          <c:spPr>
            <a:ln w="28575" cap="rnd">
              <a:solidFill>
                <a:schemeClr val="accent1"/>
              </a:solidFill>
              <a:round/>
            </a:ln>
            <a:effectLst/>
          </c:spPr>
          <c:marker>
            <c:symbol val="circle"/>
            <c:size val="7"/>
            <c:spPr>
              <a:solidFill>
                <a:srgbClr val="0070C0"/>
              </a:solidFill>
              <a:ln w="9525">
                <a:solidFill>
                  <a:schemeClr val="accent3"/>
                </a:solidFill>
              </a:ln>
              <a:effectLst/>
            </c:spPr>
          </c:marker>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prensa'!$J$7:$J$24</c:f>
              <c:numCache>
                <c:formatCode>#,##0</c:formatCode>
                <c:ptCount val="18"/>
                <c:pt idx="0">
                  <c:v>68.452930967423356</c:v>
                </c:pt>
                <c:pt idx="1">
                  <c:v>74.371460486275396</c:v>
                </c:pt>
                <c:pt idx="2">
                  <c:v>77.762031857626752</c:v>
                </c:pt>
                <c:pt idx="3">
                  <c:v>78.321837523864318</c:v>
                </c:pt>
                <c:pt idx="4">
                  <c:v>81.589743102110788</c:v>
                </c:pt>
                <c:pt idx="5">
                  <c:v>85.177104264475616</c:v>
                </c:pt>
                <c:pt idx="6">
                  <c:v>87.706407406041038</c:v>
                </c:pt>
                <c:pt idx="7">
                  <c:v>87.779350706921875</c:v>
                </c:pt>
                <c:pt idx="8">
                  <c:v>88.579593985117938</c:v>
                </c:pt>
                <c:pt idx="9">
                  <c:v>91.657162828038778</c:v>
                </c:pt>
                <c:pt idx="10">
                  <c:v>94.15786911769419</c:v>
                </c:pt>
                <c:pt idx="11">
                  <c:v>107.21246051337414</c:v>
                </c:pt>
                <c:pt idx="12">
                  <c:v>108.20182602691571</c:v>
                </c:pt>
                <c:pt idx="13">
                  <c:v>111.63560150608016</c:v>
                </c:pt>
                <c:pt idx="14">
                  <c:v>117.99324830423951</c:v>
                </c:pt>
                <c:pt idx="15">
                  <c:v>125.45335453336854</c:v>
                </c:pt>
                <c:pt idx="16">
                  <c:v>131.56639461534976</c:v>
                </c:pt>
                <c:pt idx="17">
                  <c:v>136.59786495965673</c:v>
                </c:pt>
              </c:numCache>
            </c:numRef>
          </c:val>
          <c:smooth val="0"/>
        </c:ser>
        <c:dLbls>
          <c:showLegendKey val="0"/>
          <c:showVal val="0"/>
          <c:showCatName val="0"/>
          <c:showSerName val="0"/>
          <c:showPercent val="0"/>
          <c:showBubbleSize val="0"/>
        </c:dLbls>
        <c:marker val="1"/>
        <c:smooth val="0"/>
        <c:axId val="397072200"/>
        <c:axId val="397069456"/>
      </c:lineChart>
      <c:catAx>
        <c:axId val="39706710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2592"/>
        <c:crosses val="autoZero"/>
        <c:auto val="1"/>
        <c:lblAlgn val="ctr"/>
        <c:lblOffset val="100"/>
        <c:noMultiLvlLbl val="0"/>
      </c:catAx>
      <c:valAx>
        <c:axId val="39707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397067104"/>
        <c:crosses val="autoZero"/>
        <c:crossBetween val="between"/>
      </c:valAx>
      <c:valAx>
        <c:axId val="397069456"/>
        <c:scaling>
          <c:orientation val="minMax"/>
        </c:scaling>
        <c:delete val="1"/>
        <c:axPos val="r"/>
        <c:numFmt formatCode="#,##0" sourceLinked="1"/>
        <c:majorTickMark val="out"/>
        <c:minorTickMark val="none"/>
        <c:tickLblPos val="nextTo"/>
        <c:crossAx val="397072200"/>
        <c:crosses val="max"/>
        <c:crossBetween val="between"/>
      </c:valAx>
      <c:catAx>
        <c:axId val="397072200"/>
        <c:scaling>
          <c:orientation val="minMax"/>
        </c:scaling>
        <c:delete val="1"/>
        <c:axPos val="b"/>
        <c:numFmt formatCode="General" sourceLinked="1"/>
        <c:majorTickMark val="out"/>
        <c:minorTickMark val="none"/>
        <c:tickLblPos val="nextTo"/>
        <c:crossAx val="397069456"/>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prensa'!$B$100</c:f>
          <c:strCache>
            <c:ptCount val="1"/>
            <c:pt idx="0">
              <c:v>Gráfico 3: Pesos medios de distintas partidas en los saldos fiscales relativos agregados, 2014</c:v>
            </c:pt>
          </c:strCache>
        </c:strRef>
      </c:tx>
      <c:layout>
        <c:manualLayout>
          <c:xMode val="edge"/>
          <c:yMode val="edge"/>
          <c:x val="0.1275996820012234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9587478984229817E-2"/>
          <c:y val="0.17668423117433166"/>
          <c:w val="0.91387765588558745"/>
          <c:h val="0.67793770445603918"/>
        </c:manualLayout>
      </c:layout>
      <c:barChart>
        <c:barDir val="col"/>
        <c:grouping val="clustered"/>
        <c:varyColors val="0"/>
        <c:ser>
          <c:idx val="0"/>
          <c:order val="0"/>
          <c:tx>
            <c:strRef>
              <c:f>'Nota de prensa'!$C$105</c:f>
              <c:strCache>
                <c:ptCount val="1"/>
                <c:pt idx="0">
                  <c:v>2014</c:v>
                </c:pt>
              </c:strCache>
            </c:strRef>
          </c:tx>
          <c:spPr>
            <a:solidFill>
              <a:srgbClr val="92D050"/>
            </a:solidFill>
            <a:ln>
              <a:noFill/>
            </a:ln>
            <a:effectLst/>
          </c:spPr>
          <c:invertIfNegative val="0"/>
          <c:dLbls>
            <c:dLbl>
              <c:idx val="0"/>
              <c:layout>
                <c:manualLayout>
                  <c:x val="1.9312842964536601E-3"/>
                  <c:y val="1.381053708619481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312842964536957E-3"/>
                  <c:y val="1.409066001928509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906621509278170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0812939499514408E-17"/>
                  <c:y val="1.12708728575423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314440167577351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224756932021705E-16"/>
                  <c:y val="8.397467739771499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'Nota de prensa'!$B$106:$B$113</c:f>
              <c:strCache>
                <c:ptCount val="8"/>
                <c:pt idx="0">
                  <c:v>Ingresos fiscales</c:v>
                </c:pt>
                <c:pt idx="1">
                  <c:v>Financiación regional</c:v>
                </c:pt>
                <c:pt idx="2">
                  <c:v>Infraestructuras y transporte</c:v>
                </c:pt>
                <c:pt idx="3">
                  <c:v>Ayudas regionales</c:v>
                </c:pt>
                <c:pt idx="4">
                  <c:v>Resto gasto territorializable</c:v>
                </c:pt>
                <c:pt idx="5">
                  <c:v>Protección social</c:v>
                </c:pt>
                <c:pt idx="6">
                  <c:v>Regulación y promoción económica</c:v>
                </c:pt>
                <c:pt idx="7">
                  <c:v>Intereses de la deuda</c:v>
                </c:pt>
              </c:strCache>
            </c:strRef>
          </c:cat>
          <c:val>
            <c:numRef>
              <c:f>'Nota de prensa'!$C$106:$C$113</c:f>
              <c:numCache>
                <c:formatCode>0.0%</c:formatCode>
                <c:ptCount val="8"/>
                <c:pt idx="0">
                  <c:v>0.71763541176317081</c:v>
                </c:pt>
                <c:pt idx="1">
                  <c:v>0.17577941156266505</c:v>
                </c:pt>
                <c:pt idx="2">
                  <c:v>3.0979547145594723E-2</c:v>
                </c:pt>
                <c:pt idx="3">
                  <c:v>4.2602287407567122E-2</c:v>
                </c:pt>
                <c:pt idx="4">
                  <c:v>-1.7430332580715377E-4</c:v>
                </c:pt>
                <c:pt idx="5">
                  <c:v>-1.471042048850359E-2</c:v>
                </c:pt>
                <c:pt idx="6">
                  <c:v>8.1041918248589265E-2</c:v>
                </c:pt>
                <c:pt idx="7">
                  <c:v>3.7818045219948401E-2</c:v>
                </c:pt>
              </c:numCache>
            </c:numRef>
          </c:val>
        </c:ser>
        <c:dLbls>
          <c:showLegendKey val="0"/>
          <c:showVal val="0"/>
          <c:showCatName val="0"/>
          <c:showSerName val="0"/>
          <c:showPercent val="0"/>
          <c:showBubbleSize val="0"/>
        </c:dLbls>
        <c:gapWidth val="122"/>
        <c:overlap val="-27"/>
        <c:axId val="397073768"/>
        <c:axId val="397073376"/>
      </c:barChart>
      <c:catAx>
        <c:axId val="397073768"/>
        <c:scaling>
          <c:orientation val="minMax"/>
        </c:scaling>
        <c:delete val="0"/>
        <c:axPos val="b"/>
        <c:numFmt formatCode="General" sourceLinked="1"/>
        <c:majorTickMark val="out"/>
        <c:minorTickMark val="none"/>
        <c:tickLblPos val="low"/>
        <c:spPr>
          <a:noFill/>
          <a:ln w="12700"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3376"/>
        <c:crossesAt val="0"/>
        <c:auto val="1"/>
        <c:lblAlgn val="ctr"/>
        <c:lblOffset val="75"/>
        <c:noMultiLvlLbl val="0"/>
      </c:catAx>
      <c:valAx>
        <c:axId val="397073376"/>
        <c:scaling>
          <c:orientation val="minMax"/>
          <c:max val="0.75000000000000011"/>
          <c:min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mn-cs"/>
              </a:defRPr>
            </a:pPr>
            <a:endParaRPr lang="es-ES"/>
          </a:p>
        </c:txPr>
        <c:crossAx val="397073768"/>
        <c:crosses val="autoZero"/>
        <c:crossBetween val="between"/>
      </c:valAx>
      <c:spPr>
        <a:noFill/>
        <a:ln w="12700">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16</xdr:col>
      <xdr:colOff>763135</xdr:colOff>
      <xdr:row>7</xdr:row>
      <xdr:rowOff>23948</xdr:rowOff>
    </xdr:from>
    <xdr:to>
      <xdr:col>28</xdr:col>
      <xdr:colOff>505959</xdr:colOff>
      <xdr:row>39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233568</xdr:colOff>
      <xdr:row>47</xdr:row>
      <xdr:rowOff>87793</xdr:rowOff>
    </xdr:from>
    <xdr:to>
      <xdr:col>16</xdr:col>
      <xdr:colOff>168964</xdr:colOff>
      <xdr:row>67</xdr:row>
      <xdr:rowOff>342900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763135</xdr:colOff>
      <xdr:row>37</xdr:row>
      <xdr:rowOff>23948</xdr:rowOff>
    </xdr:from>
    <xdr:to>
      <xdr:col>28</xdr:col>
      <xdr:colOff>505959</xdr:colOff>
      <xdr:row>70</xdr:row>
      <xdr:rowOff>128799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659002</xdr:colOff>
      <xdr:row>2</xdr:row>
      <xdr:rowOff>11935</xdr:rowOff>
    </xdr:from>
    <xdr:to>
      <xdr:col>19</xdr:col>
      <xdr:colOff>658200</xdr:colOff>
      <xdr:row>28</xdr:row>
      <xdr:rowOff>131494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17393</xdr:colOff>
      <xdr:row>103</xdr:row>
      <xdr:rowOff>14079</xdr:rowOff>
    </xdr:from>
    <xdr:to>
      <xdr:col>13</xdr:col>
      <xdr:colOff>444776</xdr:colOff>
      <xdr:row>127</xdr:row>
      <xdr:rowOff>33959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7:BN490"/>
  <sheetViews>
    <sheetView workbookViewId="0">
      <pane xSplit="4" ySplit="8" topLeftCell="E51" activePane="bottomRight" state="frozen"/>
      <selection activeCell="C166" sqref="C166"/>
      <selection pane="topRight" activeCell="C166" sqref="C166"/>
      <selection pane="bottomLeft" activeCell="C166" sqref="C166"/>
      <selection pane="bottomRight" activeCell="L3" sqref="L3"/>
    </sheetView>
  </sheetViews>
  <sheetFormatPr baseColWidth="10" defaultColWidth="10" defaultRowHeight="12.75"/>
  <cols>
    <col min="1" max="3" width="10" style="15"/>
    <col min="4" max="4" width="24" style="15" customWidth="1"/>
    <col min="5" max="22" width="10" style="15"/>
    <col min="23" max="23" width="12.625" style="15" customWidth="1"/>
    <col min="24" max="16384" width="10" style="15"/>
  </cols>
  <sheetData>
    <row r="7" spans="3:66">
      <c r="C7" s="10"/>
      <c r="D7" s="10"/>
      <c r="E7" s="10"/>
      <c r="F7" s="10"/>
      <c r="G7" s="10"/>
      <c r="H7" s="10"/>
      <c r="I7" s="10"/>
      <c r="J7" s="10"/>
      <c r="K7" s="10"/>
      <c r="L7" s="10"/>
      <c r="M7" s="10"/>
      <c r="N7" s="10"/>
      <c r="O7" s="10"/>
      <c r="P7" s="10"/>
      <c r="Q7" s="10"/>
      <c r="R7" s="10"/>
      <c r="S7" s="10"/>
      <c r="T7" s="10"/>
      <c r="U7" s="10"/>
      <c r="V7" s="10"/>
      <c r="W7" s="10"/>
    </row>
    <row r="8" spans="3:66">
      <c r="C8" s="382" t="s">
        <v>655</v>
      </c>
      <c r="D8" s="382" t="s">
        <v>617</v>
      </c>
      <c r="E8" s="382" t="s">
        <v>9</v>
      </c>
      <c r="F8" s="382" t="s">
        <v>10</v>
      </c>
      <c r="G8" s="382" t="s">
        <v>11</v>
      </c>
      <c r="H8" s="382" t="s">
        <v>31</v>
      </c>
      <c r="I8" s="382" t="s">
        <v>12</v>
      </c>
      <c r="J8" s="382" t="s">
        <v>13</v>
      </c>
      <c r="K8" s="382" t="s">
        <v>14</v>
      </c>
      <c r="L8" s="382" t="s">
        <v>15</v>
      </c>
      <c r="M8" s="382" t="s">
        <v>16</v>
      </c>
      <c r="N8" s="382" t="s">
        <v>17</v>
      </c>
      <c r="O8" s="382" t="s">
        <v>18</v>
      </c>
      <c r="P8" s="382" t="s">
        <v>19</v>
      </c>
      <c r="Q8" s="382" t="s">
        <v>20</v>
      </c>
      <c r="R8" s="382" t="s">
        <v>60</v>
      </c>
      <c r="S8" s="382" t="s">
        <v>61</v>
      </c>
      <c r="T8" s="382" t="s">
        <v>62</v>
      </c>
      <c r="U8" s="382" t="s">
        <v>63</v>
      </c>
      <c r="V8" s="382" t="s">
        <v>64</v>
      </c>
      <c r="W8" s="382" t="s">
        <v>656</v>
      </c>
    </row>
    <row r="9" spans="3:66">
      <c r="C9" s="382" t="s">
        <v>114</v>
      </c>
      <c r="D9" s="382" t="s">
        <v>657</v>
      </c>
      <c r="E9" s="382">
        <v>4696.9771866471601</v>
      </c>
      <c r="F9" s="382">
        <v>738.94073279213956</v>
      </c>
      <c r="G9" s="382">
        <v>590.70512322747265</v>
      </c>
      <c r="H9" s="382">
        <v>617.24538810333468</v>
      </c>
      <c r="I9" s="382">
        <v>1175.5817095206228</v>
      </c>
      <c r="J9" s="382">
        <v>328.15677741381052</v>
      </c>
      <c r="K9" s="382">
        <v>1388.5280849894282</v>
      </c>
      <c r="L9" s="382">
        <v>1156.7620405733514</v>
      </c>
      <c r="M9" s="382">
        <v>4200.943784780934</v>
      </c>
      <c r="N9" s="382">
        <v>2791.5510527793595</v>
      </c>
      <c r="O9" s="382">
        <v>612.97036355541104</v>
      </c>
      <c r="P9" s="382">
        <v>1532.2776025503981</v>
      </c>
      <c r="Q9" s="382">
        <v>3603.9239705719997</v>
      </c>
      <c r="R9" s="382">
        <v>820.25733561405639</v>
      </c>
      <c r="S9" s="382">
        <v>358.19013879283142</v>
      </c>
      <c r="T9" s="382">
        <v>1223.9793373496245</v>
      </c>
      <c r="U9" s="382">
        <v>177.8152458036617</v>
      </c>
      <c r="V9" s="382">
        <v>94.859864934404555</v>
      </c>
      <c r="W9" s="382">
        <v>26109.66574</v>
      </c>
      <c r="Z9" s="10"/>
      <c r="AU9" s="10"/>
      <c r="AV9" s="10"/>
      <c r="AW9" s="10"/>
      <c r="AX9" s="10"/>
      <c r="AY9" s="10"/>
      <c r="AZ9" s="10"/>
      <c r="BA9" s="10"/>
      <c r="BB9" s="10"/>
      <c r="BC9" s="10"/>
      <c r="BD9" s="10"/>
      <c r="BE9" s="10"/>
      <c r="BF9" s="10"/>
      <c r="BG9" s="10"/>
      <c r="BH9" s="10"/>
      <c r="BI9" s="10"/>
      <c r="BJ9" s="10"/>
      <c r="BK9" s="10"/>
      <c r="BL9" s="10"/>
      <c r="BM9" s="10"/>
      <c r="BN9" s="10"/>
    </row>
    <row r="10" spans="3:66">
      <c r="C10" s="382" t="s">
        <v>115</v>
      </c>
      <c r="D10" s="382" t="s">
        <v>658</v>
      </c>
      <c r="E10" s="382">
        <v>2196.7173100626101</v>
      </c>
      <c r="F10" s="382">
        <v>345.59331125760946</v>
      </c>
      <c r="G10" s="382">
        <v>276.26537617116463</v>
      </c>
      <c r="H10" s="382">
        <v>288.67792512545714</v>
      </c>
      <c r="I10" s="382">
        <v>549.80481873286556</v>
      </c>
      <c r="J10" s="382">
        <v>153.47480831046082</v>
      </c>
      <c r="K10" s="382">
        <v>649.39716728360099</v>
      </c>
      <c r="L10" s="382">
        <v>541.00309564516431</v>
      </c>
      <c r="M10" s="382">
        <v>1964.7287103848239</v>
      </c>
      <c r="N10" s="382">
        <v>1305.5734094253287</v>
      </c>
      <c r="O10" s="382">
        <v>286.67854977143924</v>
      </c>
      <c r="P10" s="382">
        <v>716.62701341464924</v>
      </c>
      <c r="Q10" s="382">
        <v>1685.5100324547946</v>
      </c>
      <c r="R10" s="382">
        <v>383.62406634030589</v>
      </c>
      <c r="S10" s="382">
        <v>167.52103468094825</v>
      </c>
      <c r="T10" s="382">
        <v>572.43978215576169</v>
      </c>
      <c r="U10" s="382">
        <v>83.161959900590929</v>
      </c>
      <c r="V10" s="382">
        <v>44.364768882421515</v>
      </c>
      <c r="W10" s="382">
        <v>12211.163139999997</v>
      </c>
      <c r="Z10" s="10"/>
      <c r="AU10" s="10"/>
      <c r="AV10" s="10"/>
      <c r="AW10" s="10"/>
      <c r="AX10" s="10"/>
      <c r="AY10" s="10"/>
      <c r="AZ10" s="10"/>
      <c r="BA10" s="10"/>
      <c r="BB10" s="10"/>
      <c r="BC10" s="10"/>
      <c r="BD10" s="10"/>
      <c r="BE10" s="10"/>
      <c r="BF10" s="10"/>
      <c r="BG10" s="10"/>
      <c r="BH10" s="10"/>
      <c r="BI10" s="10"/>
      <c r="BJ10" s="10"/>
      <c r="BK10" s="10"/>
      <c r="BL10" s="10"/>
      <c r="BM10" s="10"/>
    </row>
    <row r="11" spans="3:66">
      <c r="C11" s="382" t="s">
        <v>116</v>
      </c>
      <c r="D11" s="382" t="s">
        <v>659</v>
      </c>
      <c r="E11" s="382">
        <v>1305.4852372657767</v>
      </c>
      <c r="F11" s="382">
        <v>205.38235114637791</v>
      </c>
      <c r="G11" s="382">
        <v>164.18151234436831</v>
      </c>
      <c r="H11" s="382">
        <v>171.55815536640819</v>
      </c>
      <c r="I11" s="382">
        <v>326.74303195293027</v>
      </c>
      <c r="J11" s="382">
        <v>91.208411580182329</v>
      </c>
      <c r="K11" s="382">
        <v>385.92968295351216</v>
      </c>
      <c r="L11" s="382">
        <v>321.5122635236653</v>
      </c>
      <c r="M11" s="382">
        <v>1167.6169322699564</v>
      </c>
      <c r="N11" s="382">
        <v>775.88809646286984</v>
      </c>
      <c r="O11" s="382">
        <v>170.36994831014886</v>
      </c>
      <c r="P11" s="382">
        <v>425.8836502781615</v>
      </c>
      <c r="Q11" s="382">
        <v>1001.6803047681994</v>
      </c>
      <c r="R11" s="382">
        <v>227.98361581302524</v>
      </c>
      <c r="S11" s="382">
        <v>99.555931346137996</v>
      </c>
      <c r="T11" s="382">
        <v>340.19474486076888</v>
      </c>
      <c r="U11" s="382">
        <v>49.422249487903215</v>
      </c>
      <c r="V11" s="382">
        <v>26.365500269608496</v>
      </c>
      <c r="W11" s="382">
        <v>7256.9616200000009</v>
      </c>
      <c r="Z11" s="10"/>
      <c r="AU11" s="10"/>
      <c r="AV11" s="10"/>
      <c r="AW11" s="10"/>
      <c r="AX11" s="10"/>
      <c r="AY11" s="10"/>
      <c r="AZ11" s="10"/>
      <c r="BA11" s="10"/>
      <c r="BB11" s="10"/>
      <c r="BC11" s="10"/>
      <c r="BD11" s="10"/>
      <c r="BE11" s="10"/>
      <c r="BF11" s="10"/>
      <c r="BG11" s="10"/>
      <c r="BH11" s="10"/>
      <c r="BI11" s="10"/>
      <c r="BJ11" s="10"/>
      <c r="BK11" s="10"/>
      <c r="BL11" s="10"/>
      <c r="BM11" s="10"/>
    </row>
    <row r="12" spans="3:66">
      <c r="C12" s="382" t="s">
        <v>117</v>
      </c>
      <c r="D12" s="382" t="s">
        <v>660</v>
      </c>
      <c r="E12" s="382">
        <v>1398.6845281332635</v>
      </c>
      <c r="F12" s="382">
        <v>220.04470728579295</v>
      </c>
      <c r="G12" s="382">
        <v>175.9025185168276</v>
      </c>
      <c r="H12" s="382">
        <v>183.80578403831191</v>
      </c>
      <c r="I12" s="382">
        <v>350.06939214807511</v>
      </c>
      <c r="J12" s="382">
        <v>97.71982897332461</v>
      </c>
      <c r="K12" s="382">
        <v>413.48140988940145</v>
      </c>
      <c r="L12" s="382">
        <v>344.46519635679681</v>
      </c>
      <c r="M12" s="382">
        <v>1250.9737309422617</v>
      </c>
      <c r="N12" s="382">
        <v>831.27916356855019</v>
      </c>
      <c r="O12" s="382">
        <v>182.53275024339177</v>
      </c>
      <c r="P12" s="382">
        <v>456.28771235787741</v>
      </c>
      <c r="Q12" s="382">
        <v>1073.1907986561655</v>
      </c>
      <c r="R12" s="382">
        <v>244.25948835194521</v>
      </c>
      <c r="S12" s="382">
        <v>106.6632826498918</v>
      </c>
      <c r="T12" s="382">
        <v>364.4814300509243</v>
      </c>
      <c r="U12" s="382">
        <v>52.950530370646632</v>
      </c>
      <c r="V12" s="382">
        <v>28.247747466551548</v>
      </c>
      <c r="W12" s="382">
        <v>7775.04</v>
      </c>
      <c r="Z12" s="10"/>
      <c r="AU12" s="10"/>
      <c r="AV12" s="10"/>
      <c r="AW12" s="10"/>
      <c r="AX12" s="10"/>
      <c r="AY12" s="10"/>
      <c r="AZ12" s="10"/>
      <c r="BA12" s="10"/>
      <c r="BB12" s="10"/>
      <c r="BC12" s="10"/>
      <c r="BD12" s="10"/>
      <c r="BE12" s="10"/>
      <c r="BF12" s="10"/>
      <c r="BG12" s="10"/>
      <c r="BH12" s="10"/>
      <c r="BI12" s="10"/>
      <c r="BJ12" s="10"/>
      <c r="BK12" s="10"/>
      <c r="BL12" s="10"/>
      <c r="BM12" s="10"/>
    </row>
    <row r="13" spans="3:66">
      <c r="C13" s="382" t="s">
        <v>118</v>
      </c>
      <c r="D13" s="382" t="s">
        <v>119</v>
      </c>
      <c r="E13" s="382">
        <v>36210.973595216987</v>
      </c>
      <c r="F13" s="382">
        <v>5696.8050514775714</v>
      </c>
      <c r="G13" s="382">
        <v>4553.9943605768758</v>
      </c>
      <c r="H13" s="382">
        <v>4758.6044305090927</v>
      </c>
      <c r="I13" s="382">
        <v>9063.0540773092998</v>
      </c>
      <c r="J13" s="382">
        <v>2529.8986837330872</v>
      </c>
      <c r="K13" s="382">
        <v>10704.74729251574</v>
      </c>
      <c r="L13" s="382">
        <v>8917.9653301768431</v>
      </c>
      <c r="M13" s="382">
        <v>32386.843371977538</v>
      </c>
      <c r="N13" s="382">
        <v>21521.241735911182</v>
      </c>
      <c r="O13" s="382">
        <v>4725.6464673612518</v>
      </c>
      <c r="P13" s="382">
        <v>11812.972812435961</v>
      </c>
      <c r="Q13" s="382">
        <v>27784.166401435748</v>
      </c>
      <c r="R13" s="382">
        <v>6323.7089602315091</v>
      </c>
      <c r="S13" s="382">
        <v>2761.4385044848359</v>
      </c>
      <c r="T13" s="382">
        <v>9436.1717557109114</v>
      </c>
      <c r="U13" s="382">
        <v>1370.8525536228249</v>
      </c>
      <c r="V13" s="382">
        <v>731.3146153127376</v>
      </c>
      <c r="W13" s="382">
        <v>201290.4</v>
      </c>
      <c r="Z13" s="10"/>
      <c r="AU13" s="10"/>
      <c r="AV13" s="10"/>
      <c r="AW13" s="10"/>
      <c r="AX13" s="10"/>
      <c r="AY13" s="10"/>
      <c r="AZ13" s="10"/>
      <c r="BA13" s="10"/>
      <c r="BB13" s="10"/>
      <c r="BC13" s="10"/>
      <c r="BD13" s="10"/>
      <c r="BE13" s="10"/>
      <c r="BF13" s="10"/>
      <c r="BG13" s="10"/>
      <c r="BH13" s="10"/>
      <c r="BI13" s="10"/>
      <c r="BJ13" s="10"/>
      <c r="BK13" s="10"/>
      <c r="BL13" s="10"/>
      <c r="BM13" s="10"/>
    </row>
    <row r="14" spans="3:66">
      <c r="C14" s="382" t="s">
        <v>120</v>
      </c>
      <c r="D14" s="382" t="s">
        <v>661</v>
      </c>
      <c r="E14" s="382">
        <v>10024.226750371088</v>
      </c>
      <c r="F14" s="382">
        <v>1577.0375640000357</v>
      </c>
      <c r="G14" s="382">
        <v>1260.6750815549356</v>
      </c>
      <c r="H14" s="382">
        <v>1317.316964740334</v>
      </c>
      <c r="I14" s="382">
        <v>2508.9109764732698</v>
      </c>
      <c r="J14" s="382">
        <v>700.34786539281527</v>
      </c>
      <c r="K14" s="382">
        <v>2963.3783218624262</v>
      </c>
      <c r="L14" s="382">
        <v>2468.7462872704614</v>
      </c>
      <c r="M14" s="382">
        <v>8965.5988076591893</v>
      </c>
      <c r="N14" s="382">
        <v>5957.6914313847474</v>
      </c>
      <c r="O14" s="382">
        <v>1308.193263745231</v>
      </c>
      <c r="P14" s="382">
        <v>3270.1666459326625</v>
      </c>
      <c r="Q14" s="382">
        <v>7691.446995913474</v>
      </c>
      <c r="R14" s="382">
        <v>1750.5823850338861</v>
      </c>
      <c r="S14" s="382">
        <v>764.44466905518311</v>
      </c>
      <c r="T14" s="382">
        <v>2612.2005553362869</v>
      </c>
      <c r="U14" s="382">
        <v>379.49095189905489</v>
      </c>
      <c r="V14" s="382">
        <v>202.44867237492892</v>
      </c>
      <c r="W14" s="382">
        <v>55722.904190000008</v>
      </c>
      <c r="Z14" s="10"/>
      <c r="AU14" s="10"/>
      <c r="AV14" s="10"/>
      <c r="AW14" s="10"/>
      <c r="AX14" s="10"/>
      <c r="AY14" s="10"/>
      <c r="AZ14" s="10"/>
      <c r="BA14" s="10"/>
      <c r="BB14" s="10"/>
      <c r="BC14" s="10"/>
      <c r="BD14" s="10"/>
      <c r="BE14" s="10"/>
      <c r="BF14" s="10"/>
      <c r="BG14" s="10"/>
      <c r="BH14" s="10"/>
      <c r="BI14" s="10"/>
      <c r="BJ14" s="10"/>
      <c r="BK14" s="10"/>
      <c r="BL14" s="10"/>
      <c r="BM14" s="10"/>
    </row>
    <row r="15" spans="3:66">
      <c r="C15" s="382" t="s">
        <v>121</v>
      </c>
      <c r="D15" s="382" t="s">
        <v>662</v>
      </c>
      <c r="E15" s="382">
        <v>3781.0964256030102</v>
      </c>
      <c r="F15" s="382">
        <v>594.85197659375285</v>
      </c>
      <c r="G15" s="382">
        <v>475.52137071696728</v>
      </c>
      <c r="H15" s="382">
        <v>496.88645227239056</v>
      </c>
      <c r="I15" s="382">
        <v>946.3507322345896</v>
      </c>
      <c r="J15" s="382">
        <v>264.16828713670532</v>
      </c>
      <c r="K15" s="382">
        <v>1117.7739150891289</v>
      </c>
      <c r="L15" s="382">
        <v>931.2007793691904</v>
      </c>
      <c r="M15" s="382">
        <v>3381.7863910326878</v>
      </c>
      <c r="N15" s="382">
        <v>2247.2163027657607</v>
      </c>
      <c r="O15" s="382">
        <v>493.44503039717426</v>
      </c>
      <c r="P15" s="382">
        <v>1233.4931884501157</v>
      </c>
      <c r="Q15" s="382">
        <v>2901.1816540250206</v>
      </c>
      <c r="R15" s="382">
        <v>660.31235761204084</v>
      </c>
      <c r="S15" s="382">
        <v>288.34533353196815</v>
      </c>
      <c r="T15" s="382">
        <v>985.31112959656423</v>
      </c>
      <c r="U15" s="382">
        <v>143.14240065659749</v>
      </c>
      <c r="V15" s="382">
        <v>76.362792916329568</v>
      </c>
      <c r="W15" s="382">
        <v>21018.446519999994</v>
      </c>
      <c r="Z15" s="10"/>
      <c r="AU15" s="10"/>
      <c r="AV15" s="10"/>
      <c r="AW15" s="10"/>
      <c r="AX15" s="10"/>
      <c r="AY15" s="10"/>
      <c r="AZ15" s="10"/>
      <c r="BA15" s="10"/>
      <c r="BB15" s="10"/>
      <c r="BC15" s="10"/>
      <c r="BD15" s="10"/>
      <c r="BE15" s="10"/>
      <c r="BF15" s="10"/>
      <c r="BG15" s="10"/>
      <c r="BH15" s="10"/>
      <c r="BI15" s="10"/>
      <c r="BJ15" s="10"/>
      <c r="BK15" s="10"/>
      <c r="BL15" s="10"/>
      <c r="BM15" s="10"/>
    </row>
    <row r="16" spans="3:66">
      <c r="C16" s="382" t="s">
        <v>122</v>
      </c>
      <c r="D16" s="382" t="s">
        <v>663</v>
      </c>
      <c r="E16" s="382">
        <v>1048.7583115344205</v>
      </c>
      <c r="F16" s="382">
        <v>164.99339989349363</v>
      </c>
      <c r="G16" s="382">
        <v>131.8948087318683</v>
      </c>
      <c r="H16" s="382">
        <v>137.8208165179002</v>
      </c>
      <c r="I16" s="382">
        <v>262.48820033713571</v>
      </c>
      <c r="J16" s="382">
        <v>73.272050112884187</v>
      </c>
      <c r="K16" s="382">
        <v>310.03564890020994</v>
      </c>
      <c r="L16" s="382">
        <v>258.28607555677962</v>
      </c>
      <c r="M16" s="382">
        <v>938.00215234233247</v>
      </c>
      <c r="N16" s="382">
        <v>623.3077684511527</v>
      </c>
      <c r="O16" s="382">
        <v>136.86627334077033</v>
      </c>
      <c r="P16" s="382">
        <v>342.1325689682306</v>
      </c>
      <c r="Q16" s="382">
        <v>804.69737622326761</v>
      </c>
      <c r="R16" s="382">
        <v>183.15006953150501</v>
      </c>
      <c r="S16" s="382">
        <v>79.97800931130412</v>
      </c>
      <c r="T16" s="382">
        <v>273.29460037427259</v>
      </c>
      <c r="U16" s="382">
        <v>39.703240944894766</v>
      </c>
      <c r="V16" s="382">
        <v>21.180658927578197</v>
      </c>
      <c r="W16" s="382">
        <v>5829.8620300000002</v>
      </c>
      <c r="Z16" s="10"/>
      <c r="AU16" s="10"/>
      <c r="AV16" s="10"/>
      <c r="AW16" s="10"/>
      <c r="AX16" s="10"/>
      <c r="AY16" s="10"/>
      <c r="AZ16" s="10"/>
      <c r="BA16" s="10"/>
      <c r="BB16" s="10"/>
      <c r="BC16" s="10"/>
      <c r="BD16" s="10"/>
      <c r="BE16" s="10"/>
      <c r="BF16" s="10"/>
      <c r="BG16" s="10"/>
      <c r="BH16" s="10"/>
      <c r="BI16" s="10"/>
      <c r="BJ16" s="10"/>
      <c r="BK16" s="10"/>
      <c r="BL16" s="10"/>
      <c r="BM16" s="10"/>
    </row>
    <row r="17" spans="3:65">
      <c r="C17" s="382" t="s">
        <v>123</v>
      </c>
      <c r="D17" s="382" t="s">
        <v>664</v>
      </c>
      <c r="E17" s="382">
        <v>6181.6261038393568</v>
      </c>
      <c r="F17" s="382">
        <v>972.50958254679995</v>
      </c>
      <c r="G17" s="382">
        <v>777.4187662216749</v>
      </c>
      <c r="H17" s="382">
        <v>812.3480383130626</v>
      </c>
      <c r="I17" s="382">
        <v>1547.1666763525795</v>
      </c>
      <c r="J17" s="382">
        <v>431.88255356655145</v>
      </c>
      <c r="K17" s="382">
        <v>1827.4224282983532</v>
      </c>
      <c r="L17" s="382">
        <v>1522.3983727804875</v>
      </c>
      <c r="M17" s="382">
        <v>5528.8034684496124</v>
      </c>
      <c r="N17" s="382">
        <v>3673.921369496622</v>
      </c>
      <c r="O17" s="382">
        <v>806.72173818643512</v>
      </c>
      <c r="P17" s="382">
        <v>2016.6091615648861</v>
      </c>
      <c r="Q17" s="382">
        <v>4743.0740255826158</v>
      </c>
      <c r="R17" s="382">
        <v>1079.5292283114236</v>
      </c>
      <c r="S17" s="382">
        <v>471.40904120085111</v>
      </c>
      <c r="T17" s="382">
        <v>1610.8621186898715</v>
      </c>
      <c r="U17" s="382">
        <v>234.02016263680403</v>
      </c>
      <c r="V17" s="382">
        <v>124.84374396201227</v>
      </c>
      <c r="W17" s="382">
        <v>34362.566579999999</v>
      </c>
      <c r="Z17" s="10"/>
      <c r="AU17" s="10"/>
      <c r="AV17" s="10"/>
      <c r="AW17" s="10"/>
      <c r="AX17" s="10"/>
      <c r="AY17" s="10"/>
      <c r="AZ17" s="10"/>
      <c r="BA17" s="10"/>
      <c r="BB17" s="10"/>
      <c r="BC17" s="10"/>
      <c r="BD17" s="10"/>
      <c r="BE17" s="10"/>
      <c r="BF17" s="10"/>
      <c r="BG17" s="10"/>
      <c r="BH17" s="10"/>
      <c r="BI17" s="10"/>
      <c r="BJ17" s="10"/>
      <c r="BK17" s="10"/>
      <c r="BL17" s="10"/>
      <c r="BM17" s="10"/>
    </row>
    <row r="18" spans="3:65">
      <c r="C18" s="382" t="s">
        <v>124</v>
      </c>
      <c r="D18" s="382" t="s">
        <v>665</v>
      </c>
      <c r="E18" s="382">
        <v>1470.5793511651732</v>
      </c>
      <c r="F18" s="382">
        <v>231.35538883778992</v>
      </c>
      <c r="G18" s="382">
        <v>184.94421461431213</v>
      </c>
      <c r="H18" s="382">
        <v>193.25372176113254</v>
      </c>
      <c r="I18" s="382">
        <v>368.0635691702264</v>
      </c>
      <c r="J18" s="382">
        <v>102.74279853467539</v>
      </c>
      <c r="K18" s="382">
        <v>434.73507516777414</v>
      </c>
      <c r="L18" s="382">
        <v>362.17130794564559</v>
      </c>
      <c r="M18" s="382">
        <v>1315.2759614986383</v>
      </c>
      <c r="N18" s="382">
        <v>874.00836172064453</v>
      </c>
      <c r="O18" s="382">
        <v>191.9152518099109</v>
      </c>
      <c r="P18" s="382">
        <v>479.74169620610581</v>
      </c>
      <c r="Q18" s="382">
        <v>1128.3546765692465</v>
      </c>
      <c r="R18" s="382">
        <v>256.81485186366251</v>
      </c>
      <c r="S18" s="382">
        <v>112.14596132107954</v>
      </c>
      <c r="T18" s="382">
        <v>383.21641094536648</v>
      </c>
      <c r="U18" s="382">
        <v>55.672279938809929</v>
      </c>
      <c r="V18" s="382">
        <v>29.699730929804886</v>
      </c>
      <c r="W18" s="382">
        <v>8174.6906099999987</v>
      </c>
      <c r="Z18" s="10"/>
      <c r="AU18" s="10"/>
      <c r="AV18" s="10"/>
      <c r="AW18" s="10"/>
      <c r="AX18" s="10"/>
      <c r="AY18" s="10"/>
      <c r="AZ18" s="10"/>
      <c r="BA18" s="10"/>
      <c r="BB18" s="10"/>
      <c r="BC18" s="10"/>
      <c r="BD18" s="10"/>
      <c r="BE18" s="10"/>
      <c r="BF18" s="10"/>
      <c r="BG18" s="10"/>
      <c r="BH18" s="10"/>
      <c r="BI18" s="10"/>
      <c r="BJ18" s="10"/>
      <c r="BK18" s="10"/>
      <c r="BL18" s="10"/>
      <c r="BM18" s="10"/>
    </row>
    <row r="19" spans="3:65">
      <c r="C19" s="382" t="s">
        <v>125</v>
      </c>
      <c r="D19" s="382" t="s">
        <v>666</v>
      </c>
      <c r="E19" s="382">
        <v>5536.1278224653224</v>
      </c>
      <c r="F19" s="382">
        <v>870.95810505387192</v>
      </c>
      <c r="G19" s="382">
        <v>696.2390783734669</v>
      </c>
      <c r="H19" s="382">
        <v>727.52096307424006</v>
      </c>
      <c r="I19" s="382">
        <v>1385.6083074365938</v>
      </c>
      <c r="J19" s="382">
        <v>386.78447720287573</v>
      </c>
      <c r="K19" s="382">
        <v>1636.5991696612266</v>
      </c>
      <c r="L19" s="382">
        <v>1363.4263617450611</v>
      </c>
      <c r="M19" s="382">
        <v>4951.4742872617608</v>
      </c>
      <c r="N19" s="382">
        <v>3290.2828429865049</v>
      </c>
      <c r="O19" s="382">
        <v>722.48217293304788</v>
      </c>
      <c r="P19" s="382">
        <v>1806.0306299411795</v>
      </c>
      <c r="Q19" s="382">
        <v>4247.7923504192086</v>
      </c>
      <c r="R19" s="382">
        <v>966.8025363597277</v>
      </c>
      <c r="S19" s="382">
        <v>422.18352661815311</v>
      </c>
      <c r="T19" s="382">
        <v>1442.6525389323654</v>
      </c>
      <c r="U19" s="382">
        <v>209.58328951451875</v>
      </c>
      <c r="V19" s="382">
        <v>111.80730002087398</v>
      </c>
      <c r="W19" s="382">
        <v>30774.355759999999</v>
      </c>
      <c r="Z19" s="10"/>
      <c r="AU19" s="10"/>
      <c r="AV19" s="10"/>
      <c r="AW19" s="10"/>
      <c r="AX19" s="10"/>
      <c r="AY19" s="10"/>
      <c r="AZ19" s="10"/>
      <c r="BA19" s="10"/>
      <c r="BB19" s="10"/>
      <c r="BC19" s="10"/>
      <c r="BD19" s="10"/>
      <c r="BE19" s="10"/>
      <c r="BF19" s="10"/>
      <c r="BG19" s="10"/>
      <c r="BH19" s="10"/>
      <c r="BI19" s="10"/>
      <c r="BJ19" s="10"/>
      <c r="BK19" s="10"/>
      <c r="BL19" s="10"/>
      <c r="BM19" s="10"/>
    </row>
    <row r="20" spans="3:65">
      <c r="C20" s="382" t="s">
        <v>126</v>
      </c>
      <c r="D20" s="382" t="s">
        <v>667</v>
      </c>
      <c r="E20" s="382">
        <v>1214.7191502475819</v>
      </c>
      <c r="F20" s="382">
        <v>191.10279299894367</v>
      </c>
      <c r="G20" s="382">
        <v>152.76651276349295</v>
      </c>
      <c r="H20" s="382">
        <v>159.63028210199511</v>
      </c>
      <c r="I20" s="382">
        <v>304.0256655482799</v>
      </c>
      <c r="J20" s="382">
        <v>84.866991251587095</v>
      </c>
      <c r="K20" s="382">
        <v>359.09726372276793</v>
      </c>
      <c r="L20" s="382">
        <v>299.15857521269987</v>
      </c>
      <c r="M20" s="382">
        <v>1086.436374226804</v>
      </c>
      <c r="N20" s="382">
        <v>721.94315364036186</v>
      </c>
      <c r="O20" s="382">
        <v>158.52468716725616</v>
      </c>
      <c r="P20" s="382">
        <v>396.27336334628069</v>
      </c>
      <c r="Q20" s="382">
        <v>932.03677367977173</v>
      </c>
      <c r="R20" s="382">
        <v>212.13266620370769</v>
      </c>
      <c r="S20" s="382">
        <v>92.634135473005983</v>
      </c>
      <c r="T20" s="382">
        <v>316.54212518056727</v>
      </c>
      <c r="U20" s="382">
        <v>45.986083325619212</v>
      </c>
      <c r="V20" s="382">
        <v>24.53239390927795</v>
      </c>
      <c r="W20" s="382">
        <v>6752.4089900000008</v>
      </c>
      <c r="Z20" s="10"/>
      <c r="AU20" s="10"/>
      <c r="AV20" s="10"/>
      <c r="AW20" s="10"/>
      <c r="AX20" s="10"/>
      <c r="AY20" s="10"/>
      <c r="AZ20" s="10"/>
      <c r="BA20" s="10"/>
      <c r="BB20" s="10"/>
      <c r="BC20" s="10"/>
      <c r="BD20" s="10"/>
      <c r="BE20" s="10"/>
      <c r="BF20" s="10"/>
      <c r="BG20" s="10"/>
      <c r="BH20" s="10"/>
      <c r="BI20" s="10"/>
      <c r="BJ20" s="10"/>
      <c r="BK20" s="10"/>
      <c r="BL20" s="10"/>
      <c r="BM20" s="10"/>
    </row>
    <row r="21" spans="3:65">
      <c r="C21" s="382" t="s">
        <v>127</v>
      </c>
      <c r="D21" s="382" t="s">
        <v>128</v>
      </c>
      <c r="E21" s="382">
        <v>9520.1056008424475</v>
      </c>
      <c r="F21" s="382">
        <v>1497.7279065659486</v>
      </c>
      <c r="G21" s="382">
        <v>1197.2753812965532</v>
      </c>
      <c r="H21" s="382">
        <v>1251.0687284328412</v>
      </c>
      <c r="I21" s="382">
        <v>2382.7371461099547</v>
      </c>
      <c r="J21" s="382">
        <v>665.12717657921826</v>
      </c>
      <c r="K21" s="382">
        <v>2814.3492023794465</v>
      </c>
      <c r="L21" s="382">
        <v>2344.5923502910055</v>
      </c>
      <c r="M21" s="382">
        <v>8514.7163516171368</v>
      </c>
      <c r="N21" s="382">
        <v>5658.0774733489898</v>
      </c>
      <c r="O21" s="382">
        <v>1242.4038608967314</v>
      </c>
      <c r="P21" s="382">
        <v>3105.7090563598044</v>
      </c>
      <c r="Q21" s="382">
        <v>7304.6419886369813</v>
      </c>
      <c r="R21" s="382">
        <v>1662.5451103129008</v>
      </c>
      <c r="S21" s="382">
        <v>726.00053416957974</v>
      </c>
      <c r="T21" s="382">
        <v>2480.83226334242</v>
      </c>
      <c r="U21" s="382">
        <v>360.4062464478352</v>
      </c>
      <c r="V21" s="382">
        <v>192.26747237020857</v>
      </c>
      <c r="W21" s="382">
        <v>52920.583850000003</v>
      </c>
      <c r="Z21" s="10"/>
      <c r="AU21" s="10"/>
      <c r="AV21" s="10"/>
      <c r="AW21" s="10"/>
      <c r="AX21" s="10"/>
      <c r="AY21" s="10"/>
      <c r="AZ21" s="10"/>
      <c r="BA21" s="10"/>
      <c r="BB21" s="10"/>
      <c r="BC21" s="10"/>
      <c r="BD21" s="10"/>
      <c r="BE21" s="10"/>
      <c r="BF21" s="10"/>
      <c r="BG21" s="10"/>
      <c r="BH21" s="10"/>
      <c r="BI21" s="10"/>
      <c r="BJ21" s="10"/>
      <c r="BK21" s="10"/>
      <c r="BL21" s="10"/>
      <c r="BM21" s="10"/>
    </row>
    <row r="22" spans="3:65">
      <c r="C22" s="382"/>
      <c r="D22" s="382" t="s">
        <v>668</v>
      </c>
      <c r="E22" s="382">
        <v>84586.07737339419</v>
      </c>
      <c r="F22" s="382">
        <v>13307.302870450127</v>
      </c>
      <c r="G22" s="382">
        <v>10637.78410510998</v>
      </c>
      <c r="H22" s="382">
        <v>11115.737650356501</v>
      </c>
      <c r="I22" s="382">
        <v>21170.604303326421</v>
      </c>
      <c r="J22" s="382">
        <v>5909.6507097881777</v>
      </c>
      <c r="K22" s="382">
        <v>25005.474662713015</v>
      </c>
      <c r="L22" s="382">
        <v>20831.688036447147</v>
      </c>
      <c r="M22" s="382">
        <v>75653.200324443678</v>
      </c>
      <c r="N22" s="382">
        <v>50271.982161942076</v>
      </c>
      <c r="O22" s="382">
        <v>11038.7503577182</v>
      </c>
      <c r="P22" s="382">
        <v>27594.205101806314</v>
      </c>
      <c r="Q22" s="382">
        <v>64901.69734893649</v>
      </c>
      <c r="R22" s="382">
        <v>14771.702671579696</v>
      </c>
      <c r="S22" s="382">
        <v>6450.5101026357706</v>
      </c>
      <c r="T22" s="382">
        <v>22042.178792525705</v>
      </c>
      <c r="U22" s="382">
        <v>3202.2071945497614</v>
      </c>
      <c r="V22" s="382">
        <v>1708.295262276738</v>
      </c>
      <c r="W22" s="382">
        <v>470199.04903000005</v>
      </c>
      <c r="Z22" s="10"/>
      <c r="AU22" s="10"/>
      <c r="AV22" s="10"/>
      <c r="AW22" s="10"/>
      <c r="AX22" s="10"/>
      <c r="AY22" s="10"/>
      <c r="AZ22" s="10"/>
      <c r="BA22" s="10"/>
      <c r="BB22" s="10"/>
      <c r="BC22" s="10"/>
      <c r="BD22" s="10"/>
      <c r="BE22" s="10"/>
      <c r="BF22" s="10"/>
      <c r="BG22" s="10"/>
      <c r="BH22" s="10"/>
      <c r="BI22" s="10"/>
      <c r="BJ22" s="10"/>
      <c r="BK22" s="10"/>
      <c r="BL22" s="10"/>
      <c r="BM22" s="10"/>
    </row>
    <row r="23" spans="3:65">
      <c r="C23" s="382" t="s">
        <v>655</v>
      </c>
      <c r="D23" s="382" t="s">
        <v>669</v>
      </c>
      <c r="E23" s="382" t="s">
        <v>9</v>
      </c>
      <c r="F23" s="382" t="s">
        <v>10</v>
      </c>
      <c r="G23" s="382" t="s">
        <v>11</v>
      </c>
      <c r="H23" s="382" t="s">
        <v>31</v>
      </c>
      <c r="I23" s="382" t="s">
        <v>12</v>
      </c>
      <c r="J23" s="382" t="s">
        <v>13</v>
      </c>
      <c r="K23" s="382" t="s">
        <v>14</v>
      </c>
      <c r="L23" s="382" t="s">
        <v>15</v>
      </c>
      <c r="M23" s="382" t="s">
        <v>16</v>
      </c>
      <c r="N23" s="382" t="s">
        <v>17</v>
      </c>
      <c r="O23" s="382" t="s">
        <v>18</v>
      </c>
      <c r="P23" s="382" t="s">
        <v>19</v>
      </c>
      <c r="Q23" s="382" t="s">
        <v>20</v>
      </c>
      <c r="R23" s="382" t="s">
        <v>60</v>
      </c>
      <c r="S23" s="382" t="s">
        <v>61</v>
      </c>
      <c r="T23" s="382" t="s">
        <v>62</v>
      </c>
      <c r="U23" s="382" t="s">
        <v>63</v>
      </c>
      <c r="V23" s="382" t="s">
        <v>64</v>
      </c>
      <c r="W23" s="382" t="s">
        <v>656</v>
      </c>
      <c r="Z23" s="10"/>
      <c r="AU23" s="10"/>
      <c r="AV23" s="10"/>
      <c r="AW23" s="10"/>
      <c r="AX23" s="10"/>
      <c r="AY23" s="10"/>
      <c r="AZ23" s="10"/>
      <c r="BA23" s="10"/>
      <c r="BB23" s="10"/>
      <c r="BC23" s="10"/>
      <c r="BD23" s="10"/>
      <c r="BE23" s="10"/>
      <c r="BF23" s="10"/>
      <c r="BG23" s="10"/>
      <c r="BH23" s="10"/>
      <c r="BI23" s="10"/>
      <c r="BJ23" s="10"/>
      <c r="BK23" s="10"/>
      <c r="BL23" s="10"/>
      <c r="BM23" s="10"/>
    </row>
    <row r="24" spans="3:65">
      <c r="C24" s="382" t="s">
        <v>129</v>
      </c>
      <c r="D24" s="382" t="s">
        <v>670</v>
      </c>
      <c r="E24" s="382">
        <v>12853.933494604253</v>
      </c>
      <c r="F24" s="382">
        <v>2022.2144282000345</v>
      </c>
      <c r="G24" s="382">
        <v>1616.5469976037857</v>
      </c>
      <c r="H24" s="382">
        <v>1689.1781359055308</v>
      </c>
      <c r="I24" s="382">
        <v>3217.1433905638842</v>
      </c>
      <c r="J24" s="382">
        <v>898.04681288898871</v>
      </c>
      <c r="K24" s="382">
        <v>3799.9008618955563</v>
      </c>
      <c r="L24" s="382">
        <v>3165.6407403644321</v>
      </c>
      <c r="M24" s="382">
        <v>11496.468873141583</v>
      </c>
      <c r="N24" s="382">
        <v>7639.4689932126939</v>
      </c>
      <c r="O24" s="382">
        <v>1677.4789346867067</v>
      </c>
      <c r="P24" s="382">
        <v>4193.2914757275839</v>
      </c>
      <c r="Q24" s="382">
        <v>9862.6408425054397</v>
      </c>
      <c r="R24" s="382">
        <v>2244.7486588647121</v>
      </c>
      <c r="S24" s="382">
        <v>980.23729720362996</v>
      </c>
      <c r="T24" s="382">
        <v>3349.5902525965844</v>
      </c>
      <c r="U24" s="382">
        <v>486.61623275171189</v>
      </c>
      <c r="V24" s="382">
        <v>259.59725728290499</v>
      </c>
      <c r="W24" s="382">
        <v>71452.743680000014</v>
      </c>
      <c r="Z24" s="10"/>
      <c r="AU24" s="10"/>
      <c r="AV24" s="10"/>
      <c r="AW24" s="10"/>
      <c r="AX24" s="10"/>
      <c r="AY24" s="10"/>
      <c r="AZ24" s="10"/>
      <c r="BA24" s="10"/>
      <c r="BB24" s="10"/>
      <c r="BC24" s="10"/>
      <c r="BD24" s="10"/>
      <c r="BE24" s="10"/>
      <c r="BF24" s="10"/>
      <c r="BG24" s="10"/>
      <c r="BH24" s="10"/>
      <c r="BI24" s="10"/>
      <c r="BJ24" s="10"/>
      <c r="BK24" s="10"/>
      <c r="BL24" s="10"/>
      <c r="BM24" s="10"/>
    </row>
    <row r="25" spans="3:65">
      <c r="C25" s="382" t="s">
        <v>130</v>
      </c>
      <c r="D25" s="382" t="s">
        <v>671</v>
      </c>
      <c r="E25" s="382">
        <v>125304.16917744333</v>
      </c>
      <c r="F25" s="382">
        <v>19713.179543881353</v>
      </c>
      <c r="G25" s="382">
        <v>15758.606387380352</v>
      </c>
      <c r="H25" s="382">
        <v>16466.63746947149</v>
      </c>
      <c r="I25" s="382">
        <v>31361.721285436124</v>
      </c>
      <c r="J25" s="382">
        <v>8754.4415737596883</v>
      </c>
      <c r="K25" s="382">
        <v>37042.623618392463</v>
      </c>
      <c r="L25" s="382">
        <v>30859.657322184114</v>
      </c>
      <c r="M25" s="382">
        <v>112071.17892962896</v>
      </c>
      <c r="N25" s="382">
        <v>74471.936201722827</v>
      </c>
      <c r="O25" s="382">
        <v>16352.589992146368</v>
      </c>
      <c r="P25" s="382">
        <v>40877.518520339698</v>
      </c>
      <c r="Q25" s="382">
        <v>96144.111620340424</v>
      </c>
      <c r="R25" s="382">
        <v>21882.512915544132</v>
      </c>
      <c r="S25" s="382">
        <v>9555.6601544891582</v>
      </c>
      <c r="T25" s="382">
        <v>32652.854774973286</v>
      </c>
      <c r="U25" s="382">
        <v>4743.6874306846521</v>
      </c>
      <c r="V25" s="382">
        <v>2530.635362181707</v>
      </c>
      <c r="W25" s="382">
        <v>696543.7222800001</v>
      </c>
      <c r="Z25" s="10"/>
      <c r="AU25" s="10"/>
      <c r="AV25" s="10"/>
      <c r="AW25" s="10"/>
      <c r="AX25" s="10"/>
      <c r="AY25" s="10"/>
      <c r="AZ25" s="10"/>
      <c r="BA25" s="10"/>
      <c r="BB25" s="10"/>
      <c r="BC25" s="10"/>
      <c r="BD25" s="10"/>
      <c r="BE25" s="10"/>
      <c r="BF25" s="10"/>
      <c r="BG25" s="10"/>
      <c r="BH25" s="10"/>
      <c r="BI25" s="10"/>
      <c r="BJ25" s="10"/>
      <c r="BK25" s="10"/>
      <c r="BL25" s="10"/>
      <c r="BM25" s="10"/>
    </row>
    <row r="26" spans="3:65">
      <c r="C26" s="382" t="s">
        <v>131</v>
      </c>
      <c r="D26" s="382" t="s">
        <v>672</v>
      </c>
      <c r="E26" s="382">
        <v>3480.2136432613815</v>
      </c>
      <c r="F26" s="382">
        <v>547.51631051895765</v>
      </c>
      <c r="G26" s="382">
        <v>437.68150180608433</v>
      </c>
      <c r="H26" s="382">
        <v>457.34644550207003</v>
      </c>
      <c r="I26" s="382">
        <v>871.04436356921747</v>
      </c>
      <c r="J26" s="382">
        <v>243.14695356216205</v>
      </c>
      <c r="K26" s="382">
        <v>1028.8264544204219</v>
      </c>
      <c r="L26" s="382">
        <v>857.09997635393495</v>
      </c>
      <c r="M26" s="382">
        <v>3112.6789195254796</v>
      </c>
      <c r="N26" s="382">
        <v>2068.3928564444209</v>
      </c>
      <c r="O26" s="382">
        <v>454.17887662409942</v>
      </c>
      <c r="P26" s="382">
        <v>1135.3373043453805</v>
      </c>
      <c r="Q26" s="382">
        <v>2670.3185630361882</v>
      </c>
      <c r="R26" s="382">
        <v>607.7676464992619</v>
      </c>
      <c r="S26" s="382">
        <v>265.40009848298706</v>
      </c>
      <c r="T26" s="382">
        <v>906.90446634996181</v>
      </c>
      <c r="U26" s="382">
        <v>131.7517671120566</v>
      </c>
      <c r="V26" s="382">
        <v>70.286182585933517</v>
      </c>
      <c r="W26" s="382">
        <v>19345.892329999999</v>
      </c>
      <c r="Z26" s="10"/>
      <c r="AU26" s="10"/>
      <c r="AV26" s="10"/>
      <c r="AW26" s="10"/>
      <c r="AX26" s="10"/>
      <c r="AY26" s="10"/>
      <c r="AZ26" s="10"/>
      <c r="BA26" s="10"/>
      <c r="BB26" s="10"/>
      <c r="BC26" s="10"/>
      <c r="BD26" s="10"/>
      <c r="BE26" s="10"/>
      <c r="BF26" s="10"/>
      <c r="BG26" s="10"/>
      <c r="BH26" s="10"/>
      <c r="BI26" s="10"/>
      <c r="BJ26" s="10"/>
      <c r="BK26" s="10"/>
      <c r="BL26" s="10"/>
      <c r="BM26" s="10"/>
    </row>
    <row r="27" spans="3:65">
      <c r="C27" s="382" t="s">
        <v>132</v>
      </c>
      <c r="D27" s="382" t="s">
        <v>133</v>
      </c>
      <c r="E27" s="382">
        <v>52623.608782540774</v>
      </c>
      <c r="F27" s="382">
        <v>8278.8837353700928</v>
      </c>
      <c r="G27" s="382">
        <v>6618.0937388700559</v>
      </c>
      <c r="H27" s="382">
        <v>6915.4433874446395</v>
      </c>
      <c r="I27" s="382">
        <v>13170.886192420196</v>
      </c>
      <c r="J27" s="382">
        <v>3676.5760589718011</v>
      </c>
      <c r="K27" s="382">
        <v>15556.677374499499</v>
      </c>
      <c r="L27" s="382">
        <v>12960.035924951666</v>
      </c>
      <c r="M27" s="382">
        <v>47066.19033114006</v>
      </c>
      <c r="N27" s="382">
        <v>31275.751331211686</v>
      </c>
      <c r="O27" s="382">
        <v>6867.5472171193405</v>
      </c>
      <c r="P27" s="382">
        <v>17167.206460378944</v>
      </c>
      <c r="Q27" s="382">
        <v>40377.348574005038</v>
      </c>
      <c r="R27" s="382">
        <v>9189.9320382213136</v>
      </c>
      <c r="S27" s="382">
        <v>4013.0613764068748</v>
      </c>
      <c r="T27" s="382">
        <v>13713.119576077403</v>
      </c>
      <c r="U27" s="382">
        <v>1992.1919053268211</v>
      </c>
      <c r="V27" s="382">
        <v>1062.7831950438117</v>
      </c>
      <c r="W27" s="382">
        <v>292525.33720000001</v>
      </c>
      <c r="Z27" s="10"/>
      <c r="AU27" s="10"/>
      <c r="AV27" s="10"/>
      <c r="AW27" s="10"/>
      <c r="AX27" s="10"/>
      <c r="AY27" s="10"/>
      <c r="AZ27" s="10"/>
      <c r="BA27" s="10"/>
      <c r="BB27" s="10"/>
      <c r="BC27" s="10"/>
      <c r="BD27" s="10"/>
      <c r="BE27" s="10"/>
      <c r="BF27" s="10"/>
      <c r="BG27" s="10"/>
      <c r="BH27" s="10"/>
      <c r="BI27" s="10"/>
      <c r="BJ27" s="10"/>
      <c r="BK27" s="10"/>
      <c r="BL27" s="10"/>
      <c r="BM27" s="10"/>
    </row>
    <row r="28" spans="3:65">
      <c r="C28" s="382" t="s">
        <v>134</v>
      </c>
      <c r="D28" s="382" t="s">
        <v>135</v>
      </c>
      <c r="E28" s="382">
        <v>20876.597495795944</v>
      </c>
      <c r="F28" s="382">
        <v>3284.3609067562738</v>
      </c>
      <c r="G28" s="382">
        <v>2625.4998920119024</v>
      </c>
      <c r="H28" s="382">
        <v>2743.463085195026</v>
      </c>
      <c r="I28" s="382">
        <v>5225.093756650891</v>
      </c>
      <c r="J28" s="382">
        <v>1458.5544458383715</v>
      </c>
      <c r="K28" s="382">
        <v>6171.5739272357268</v>
      </c>
      <c r="L28" s="382">
        <v>5141.4462024891964</v>
      </c>
      <c r="M28" s="382">
        <v>18671.883854718271</v>
      </c>
      <c r="N28" s="382">
        <v>12407.57308413514</v>
      </c>
      <c r="O28" s="382">
        <v>2724.4619354714609</v>
      </c>
      <c r="P28" s="382">
        <v>6810.4956632975154</v>
      </c>
      <c r="Q28" s="382">
        <v>16018.317132340433</v>
      </c>
      <c r="R28" s="382">
        <v>3645.7878244055096</v>
      </c>
      <c r="S28" s="382">
        <v>1592.0433626545016</v>
      </c>
      <c r="T28" s="382">
        <v>5440.2061056760822</v>
      </c>
      <c r="U28" s="382">
        <v>790.33326493734251</v>
      </c>
      <c r="V28" s="382">
        <v>421.62249039041296</v>
      </c>
      <c r="W28" s="382">
        <v>116049.31443</v>
      </c>
      <c r="Z28" s="10"/>
      <c r="AU28" s="10"/>
      <c r="AV28" s="10"/>
      <c r="AW28" s="10"/>
      <c r="AX28" s="10"/>
      <c r="AY28" s="10"/>
      <c r="AZ28" s="10"/>
      <c r="BA28" s="10"/>
      <c r="BB28" s="10"/>
      <c r="BC28" s="10"/>
      <c r="BD28" s="10"/>
      <c r="BE28" s="10"/>
      <c r="BF28" s="10"/>
      <c r="BG28" s="10"/>
      <c r="BH28" s="10"/>
      <c r="BI28" s="10"/>
      <c r="BJ28" s="10"/>
      <c r="BK28" s="10"/>
      <c r="BL28" s="10"/>
      <c r="BM28" s="10"/>
    </row>
    <row r="29" spans="3:65">
      <c r="C29" s="382" t="s">
        <v>136</v>
      </c>
      <c r="D29" s="382" t="s">
        <v>137</v>
      </c>
      <c r="E29" s="382">
        <v>16568.546553689615</v>
      </c>
      <c r="F29" s="382">
        <v>2606.6070677306438</v>
      </c>
      <c r="G29" s="382">
        <v>2083.7072322856393</v>
      </c>
      <c r="H29" s="382">
        <v>2177.3277879470702</v>
      </c>
      <c r="I29" s="382">
        <v>4146.8543507579179</v>
      </c>
      <c r="J29" s="382">
        <v>1157.5702047151367</v>
      </c>
      <c r="K29" s="382">
        <v>4898.0208553397533</v>
      </c>
      <c r="L29" s="382">
        <v>4080.4681307089177</v>
      </c>
      <c r="M29" s="382">
        <v>14818.793002752689</v>
      </c>
      <c r="N29" s="382">
        <v>9847.1722848609497</v>
      </c>
      <c r="O29" s="382">
        <v>2162.2476756906594</v>
      </c>
      <c r="P29" s="382">
        <v>5405.0960398968018</v>
      </c>
      <c r="Q29" s="382">
        <v>12712.810752441428</v>
      </c>
      <c r="R29" s="382">
        <v>2893.4506835082539</v>
      </c>
      <c r="S29" s="382">
        <v>1263.5126281926714</v>
      </c>
      <c r="T29" s="382">
        <v>4317.5765658993041</v>
      </c>
      <c r="U29" s="382">
        <v>627.2417474006877</v>
      </c>
      <c r="V29" s="382">
        <v>334.61735618186157</v>
      </c>
      <c r="W29" s="382">
        <v>92101.620920000001</v>
      </c>
      <c r="Z29" s="10"/>
      <c r="AU29" s="10"/>
      <c r="AV29" s="10"/>
      <c r="AW29" s="10"/>
      <c r="AX29" s="10"/>
      <c r="AY29" s="10"/>
      <c r="AZ29" s="10"/>
      <c r="BA29" s="10"/>
      <c r="BB29" s="10"/>
      <c r="BC29" s="10"/>
      <c r="BD29" s="10"/>
      <c r="BE29" s="10"/>
      <c r="BF29" s="10"/>
      <c r="BG29" s="10"/>
      <c r="BH29" s="10"/>
      <c r="BI29" s="10"/>
      <c r="BJ29" s="10"/>
      <c r="BK29" s="10"/>
      <c r="BL29" s="10"/>
      <c r="BM29" s="10"/>
    </row>
    <row r="30" spans="3:65">
      <c r="C30" s="382" t="s">
        <v>138</v>
      </c>
      <c r="D30" s="382" t="s">
        <v>673</v>
      </c>
      <c r="E30" s="382">
        <v>28206.914137889802</v>
      </c>
      <c r="F30" s="382">
        <v>4437.5854884097835</v>
      </c>
      <c r="G30" s="382">
        <v>3547.3812261759645</v>
      </c>
      <c r="H30" s="382">
        <v>3706.7643661832249</v>
      </c>
      <c r="I30" s="382">
        <v>7059.7601446287108</v>
      </c>
      <c r="J30" s="382">
        <v>1970.690867009592</v>
      </c>
      <c r="K30" s="382">
        <v>8338.5741328889126</v>
      </c>
      <c r="L30" s="382">
        <v>6946.7417574821202</v>
      </c>
      <c r="M30" s="382">
        <v>25228.068165262532</v>
      </c>
      <c r="N30" s="382">
        <v>16764.194870082163</v>
      </c>
      <c r="O30" s="382">
        <v>3681.091418334242</v>
      </c>
      <c r="P30" s="382">
        <v>9201.8379168247557</v>
      </c>
      <c r="Q30" s="382">
        <v>21642.765114209978</v>
      </c>
      <c r="R30" s="382">
        <v>4925.918802078696</v>
      </c>
      <c r="S30" s="382">
        <v>2151.0512162355967</v>
      </c>
      <c r="T30" s="382">
        <v>7350.4040371583833</v>
      </c>
      <c r="U30" s="382">
        <v>1067.8398407065611</v>
      </c>
      <c r="V30" s="382">
        <v>569.66511843898661</v>
      </c>
      <c r="W30" s="382">
        <v>156797.24862</v>
      </c>
      <c r="Z30" s="10"/>
      <c r="AU30" s="10"/>
      <c r="AV30" s="10"/>
      <c r="AW30" s="10"/>
      <c r="AX30" s="10"/>
      <c r="AY30" s="10"/>
      <c r="AZ30" s="10"/>
      <c r="BA30" s="10"/>
      <c r="BB30" s="10"/>
      <c r="BC30" s="10"/>
      <c r="BD30" s="10"/>
      <c r="BE30" s="10"/>
      <c r="BF30" s="10"/>
      <c r="BG30" s="10"/>
      <c r="BH30" s="10"/>
      <c r="BI30" s="10"/>
      <c r="BJ30" s="10"/>
      <c r="BK30" s="10"/>
      <c r="BL30" s="10"/>
      <c r="BM30" s="10"/>
    </row>
    <row r="31" spans="3:65">
      <c r="C31" s="382" t="s">
        <v>139</v>
      </c>
      <c r="D31" s="382" t="s">
        <v>1181</v>
      </c>
      <c r="E31" s="382">
        <v>45513.339327898924</v>
      </c>
      <c r="F31" s="382">
        <v>7160.277552632142</v>
      </c>
      <c r="G31" s="382">
        <v>5723.8861607866529</v>
      </c>
      <c r="H31" s="382">
        <v>5981.0592389487983</v>
      </c>
      <c r="I31" s="382">
        <v>11391.294257334212</v>
      </c>
      <c r="J31" s="382">
        <v>3179.8133500933518</v>
      </c>
      <c r="K31" s="382">
        <v>13454.727878623795</v>
      </c>
      <c r="L31" s="382">
        <v>11208.933146177249</v>
      </c>
      <c r="M31" s="382">
        <v>40706.814697272574</v>
      </c>
      <c r="N31" s="382">
        <v>27049.910030964929</v>
      </c>
      <c r="O31" s="382">
        <v>5939.6345874861763</v>
      </c>
      <c r="P31" s="382">
        <v>14847.649391969368</v>
      </c>
      <c r="Q31" s="382">
        <v>34921.739677786092</v>
      </c>
      <c r="R31" s="382">
        <v>7948.2290350764833</v>
      </c>
      <c r="S31" s="382">
        <v>3470.8342584951956</v>
      </c>
      <c r="T31" s="382">
        <v>11860.263462530438</v>
      </c>
      <c r="U31" s="382">
        <v>1723.0157393446495</v>
      </c>
      <c r="V31" s="382">
        <v>919.18462657897066</v>
      </c>
      <c r="W31" s="382">
        <v>253000.60642</v>
      </c>
      <c r="Z31" s="10"/>
      <c r="AU31" s="10"/>
      <c r="AV31" s="10"/>
      <c r="AW31" s="10"/>
      <c r="AX31" s="10"/>
      <c r="AY31" s="10"/>
      <c r="AZ31" s="10"/>
      <c r="BA31" s="10"/>
      <c r="BB31" s="10"/>
      <c r="BC31" s="10"/>
      <c r="BD31" s="10"/>
      <c r="BE31" s="10"/>
      <c r="BF31" s="10"/>
      <c r="BG31" s="10"/>
      <c r="BH31" s="10"/>
      <c r="BI31" s="10"/>
      <c r="BJ31" s="10"/>
      <c r="BK31" s="10"/>
      <c r="BL31" s="10"/>
      <c r="BM31" s="10"/>
    </row>
    <row r="32" spans="3:65">
      <c r="C32" s="382"/>
      <c r="D32" s="382" t="s">
        <v>668</v>
      </c>
      <c r="E32" s="382">
        <v>305427.32261312404</v>
      </c>
      <c r="F32" s="382">
        <v>48050.62503349928</v>
      </c>
      <c r="G32" s="382">
        <v>38411.403136920431</v>
      </c>
      <c r="H32" s="382">
        <v>40137.219916597853</v>
      </c>
      <c r="I32" s="382">
        <v>76443.797741361152</v>
      </c>
      <c r="J32" s="382">
        <v>21338.840266839092</v>
      </c>
      <c r="K32" s="382">
        <v>90290.925103296118</v>
      </c>
      <c r="L32" s="382">
        <v>75220.023200711628</v>
      </c>
      <c r="M32" s="382">
        <v>273172.0767734421</v>
      </c>
      <c r="N32" s="382">
        <v>181524.39965263481</v>
      </c>
      <c r="O32" s="382">
        <v>39859.230637559056</v>
      </c>
      <c r="P32" s="382">
        <v>99638.43277278007</v>
      </c>
      <c r="Q32" s="382">
        <v>234350.05227666502</v>
      </c>
      <c r="R32" s="382">
        <v>53338.347604198367</v>
      </c>
      <c r="S32" s="382">
        <v>23291.800392160614</v>
      </c>
      <c r="T32" s="382">
        <v>79590.919241261421</v>
      </c>
      <c r="U32" s="382">
        <v>11562.677928264484</v>
      </c>
      <c r="V32" s="382">
        <v>6168.3915886845889</v>
      </c>
      <c r="W32" s="382">
        <v>1697816.4858800001</v>
      </c>
      <c r="Z32" s="10"/>
      <c r="AU32" s="10"/>
      <c r="AV32" s="10"/>
      <c r="AW32" s="10"/>
      <c r="AX32" s="10"/>
      <c r="AY32" s="10"/>
      <c r="AZ32" s="10"/>
      <c r="BA32" s="10"/>
      <c r="BB32" s="10"/>
      <c r="BC32" s="10"/>
      <c r="BD32" s="10"/>
      <c r="BE32" s="10"/>
      <c r="BF32" s="10"/>
      <c r="BG32" s="10"/>
      <c r="BH32" s="10"/>
      <c r="BI32" s="10"/>
      <c r="BJ32" s="10"/>
      <c r="BK32" s="10"/>
      <c r="BL32" s="10"/>
      <c r="BM32" s="10"/>
    </row>
    <row r="33" spans="3:65">
      <c r="C33" s="382" t="s">
        <v>655</v>
      </c>
      <c r="D33" s="382" t="s">
        <v>618</v>
      </c>
      <c r="E33" s="382" t="s">
        <v>9</v>
      </c>
      <c r="F33" s="382" t="s">
        <v>10</v>
      </c>
      <c r="G33" s="382" t="s">
        <v>11</v>
      </c>
      <c r="H33" s="382" t="s">
        <v>31</v>
      </c>
      <c r="I33" s="382" t="s">
        <v>12</v>
      </c>
      <c r="J33" s="382" t="s">
        <v>13</v>
      </c>
      <c r="K33" s="382" t="s">
        <v>14</v>
      </c>
      <c r="L33" s="382" t="s">
        <v>15</v>
      </c>
      <c r="M33" s="382" t="s">
        <v>16</v>
      </c>
      <c r="N33" s="382" t="s">
        <v>17</v>
      </c>
      <c r="O33" s="382" t="s">
        <v>18</v>
      </c>
      <c r="P33" s="382" t="s">
        <v>19</v>
      </c>
      <c r="Q33" s="382" t="s">
        <v>20</v>
      </c>
      <c r="R33" s="382" t="s">
        <v>60</v>
      </c>
      <c r="S33" s="382" t="s">
        <v>61</v>
      </c>
      <c r="T33" s="382" t="s">
        <v>62</v>
      </c>
      <c r="U33" s="382" t="s">
        <v>63</v>
      </c>
      <c r="V33" s="382" t="s">
        <v>64</v>
      </c>
      <c r="W33" s="382" t="s">
        <v>656</v>
      </c>
      <c r="Z33" s="10"/>
      <c r="AU33" s="10"/>
      <c r="AV33" s="10"/>
      <c r="AW33" s="10"/>
      <c r="AX33" s="10"/>
      <c r="AY33" s="10"/>
      <c r="AZ33" s="10"/>
      <c r="BA33" s="10"/>
      <c r="BB33" s="10"/>
      <c r="BC33" s="10"/>
      <c r="BD33" s="10"/>
      <c r="BE33" s="10"/>
      <c r="BF33" s="10"/>
      <c r="BG33" s="10"/>
      <c r="BH33" s="10"/>
      <c r="BI33" s="10"/>
      <c r="BJ33" s="10"/>
      <c r="BK33" s="10"/>
      <c r="BL33" s="10"/>
      <c r="BM33" s="10"/>
    </row>
    <row r="34" spans="3:65">
      <c r="C34" s="382" t="s">
        <v>140</v>
      </c>
      <c r="D34" s="382" t="s">
        <v>674</v>
      </c>
      <c r="E34" s="382">
        <v>208867.67928097607</v>
      </c>
      <c r="F34" s="382">
        <v>32859.609457599057</v>
      </c>
      <c r="G34" s="382">
        <v>26267.789543167208</v>
      </c>
      <c r="H34" s="382">
        <v>27447.9961551735</v>
      </c>
      <c r="I34" s="382">
        <v>52276.392606456189</v>
      </c>
      <c r="J34" s="382">
        <v>14592.650084313744</v>
      </c>
      <c r="K34" s="382">
        <v>61745.805270820041</v>
      </c>
      <c r="L34" s="382">
        <v>51439.509559838974</v>
      </c>
      <c r="M34" s="382">
        <v>186809.80218755908</v>
      </c>
      <c r="N34" s="382">
        <v>124136.17669806036</v>
      </c>
      <c r="O34" s="382">
        <v>27257.892090216053</v>
      </c>
      <c r="P34" s="382">
        <v>68138.135260430266</v>
      </c>
      <c r="Q34" s="382">
        <v>160261.20760781987</v>
      </c>
      <c r="R34" s="382">
        <v>36475.639394195488</v>
      </c>
      <c r="S34" s="382">
        <v>15928.18956917142</v>
      </c>
      <c r="T34" s="382">
        <v>54428.564057508913</v>
      </c>
      <c r="U34" s="382">
        <v>7907.1829084821793</v>
      </c>
      <c r="V34" s="382">
        <v>4218.2789182118913</v>
      </c>
      <c r="W34" s="382">
        <v>1161058.5006500003</v>
      </c>
      <c r="Z34" s="10"/>
      <c r="AU34" s="10"/>
      <c r="AV34" s="10"/>
      <c r="AW34" s="10"/>
      <c r="AX34" s="10"/>
      <c r="AY34" s="10"/>
      <c r="AZ34" s="10"/>
      <c r="BA34" s="10"/>
      <c r="BB34" s="10"/>
      <c r="BC34" s="10"/>
      <c r="BD34" s="10"/>
      <c r="BE34" s="10"/>
      <c r="BF34" s="10"/>
      <c r="BG34" s="10"/>
      <c r="BH34" s="10"/>
      <c r="BI34" s="10"/>
      <c r="BJ34" s="10"/>
      <c r="BK34" s="10"/>
      <c r="BL34" s="10"/>
      <c r="BM34" s="10"/>
    </row>
    <row r="35" spans="3:65">
      <c r="C35" s="382" t="s">
        <v>141</v>
      </c>
      <c r="D35" s="382" t="s">
        <v>675</v>
      </c>
      <c r="E35" s="382">
        <v>68986.32755767151</v>
      </c>
      <c r="F35" s="382">
        <v>10853.109438773556</v>
      </c>
      <c r="G35" s="382">
        <v>8675.915488117178</v>
      </c>
      <c r="H35" s="382">
        <v>9065.7226626971624</v>
      </c>
      <c r="I35" s="382">
        <v>17266.224991330648</v>
      </c>
      <c r="J35" s="382">
        <v>4819.7659978627516</v>
      </c>
      <c r="K35" s="382">
        <v>20393.851084996295</v>
      </c>
      <c r="L35" s="382">
        <v>16989.813206701529</v>
      </c>
      <c r="M35" s="382">
        <v>61700.892397805103</v>
      </c>
      <c r="N35" s="382">
        <v>41000.594141371177</v>
      </c>
      <c r="O35" s="382">
        <v>9002.933717368971</v>
      </c>
      <c r="P35" s="382">
        <v>22505.156060653884</v>
      </c>
      <c r="Q35" s="382">
        <v>52932.230591542932</v>
      </c>
      <c r="R35" s="382">
        <v>12047.437955866955</v>
      </c>
      <c r="S35" s="382">
        <v>5260.877636991243</v>
      </c>
      <c r="T35" s="382">
        <v>17977.059741798985</v>
      </c>
      <c r="U35" s="382">
        <v>2611.6415524929762</v>
      </c>
      <c r="V35" s="382">
        <v>1393.2436659571329</v>
      </c>
      <c r="W35" s="382">
        <v>383482.79788999999</v>
      </c>
      <c r="Z35" s="10"/>
      <c r="AU35" s="10"/>
      <c r="AV35" s="10"/>
      <c r="AW35" s="10"/>
      <c r="AX35" s="10"/>
      <c r="AY35" s="10"/>
      <c r="AZ35" s="10"/>
      <c r="BA35" s="10"/>
      <c r="BB35" s="10"/>
      <c r="BC35" s="10"/>
      <c r="BD35" s="10"/>
      <c r="BE35" s="10"/>
      <c r="BF35" s="10"/>
      <c r="BG35" s="10"/>
      <c r="BH35" s="10"/>
      <c r="BI35" s="10"/>
      <c r="BJ35" s="10"/>
      <c r="BK35" s="10"/>
      <c r="BL35" s="10"/>
      <c r="BM35" s="10"/>
    </row>
    <row r="36" spans="3:65">
      <c r="C36" s="382" t="s">
        <v>142</v>
      </c>
      <c r="D36" s="382" t="s">
        <v>143</v>
      </c>
      <c r="E36" s="382">
        <v>102233.97605388796</v>
      </c>
      <c r="F36" s="382">
        <v>16083.716437090072</v>
      </c>
      <c r="G36" s="382">
        <v>12857.233710784663</v>
      </c>
      <c r="H36" s="382">
        <v>13434.906689801102</v>
      </c>
      <c r="I36" s="382">
        <v>25587.604019493043</v>
      </c>
      <c r="J36" s="382">
        <v>7142.6304175840878</v>
      </c>
      <c r="K36" s="382">
        <v>30222.57536070588</v>
      </c>
      <c r="L36" s="382">
        <v>25177.976825652902</v>
      </c>
      <c r="M36" s="382">
        <v>91437.358375504104</v>
      </c>
      <c r="N36" s="382">
        <v>60760.645015346869</v>
      </c>
      <c r="O36" s="382">
        <v>13341.856896307387</v>
      </c>
      <c r="P36" s="382">
        <v>33351.414218570688</v>
      </c>
      <c r="Q36" s="382">
        <v>78442.679678096625</v>
      </c>
      <c r="R36" s="382">
        <v>17853.64618026893</v>
      </c>
      <c r="S36" s="382">
        <v>7796.3338157545941</v>
      </c>
      <c r="T36" s="382">
        <v>26641.022362379885</v>
      </c>
      <c r="U36" s="382">
        <v>3870.310384556984</v>
      </c>
      <c r="V36" s="382">
        <v>2064.71114821437</v>
      </c>
      <c r="W36" s="382">
        <v>568300.59759000014</v>
      </c>
      <c r="Z36" s="10"/>
      <c r="AU36" s="10"/>
      <c r="AV36" s="10"/>
      <c r="AW36" s="10"/>
      <c r="AX36" s="10"/>
      <c r="AY36" s="10"/>
      <c r="AZ36" s="10"/>
      <c r="BA36" s="10"/>
      <c r="BB36" s="10"/>
      <c r="BC36" s="10"/>
      <c r="BD36" s="10"/>
      <c r="BE36" s="10"/>
      <c r="BF36" s="10"/>
      <c r="BG36" s="10"/>
      <c r="BH36" s="10"/>
      <c r="BI36" s="10"/>
      <c r="BJ36" s="10"/>
      <c r="BK36" s="10"/>
      <c r="BL36" s="10"/>
      <c r="BM36" s="10"/>
    </row>
    <row r="37" spans="3:65">
      <c r="C37" s="382" t="s">
        <v>144</v>
      </c>
      <c r="D37" s="382" t="s">
        <v>676</v>
      </c>
      <c r="E37" s="382">
        <v>30147.64441083675</v>
      </c>
      <c r="F37" s="382">
        <v>4742.9062496262122</v>
      </c>
      <c r="G37" s="382">
        <v>3791.4529492176403</v>
      </c>
      <c r="H37" s="382">
        <v>3961.8021836830649</v>
      </c>
      <c r="I37" s="382">
        <v>7545.4953145748941</v>
      </c>
      <c r="J37" s="382">
        <v>2106.2810065593881</v>
      </c>
      <c r="K37" s="382">
        <v>8912.2959932030008</v>
      </c>
      <c r="L37" s="382">
        <v>7424.7008834320404</v>
      </c>
      <c r="M37" s="382">
        <v>26963.84384696059</v>
      </c>
      <c r="N37" s="382">
        <v>17917.627688961384</v>
      </c>
      <c r="O37" s="382">
        <v>3934.3628509384234</v>
      </c>
      <c r="P37" s="382">
        <v>9834.9552200729067</v>
      </c>
      <c r="Q37" s="382">
        <v>23131.859924159638</v>
      </c>
      <c r="R37" s="382">
        <v>5264.8385327000306</v>
      </c>
      <c r="S37" s="382">
        <v>2299.0507525762314</v>
      </c>
      <c r="T37" s="382">
        <v>7856.1364814651024</v>
      </c>
      <c r="U37" s="382">
        <v>1141.3108023079321</v>
      </c>
      <c r="V37" s="382">
        <v>608.85998872475693</v>
      </c>
      <c r="W37" s="382">
        <v>167585.42507999999</v>
      </c>
      <c r="Z37" s="10"/>
      <c r="AU37" s="10"/>
      <c r="AV37" s="10"/>
      <c r="AW37" s="10"/>
      <c r="AX37" s="10"/>
      <c r="AY37" s="10"/>
      <c r="AZ37" s="10"/>
      <c r="BA37" s="10"/>
      <c r="BB37" s="10"/>
      <c r="BC37" s="10"/>
      <c r="BD37" s="10"/>
      <c r="BE37" s="10"/>
      <c r="BF37" s="10"/>
      <c r="BG37" s="10"/>
      <c r="BH37" s="10"/>
      <c r="BI37" s="10"/>
      <c r="BJ37" s="10"/>
      <c r="BK37" s="10"/>
      <c r="BL37" s="10"/>
      <c r="BM37" s="10"/>
    </row>
    <row r="38" spans="3:65">
      <c r="C38" s="382" t="s">
        <v>145</v>
      </c>
      <c r="D38" s="382" t="s">
        <v>146</v>
      </c>
      <c r="E38" s="382">
        <v>159966.63404603864</v>
      </c>
      <c r="F38" s="382">
        <v>25166.369153402386</v>
      </c>
      <c r="G38" s="382">
        <v>20117.8559148807</v>
      </c>
      <c r="H38" s="382">
        <v>21021.74721989948</v>
      </c>
      <c r="I38" s="382">
        <v>40037.207260174131</v>
      </c>
      <c r="J38" s="382">
        <v>11176.152882223008</v>
      </c>
      <c r="K38" s="382">
        <v>47289.59822619558</v>
      </c>
      <c r="L38" s="382">
        <v>39396.259055461909</v>
      </c>
      <c r="M38" s="382">
        <v>143073.04684776062</v>
      </c>
      <c r="N38" s="382">
        <v>95072.853866585137</v>
      </c>
      <c r="O38" s="382">
        <v>20876.151177972843</v>
      </c>
      <c r="P38" s="382">
        <v>52185.327022865531</v>
      </c>
      <c r="Q38" s="382">
        <v>122740.12924081617</v>
      </c>
      <c r="R38" s="382">
        <v>27935.797815406615</v>
      </c>
      <c r="S38" s="382">
        <v>12199.009825737301</v>
      </c>
      <c r="T38" s="382">
        <v>41685.502602469533</v>
      </c>
      <c r="U38" s="382">
        <v>6055.9175024618926</v>
      </c>
      <c r="V38" s="382">
        <v>3230.6763896484849</v>
      </c>
      <c r="W38" s="382">
        <v>889226.23604999995</v>
      </c>
      <c r="Z38" s="10"/>
      <c r="AU38" s="10"/>
      <c r="AV38" s="10"/>
      <c r="AW38" s="10"/>
      <c r="AX38" s="10"/>
      <c r="AY38" s="10"/>
      <c r="AZ38" s="10"/>
      <c r="BA38" s="10"/>
      <c r="BB38" s="10"/>
      <c r="BC38" s="10"/>
      <c r="BD38" s="10"/>
      <c r="BE38" s="10"/>
      <c r="BF38" s="10"/>
      <c r="BG38" s="10"/>
      <c r="BH38" s="10"/>
      <c r="BI38" s="10"/>
      <c r="BJ38" s="10"/>
      <c r="BK38" s="10"/>
      <c r="BL38" s="10"/>
      <c r="BM38" s="10"/>
    </row>
    <row r="39" spans="3:65">
      <c r="C39" s="382" t="s">
        <v>147</v>
      </c>
      <c r="D39" s="382" t="s">
        <v>677</v>
      </c>
      <c r="E39" s="382">
        <v>530802.75201335829</v>
      </c>
      <c r="F39" s="382">
        <v>83507.276904792001</v>
      </c>
      <c r="G39" s="382">
        <v>66755.25398098689</v>
      </c>
      <c r="H39" s="382">
        <v>69754.554398140332</v>
      </c>
      <c r="I39" s="382">
        <v>132851.82827884794</v>
      </c>
      <c r="J39" s="382">
        <v>37084.812981053692</v>
      </c>
      <c r="K39" s="382">
        <v>156916.77848798397</v>
      </c>
      <c r="L39" s="382">
        <v>130725.0280683656</v>
      </c>
      <c r="M39" s="382">
        <v>474746.2960549061</v>
      </c>
      <c r="N39" s="382">
        <v>315471.61553467059</v>
      </c>
      <c r="O39" s="382">
        <v>69271.436276678389</v>
      </c>
      <c r="P39" s="382">
        <v>173161.83067577682</v>
      </c>
      <c r="Q39" s="382">
        <v>407277.42239516019</v>
      </c>
      <c r="R39" s="382">
        <v>92696.820487195844</v>
      </c>
      <c r="S39" s="382">
        <v>40478.866270798484</v>
      </c>
      <c r="T39" s="382">
        <v>138321.21699880689</v>
      </c>
      <c r="U39" s="382">
        <v>20094.800990483422</v>
      </c>
      <c r="V39" s="382">
        <v>10720.060021994708</v>
      </c>
      <c r="W39" s="382">
        <v>2950638.6508200001</v>
      </c>
      <c r="Z39" s="10"/>
      <c r="AU39" s="10"/>
      <c r="AV39" s="10"/>
      <c r="AW39" s="10"/>
      <c r="AX39" s="10"/>
      <c r="AY39" s="10"/>
      <c r="AZ39" s="10"/>
      <c r="BA39" s="10"/>
      <c r="BB39" s="10"/>
      <c r="BC39" s="10"/>
      <c r="BD39" s="10"/>
      <c r="BE39" s="10"/>
      <c r="BF39" s="10"/>
      <c r="BG39" s="10"/>
      <c r="BH39" s="10"/>
      <c r="BI39" s="10"/>
      <c r="BJ39" s="10"/>
      <c r="BK39" s="10"/>
      <c r="BL39" s="10"/>
      <c r="BM39" s="10"/>
    </row>
    <row r="40" spans="3:65">
      <c r="C40" s="382" t="s">
        <v>148</v>
      </c>
      <c r="D40" s="382" t="s">
        <v>678</v>
      </c>
      <c r="E40" s="382">
        <v>239787.99628418236</v>
      </c>
      <c r="F40" s="382">
        <v>37724.074579862994</v>
      </c>
      <c r="G40" s="382">
        <v>30156.415980939932</v>
      </c>
      <c r="H40" s="382">
        <v>31511.337813118818</v>
      </c>
      <c r="I40" s="382">
        <v>60015.27607918944</v>
      </c>
      <c r="J40" s="382">
        <v>16752.914267250653</v>
      </c>
      <c r="K40" s="382">
        <v>70886.520000664284</v>
      </c>
      <c r="L40" s="382">
        <v>59054.502686372696</v>
      </c>
      <c r="M40" s="382">
        <v>214464.71903649491</v>
      </c>
      <c r="N40" s="382">
        <v>142513.02632976716</v>
      </c>
      <c r="O40" s="382">
        <v>31293.091155816219</v>
      </c>
      <c r="P40" s="382">
        <v>78225.15662013831</v>
      </c>
      <c r="Q40" s="382">
        <v>183985.92825205304</v>
      </c>
      <c r="R40" s="382">
        <v>41875.413724267673</v>
      </c>
      <c r="S40" s="382">
        <v>18286.164112965769</v>
      </c>
      <c r="T40" s="382">
        <v>62486.050311394734</v>
      </c>
      <c r="U40" s="382">
        <v>9077.7450700107893</v>
      </c>
      <c r="V40" s="382">
        <v>4842.7437555101224</v>
      </c>
      <c r="W40" s="382">
        <v>1332939.0760599999</v>
      </c>
      <c r="Z40" s="10"/>
      <c r="AU40" s="10"/>
      <c r="AV40" s="10"/>
      <c r="AW40" s="10"/>
      <c r="AX40" s="10"/>
      <c r="AY40" s="10"/>
      <c r="AZ40" s="10"/>
      <c r="BA40" s="10"/>
      <c r="BB40" s="10"/>
      <c r="BC40" s="10"/>
      <c r="BD40" s="10"/>
      <c r="BE40" s="10"/>
      <c r="BF40" s="10"/>
      <c r="BG40" s="10"/>
      <c r="BH40" s="10"/>
      <c r="BI40" s="10"/>
      <c r="BJ40" s="10"/>
      <c r="BK40" s="10"/>
      <c r="BL40" s="10"/>
      <c r="BM40" s="10"/>
    </row>
    <row r="41" spans="3:65">
      <c r="C41" s="382" t="s">
        <v>149</v>
      </c>
      <c r="D41" s="382" t="s">
        <v>679</v>
      </c>
      <c r="E41" s="382">
        <v>34057.504694302945</v>
      </c>
      <c r="F41" s="382">
        <v>5358.0156930343792</v>
      </c>
      <c r="G41" s="382">
        <v>4283.1680265471387</v>
      </c>
      <c r="H41" s="382">
        <v>4475.609922617522</v>
      </c>
      <c r="I41" s="382">
        <v>8524.0736753748515</v>
      </c>
      <c r="J41" s="382">
        <v>2379.4454482364808</v>
      </c>
      <c r="K41" s="382">
        <v>10068.135290743401</v>
      </c>
      <c r="L41" s="382">
        <v>8387.6133652547487</v>
      </c>
      <c r="M41" s="382">
        <v>30460.79573846293</v>
      </c>
      <c r="N41" s="382">
        <v>20241.37212220216</v>
      </c>
      <c r="O41" s="382">
        <v>4444.6119716325602</v>
      </c>
      <c r="P41" s="382">
        <v>11110.454568566262</v>
      </c>
      <c r="Q41" s="382">
        <v>26131.840259859269</v>
      </c>
      <c r="R41" s="382">
        <v>5947.6375864949914</v>
      </c>
      <c r="S41" s="382">
        <v>2597.2155811337734</v>
      </c>
      <c r="T41" s="382">
        <v>8875.0020217303008</v>
      </c>
      <c r="U41" s="382">
        <v>1289.3278651412293</v>
      </c>
      <c r="V41" s="382">
        <v>687.82328866506327</v>
      </c>
      <c r="W41" s="382">
        <v>189319.64712000001</v>
      </c>
      <c r="Z41" s="10"/>
      <c r="AU41" s="10"/>
      <c r="AV41" s="10"/>
      <c r="AW41" s="10"/>
      <c r="AX41" s="10"/>
      <c r="AY41" s="10"/>
      <c r="AZ41" s="10"/>
      <c r="BA41" s="10"/>
      <c r="BB41" s="10"/>
      <c r="BC41" s="10"/>
      <c r="BD41" s="10"/>
      <c r="BE41" s="10"/>
      <c r="BF41" s="10"/>
      <c r="BG41" s="10"/>
      <c r="BH41" s="10"/>
      <c r="BI41" s="10"/>
      <c r="BJ41" s="10"/>
      <c r="BK41" s="10"/>
      <c r="BL41" s="10"/>
      <c r="BM41" s="10"/>
    </row>
    <row r="42" spans="3:65">
      <c r="C42" s="382" t="s">
        <v>150</v>
      </c>
      <c r="D42" s="382" t="s">
        <v>680</v>
      </c>
      <c r="E42" s="382">
        <v>26292.793425053518</v>
      </c>
      <c r="F42" s="382">
        <v>4136.4510127693966</v>
      </c>
      <c r="G42" s="382">
        <v>3306.6559966043628</v>
      </c>
      <c r="H42" s="382">
        <v>3455.2233994461394</v>
      </c>
      <c r="I42" s="382">
        <v>6580.6849414912713</v>
      </c>
      <c r="J42" s="382">
        <v>1836.9598183489622</v>
      </c>
      <c r="K42" s="382">
        <v>7772.7186342952764</v>
      </c>
      <c r="L42" s="382">
        <v>6475.3359801709548</v>
      </c>
      <c r="M42" s="382">
        <v>23516.091889378167</v>
      </c>
      <c r="N42" s="382">
        <v>15626.576891809809</v>
      </c>
      <c r="O42" s="382">
        <v>3431.2926174007985</v>
      </c>
      <c r="P42" s="382">
        <v>8577.4013525606515</v>
      </c>
      <c r="Q42" s="382">
        <v>20174.087442287266</v>
      </c>
      <c r="R42" s="382">
        <v>4591.6460360924666</v>
      </c>
      <c r="S42" s="382">
        <v>2005.0809173492878</v>
      </c>
      <c r="T42" s="382">
        <v>6851.6057444255766</v>
      </c>
      <c r="U42" s="382">
        <v>995.37624730899074</v>
      </c>
      <c r="V42" s="382">
        <v>531.00765320709604</v>
      </c>
      <c r="W42" s="382">
        <v>146156.99</v>
      </c>
      <c r="Z42" s="10"/>
      <c r="AU42" s="10"/>
      <c r="AV42" s="10"/>
      <c r="AW42" s="10"/>
      <c r="AX42" s="10"/>
      <c r="AY42" s="10"/>
      <c r="AZ42" s="10"/>
      <c r="BA42" s="10"/>
      <c r="BB42" s="10"/>
      <c r="BC42" s="10"/>
      <c r="BD42" s="10"/>
      <c r="BE42" s="10"/>
      <c r="BF42" s="10"/>
      <c r="BG42" s="10"/>
      <c r="BH42" s="10"/>
      <c r="BI42" s="10"/>
      <c r="BJ42" s="10"/>
      <c r="BK42" s="10"/>
      <c r="BL42" s="10"/>
      <c r="BM42" s="10"/>
    </row>
    <row r="43" spans="3:65">
      <c r="C43" s="382" t="s">
        <v>151</v>
      </c>
      <c r="D43" s="382" t="s">
        <v>1182</v>
      </c>
      <c r="E43" s="382">
        <v>36642.140393502174</v>
      </c>
      <c r="F43" s="382">
        <v>5764.6373396109375</v>
      </c>
      <c r="G43" s="382">
        <v>4608.2191154759839</v>
      </c>
      <c r="H43" s="382">
        <v>4815.2654929688806</v>
      </c>
      <c r="I43" s="382">
        <v>9170.9685469085125</v>
      </c>
      <c r="J43" s="382">
        <v>2560.0223784905011</v>
      </c>
      <c r="K43" s="382">
        <v>10832.209527255975</v>
      </c>
      <c r="L43" s="382">
        <v>9024.1522171027045</v>
      </c>
      <c r="M43" s="382">
        <v>32772.475962787074</v>
      </c>
      <c r="N43" s="382">
        <v>21777.496787159514</v>
      </c>
      <c r="O43" s="382">
        <v>4781.9150968639105</v>
      </c>
      <c r="P43" s="382">
        <v>11953.630772166729</v>
      </c>
      <c r="Q43" s="382">
        <v>28114.994569831426</v>
      </c>
      <c r="R43" s="382">
        <v>6399.0058405680957</v>
      </c>
      <c r="S43" s="382">
        <v>2794.3191613804411</v>
      </c>
      <c r="T43" s="382">
        <v>9548.5289656953555</v>
      </c>
      <c r="U43" s="382">
        <v>1387.1753985447492</v>
      </c>
      <c r="V43" s="382">
        <v>740.02243368703296</v>
      </c>
      <c r="W43" s="382">
        <v>203687.18</v>
      </c>
      <c r="Z43" s="10"/>
      <c r="AU43" s="10"/>
      <c r="AV43" s="10"/>
      <c r="AW43" s="10"/>
      <c r="AX43" s="10"/>
      <c r="AY43" s="10"/>
      <c r="AZ43" s="10"/>
      <c r="BA43" s="10"/>
      <c r="BB43" s="10"/>
      <c r="BC43" s="10"/>
      <c r="BD43" s="10"/>
      <c r="BE43" s="10"/>
      <c r="BF43" s="10"/>
      <c r="BG43" s="10"/>
      <c r="BH43" s="10"/>
      <c r="BI43" s="10"/>
      <c r="BJ43" s="10"/>
      <c r="BK43" s="10"/>
      <c r="BL43" s="10"/>
      <c r="BM43" s="10"/>
    </row>
    <row r="44" spans="3:65">
      <c r="C44" s="382"/>
      <c r="D44" s="382" t="s">
        <v>668</v>
      </c>
      <c r="E44" s="382">
        <v>1437785.4481598104</v>
      </c>
      <c r="F44" s="382">
        <v>226196.16626656096</v>
      </c>
      <c r="G44" s="382">
        <v>180819.9607067217</v>
      </c>
      <c r="H44" s="382">
        <v>188944.16593754603</v>
      </c>
      <c r="I44" s="382">
        <v>359855.75571384095</v>
      </c>
      <c r="J44" s="382">
        <v>100451.63528192327</v>
      </c>
      <c r="K44" s="382">
        <v>425040.48787686368</v>
      </c>
      <c r="L44" s="382">
        <v>354094.89184835402</v>
      </c>
      <c r="M44" s="382">
        <v>1285945.3223376186</v>
      </c>
      <c r="N44" s="382">
        <v>854517.98507593421</v>
      </c>
      <c r="O44" s="382">
        <v>187635.54385119551</v>
      </c>
      <c r="P44" s="382">
        <v>469043.46177180205</v>
      </c>
      <c r="Q44" s="382">
        <v>1103192.3799616266</v>
      </c>
      <c r="R44" s="382">
        <v>251087.88355305709</v>
      </c>
      <c r="S44" s="382">
        <v>109645.10764385853</v>
      </c>
      <c r="T44" s="382">
        <v>374670.68928767525</v>
      </c>
      <c r="U44" s="382">
        <v>54430.788721791141</v>
      </c>
      <c r="V44" s="382">
        <v>29037.42726382066</v>
      </c>
      <c r="W44" s="382">
        <v>7992395.1012599999</v>
      </c>
      <c r="Z44" s="10"/>
      <c r="AU44" s="10"/>
      <c r="AV44" s="10"/>
      <c r="AW44" s="10"/>
      <c r="AX44" s="10"/>
      <c r="AY44" s="10"/>
      <c r="AZ44" s="10"/>
      <c r="BA44" s="10"/>
      <c r="BB44" s="10"/>
      <c r="BC44" s="10"/>
      <c r="BD44" s="10"/>
      <c r="BE44" s="10"/>
      <c r="BF44" s="10"/>
      <c r="BG44" s="10"/>
      <c r="BH44" s="10"/>
      <c r="BI44" s="10"/>
      <c r="BJ44" s="10"/>
      <c r="BK44" s="10"/>
      <c r="BL44" s="10"/>
      <c r="BM44" s="10"/>
    </row>
    <row r="45" spans="3:65">
      <c r="C45" s="382" t="s">
        <v>655</v>
      </c>
      <c r="D45" s="382" t="s">
        <v>619</v>
      </c>
      <c r="E45" s="382" t="s">
        <v>9</v>
      </c>
      <c r="F45" s="382" t="s">
        <v>10</v>
      </c>
      <c r="G45" s="382" t="s">
        <v>11</v>
      </c>
      <c r="H45" s="382" t="s">
        <v>31</v>
      </c>
      <c r="I45" s="382" t="s">
        <v>12</v>
      </c>
      <c r="J45" s="382" t="s">
        <v>13</v>
      </c>
      <c r="K45" s="382" t="s">
        <v>14</v>
      </c>
      <c r="L45" s="382" t="s">
        <v>15</v>
      </c>
      <c r="M45" s="382" t="s">
        <v>16</v>
      </c>
      <c r="N45" s="382" t="s">
        <v>17</v>
      </c>
      <c r="O45" s="382" t="s">
        <v>18</v>
      </c>
      <c r="P45" s="382" t="s">
        <v>19</v>
      </c>
      <c r="Q45" s="382" t="s">
        <v>20</v>
      </c>
      <c r="R45" s="382" t="s">
        <v>60</v>
      </c>
      <c r="S45" s="382" t="s">
        <v>61</v>
      </c>
      <c r="T45" s="382" t="s">
        <v>62</v>
      </c>
      <c r="U45" s="382" t="s">
        <v>63</v>
      </c>
      <c r="V45" s="382" t="s">
        <v>64</v>
      </c>
      <c r="W45" s="382" t="s">
        <v>656</v>
      </c>
      <c r="Z45" s="10"/>
      <c r="AU45" s="10"/>
      <c r="AV45" s="10"/>
      <c r="AW45" s="10"/>
      <c r="AX45" s="10"/>
      <c r="AY45" s="10"/>
      <c r="AZ45" s="10"/>
      <c r="BA45" s="10"/>
      <c r="BB45" s="10"/>
      <c r="BC45" s="10"/>
      <c r="BD45" s="10"/>
      <c r="BE45" s="10"/>
      <c r="BF45" s="10"/>
      <c r="BG45" s="10"/>
      <c r="BH45" s="10"/>
      <c r="BI45" s="10"/>
      <c r="BJ45" s="10"/>
      <c r="BK45" s="10"/>
      <c r="BL45" s="10"/>
      <c r="BM45" s="10"/>
    </row>
    <row r="46" spans="3:65">
      <c r="C46" s="382" t="s">
        <v>152</v>
      </c>
      <c r="D46" s="382" t="s">
        <v>681</v>
      </c>
      <c r="E46" s="382">
        <v>1267.3889689545806</v>
      </c>
      <c r="F46" s="382">
        <v>199.38894660046054</v>
      </c>
      <c r="G46" s="382">
        <v>159.39041799303811</v>
      </c>
      <c r="H46" s="382">
        <v>166.55179808924657</v>
      </c>
      <c r="I46" s="382">
        <v>317.20811737958496</v>
      </c>
      <c r="J46" s="382">
        <v>88.546795791194867</v>
      </c>
      <c r="K46" s="382">
        <v>374.66760175078258</v>
      </c>
      <c r="L46" s="382">
        <v>312.12999162437455</v>
      </c>
      <c r="M46" s="382">
        <v>1133.5438943935455</v>
      </c>
      <c r="N46" s="382">
        <v>753.24636888254099</v>
      </c>
      <c r="O46" s="382">
        <v>165.39826492552342</v>
      </c>
      <c r="P46" s="382">
        <v>413.45564470045809</v>
      </c>
      <c r="Q46" s="382">
        <v>972.44957847334422</v>
      </c>
      <c r="R46" s="382">
        <v>221.33066811921574</v>
      </c>
      <c r="S46" s="382">
        <v>96.650720805054434</v>
      </c>
      <c r="T46" s="382">
        <v>330.26728654234421</v>
      </c>
      <c r="U46" s="382">
        <v>47.980024617572695</v>
      </c>
      <c r="V46" s="382">
        <v>25.596110357139164</v>
      </c>
      <c r="W46" s="382">
        <v>7045.1912000000011</v>
      </c>
      <c r="Z46" s="10"/>
      <c r="AU46" s="10"/>
      <c r="AV46" s="10"/>
      <c r="AW46" s="10"/>
      <c r="AX46" s="10"/>
      <c r="AY46" s="10"/>
      <c r="AZ46" s="10"/>
      <c r="BA46" s="10"/>
      <c r="BB46" s="10"/>
      <c r="BC46" s="10"/>
      <c r="BD46" s="10"/>
      <c r="BE46" s="10"/>
      <c r="BF46" s="10"/>
      <c r="BG46" s="10"/>
      <c r="BH46" s="10"/>
      <c r="BI46" s="10"/>
      <c r="BJ46" s="10"/>
      <c r="BK46" s="10"/>
      <c r="BL46" s="10"/>
      <c r="BM46" s="10"/>
    </row>
    <row r="47" spans="3:65">
      <c r="C47" s="382" t="s">
        <v>620</v>
      </c>
      <c r="D47" s="382" t="s">
        <v>682</v>
      </c>
      <c r="E47" s="382">
        <v>5690.6624657858156</v>
      </c>
      <c r="F47" s="382">
        <v>895.2698992226085</v>
      </c>
      <c r="G47" s="382">
        <v>715.67379178554256</v>
      </c>
      <c r="H47" s="382">
        <v>747.82887433319536</v>
      </c>
      <c r="I47" s="382">
        <v>1424.2859703154602</v>
      </c>
      <c r="J47" s="382">
        <v>397.58112120085207</v>
      </c>
      <c r="K47" s="382">
        <v>1682.2829538968274</v>
      </c>
      <c r="L47" s="382">
        <v>1401.4848411123608</v>
      </c>
      <c r="M47" s="382">
        <v>5089.6889993187242</v>
      </c>
      <c r="N47" s="382">
        <v>3382.1273057355656</v>
      </c>
      <c r="O47" s="382">
        <v>742.64943215827009</v>
      </c>
      <c r="P47" s="382">
        <v>1856.4438985964471</v>
      </c>
      <c r="Q47" s="382">
        <v>4366.3645902269291</v>
      </c>
      <c r="R47" s="382">
        <v>993.78971763676088</v>
      </c>
      <c r="S47" s="382">
        <v>433.96829438254173</v>
      </c>
      <c r="T47" s="382">
        <v>1482.9225259501216</v>
      </c>
      <c r="U47" s="382">
        <v>215.43356608501873</v>
      </c>
      <c r="V47" s="382">
        <v>114.9282722569628</v>
      </c>
      <c r="W47" s="382">
        <v>31633.386520000004</v>
      </c>
      <c r="Z47" s="10"/>
      <c r="AU47" s="10"/>
      <c r="AV47" s="10"/>
      <c r="AW47" s="10"/>
      <c r="AX47" s="10"/>
      <c r="AY47" s="10"/>
      <c r="AZ47" s="10"/>
      <c r="BA47" s="10"/>
      <c r="BB47" s="10"/>
      <c r="BC47" s="10"/>
      <c r="BD47" s="10"/>
      <c r="BE47" s="10"/>
      <c r="BF47" s="10"/>
      <c r="BG47" s="10"/>
      <c r="BH47" s="10"/>
      <c r="BI47" s="10"/>
      <c r="BJ47" s="10"/>
      <c r="BK47" s="10"/>
      <c r="BL47" s="10"/>
      <c r="BM47" s="10"/>
    </row>
    <row r="48" spans="3:65">
      <c r="C48" s="382" t="s">
        <v>683</v>
      </c>
      <c r="D48" s="382" t="s">
        <v>684</v>
      </c>
      <c r="E48" s="382">
        <v>25974.072046935544</v>
      </c>
      <c r="F48" s="382">
        <v>4086.3089321622015</v>
      </c>
      <c r="G48" s="382">
        <v>3266.5726954821785</v>
      </c>
      <c r="H48" s="382">
        <v>3413.3391634969989</v>
      </c>
      <c r="I48" s="382">
        <v>6500.9138445368581</v>
      </c>
      <c r="J48" s="382">
        <v>1814.6921819138909</v>
      </c>
      <c r="K48" s="382">
        <v>7678.4976987409245</v>
      </c>
      <c r="L48" s="382">
        <v>6396.841923871465</v>
      </c>
      <c r="M48" s="382">
        <v>23231.029701661373</v>
      </c>
      <c r="N48" s="382">
        <v>15437.151445768068</v>
      </c>
      <c r="O48" s="382">
        <v>3389.6984705155942</v>
      </c>
      <c r="P48" s="382">
        <v>8473.4260489265325</v>
      </c>
      <c r="Q48" s="382">
        <v>19929.537049792587</v>
      </c>
      <c r="R48" s="382">
        <v>4535.9860790542443</v>
      </c>
      <c r="S48" s="382">
        <v>1980.7753160811214</v>
      </c>
      <c r="T48" s="382">
        <v>6768.5505440943889</v>
      </c>
      <c r="U48" s="382">
        <v>983.31029128219882</v>
      </c>
      <c r="V48" s="382">
        <v>524.57077568383932</v>
      </c>
      <c r="W48" s="382">
        <v>144385.27421</v>
      </c>
      <c r="Z48" s="10"/>
      <c r="AU48" s="10"/>
      <c r="AV48" s="10"/>
      <c r="AW48" s="10"/>
      <c r="AX48" s="10"/>
      <c r="AY48" s="10"/>
      <c r="AZ48" s="10"/>
      <c r="BA48" s="10"/>
      <c r="BB48" s="10"/>
      <c r="BC48" s="10"/>
      <c r="BD48" s="10"/>
      <c r="BE48" s="10"/>
      <c r="BF48" s="10"/>
      <c r="BG48" s="10"/>
      <c r="BH48" s="10"/>
      <c r="BI48" s="10"/>
      <c r="BJ48" s="10"/>
      <c r="BK48" s="10"/>
      <c r="BL48" s="10"/>
      <c r="BM48" s="10"/>
    </row>
    <row r="49" spans="3:65">
      <c r="C49" s="382" t="s">
        <v>153</v>
      </c>
      <c r="D49" s="382" t="s">
        <v>154</v>
      </c>
      <c r="E49" s="382">
        <v>1128.0388992410542</v>
      </c>
      <c r="F49" s="382">
        <v>177.46602925662455</v>
      </c>
      <c r="G49" s="382">
        <v>141.8653594647798</v>
      </c>
      <c r="H49" s="382">
        <v>148.23934213202463</v>
      </c>
      <c r="I49" s="382">
        <v>282.33092154364289</v>
      </c>
      <c r="J49" s="382">
        <v>78.811030001320304</v>
      </c>
      <c r="K49" s="382">
        <v>333.47270602241178</v>
      </c>
      <c r="L49" s="382">
        <v>277.81113832993833</v>
      </c>
      <c r="M49" s="382">
        <v>1008.9101595446638</v>
      </c>
      <c r="N49" s="382">
        <v>670.42654277830707</v>
      </c>
      <c r="O49" s="382">
        <v>147.21264053360562</v>
      </c>
      <c r="P49" s="382">
        <v>367.99598367785649</v>
      </c>
      <c r="Q49" s="382">
        <v>865.52824660714725</v>
      </c>
      <c r="R49" s="382">
        <v>196.9952471966281</v>
      </c>
      <c r="S49" s="382">
        <v>86.023924287205318</v>
      </c>
      <c r="T49" s="382">
        <v>293.95422833280713</v>
      </c>
      <c r="U49" s="382">
        <v>42.704596206016852</v>
      </c>
      <c r="V49" s="382">
        <v>22.781804843967002</v>
      </c>
      <c r="W49" s="382">
        <v>6270.5688000000009</v>
      </c>
      <c r="Z49" s="10"/>
      <c r="AU49" s="10"/>
      <c r="AV49" s="10"/>
      <c r="AW49" s="10"/>
      <c r="AX49" s="10"/>
      <c r="AY49" s="10"/>
      <c r="AZ49" s="10"/>
      <c r="BA49" s="10"/>
      <c r="BB49" s="10"/>
      <c r="BC49" s="10"/>
      <c r="BD49" s="10"/>
      <c r="BE49" s="10"/>
      <c r="BF49" s="10"/>
      <c r="BG49" s="10"/>
      <c r="BH49" s="10"/>
      <c r="BI49" s="10"/>
      <c r="BJ49" s="10"/>
      <c r="BK49" s="10"/>
      <c r="BL49" s="10"/>
      <c r="BM49" s="10"/>
    </row>
    <row r="50" spans="3:65">
      <c r="C50" s="382" t="s">
        <v>685</v>
      </c>
      <c r="D50" s="382" t="s">
        <v>686</v>
      </c>
      <c r="E50" s="382">
        <v>12776.266158422715</v>
      </c>
      <c r="F50" s="382">
        <v>2009.9955997852073</v>
      </c>
      <c r="G50" s="382">
        <v>1606.7793339412306</v>
      </c>
      <c r="H50" s="382">
        <v>1678.9716130378849</v>
      </c>
      <c r="I50" s="382">
        <v>3197.7044415943706</v>
      </c>
      <c r="J50" s="382">
        <v>892.62054366543271</v>
      </c>
      <c r="K50" s="382">
        <v>3776.9407168301377</v>
      </c>
      <c r="L50" s="382">
        <v>3146.5129859136205</v>
      </c>
      <c r="M50" s="382">
        <v>11427.003746902546</v>
      </c>
      <c r="N50" s="382">
        <v>7593.3090214971598</v>
      </c>
      <c r="O50" s="382">
        <v>1667.3431019151703</v>
      </c>
      <c r="P50" s="382">
        <v>4167.9543461330341</v>
      </c>
      <c r="Q50" s="382">
        <v>9803.0477971334385</v>
      </c>
      <c r="R50" s="382">
        <v>2231.1852116285577</v>
      </c>
      <c r="S50" s="382">
        <v>974.3144083282865</v>
      </c>
      <c r="T50" s="382">
        <v>3329.3510198101362</v>
      </c>
      <c r="U50" s="382">
        <v>483.67595096509882</v>
      </c>
      <c r="V50" s="382">
        <v>258.02869249597342</v>
      </c>
      <c r="W50" s="382">
        <v>71021.004690000002</v>
      </c>
      <c r="Z50" s="10"/>
      <c r="AU50" s="10"/>
      <c r="AV50" s="10"/>
      <c r="AW50" s="10"/>
      <c r="AX50" s="10"/>
      <c r="AY50" s="10"/>
      <c r="AZ50" s="10"/>
      <c r="BA50" s="10"/>
      <c r="BB50" s="10"/>
      <c r="BC50" s="10"/>
      <c r="BD50" s="10"/>
      <c r="BE50" s="10"/>
      <c r="BF50" s="10"/>
      <c r="BG50" s="10"/>
      <c r="BH50" s="10"/>
      <c r="BI50" s="10"/>
      <c r="BJ50" s="10"/>
      <c r="BK50" s="10"/>
      <c r="BL50" s="10"/>
      <c r="BM50" s="10"/>
    </row>
    <row r="51" spans="3:65">
      <c r="C51" s="382" t="s">
        <v>1183</v>
      </c>
      <c r="D51" s="382" t="s">
        <v>1184</v>
      </c>
      <c r="E51" s="382">
        <v>12362.802628710015</v>
      </c>
      <c r="F51" s="382">
        <v>1944.9484361546724</v>
      </c>
      <c r="G51" s="382">
        <v>1554.7809921218723</v>
      </c>
      <c r="H51" s="382">
        <v>1624.6369959591366</v>
      </c>
      <c r="I51" s="382">
        <v>3094.2208299502927</v>
      </c>
      <c r="J51" s="382">
        <v>863.7336970623918</v>
      </c>
      <c r="K51" s="382">
        <v>3654.7119513260072</v>
      </c>
      <c r="L51" s="382">
        <v>3044.6860241619638</v>
      </c>
      <c r="M51" s="382">
        <v>11057.204836591032</v>
      </c>
      <c r="N51" s="382">
        <v>7347.575541050076</v>
      </c>
      <c r="O51" s="382">
        <v>1613.384804896953</v>
      </c>
      <c r="P51" s="382">
        <v>4033.0716586353665</v>
      </c>
      <c r="Q51" s="382">
        <v>9485.8030955996473</v>
      </c>
      <c r="R51" s="382">
        <v>2158.97994433029</v>
      </c>
      <c r="S51" s="382">
        <v>942.78379763794942</v>
      </c>
      <c r="T51" s="382">
        <v>3221.6070821655853</v>
      </c>
      <c r="U51" s="382">
        <v>468.02330539217144</v>
      </c>
      <c r="V51" s="382">
        <v>249.67840825457898</v>
      </c>
      <c r="W51" s="382">
        <v>68722.634030000001</v>
      </c>
      <c r="Z51" s="10"/>
      <c r="AU51" s="10"/>
      <c r="AV51" s="10"/>
      <c r="AW51" s="10"/>
      <c r="AX51" s="10"/>
      <c r="AY51" s="10"/>
      <c r="AZ51" s="10"/>
      <c r="BA51" s="10"/>
      <c r="BB51" s="10"/>
      <c r="BC51" s="10"/>
      <c r="BD51" s="10"/>
      <c r="BE51" s="10"/>
      <c r="BF51" s="10"/>
      <c r="BG51" s="10"/>
      <c r="BH51" s="10"/>
      <c r="BI51" s="10"/>
      <c r="BJ51" s="10"/>
      <c r="BK51" s="10"/>
      <c r="BL51" s="10"/>
      <c r="BM51" s="10"/>
    </row>
    <row r="52" spans="3:65">
      <c r="C52" s="382" t="s">
        <v>1185</v>
      </c>
      <c r="D52" s="382" t="s">
        <v>1186</v>
      </c>
      <c r="E52" s="382">
        <v>576.954849336302</v>
      </c>
      <c r="F52" s="382">
        <v>90.768045535447058</v>
      </c>
      <c r="G52" s="382">
        <v>72.559472152166975</v>
      </c>
      <c r="H52" s="382">
        <v>75.819554948892034</v>
      </c>
      <c r="I52" s="382">
        <v>144.40299391429306</v>
      </c>
      <c r="J52" s="382">
        <v>40.309253493867168</v>
      </c>
      <c r="K52" s="382">
        <v>170.56033705076624</v>
      </c>
      <c r="L52" s="382">
        <v>142.09127324149523</v>
      </c>
      <c r="M52" s="382">
        <v>516.02441146807121</v>
      </c>
      <c r="N52" s="382">
        <v>342.90115814264857</v>
      </c>
      <c r="O52" s="382">
        <v>75.294430800755194</v>
      </c>
      <c r="P52" s="382">
        <v>188.21785974053651</v>
      </c>
      <c r="Q52" s="382">
        <v>442.68927202201758</v>
      </c>
      <c r="R52" s="382">
        <v>100.75659912328106</v>
      </c>
      <c r="S52" s="382">
        <v>43.998412031565941</v>
      </c>
      <c r="T52" s="382">
        <v>150.34793359841544</v>
      </c>
      <c r="U52" s="382">
        <v>21.841998433375799</v>
      </c>
      <c r="V52" s="382">
        <v>11.652144966102998</v>
      </c>
      <c r="W52" s="382">
        <v>3207.19</v>
      </c>
      <c r="Z52" s="10"/>
      <c r="AU52" s="10"/>
      <c r="AV52" s="10"/>
      <c r="AW52" s="10"/>
      <c r="AX52" s="10"/>
      <c r="AY52" s="10"/>
      <c r="AZ52" s="10"/>
      <c r="BA52" s="10"/>
      <c r="BB52" s="10"/>
      <c r="BC52" s="10"/>
      <c r="BD52" s="10"/>
      <c r="BE52" s="10"/>
      <c r="BF52" s="10"/>
      <c r="BG52" s="10"/>
      <c r="BH52" s="10"/>
      <c r="BI52" s="10"/>
      <c r="BJ52" s="10"/>
      <c r="BK52" s="10"/>
      <c r="BL52" s="10"/>
      <c r="BM52" s="10"/>
    </row>
    <row r="53" spans="3:65">
      <c r="C53" s="382" t="s">
        <v>687</v>
      </c>
      <c r="D53" s="382" t="s">
        <v>688</v>
      </c>
      <c r="E53" s="382">
        <v>49032.137914844658</v>
      </c>
      <c r="F53" s="382">
        <v>7713.8641473845246</v>
      </c>
      <c r="G53" s="382">
        <v>6166.4202141398446</v>
      </c>
      <c r="H53" s="382">
        <v>6443.4762601835127</v>
      </c>
      <c r="I53" s="382">
        <v>12271.995843465031</v>
      </c>
      <c r="J53" s="382">
        <v>3425.6560610060383</v>
      </c>
      <c r="K53" s="382">
        <v>14494.960877260733</v>
      </c>
      <c r="L53" s="382">
        <v>12075.535744412893</v>
      </c>
      <c r="M53" s="382">
        <v>43854.003722535359</v>
      </c>
      <c r="N53" s="382">
        <v>29141.235049070619</v>
      </c>
      <c r="O53" s="382">
        <v>6398.8489211751303</v>
      </c>
      <c r="P53" s="382">
        <v>15995.574120663176</v>
      </c>
      <c r="Q53" s="382">
        <v>37621.663920799292</v>
      </c>
      <c r="R53" s="382">
        <v>8562.7349691687359</v>
      </c>
      <c r="S53" s="382">
        <v>3739.1768337636572</v>
      </c>
      <c r="T53" s="382">
        <v>12777.222730495512</v>
      </c>
      <c r="U53" s="382">
        <v>1856.2282312958769</v>
      </c>
      <c r="V53" s="382">
        <v>990.25006833542022</v>
      </c>
      <c r="W53" s="382">
        <v>272560.98563000001</v>
      </c>
      <c r="Z53" s="10"/>
      <c r="AU53" s="10"/>
      <c r="AV53" s="10"/>
      <c r="AW53" s="10"/>
      <c r="AX53" s="10"/>
      <c r="AY53" s="10"/>
      <c r="AZ53" s="10"/>
      <c r="BA53" s="10"/>
      <c r="BB53" s="10"/>
      <c r="BC53" s="10"/>
      <c r="BD53" s="10"/>
      <c r="BE53" s="10"/>
      <c r="BF53" s="10"/>
      <c r="BG53" s="10"/>
      <c r="BH53" s="10"/>
      <c r="BI53" s="10"/>
      <c r="BJ53" s="10"/>
      <c r="BK53" s="10"/>
      <c r="BL53" s="10"/>
      <c r="BM53" s="10"/>
    </row>
    <row r="54" spans="3:65">
      <c r="C54" s="382" t="s">
        <v>155</v>
      </c>
      <c r="D54" s="382" t="s">
        <v>156</v>
      </c>
      <c r="E54" s="382">
        <v>10857.927198455734</v>
      </c>
      <c r="F54" s="382">
        <v>1708.1974984762264</v>
      </c>
      <c r="G54" s="382">
        <v>1365.5236056909835</v>
      </c>
      <c r="H54" s="382">
        <v>1426.8763124209786</v>
      </c>
      <c r="I54" s="382">
        <v>2717.573475574542</v>
      </c>
      <c r="J54" s="382">
        <v>758.59478495411724</v>
      </c>
      <c r="K54" s="382">
        <v>3209.8382131143453</v>
      </c>
      <c r="L54" s="382">
        <v>2674.0683472316946</v>
      </c>
      <c r="M54" s="382">
        <v>9711.2547000716331</v>
      </c>
      <c r="N54" s="382">
        <v>6453.1840154597885</v>
      </c>
      <c r="O54" s="382">
        <v>1416.9938064030814</v>
      </c>
      <c r="P54" s="382">
        <v>3542.1416786128239</v>
      </c>
      <c r="Q54" s="382">
        <v>8331.1335240214903</v>
      </c>
      <c r="R54" s="382">
        <v>1896.1757914038899</v>
      </c>
      <c r="S54" s="382">
        <v>828.02242712052544</v>
      </c>
      <c r="T54" s="382">
        <v>2829.4534993990501</v>
      </c>
      <c r="U54" s="382">
        <v>411.05266578692152</v>
      </c>
      <c r="V54" s="382">
        <v>219.28603580217501</v>
      </c>
      <c r="W54" s="382">
        <v>60357.297579999999</v>
      </c>
      <c r="Z54" s="10"/>
      <c r="AU54" s="10"/>
      <c r="AV54" s="10"/>
      <c r="AW54" s="10"/>
      <c r="AX54" s="10"/>
      <c r="AY54" s="10"/>
      <c r="AZ54" s="10"/>
      <c r="BA54" s="10"/>
      <c r="BB54" s="10"/>
      <c r="BC54" s="10"/>
      <c r="BD54" s="10"/>
      <c r="BE54" s="10"/>
      <c r="BF54" s="10"/>
      <c r="BG54" s="10"/>
      <c r="BH54" s="10"/>
      <c r="BI54" s="10"/>
      <c r="BJ54" s="10"/>
      <c r="BK54" s="10"/>
      <c r="BL54" s="10"/>
      <c r="BM54" s="10"/>
    </row>
    <row r="55" spans="3:65">
      <c r="C55" s="382" t="s">
        <v>157</v>
      </c>
      <c r="D55" s="382" t="s">
        <v>158</v>
      </c>
      <c r="E55" s="382">
        <v>1022.8218669137576</v>
      </c>
      <c r="F55" s="382">
        <v>160.91301060642192</v>
      </c>
      <c r="G55" s="382">
        <v>128.63296816783787</v>
      </c>
      <c r="H55" s="382">
        <v>134.41242209958932</v>
      </c>
      <c r="I55" s="382">
        <v>255.99670406316491</v>
      </c>
      <c r="J55" s="382">
        <v>71.459986790864093</v>
      </c>
      <c r="K55" s="382">
        <v>302.36827468282081</v>
      </c>
      <c r="L55" s="382">
        <v>251.89850043933859</v>
      </c>
      <c r="M55" s="382">
        <v>914.8047763494834</v>
      </c>
      <c r="N55" s="382">
        <v>607.89298008641538</v>
      </c>
      <c r="O55" s="382">
        <v>133.48148536827196</v>
      </c>
      <c r="P55" s="382">
        <v>333.67141797626687</v>
      </c>
      <c r="Q55" s="382">
        <v>784.79671016392399</v>
      </c>
      <c r="R55" s="382">
        <v>178.62065452384286</v>
      </c>
      <c r="S55" s="382">
        <v>78.000103452004126</v>
      </c>
      <c r="T55" s="382">
        <v>266.53585511354351</v>
      </c>
      <c r="U55" s="382">
        <v>38.721355129352126</v>
      </c>
      <c r="V55" s="382">
        <v>20.656848073101596</v>
      </c>
      <c r="W55" s="382">
        <v>5685.6859200000008</v>
      </c>
      <c r="Z55" s="10"/>
      <c r="AU55" s="10"/>
      <c r="AV55" s="10"/>
      <c r="AW55" s="10"/>
      <c r="AX55" s="10"/>
      <c r="AY55" s="10"/>
      <c r="AZ55" s="10"/>
      <c r="BA55" s="10"/>
      <c r="BB55" s="10"/>
      <c r="BC55" s="10"/>
      <c r="BD55" s="10"/>
      <c r="BE55" s="10"/>
      <c r="BF55" s="10"/>
      <c r="BG55" s="10"/>
      <c r="BH55" s="10"/>
      <c r="BI55" s="10"/>
      <c r="BJ55" s="10"/>
      <c r="BK55" s="10"/>
      <c r="BL55" s="10"/>
      <c r="BM55" s="10"/>
    </row>
    <row r="56" spans="3:65">
      <c r="C56" s="382" t="s">
        <v>159</v>
      </c>
      <c r="D56" s="382" t="s">
        <v>689</v>
      </c>
      <c r="E56" s="382">
        <v>12743.715067374525</v>
      </c>
      <c r="F56" s="382">
        <v>2004.8745770259925</v>
      </c>
      <c r="G56" s="382">
        <v>1602.6856167514873</v>
      </c>
      <c r="H56" s="382">
        <v>1674.6939659408656</v>
      </c>
      <c r="I56" s="382">
        <v>3189.5574002653261</v>
      </c>
      <c r="J56" s="382">
        <v>890.34634459756307</v>
      </c>
      <c r="K56" s="382">
        <v>3767.3179100074963</v>
      </c>
      <c r="L56" s="382">
        <v>3138.4963690539862</v>
      </c>
      <c r="M56" s="382">
        <v>11397.890277070186</v>
      </c>
      <c r="N56" s="382">
        <v>7573.9629551072667</v>
      </c>
      <c r="O56" s="382">
        <v>1663.0950816840614</v>
      </c>
      <c r="P56" s="382">
        <v>4157.3353233509961</v>
      </c>
      <c r="Q56" s="382">
        <v>9778.0718066963673</v>
      </c>
      <c r="R56" s="382">
        <v>2225.5006468215529</v>
      </c>
      <c r="S56" s="382">
        <v>971.83207142157221</v>
      </c>
      <c r="T56" s="382">
        <v>3320.8685722128953</v>
      </c>
      <c r="U56" s="382">
        <v>482.44365197238369</v>
      </c>
      <c r="V56" s="382">
        <v>257.37129264547445</v>
      </c>
      <c r="W56" s="382">
        <v>70840.058929999999</v>
      </c>
      <c r="Z56" s="10"/>
      <c r="AU56" s="10"/>
      <c r="AV56" s="10"/>
      <c r="AW56" s="10"/>
      <c r="AX56" s="10"/>
      <c r="AY56" s="10"/>
      <c r="AZ56" s="10"/>
      <c r="BA56" s="10"/>
      <c r="BB56" s="10"/>
      <c r="BC56" s="10"/>
      <c r="BD56" s="10"/>
      <c r="BE56" s="10"/>
      <c r="BF56" s="10"/>
      <c r="BG56" s="10"/>
      <c r="BH56" s="10"/>
      <c r="BI56" s="10"/>
      <c r="BJ56" s="10"/>
      <c r="BK56" s="10"/>
      <c r="BL56" s="10"/>
      <c r="BM56" s="10"/>
    </row>
    <row r="57" spans="3:65">
      <c r="C57" s="382" t="s">
        <v>160</v>
      </c>
      <c r="D57" s="382" t="s">
        <v>690</v>
      </c>
      <c r="E57" s="382">
        <v>250662.45671941363</v>
      </c>
      <c r="F57" s="382">
        <v>39434.873130380322</v>
      </c>
      <c r="G57" s="382">
        <v>31524.018853205722</v>
      </c>
      <c r="H57" s="382">
        <v>32940.3868131524</v>
      </c>
      <c r="I57" s="382">
        <v>62736.987571616126</v>
      </c>
      <c r="J57" s="382">
        <v>17512.664155473292</v>
      </c>
      <c r="K57" s="382">
        <v>74101.245796299554</v>
      </c>
      <c r="L57" s="382">
        <v>61732.642805714349</v>
      </c>
      <c r="M57" s="382">
        <v>224190.76094874885</v>
      </c>
      <c r="N57" s="382">
        <v>148976.03653187692</v>
      </c>
      <c r="O57" s="382">
        <v>32712.242601857379</v>
      </c>
      <c r="P57" s="382">
        <v>81772.691875811885</v>
      </c>
      <c r="Q57" s="382">
        <v>192329.74749413502</v>
      </c>
      <c r="R57" s="382">
        <v>43774.47680002651</v>
      </c>
      <c r="S57" s="382">
        <v>19115.447360000893</v>
      </c>
      <c r="T57" s="382">
        <v>65319.812186029325</v>
      </c>
      <c r="U57" s="382">
        <v>9489.4236408094548</v>
      </c>
      <c r="V57" s="382">
        <v>5062.3636955543516</v>
      </c>
      <c r="W57" s="382">
        <v>1393388.2789801061</v>
      </c>
      <c r="Z57" s="10"/>
      <c r="AU57" s="10"/>
      <c r="AV57" s="10"/>
      <c r="AW57" s="10"/>
      <c r="AX57" s="10"/>
      <c r="AY57" s="10"/>
      <c r="AZ57" s="10"/>
      <c r="BA57" s="10"/>
      <c r="BB57" s="10"/>
      <c r="BC57" s="10"/>
      <c r="BD57" s="10"/>
      <c r="BE57" s="10"/>
      <c r="BF57" s="10"/>
      <c r="BG57" s="10"/>
      <c r="BH57" s="10"/>
      <c r="BI57" s="10"/>
      <c r="BJ57" s="10"/>
      <c r="BK57" s="10"/>
      <c r="BL57" s="10"/>
      <c r="BM57" s="10"/>
    </row>
    <row r="58" spans="3:65">
      <c r="C58" s="382" t="s">
        <v>161</v>
      </c>
      <c r="D58" s="382" t="s">
        <v>691</v>
      </c>
      <c r="E58" s="382">
        <v>23690.021557643111</v>
      </c>
      <c r="F58" s="382">
        <v>3726.9761367868887</v>
      </c>
      <c r="G58" s="382">
        <v>2979.3240519139617</v>
      </c>
      <c r="H58" s="382">
        <v>3113.184494932962</v>
      </c>
      <c r="I58" s="382">
        <v>5929.2508638293648</v>
      </c>
      <c r="J58" s="382">
        <v>1655.115795180006</v>
      </c>
      <c r="K58" s="382">
        <v>7003.2829540467364</v>
      </c>
      <c r="L58" s="382">
        <v>5834.3305895014364</v>
      </c>
      <c r="M58" s="382">
        <v>21188.190802124751</v>
      </c>
      <c r="N58" s="382">
        <v>14079.67337112217</v>
      </c>
      <c r="O58" s="382">
        <v>3091.6226649143546</v>
      </c>
      <c r="P58" s="382">
        <v>7728.3086534691929</v>
      </c>
      <c r="Q58" s="382">
        <v>18177.017507700959</v>
      </c>
      <c r="R58" s="382">
        <v>4137.1105694858525</v>
      </c>
      <c r="S58" s="382">
        <v>1806.5942780945411</v>
      </c>
      <c r="T58" s="382">
        <v>6173.3527193519531</v>
      </c>
      <c r="U58" s="382">
        <v>896.84212611075543</v>
      </c>
      <c r="V58" s="382">
        <v>478.44223123751163</v>
      </c>
      <c r="W58" s="382">
        <v>131688.64136744651</v>
      </c>
      <c r="Z58" s="10"/>
      <c r="AU58" s="10"/>
      <c r="AV58" s="10"/>
      <c r="AW58" s="10"/>
      <c r="AX58" s="10"/>
      <c r="AY58" s="10"/>
      <c r="AZ58" s="10"/>
      <c r="BA58" s="10"/>
      <c r="BB58" s="10"/>
      <c r="BC58" s="10"/>
      <c r="BD58" s="10"/>
      <c r="BE58" s="10"/>
      <c r="BF58" s="10"/>
      <c r="BG58" s="10"/>
      <c r="BH58" s="10"/>
      <c r="BI58" s="10"/>
      <c r="BJ58" s="10"/>
      <c r="BK58" s="10"/>
      <c r="BL58" s="10"/>
      <c r="BM58" s="10"/>
    </row>
    <row r="59" spans="3:65">
      <c r="C59" s="382" t="s">
        <v>162</v>
      </c>
      <c r="D59" s="382" t="s">
        <v>692</v>
      </c>
      <c r="E59" s="382">
        <v>5104.9667448154005</v>
      </c>
      <c r="F59" s="382">
        <v>803.1267169058043</v>
      </c>
      <c r="G59" s="382">
        <v>642.0150429176141</v>
      </c>
      <c r="H59" s="382">
        <v>670.8606523821519</v>
      </c>
      <c r="I59" s="382">
        <v>1277.6952696250848</v>
      </c>
      <c r="J59" s="382">
        <v>356.66118212064805</v>
      </c>
      <c r="K59" s="382">
        <v>1509.1386260645522</v>
      </c>
      <c r="L59" s="382">
        <v>1257.2408836856814</v>
      </c>
      <c r="M59" s="382">
        <v>4565.8468129486828</v>
      </c>
      <c r="N59" s="382">
        <v>3034.0311916791893</v>
      </c>
      <c r="O59" s="382">
        <v>666.21428999136538</v>
      </c>
      <c r="P59" s="382">
        <v>1665.3745364322251</v>
      </c>
      <c r="Q59" s="382">
        <v>3916.9685713858239</v>
      </c>
      <c r="R59" s="382">
        <v>891.50665504716267</v>
      </c>
      <c r="S59" s="382">
        <v>389.30330597655905</v>
      </c>
      <c r="T59" s="382">
        <v>1330.2968196810202</v>
      </c>
      <c r="U59" s="382">
        <v>193.26066116085207</v>
      </c>
      <c r="V59" s="382">
        <v>103.09959718017964</v>
      </c>
      <c r="W59" s="382">
        <v>28377.607559999997</v>
      </c>
      <c r="Z59" s="10"/>
      <c r="AU59" s="10"/>
      <c r="AV59" s="10"/>
      <c r="AW59" s="10"/>
      <c r="AX59" s="10"/>
      <c r="AY59" s="10"/>
      <c r="AZ59" s="10"/>
      <c r="BA59" s="10"/>
      <c r="BB59" s="10"/>
      <c r="BC59" s="10"/>
      <c r="BD59" s="10"/>
      <c r="BE59" s="10"/>
      <c r="BF59" s="10"/>
      <c r="BG59" s="10"/>
      <c r="BH59" s="10"/>
      <c r="BI59" s="10"/>
      <c r="BJ59" s="10"/>
      <c r="BK59" s="10"/>
      <c r="BL59" s="10"/>
      <c r="BM59" s="10"/>
    </row>
    <row r="60" spans="3:65">
      <c r="C60" s="382"/>
      <c r="D60" s="382" t="s">
        <v>668</v>
      </c>
      <c r="E60" s="382">
        <v>412890.23308684689</v>
      </c>
      <c r="F60" s="382">
        <v>64956.971106283403</v>
      </c>
      <c r="G60" s="382">
        <v>51926.242415728266</v>
      </c>
      <c r="H60" s="382">
        <v>54259.278263109838</v>
      </c>
      <c r="I60" s="382">
        <v>103340.12424767314</v>
      </c>
      <c r="J60" s="382">
        <v>28846.79293325148</v>
      </c>
      <c r="K60" s="382">
        <v>122059.2866170941</v>
      </c>
      <c r="L60" s="382">
        <v>101685.77141829459</v>
      </c>
      <c r="M60" s="382">
        <v>369286.1577897289</v>
      </c>
      <c r="N60" s="382">
        <v>245392.75347825672</v>
      </c>
      <c r="O60" s="382">
        <v>53883.479997139526</v>
      </c>
      <c r="P60" s="382">
        <v>134695.66304672681</v>
      </c>
      <c r="Q60" s="382">
        <v>316804.81916475797</v>
      </c>
      <c r="R60" s="382">
        <v>72105.149553566531</v>
      </c>
      <c r="S60" s="382">
        <v>31486.891253383474</v>
      </c>
      <c r="T60" s="382">
        <v>107594.54300277711</v>
      </c>
      <c r="U60" s="382">
        <v>15630.942065247051</v>
      </c>
      <c r="V60" s="382">
        <v>8338.7059776867791</v>
      </c>
      <c r="W60" s="382">
        <v>2295183.8054175526</v>
      </c>
      <c r="Z60" s="10"/>
      <c r="AU60" s="10"/>
      <c r="AV60" s="10"/>
      <c r="AW60" s="10"/>
      <c r="AX60" s="10"/>
      <c r="AY60" s="10"/>
      <c r="AZ60" s="10"/>
      <c r="BA60" s="10"/>
      <c r="BB60" s="10"/>
      <c r="BC60" s="10"/>
      <c r="BD60" s="10"/>
      <c r="BE60" s="10"/>
      <c r="BF60" s="10"/>
      <c r="BG60" s="10"/>
      <c r="BH60" s="10"/>
      <c r="BI60" s="10"/>
      <c r="BJ60" s="10"/>
      <c r="BK60" s="10"/>
      <c r="BL60" s="10"/>
      <c r="BM60" s="10"/>
    </row>
    <row r="61" spans="3:65">
      <c r="C61" s="382" t="s">
        <v>655</v>
      </c>
      <c r="D61" s="382" t="s">
        <v>621</v>
      </c>
      <c r="E61" s="382" t="s">
        <v>9</v>
      </c>
      <c r="F61" s="382" t="s">
        <v>10</v>
      </c>
      <c r="G61" s="382" t="s">
        <v>11</v>
      </c>
      <c r="H61" s="382" t="s">
        <v>31</v>
      </c>
      <c r="I61" s="382" t="s">
        <v>12</v>
      </c>
      <c r="J61" s="382" t="s">
        <v>13</v>
      </c>
      <c r="K61" s="382" t="s">
        <v>14</v>
      </c>
      <c r="L61" s="382" t="s">
        <v>15</v>
      </c>
      <c r="M61" s="382" t="s">
        <v>16</v>
      </c>
      <c r="N61" s="382" t="s">
        <v>17</v>
      </c>
      <c r="O61" s="382" t="s">
        <v>18</v>
      </c>
      <c r="P61" s="382" t="s">
        <v>19</v>
      </c>
      <c r="Q61" s="382" t="s">
        <v>20</v>
      </c>
      <c r="R61" s="382" t="s">
        <v>60</v>
      </c>
      <c r="S61" s="382" t="s">
        <v>61</v>
      </c>
      <c r="T61" s="382" t="s">
        <v>62</v>
      </c>
      <c r="U61" s="382" t="s">
        <v>63</v>
      </c>
      <c r="V61" s="382" t="s">
        <v>64</v>
      </c>
      <c r="W61" s="382" t="s">
        <v>656</v>
      </c>
      <c r="Z61" s="10"/>
      <c r="AU61" s="10"/>
      <c r="AV61" s="10"/>
      <c r="AW61" s="10"/>
      <c r="AX61" s="10"/>
      <c r="AY61" s="10"/>
      <c r="AZ61" s="10"/>
      <c r="BA61" s="10"/>
      <c r="BB61" s="10"/>
      <c r="BC61" s="10"/>
      <c r="BD61" s="10"/>
      <c r="BE61" s="10"/>
      <c r="BF61" s="10"/>
      <c r="BG61" s="10"/>
      <c r="BH61" s="10"/>
      <c r="BI61" s="10"/>
      <c r="BJ61" s="10"/>
      <c r="BK61" s="10"/>
      <c r="BL61" s="10"/>
      <c r="BM61" s="10"/>
    </row>
    <row r="62" spans="3:65">
      <c r="C62" s="382" t="s">
        <v>163</v>
      </c>
      <c r="D62" s="382" t="s">
        <v>693</v>
      </c>
      <c r="E62" s="382">
        <v>3809.4302661343154</v>
      </c>
      <c r="F62" s="382">
        <v>599.30953047426556</v>
      </c>
      <c r="G62" s="382">
        <v>479.08471456503474</v>
      </c>
      <c r="H62" s="382">
        <v>500.60989645792375</v>
      </c>
      <c r="I62" s="382">
        <v>953.44226011847388</v>
      </c>
      <c r="J62" s="382">
        <v>266.14784578283684</v>
      </c>
      <c r="K62" s="382">
        <v>1126.1500114102212</v>
      </c>
      <c r="L62" s="382">
        <v>938.17878030209863</v>
      </c>
      <c r="M62" s="382">
        <v>3407.1279812829757</v>
      </c>
      <c r="N62" s="382">
        <v>2264.0559337074023</v>
      </c>
      <c r="O62" s="382">
        <v>497.14268611088931</v>
      </c>
      <c r="P62" s="382">
        <v>1242.7364330977111</v>
      </c>
      <c r="Q62" s="382">
        <v>2922.921807960498</v>
      </c>
      <c r="R62" s="382">
        <v>665.26044222441521</v>
      </c>
      <c r="S62" s="382">
        <v>290.50606411871536</v>
      </c>
      <c r="T62" s="382">
        <v>992.6946092218576</v>
      </c>
      <c r="U62" s="382">
        <v>144.21504559789264</v>
      </c>
      <c r="V62" s="382">
        <v>76.935021432472553</v>
      </c>
      <c r="W62" s="382">
        <v>21175.949329999999</v>
      </c>
      <c r="Z62" s="10"/>
      <c r="AU62" s="10"/>
      <c r="AV62" s="10"/>
      <c r="AW62" s="10"/>
      <c r="AX62" s="10"/>
      <c r="AY62" s="10"/>
      <c r="AZ62" s="10"/>
      <c r="BA62" s="10"/>
      <c r="BB62" s="10"/>
      <c r="BC62" s="10"/>
      <c r="BD62" s="10"/>
      <c r="BE62" s="10"/>
      <c r="BF62" s="10"/>
      <c r="BG62" s="10"/>
      <c r="BH62" s="10"/>
      <c r="BI62" s="10"/>
      <c r="BJ62" s="10"/>
      <c r="BK62" s="10"/>
      <c r="BL62" s="10"/>
      <c r="BM62" s="10"/>
    </row>
    <row r="63" spans="3:65">
      <c r="C63" s="382" t="s">
        <v>164</v>
      </c>
      <c r="D63" s="382" t="s">
        <v>694</v>
      </c>
      <c r="E63" s="382">
        <v>443.97918455444596</v>
      </c>
      <c r="F63" s="382">
        <v>69.847966243435792</v>
      </c>
      <c r="G63" s="382">
        <v>55.83607680025294</v>
      </c>
      <c r="H63" s="382">
        <v>58.344780736678807</v>
      </c>
      <c r="I63" s="382">
        <v>111.12121435332311</v>
      </c>
      <c r="J63" s="382">
        <v>31.018838851589059</v>
      </c>
      <c r="K63" s="382">
        <v>131.24985334336111</v>
      </c>
      <c r="L63" s="382">
        <v>109.34229549960848</v>
      </c>
      <c r="M63" s="382">
        <v>397.09190013279419</v>
      </c>
      <c r="N63" s="382">
        <v>263.86982750916837</v>
      </c>
      <c r="O63" s="382">
        <v>57.940686393165024</v>
      </c>
      <c r="P63" s="382">
        <v>144.83769740789072</v>
      </c>
      <c r="Q63" s="382">
        <v>340.65893064150742</v>
      </c>
      <c r="R63" s="382">
        <v>77.534373389343969</v>
      </c>
      <c r="S63" s="382">
        <v>33.857725813270271</v>
      </c>
      <c r="T63" s="382">
        <v>115.69597349819948</v>
      </c>
      <c r="U63" s="382">
        <v>16.80788828561721</v>
      </c>
      <c r="V63" s="382">
        <v>8.9665765463479516</v>
      </c>
      <c r="W63" s="382">
        <v>2468.0017899999998</v>
      </c>
      <c r="Z63" s="10"/>
      <c r="AU63" s="10"/>
      <c r="AV63" s="10"/>
      <c r="AW63" s="10"/>
      <c r="AX63" s="10"/>
      <c r="AY63" s="10"/>
      <c r="AZ63" s="10"/>
      <c r="BA63" s="10"/>
      <c r="BB63" s="10"/>
      <c r="BC63" s="10"/>
      <c r="BD63" s="10"/>
      <c r="BE63" s="10"/>
      <c r="BF63" s="10"/>
      <c r="BG63" s="10"/>
      <c r="BH63" s="10"/>
      <c r="BI63" s="10"/>
      <c r="BJ63" s="10"/>
      <c r="BK63" s="10"/>
      <c r="BL63" s="10"/>
      <c r="BM63" s="10"/>
    </row>
    <row r="64" spans="3:65">
      <c r="C64" s="382" t="s">
        <v>165</v>
      </c>
      <c r="D64" s="382" t="s">
        <v>695</v>
      </c>
      <c r="E64" s="382">
        <v>2074.3992949131534</v>
      </c>
      <c r="F64" s="382">
        <v>326.34992127369094</v>
      </c>
      <c r="G64" s="382">
        <v>260.88231695231059</v>
      </c>
      <c r="H64" s="382">
        <v>272.60370808484799</v>
      </c>
      <c r="I64" s="382">
        <v>519.19048622911055</v>
      </c>
      <c r="J64" s="382">
        <v>144.92899595582338</v>
      </c>
      <c r="K64" s="382">
        <v>613.2373154073731</v>
      </c>
      <c r="L64" s="382">
        <v>510.87886229665838</v>
      </c>
      <c r="M64" s="382">
        <v>1855.3283268850578</v>
      </c>
      <c r="N64" s="382">
        <v>1232.8762319863874</v>
      </c>
      <c r="O64" s="382">
        <v>270.71566231507927</v>
      </c>
      <c r="P64" s="382">
        <v>676.72365694641758</v>
      </c>
      <c r="Q64" s="382">
        <v>1591.6571544627277</v>
      </c>
      <c r="R64" s="382">
        <v>362.26304089412668</v>
      </c>
      <c r="S64" s="382">
        <v>158.19309777978506</v>
      </c>
      <c r="T64" s="382">
        <v>540.56508547761496</v>
      </c>
      <c r="U64" s="382">
        <v>78.531320434883312</v>
      </c>
      <c r="V64" s="382">
        <v>41.894441704953458</v>
      </c>
      <c r="W64" s="382">
        <v>11531.218920000001</v>
      </c>
      <c r="Z64" s="10"/>
      <c r="AU64" s="10"/>
      <c r="AV64" s="10"/>
      <c r="AW64" s="10"/>
      <c r="AX64" s="10"/>
      <c r="AY64" s="10"/>
      <c r="AZ64" s="10"/>
      <c r="BA64" s="10"/>
      <c r="BB64" s="10"/>
      <c r="BC64" s="10"/>
      <c r="BD64" s="10"/>
      <c r="BE64" s="10"/>
      <c r="BF64" s="10"/>
      <c r="BG64" s="10"/>
      <c r="BH64" s="10"/>
      <c r="BI64" s="10"/>
      <c r="BJ64" s="10"/>
      <c r="BK64" s="10"/>
      <c r="BL64" s="10"/>
      <c r="BM64" s="10"/>
    </row>
    <row r="65" spans="3:65">
      <c r="C65" s="382" t="s">
        <v>166</v>
      </c>
      <c r="D65" s="382" t="s">
        <v>167</v>
      </c>
      <c r="E65" s="382">
        <v>16244.079078084973</v>
      </c>
      <c r="F65" s="382">
        <v>2555.5609960417878</v>
      </c>
      <c r="G65" s="382">
        <v>2042.9012857068005</v>
      </c>
      <c r="H65" s="382">
        <v>2134.6884382231983</v>
      </c>
      <c r="I65" s="382">
        <v>4065.6450932934526</v>
      </c>
      <c r="J65" s="382">
        <v>1134.9011141620228</v>
      </c>
      <c r="K65" s="382">
        <v>4802.1012490398825</v>
      </c>
      <c r="L65" s="382">
        <v>4000.5589371435058</v>
      </c>
      <c r="M65" s="382">
        <v>14528.591545338781</v>
      </c>
      <c r="N65" s="382">
        <v>9654.3317648576231</v>
      </c>
      <c r="O65" s="382">
        <v>2119.9036449279174</v>
      </c>
      <c r="P65" s="382">
        <v>5299.24620800099</v>
      </c>
      <c r="Q65" s="382">
        <v>12463.851460851323</v>
      </c>
      <c r="R65" s="382">
        <v>2836.7872558489707</v>
      </c>
      <c r="S65" s="382">
        <v>1238.768831171262</v>
      </c>
      <c r="T65" s="382">
        <v>4233.0239973002708</v>
      </c>
      <c r="U65" s="382">
        <v>614.95825918321179</v>
      </c>
      <c r="V65" s="382">
        <v>328.06443082404553</v>
      </c>
      <c r="W65" s="382">
        <v>90297.963590000014</v>
      </c>
      <c r="Z65" s="10"/>
      <c r="AU65" s="10"/>
      <c r="AV65" s="10"/>
      <c r="AW65" s="10"/>
      <c r="AX65" s="10"/>
      <c r="AY65" s="10"/>
      <c r="AZ65" s="10"/>
      <c r="BA65" s="10"/>
      <c r="BB65" s="10"/>
      <c r="BC65" s="10"/>
      <c r="BD65" s="10"/>
      <c r="BE65" s="10"/>
      <c r="BF65" s="10"/>
      <c r="BG65" s="10"/>
      <c r="BH65" s="10"/>
      <c r="BI65" s="10"/>
      <c r="BJ65" s="10"/>
      <c r="BK65" s="10"/>
      <c r="BL65" s="10"/>
      <c r="BM65" s="10"/>
    </row>
    <row r="66" spans="3:65">
      <c r="C66" s="382" t="s">
        <v>168</v>
      </c>
      <c r="D66" s="382" t="s">
        <v>696</v>
      </c>
      <c r="E66" s="382">
        <v>982.99405765239521</v>
      </c>
      <c r="F66" s="382">
        <v>154.64719551054213</v>
      </c>
      <c r="G66" s="382">
        <v>123.62411033380455</v>
      </c>
      <c r="H66" s="382">
        <v>129.17851726932471</v>
      </c>
      <c r="I66" s="382">
        <v>246.0284112149393</v>
      </c>
      <c r="J66" s="382">
        <v>68.67739598420313</v>
      </c>
      <c r="K66" s="382">
        <v>290.5943125098259</v>
      </c>
      <c r="L66" s="382">
        <v>242.08978813736829</v>
      </c>
      <c r="M66" s="382">
        <v>879.18306026927496</v>
      </c>
      <c r="N66" s="382">
        <v>584.22214702605379</v>
      </c>
      <c r="O66" s="382">
        <v>128.28383041862554</v>
      </c>
      <c r="P66" s="382">
        <v>320.67853815915242</v>
      </c>
      <c r="Q66" s="382">
        <v>754.23739705922185</v>
      </c>
      <c r="R66" s="382">
        <v>171.66531890906842</v>
      </c>
      <c r="S66" s="382">
        <v>74.962846092590539</v>
      </c>
      <c r="T66" s="382">
        <v>256.15717673154188</v>
      </c>
      <c r="U66" s="382">
        <v>37.213578656908616</v>
      </c>
      <c r="V66" s="382">
        <v>19.852488065157218</v>
      </c>
      <c r="W66" s="382">
        <v>5464.2901699999984</v>
      </c>
      <c r="Z66" s="10"/>
      <c r="AU66" s="10"/>
      <c r="AV66" s="10"/>
      <c r="AW66" s="10"/>
      <c r="AX66" s="10"/>
      <c r="AY66" s="10"/>
      <c r="AZ66" s="10"/>
      <c r="BA66" s="10"/>
      <c r="BB66" s="10"/>
      <c r="BC66" s="10"/>
      <c r="BD66" s="10"/>
      <c r="BE66" s="10"/>
      <c r="BF66" s="10"/>
      <c r="BG66" s="10"/>
      <c r="BH66" s="10"/>
      <c r="BI66" s="10"/>
      <c r="BJ66" s="10"/>
      <c r="BK66" s="10"/>
      <c r="BL66" s="10"/>
      <c r="BM66" s="10"/>
    </row>
    <row r="67" spans="3:65">
      <c r="C67" s="382" t="s">
        <v>169</v>
      </c>
      <c r="D67" s="382" t="s">
        <v>697</v>
      </c>
      <c r="E67" s="382">
        <v>8113.3355574105817</v>
      </c>
      <c r="F67" s="382">
        <v>1276.4111648711455</v>
      </c>
      <c r="G67" s="382">
        <v>1020.3560055285565</v>
      </c>
      <c r="H67" s="382">
        <v>1066.2003999472859</v>
      </c>
      <c r="I67" s="382">
        <v>2030.6440728752209</v>
      </c>
      <c r="J67" s="382">
        <v>566.84244883404892</v>
      </c>
      <c r="K67" s="382">
        <v>2398.477539221275</v>
      </c>
      <c r="L67" s="382">
        <v>1998.1358695816921</v>
      </c>
      <c r="M67" s="382">
        <v>7256.510991929269</v>
      </c>
      <c r="N67" s="382">
        <v>4821.9928513234036</v>
      </c>
      <c r="O67" s="382">
        <v>1058.8159253596561</v>
      </c>
      <c r="P67" s="382">
        <v>2646.7836360666306</v>
      </c>
      <c r="Q67" s="382">
        <v>6225.2472887819986</v>
      </c>
      <c r="R67" s="382">
        <v>1416.8736067493951</v>
      </c>
      <c r="S67" s="382">
        <v>618.72065243224688</v>
      </c>
      <c r="T67" s="382">
        <v>2114.2438390984116</v>
      </c>
      <c r="U67" s="382">
        <v>307.14961965961231</v>
      </c>
      <c r="V67" s="382">
        <v>163.85643032957842</v>
      </c>
      <c r="W67" s="382">
        <v>45100.597900000008</v>
      </c>
      <c r="Z67" s="10"/>
      <c r="AU67" s="10"/>
      <c r="AV67" s="10"/>
      <c r="AW67" s="10"/>
      <c r="AX67" s="10"/>
      <c r="AY67" s="10"/>
      <c r="AZ67" s="10"/>
      <c r="BA67" s="10"/>
      <c r="BB67" s="10"/>
      <c r="BC67" s="10"/>
      <c r="BD67" s="10"/>
      <c r="BE67" s="10"/>
      <c r="BF67" s="10"/>
      <c r="BG67" s="10"/>
      <c r="BH67" s="10"/>
      <c r="BI67" s="10"/>
      <c r="BJ67" s="10"/>
      <c r="BK67" s="10"/>
      <c r="BL67" s="10"/>
      <c r="BM67" s="10"/>
    </row>
    <row r="68" spans="3:65">
      <c r="C68" s="382" t="s">
        <v>698</v>
      </c>
      <c r="D68" s="382" t="s">
        <v>699</v>
      </c>
      <c r="E68" s="382">
        <v>2673.9780909999604</v>
      </c>
      <c r="F68" s="382">
        <v>420.67722526966338</v>
      </c>
      <c r="G68" s="382">
        <v>336.2870405762414</v>
      </c>
      <c r="H68" s="382">
        <v>351.39635109389582</v>
      </c>
      <c r="I68" s="382">
        <v>669.25590875231239</v>
      </c>
      <c r="J68" s="382">
        <v>186.81888336869989</v>
      </c>
      <c r="K68" s="382">
        <v>790.48578063250795</v>
      </c>
      <c r="L68" s="382">
        <v>658.54191538058853</v>
      </c>
      <c r="M68" s="382">
        <v>2391.5874392494716</v>
      </c>
      <c r="N68" s="382">
        <v>1589.2234640314045</v>
      </c>
      <c r="O68" s="382">
        <v>348.96258965001812</v>
      </c>
      <c r="P68" s="382">
        <v>872.32204367474594</v>
      </c>
      <c r="Q68" s="382">
        <v>2051.7054599147741</v>
      </c>
      <c r="R68" s="382">
        <v>466.97057644848087</v>
      </c>
      <c r="S68" s="382">
        <v>203.91680552912513</v>
      </c>
      <c r="T68" s="382">
        <v>696.80856471134632</v>
      </c>
      <c r="U68" s="382">
        <v>101.22980219628687</v>
      </c>
      <c r="V68" s="382">
        <v>54.003498520476789</v>
      </c>
      <c r="W68" s="382">
        <v>14864.17144</v>
      </c>
      <c r="Z68" s="10"/>
      <c r="AU68" s="10"/>
      <c r="AV68" s="10"/>
      <c r="AW68" s="10"/>
      <c r="AX68" s="10"/>
      <c r="AY68" s="10"/>
      <c r="AZ68" s="10"/>
      <c r="BA68" s="10"/>
      <c r="BB68" s="10"/>
      <c r="BC68" s="10"/>
      <c r="BD68" s="10"/>
      <c r="BE68" s="10"/>
      <c r="BF68" s="10"/>
      <c r="BG68" s="10"/>
      <c r="BH68" s="10"/>
      <c r="BI68" s="10"/>
      <c r="BJ68" s="10"/>
      <c r="BK68" s="10"/>
      <c r="BL68" s="10"/>
      <c r="BM68" s="10"/>
    </row>
    <row r="69" spans="3:65">
      <c r="C69" s="382" t="s">
        <v>170</v>
      </c>
      <c r="D69" s="382" t="s">
        <v>700</v>
      </c>
      <c r="E69" s="382">
        <v>50456.016354538282</v>
      </c>
      <c r="F69" s="382">
        <v>7937.8724267147463</v>
      </c>
      <c r="G69" s="382">
        <v>6345.4911901648657</v>
      </c>
      <c r="H69" s="382">
        <v>6630.5928599019871</v>
      </c>
      <c r="I69" s="382">
        <v>12628.370887193836</v>
      </c>
      <c r="J69" s="382">
        <v>3525.1360758392393</v>
      </c>
      <c r="K69" s="382">
        <v>14915.890152528693</v>
      </c>
      <c r="L69" s="382">
        <v>12426.205646347022</v>
      </c>
      <c r="M69" s="382">
        <v>45127.510713056719</v>
      </c>
      <c r="N69" s="382">
        <v>29987.487691867449</v>
      </c>
      <c r="O69" s="382">
        <v>6584.6695564805232</v>
      </c>
      <c r="P69" s="382">
        <v>16460.08075018214</v>
      </c>
      <c r="Q69" s="382">
        <v>38714.185650430169</v>
      </c>
      <c r="R69" s="382">
        <v>8811.3942001528048</v>
      </c>
      <c r="S69" s="382">
        <v>3847.7613969137387</v>
      </c>
      <c r="T69" s="382">
        <v>13148.269410057243</v>
      </c>
      <c r="U69" s="382">
        <v>1910.1325371265359</v>
      </c>
      <c r="V69" s="382">
        <v>1019.0066305040273</v>
      </c>
      <c r="W69" s="382">
        <v>280476.07413000002</v>
      </c>
      <c r="Z69" s="10"/>
      <c r="AU69" s="10"/>
      <c r="AV69" s="10"/>
      <c r="AW69" s="10"/>
      <c r="AX69" s="10"/>
      <c r="AY69" s="10"/>
      <c r="AZ69" s="10"/>
      <c r="BA69" s="10"/>
      <c r="BB69" s="10"/>
      <c r="BC69" s="10"/>
      <c r="BD69" s="10"/>
      <c r="BE69" s="10"/>
      <c r="BF69" s="10"/>
      <c r="BG69" s="10"/>
      <c r="BH69" s="10"/>
      <c r="BI69" s="10"/>
      <c r="BJ69" s="10"/>
      <c r="BK69" s="10"/>
      <c r="BL69" s="10"/>
      <c r="BM69" s="10"/>
    </row>
    <row r="70" spans="3:65">
      <c r="C70" s="382" t="s">
        <v>171</v>
      </c>
      <c r="D70" s="382" t="s">
        <v>172</v>
      </c>
      <c r="E70" s="382">
        <v>4698.2867857731389</v>
      </c>
      <c r="F70" s="382">
        <v>739.14676235101524</v>
      </c>
      <c r="G70" s="382">
        <v>590.86982211408611</v>
      </c>
      <c r="H70" s="382">
        <v>617.41748687849417</v>
      </c>
      <c r="I70" s="382">
        <v>1175.9094821961385</v>
      </c>
      <c r="J70" s="382">
        <v>328.24827324438564</v>
      </c>
      <c r="K70" s="382">
        <v>1388.9152308268972</v>
      </c>
      <c r="L70" s="382">
        <v>1157.0845659970657</v>
      </c>
      <c r="M70" s="382">
        <v>4202.1150811467051</v>
      </c>
      <c r="N70" s="382">
        <v>2792.329385880324</v>
      </c>
      <c r="O70" s="382">
        <v>613.1412703791965</v>
      </c>
      <c r="P70" s="382">
        <v>1532.7048282594692</v>
      </c>
      <c r="Q70" s="382">
        <v>3604.9288074052233</v>
      </c>
      <c r="R70" s="382">
        <v>820.48603765945938</v>
      </c>
      <c r="S70" s="382">
        <v>358.29000844815585</v>
      </c>
      <c r="T70" s="382">
        <v>1224.3206041275355</v>
      </c>
      <c r="U70" s="382">
        <v>177.864823794194</v>
      </c>
      <c r="V70" s="382">
        <v>94.886313518519813</v>
      </c>
      <c r="W70" s="382">
        <v>26116.945570000003</v>
      </c>
      <c r="Z70" s="10"/>
      <c r="AU70" s="10"/>
      <c r="AV70" s="10"/>
      <c r="AW70" s="10"/>
      <c r="AX70" s="10"/>
      <c r="AY70" s="10"/>
      <c r="AZ70" s="10"/>
      <c r="BA70" s="10"/>
      <c r="BB70" s="10"/>
      <c r="BC70" s="10"/>
      <c r="BD70" s="10"/>
      <c r="BE70" s="10"/>
      <c r="BF70" s="10"/>
      <c r="BG70" s="10"/>
      <c r="BH70" s="10"/>
      <c r="BI70" s="10"/>
      <c r="BJ70" s="10"/>
      <c r="BK70" s="10"/>
      <c r="BL70" s="10"/>
      <c r="BM70" s="10"/>
    </row>
    <row r="71" spans="3:65">
      <c r="C71" s="382" t="s">
        <v>173</v>
      </c>
      <c r="D71" s="382" t="s">
        <v>701</v>
      </c>
      <c r="E71" s="382">
        <v>5471.8561974556769</v>
      </c>
      <c r="F71" s="382">
        <v>860.84672494809138</v>
      </c>
      <c r="G71" s="382">
        <v>688.15609720011059</v>
      </c>
      <c r="H71" s="382">
        <v>719.07481514831636</v>
      </c>
      <c r="I71" s="382">
        <v>1369.5221005422311</v>
      </c>
      <c r="J71" s="382">
        <v>382.29410637410672</v>
      </c>
      <c r="K71" s="382">
        <v>1617.5990866615673</v>
      </c>
      <c r="L71" s="382">
        <v>1347.5976759450787</v>
      </c>
      <c r="M71" s="382">
        <v>4893.9901920888869</v>
      </c>
      <c r="N71" s="382">
        <v>3252.0843345991157</v>
      </c>
      <c r="O71" s="382">
        <v>714.09452279489972</v>
      </c>
      <c r="P71" s="382">
        <v>1785.063533962564</v>
      </c>
      <c r="Q71" s="382">
        <v>4198.4776442165967</v>
      </c>
      <c r="R71" s="382">
        <v>955.57845121069374</v>
      </c>
      <c r="S71" s="382">
        <v>417.28219085095105</v>
      </c>
      <c r="T71" s="382">
        <v>1425.9040775573924</v>
      </c>
      <c r="U71" s="382">
        <v>207.15013424355419</v>
      </c>
      <c r="V71" s="382">
        <v>110.50927420016912</v>
      </c>
      <c r="W71" s="382">
        <v>30417.081160000002</v>
      </c>
      <c r="Z71" s="10"/>
      <c r="AU71" s="10"/>
      <c r="AV71" s="10"/>
      <c r="AW71" s="10"/>
      <c r="AX71" s="10"/>
      <c r="AY71" s="10"/>
      <c r="AZ71" s="10"/>
      <c r="BA71" s="10"/>
      <c r="BB71" s="10"/>
      <c r="BC71" s="10"/>
      <c r="BD71" s="10"/>
      <c r="BE71" s="10"/>
      <c r="BF71" s="10"/>
      <c r="BG71" s="10"/>
      <c r="BH71" s="10"/>
      <c r="BI71" s="10"/>
      <c r="BJ71" s="10"/>
      <c r="BK71" s="10"/>
      <c r="BL71" s="10"/>
      <c r="BM71" s="10"/>
    </row>
    <row r="72" spans="3:65">
      <c r="C72" s="382" t="s">
        <v>174</v>
      </c>
      <c r="D72" s="382" t="s">
        <v>702</v>
      </c>
      <c r="E72" s="382">
        <v>6461.4760513775354</v>
      </c>
      <c r="F72" s="382">
        <v>1016.536308053065</v>
      </c>
      <c r="G72" s="382">
        <v>812.61348639525613</v>
      </c>
      <c r="H72" s="382">
        <v>849.12405033414825</v>
      </c>
      <c r="I72" s="382">
        <v>1617.2088474475236</v>
      </c>
      <c r="J72" s="382">
        <v>451.4344170937207</v>
      </c>
      <c r="K72" s="382">
        <v>1910.1521279111714</v>
      </c>
      <c r="L72" s="382">
        <v>1591.3192517851587</v>
      </c>
      <c r="M72" s="382">
        <v>5779.0993185388879</v>
      </c>
      <c r="N72" s="382">
        <v>3840.2443863278163</v>
      </c>
      <c r="O72" s="382">
        <v>843.24304056173798</v>
      </c>
      <c r="P72" s="382">
        <v>2107.9035812837419</v>
      </c>
      <c r="Q72" s="382">
        <v>4957.7989207691089</v>
      </c>
      <c r="R72" s="382">
        <v>1128.4008670734715</v>
      </c>
      <c r="S72" s="382">
        <v>492.75031827471759</v>
      </c>
      <c r="T72" s="382">
        <v>1683.7878621486375</v>
      </c>
      <c r="U72" s="382">
        <v>244.61454818142798</v>
      </c>
      <c r="V72" s="382">
        <v>130.49557644287674</v>
      </c>
      <c r="W72" s="382">
        <v>35918.202960000002</v>
      </c>
      <c r="Z72" s="10"/>
      <c r="AU72" s="10"/>
      <c r="AV72" s="10"/>
      <c r="AW72" s="10"/>
      <c r="AX72" s="10"/>
      <c r="AY72" s="10"/>
      <c r="AZ72" s="10"/>
      <c r="BA72" s="10"/>
      <c r="BB72" s="10"/>
      <c r="BC72" s="10"/>
      <c r="BD72" s="10"/>
      <c r="BE72" s="10"/>
      <c r="BF72" s="10"/>
      <c r="BG72" s="10"/>
      <c r="BH72" s="10"/>
      <c r="BI72" s="10"/>
      <c r="BJ72" s="10"/>
      <c r="BK72" s="10"/>
      <c r="BL72" s="10"/>
      <c r="BM72" s="10"/>
    </row>
    <row r="73" spans="3:65">
      <c r="C73" s="382" t="s">
        <v>175</v>
      </c>
      <c r="D73" s="382" t="s">
        <v>703</v>
      </c>
      <c r="E73" s="382">
        <v>546.21537733830792</v>
      </c>
      <c r="F73" s="382">
        <v>85.932031422281739</v>
      </c>
      <c r="G73" s="382">
        <v>68.693589293262932</v>
      </c>
      <c r="H73" s="382">
        <v>71.779978734335728</v>
      </c>
      <c r="I73" s="382">
        <v>136.70937318649925</v>
      </c>
      <c r="J73" s="382">
        <v>38.161624142176727</v>
      </c>
      <c r="K73" s="382">
        <v>161.47308401741074</v>
      </c>
      <c r="L73" s="382">
        <v>134.52081825703542</v>
      </c>
      <c r="M73" s="382">
        <v>488.53124113619629</v>
      </c>
      <c r="N73" s="382">
        <v>324.63178999203672</v>
      </c>
      <c r="O73" s="382">
        <v>71.282832579738042</v>
      </c>
      <c r="P73" s="382">
        <v>178.18983478213258</v>
      </c>
      <c r="Q73" s="382">
        <v>419.10331118506963</v>
      </c>
      <c r="R73" s="382">
        <v>95.388406688593875</v>
      </c>
      <c r="S73" s="382">
        <v>41.654228676219574</v>
      </c>
      <c r="T73" s="382">
        <v>142.33757351543625</v>
      </c>
      <c r="U73" s="382">
        <v>20.678282589761096</v>
      </c>
      <c r="V73" s="382">
        <v>11.031332463505745</v>
      </c>
      <c r="W73" s="382">
        <v>3036.3147100000001</v>
      </c>
      <c r="Z73" s="10"/>
      <c r="AU73" s="10"/>
      <c r="AV73" s="10"/>
      <c r="AW73" s="10"/>
      <c r="AX73" s="10"/>
      <c r="AY73" s="10"/>
      <c r="AZ73" s="10"/>
      <c r="BA73" s="10"/>
      <c r="BB73" s="10"/>
      <c r="BC73" s="10"/>
      <c r="BD73" s="10"/>
      <c r="BE73" s="10"/>
      <c r="BF73" s="10"/>
      <c r="BG73" s="10"/>
      <c r="BH73" s="10"/>
      <c r="BI73" s="10"/>
      <c r="BJ73" s="10"/>
      <c r="BK73" s="10"/>
      <c r="BL73" s="10"/>
      <c r="BM73" s="10"/>
    </row>
    <row r="74" spans="3:65">
      <c r="C74" s="382" t="s">
        <v>176</v>
      </c>
      <c r="D74" s="382" t="s">
        <v>704</v>
      </c>
      <c r="E74" s="382">
        <v>456.58319578478421</v>
      </c>
      <c r="F74" s="382">
        <v>71.8308622475177</v>
      </c>
      <c r="G74" s="382">
        <v>57.421192867698018</v>
      </c>
      <c r="H74" s="382">
        <v>60.001115756922403</v>
      </c>
      <c r="I74" s="382">
        <v>114.27580601519044</v>
      </c>
      <c r="J74" s="382">
        <v>31.899424714256988</v>
      </c>
      <c r="K74" s="382">
        <v>134.97587177636518</v>
      </c>
      <c r="L74" s="382">
        <v>112.44638589026738</v>
      </c>
      <c r="M74" s="382">
        <v>408.36484026797825</v>
      </c>
      <c r="N74" s="382">
        <v>271.36076038389444</v>
      </c>
      <c r="O74" s="382">
        <v>59.585549682703771</v>
      </c>
      <c r="P74" s="382">
        <v>148.94945766200578</v>
      </c>
      <c r="Q74" s="382">
        <v>350.32980967568886</v>
      </c>
      <c r="R74" s="382">
        <v>79.735476835031946</v>
      </c>
      <c r="S74" s="382">
        <v>34.818904109978995</v>
      </c>
      <c r="T74" s="382">
        <v>118.98043682442417</v>
      </c>
      <c r="U74" s="382">
        <v>17.285043116474402</v>
      </c>
      <c r="V74" s="382">
        <v>9.2211263888169697</v>
      </c>
      <c r="W74" s="382">
        <v>2538.0652599999999</v>
      </c>
      <c r="Z74" s="10"/>
      <c r="AU74" s="10"/>
      <c r="AV74" s="10"/>
      <c r="AW74" s="10"/>
      <c r="AX74" s="10"/>
      <c r="AY74" s="10"/>
      <c r="AZ74" s="10"/>
      <c r="BA74" s="10"/>
      <c r="BB74" s="10"/>
      <c r="BC74" s="10"/>
      <c r="BD74" s="10"/>
      <c r="BE74" s="10"/>
      <c r="BF74" s="10"/>
      <c r="BG74" s="10"/>
      <c r="BH74" s="10"/>
      <c r="BI74" s="10"/>
      <c r="BJ74" s="10"/>
      <c r="BK74" s="10"/>
      <c r="BL74" s="10"/>
      <c r="BM74" s="10"/>
    </row>
    <row r="75" spans="3:65">
      <c r="C75" s="382" t="s">
        <v>177</v>
      </c>
      <c r="D75" s="382" t="s">
        <v>705</v>
      </c>
      <c r="E75" s="382">
        <v>37024.052432226497</v>
      </c>
      <c r="F75" s="382">
        <v>5824.7207401774494</v>
      </c>
      <c r="G75" s="382">
        <v>4656.2494526336886</v>
      </c>
      <c r="H75" s="382">
        <v>4865.4538237178331</v>
      </c>
      <c r="I75" s="382">
        <v>9266.5553018636801</v>
      </c>
      <c r="J75" s="382">
        <v>2586.704863608717</v>
      </c>
      <c r="K75" s="382">
        <v>10945.110989343517</v>
      </c>
      <c r="L75" s="382">
        <v>9118.208741475486</v>
      </c>
      <c r="M75" s="382">
        <v>33114.055438619536</v>
      </c>
      <c r="N75" s="382">
        <v>22004.478292796983</v>
      </c>
      <c r="O75" s="382">
        <v>4831.7558246171884</v>
      </c>
      <c r="P75" s="382">
        <v>12078.220532735562</v>
      </c>
      <c r="Q75" s="382">
        <v>28408.030259875115</v>
      </c>
      <c r="R75" s="382">
        <v>6465.7011083700172</v>
      </c>
      <c r="S75" s="382">
        <v>2823.4436643791387</v>
      </c>
      <c r="T75" s="382">
        <v>9648.050940256473</v>
      </c>
      <c r="U75" s="382">
        <v>1401.6335873633368</v>
      </c>
      <c r="V75" s="382">
        <v>747.73550593980099</v>
      </c>
      <c r="W75" s="382">
        <v>205810.16150000002</v>
      </c>
      <c r="Z75" s="10"/>
      <c r="AU75" s="10"/>
      <c r="AV75" s="10"/>
      <c r="AW75" s="10"/>
      <c r="AX75" s="10"/>
      <c r="AY75" s="10"/>
      <c r="AZ75" s="10"/>
      <c r="BA75" s="10"/>
      <c r="BB75" s="10"/>
      <c r="BC75" s="10"/>
      <c r="BD75" s="10"/>
      <c r="BE75" s="10"/>
      <c r="BF75" s="10"/>
      <c r="BG75" s="10"/>
      <c r="BH75" s="10"/>
      <c r="BI75" s="10"/>
      <c r="BJ75" s="10"/>
      <c r="BK75" s="10"/>
      <c r="BL75" s="10"/>
      <c r="BM75" s="10"/>
    </row>
    <row r="76" spans="3:65">
      <c r="C76" s="382"/>
      <c r="D76" s="382" t="s">
        <v>668</v>
      </c>
      <c r="E76" s="382">
        <v>139456.68192424404</v>
      </c>
      <c r="F76" s="382">
        <v>21939.689855598695</v>
      </c>
      <c r="G76" s="382">
        <v>17538.46638113197</v>
      </c>
      <c r="H76" s="382">
        <v>18326.466222285191</v>
      </c>
      <c r="I76" s="382">
        <v>34903.879245281933</v>
      </c>
      <c r="J76" s="382">
        <v>9743.2143079558282</v>
      </c>
      <c r="K76" s="382">
        <v>41226.412604630073</v>
      </c>
      <c r="L76" s="382">
        <v>34345.109534038638</v>
      </c>
      <c r="M76" s="382">
        <v>124729.08806994255</v>
      </c>
      <c r="N76" s="382">
        <v>82883.188862289069</v>
      </c>
      <c r="O76" s="382">
        <v>18199.537622271338</v>
      </c>
      <c r="P76" s="382">
        <v>45494.440732221155</v>
      </c>
      <c r="Q76" s="382">
        <v>107003.13390322903</v>
      </c>
      <c r="R76" s="382">
        <v>24354.039162453872</v>
      </c>
      <c r="S76" s="382">
        <v>10634.926734589895</v>
      </c>
      <c r="T76" s="382">
        <v>36340.84015052639</v>
      </c>
      <c r="U76" s="382">
        <v>5279.4644704296961</v>
      </c>
      <c r="V76" s="382">
        <v>2816.4586468807488</v>
      </c>
      <c r="W76" s="382">
        <v>775215.03842999996</v>
      </c>
      <c r="Z76" s="10"/>
      <c r="AU76" s="10"/>
      <c r="AV76" s="10"/>
      <c r="AW76" s="10"/>
      <c r="AX76" s="10"/>
      <c r="AY76" s="10"/>
      <c r="AZ76" s="10"/>
      <c r="BA76" s="10"/>
      <c r="BB76" s="10"/>
      <c r="BC76" s="10"/>
      <c r="BD76" s="10"/>
      <c r="BE76" s="10"/>
      <c r="BF76" s="10"/>
      <c r="BG76" s="10"/>
      <c r="BH76" s="10"/>
      <c r="BI76" s="10"/>
      <c r="BJ76" s="10"/>
      <c r="BK76" s="10"/>
      <c r="BL76" s="10"/>
      <c r="BM76" s="10"/>
    </row>
    <row r="77" spans="3:65">
      <c r="C77" s="382" t="s">
        <v>655</v>
      </c>
      <c r="D77" s="382" t="s">
        <v>706</v>
      </c>
      <c r="E77" s="382" t="s">
        <v>9</v>
      </c>
      <c r="F77" s="382" t="s">
        <v>10</v>
      </c>
      <c r="G77" s="382" t="s">
        <v>11</v>
      </c>
      <c r="H77" s="382" t="s">
        <v>31</v>
      </c>
      <c r="I77" s="382" t="s">
        <v>12</v>
      </c>
      <c r="J77" s="382" t="s">
        <v>13</v>
      </c>
      <c r="K77" s="382" t="s">
        <v>14</v>
      </c>
      <c r="L77" s="382" t="s">
        <v>15</v>
      </c>
      <c r="M77" s="382" t="s">
        <v>16</v>
      </c>
      <c r="N77" s="382" t="s">
        <v>17</v>
      </c>
      <c r="O77" s="382" t="s">
        <v>18</v>
      </c>
      <c r="P77" s="382" t="s">
        <v>19</v>
      </c>
      <c r="Q77" s="382" t="s">
        <v>20</v>
      </c>
      <c r="R77" s="382" t="s">
        <v>60</v>
      </c>
      <c r="S77" s="382" t="s">
        <v>61</v>
      </c>
      <c r="T77" s="382" t="s">
        <v>62</v>
      </c>
      <c r="U77" s="382" t="s">
        <v>63</v>
      </c>
      <c r="V77" s="382" t="s">
        <v>64</v>
      </c>
      <c r="W77" s="382" t="s">
        <v>656</v>
      </c>
      <c r="Z77" s="10"/>
      <c r="AU77" s="10"/>
      <c r="AV77" s="10"/>
      <c r="AW77" s="10"/>
      <c r="AX77" s="10"/>
      <c r="AY77" s="10"/>
      <c r="AZ77" s="10"/>
      <c r="BA77" s="10"/>
      <c r="BB77" s="10"/>
      <c r="BC77" s="10"/>
      <c r="BD77" s="10"/>
      <c r="BE77" s="10"/>
      <c r="BF77" s="10"/>
      <c r="BG77" s="10"/>
      <c r="BH77" s="10"/>
      <c r="BI77" s="10"/>
      <c r="BJ77" s="10"/>
      <c r="BK77" s="10"/>
      <c r="BL77" s="10"/>
      <c r="BM77" s="10"/>
    </row>
    <row r="78" spans="3:65">
      <c r="C78" s="382" t="s">
        <v>178</v>
      </c>
      <c r="D78" s="382" t="s">
        <v>179</v>
      </c>
      <c r="E78" s="382">
        <v>1976.8263301331783</v>
      </c>
      <c r="F78" s="382">
        <v>310.99948731795695</v>
      </c>
      <c r="G78" s="382">
        <v>248.61126518993916</v>
      </c>
      <c r="H78" s="382">
        <v>259.78132038298219</v>
      </c>
      <c r="I78" s="382">
        <v>494.76946220005448</v>
      </c>
      <c r="J78" s="382">
        <v>138.11200953827512</v>
      </c>
      <c r="K78" s="382">
        <v>584.39263582965702</v>
      </c>
      <c r="L78" s="382">
        <v>486.8487898993418</v>
      </c>
      <c r="M78" s="382">
        <v>1768.0597446316954</v>
      </c>
      <c r="N78" s="382">
        <v>1174.8857624289283</v>
      </c>
      <c r="O78" s="382">
        <v>257.98208211707657</v>
      </c>
      <c r="P78" s="382">
        <v>644.89278730288879</v>
      </c>
      <c r="Q78" s="382">
        <v>1516.7908026205243</v>
      </c>
      <c r="R78" s="382">
        <v>345.2233711367528</v>
      </c>
      <c r="S78" s="382">
        <v>150.75221135259008</v>
      </c>
      <c r="T78" s="382">
        <v>515.13867014092841</v>
      </c>
      <c r="U78" s="382">
        <v>74.837463720938274</v>
      </c>
      <c r="V78" s="382">
        <v>39.923864056292388</v>
      </c>
      <c r="W78" s="382">
        <v>10988.82806</v>
      </c>
      <c r="Z78" s="10"/>
      <c r="AU78" s="10"/>
      <c r="AV78" s="10"/>
      <c r="AW78" s="10"/>
      <c r="AX78" s="10"/>
      <c r="AY78" s="10"/>
      <c r="AZ78" s="10"/>
      <c r="BA78" s="10"/>
      <c r="BB78" s="10"/>
      <c r="BC78" s="10"/>
      <c r="BD78" s="10"/>
      <c r="BE78" s="10"/>
      <c r="BF78" s="10"/>
      <c r="BG78" s="10"/>
      <c r="BH78" s="10"/>
      <c r="BI78" s="10"/>
      <c r="BJ78" s="10"/>
      <c r="BK78" s="10"/>
      <c r="BL78" s="10"/>
      <c r="BM78" s="10"/>
    </row>
    <row r="79" spans="3:65">
      <c r="C79" s="382" t="s">
        <v>180</v>
      </c>
      <c r="D79" s="382" t="s">
        <v>181</v>
      </c>
      <c r="E79" s="382">
        <v>1123.2271919690238</v>
      </c>
      <c r="F79" s="382">
        <v>176.70903888680044</v>
      </c>
      <c r="G79" s="382">
        <v>141.26022556182207</v>
      </c>
      <c r="H79" s="382">
        <v>147.6070196819588</v>
      </c>
      <c r="I79" s="382">
        <v>281.12662464464</v>
      </c>
      <c r="J79" s="382">
        <v>78.474857546249211</v>
      </c>
      <c r="K79" s="382">
        <v>332.05026124176527</v>
      </c>
      <c r="L79" s="382">
        <v>276.62612079601058</v>
      </c>
      <c r="M79" s="382">
        <v>1004.6066019680832</v>
      </c>
      <c r="N79" s="382">
        <v>667.56680427689628</v>
      </c>
      <c r="O79" s="382">
        <v>146.58469753140335</v>
      </c>
      <c r="P79" s="382">
        <v>366.42627810127391</v>
      </c>
      <c r="Q79" s="382">
        <v>861.83629186946098</v>
      </c>
      <c r="R79" s="382">
        <v>196.1549539548532</v>
      </c>
      <c r="S79" s="382">
        <v>85.656984864868178</v>
      </c>
      <c r="T79" s="382">
        <v>292.70035162778862</v>
      </c>
      <c r="U79" s="382">
        <v>42.522437579880936</v>
      </c>
      <c r="V79" s="382">
        <v>22.684627897222128</v>
      </c>
      <c r="W79" s="382">
        <v>6243.8213700000006</v>
      </c>
      <c r="Z79" s="10"/>
      <c r="AU79" s="10"/>
      <c r="AV79" s="10"/>
      <c r="AW79" s="10"/>
      <c r="AX79" s="10"/>
      <c r="AY79" s="10"/>
      <c r="AZ79" s="10"/>
      <c r="BA79" s="10"/>
      <c r="BB79" s="10"/>
      <c r="BC79" s="10"/>
      <c r="BD79" s="10"/>
      <c r="BE79" s="10"/>
      <c r="BF79" s="10"/>
      <c r="BG79" s="10"/>
      <c r="BH79" s="10"/>
      <c r="BI79" s="10"/>
      <c r="BJ79" s="10"/>
      <c r="BK79" s="10"/>
      <c r="BL79" s="10"/>
      <c r="BM79" s="10"/>
    </row>
    <row r="80" spans="3:65">
      <c r="C80" s="382" t="s">
        <v>182</v>
      </c>
      <c r="D80" s="382" t="s">
        <v>183</v>
      </c>
      <c r="E80" s="382">
        <v>129250.95913878053</v>
      </c>
      <c r="F80" s="382">
        <v>20334.098860776954</v>
      </c>
      <c r="G80" s="382">
        <v>16254.965845350993</v>
      </c>
      <c r="H80" s="382">
        <v>16985.298260154806</v>
      </c>
      <c r="I80" s="382">
        <v>32349.542581025518</v>
      </c>
      <c r="J80" s="382">
        <v>9030.1861267721179</v>
      </c>
      <c r="K80" s="382">
        <v>38209.380127759927</v>
      </c>
      <c r="L80" s="382">
        <v>31831.664770372259</v>
      </c>
      <c r="M80" s="382">
        <v>115601.1604686176</v>
      </c>
      <c r="N80" s="382">
        <v>76817.629023691712</v>
      </c>
      <c r="O80" s="382">
        <v>16867.658552486693</v>
      </c>
      <c r="P80" s="382">
        <v>42165.06530189958</v>
      </c>
      <c r="Q80" s="382">
        <v>99172.427574037778</v>
      </c>
      <c r="R80" s="382">
        <v>22571.761189331406</v>
      </c>
      <c r="S80" s="382">
        <v>9856.6412297339939</v>
      </c>
      <c r="T80" s="382">
        <v>33681.34377323134</v>
      </c>
      <c r="U80" s="382">
        <v>4893.1025543317746</v>
      </c>
      <c r="V80" s="382">
        <v>2610.3444916450676</v>
      </c>
      <c r="W80" s="382">
        <v>718483.22987000004</v>
      </c>
      <c r="Z80" s="10"/>
      <c r="AU80" s="10"/>
      <c r="AV80" s="10"/>
      <c r="AW80" s="10"/>
      <c r="AX80" s="10"/>
      <c r="AY80" s="10"/>
      <c r="AZ80" s="10"/>
      <c r="BA80" s="10"/>
      <c r="BB80" s="10"/>
      <c r="BC80" s="10"/>
      <c r="BD80" s="10"/>
      <c r="BE80" s="10"/>
      <c r="BF80" s="10"/>
      <c r="BG80" s="10"/>
      <c r="BH80" s="10"/>
      <c r="BI80" s="10"/>
      <c r="BJ80" s="10"/>
      <c r="BK80" s="10"/>
      <c r="BL80" s="10"/>
      <c r="BM80" s="10"/>
    </row>
    <row r="81" spans="3:65">
      <c r="C81" s="382" t="s">
        <v>184</v>
      </c>
      <c r="D81" s="382" t="s">
        <v>707</v>
      </c>
      <c r="E81" s="382">
        <v>102934.78062206322</v>
      </c>
      <c r="F81" s="382">
        <v>16193.968844239012</v>
      </c>
      <c r="G81" s="382">
        <v>12945.368873539806</v>
      </c>
      <c r="H81" s="382">
        <v>13527.001748064886</v>
      </c>
      <c r="I81" s="382">
        <v>25763.004707969332</v>
      </c>
      <c r="J81" s="382">
        <v>7191.5924967151204</v>
      </c>
      <c r="K81" s="382">
        <v>30429.748354385003</v>
      </c>
      <c r="L81" s="382">
        <v>25350.569557129256</v>
      </c>
      <c r="M81" s="382">
        <v>92064.153115617257</v>
      </c>
      <c r="N81" s="382">
        <v>61177.15368727396</v>
      </c>
      <c r="O81" s="382">
        <v>13433.314106735594</v>
      </c>
      <c r="P81" s="382">
        <v>33580.035116843879</v>
      </c>
      <c r="Q81" s="382">
        <v>78980.397082625059</v>
      </c>
      <c r="R81" s="382">
        <v>17976.03129414851</v>
      </c>
      <c r="S81" s="382">
        <v>7849.7769719732287</v>
      </c>
      <c r="T81" s="382">
        <v>26823.644137381318</v>
      </c>
      <c r="U81" s="382">
        <v>3896.8410087432526</v>
      </c>
      <c r="V81" s="382">
        <v>2078.8645545522818</v>
      </c>
      <c r="W81" s="382">
        <v>572196.24627999996</v>
      </c>
      <c r="Z81" s="10"/>
      <c r="AU81" s="10"/>
      <c r="AV81" s="10"/>
      <c r="AW81" s="10"/>
      <c r="AX81" s="10"/>
      <c r="AY81" s="10"/>
      <c r="AZ81" s="10"/>
      <c r="BA81" s="10"/>
      <c r="BB81" s="10"/>
      <c r="BC81" s="10"/>
      <c r="BD81" s="10"/>
      <c r="BE81" s="10"/>
      <c r="BF81" s="10"/>
      <c r="BG81" s="10"/>
      <c r="BH81" s="10"/>
      <c r="BI81" s="10"/>
      <c r="BJ81" s="10"/>
      <c r="BK81" s="10"/>
      <c r="BL81" s="10"/>
      <c r="BM81" s="10"/>
    </row>
    <row r="82" spans="3:65">
      <c r="C82" s="382" t="s">
        <v>185</v>
      </c>
      <c r="D82" s="382" t="s">
        <v>708</v>
      </c>
      <c r="E82" s="382">
        <v>48353.08693294452</v>
      </c>
      <c r="F82" s="382">
        <v>7607.0340713102796</v>
      </c>
      <c r="G82" s="382">
        <v>6081.0208438637055</v>
      </c>
      <c r="H82" s="382">
        <v>6354.2399130161339</v>
      </c>
      <c r="I82" s="382">
        <v>12102.039745653183</v>
      </c>
      <c r="J82" s="382">
        <v>3378.213807602398</v>
      </c>
      <c r="K82" s="382">
        <v>14294.218714367444</v>
      </c>
      <c r="L82" s="382">
        <v>11908.300442161648</v>
      </c>
      <c r="M82" s="382">
        <v>43246.665238952242</v>
      </c>
      <c r="N82" s="382">
        <v>28737.655170334328</v>
      </c>
      <c r="O82" s="382">
        <v>6310.2306224890535</v>
      </c>
      <c r="P82" s="382">
        <v>15774.049814879145</v>
      </c>
      <c r="Q82" s="382">
        <v>37100.637734453841</v>
      </c>
      <c r="R82" s="382">
        <v>8444.1487961843377</v>
      </c>
      <c r="S82" s="382">
        <v>3687.39259982152</v>
      </c>
      <c r="T82" s="382">
        <v>12600.269694995241</v>
      </c>
      <c r="U82" s="382">
        <v>1830.5211408711984</v>
      </c>
      <c r="V82" s="382">
        <v>976.53599609982496</v>
      </c>
      <c r="W82" s="382">
        <v>268786.26128000004</v>
      </c>
      <c r="Z82" s="10"/>
      <c r="AU82" s="10"/>
      <c r="AV82" s="10"/>
      <c r="AW82" s="10"/>
      <c r="AX82" s="10"/>
      <c r="AY82" s="10"/>
      <c r="AZ82" s="10"/>
      <c r="BA82" s="10"/>
      <c r="BB82" s="10"/>
      <c r="BC82" s="10"/>
      <c r="BD82" s="10"/>
      <c r="BE82" s="10"/>
      <c r="BF82" s="10"/>
      <c r="BG82" s="10"/>
      <c r="BH82" s="10"/>
      <c r="BI82" s="10"/>
      <c r="BJ82" s="10"/>
      <c r="BK82" s="10"/>
      <c r="BL82" s="10"/>
      <c r="BM82" s="10"/>
    </row>
    <row r="83" spans="3:65">
      <c r="C83" s="382" t="s">
        <v>709</v>
      </c>
      <c r="D83" s="382" t="s">
        <v>710</v>
      </c>
      <c r="E83" s="382">
        <v>27887.021294199083</v>
      </c>
      <c r="F83" s="382">
        <v>4387.259109775503</v>
      </c>
      <c r="G83" s="382">
        <v>3507.150598233145</v>
      </c>
      <c r="H83" s="382">
        <v>3664.726184048407</v>
      </c>
      <c r="I83" s="382">
        <v>6979.6958477191083</v>
      </c>
      <c r="J83" s="382">
        <v>1948.341385517173</v>
      </c>
      <c r="K83" s="382">
        <v>8244.0068867642258</v>
      </c>
      <c r="L83" s="382">
        <v>6867.9591950109934</v>
      </c>
      <c r="M83" s="382">
        <v>24941.95822687092</v>
      </c>
      <c r="N83" s="382">
        <v>16574.073187754202</v>
      </c>
      <c r="O83" s="382">
        <v>3639.3443914903996</v>
      </c>
      <c r="P83" s="382">
        <v>9097.4804502828902</v>
      </c>
      <c r="Q83" s="382">
        <v>21397.315872798103</v>
      </c>
      <c r="R83" s="382">
        <v>4870.0542659694511</v>
      </c>
      <c r="S83" s="382">
        <v>2126.6562793374246</v>
      </c>
      <c r="T83" s="382">
        <v>7267.0435660970052</v>
      </c>
      <c r="U83" s="382">
        <v>1055.7295360635228</v>
      </c>
      <c r="V83" s="382">
        <v>563.20458206843523</v>
      </c>
      <c r="W83" s="382">
        <v>155019.02085999999</v>
      </c>
      <c r="Z83" s="10"/>
      <c r="AU83" s="10"/>
      <c r="AV83" s="10"/>
      <c r="AW83" s="10"/>
      <c r="AX83" s="10"/>
      <c r="AY83" s="10"/>
      <c r="AZ83" s="10"/>
      <c r="BA83" s="10"/>
      <c r="BB83" s="10"/>
      <c r="BC83" s="10"/>
      <c r="BD83" s="10"/>
      <c r="BE83" s="10"/>
      <c r="BF83" s="10"/>
      <c r="BG83" s="10"/>
      <c r="BH83" s="10"/>
      <c r="BI83" s="10"/>
      <c r="BJ83" s="10"/>
      <c r="BK83" s="10"/>
      <c r="BL83" s="10"/>
      <c r="BM83" s="10"/>
    </row>
    <row r="84" spans="3:65">
      <c r="C84" s="382" t="s">
        <v>186</v>
      </c>
      <c r="D84" s="382" t="s">
        <v>711</v>
      </c>
      <c r="E84" s="382">
        <v>9946.9606411976838</v>
      </c>
      <c r="F84" s="382">
        <v>1564.8818576672679</v>
      </c>
      <c r="G84" s="382">
        <v>1250.9578773346693</v>
      </c>
      <c r="H84" s="382">
        <v>1307.1631684477836</v>
      </c>
      <c r="I84" s="382">
        <v>2489.57244850079</v>
      </c>
      <c r="J84" s="382">
        <v>694.94962810485708</v>
      </c>
      <c r="K84" s="382">
        <v>2940.5367881819716</v>
      </c>
      <c r="L84" s="382">
        <v>2449.7173461956186</v>
      </c>
      <c r="M84" s="382">
        <v>8896.492536070522</v>
      </c>
      <c r="N84" s="382">
        <v>5911.7699206266452</v>
      </c>
      <c r="O84" s="382">
        <v>1298.1097923659838</v>
      </c>
      <c r="P84" s="382">
        <v>3244.9604071501544</v>
      </c>
      <c r="Q84" s="382">
        <v>7632.16180633357</v>
      </c>
      <c r="R84" s="382">
        <v>1737.0890061381965</v>
      </c>
      <c r="S84" s="382">
        <v>758.5523776368891</v>
      </c>
      <c r="T84" s="382">
        <v>2592.0658777878198</v>
      </c>
      <c r="U84" s="382">
        <v>376.56585951537892</v>
      </c>
      <c r="V84" s="382">
        <v>200.88821074419488</v>
      </c>
      <c r="W84" s="382">
        <v>55293.395549999994</v>
      </c>
      <c r="Z84" s="10"/>
      <c r="AU84" s="10"/>
      <c r="AV84" s="10"/>
      <c r="AW84" s="10"/>
      <c r="AX84" s="10"/>
      <c r="AY84" s="10"/>
      <c r="AZ84" s="10"/>
      <c r="BA84" s="10"/>
      <c r="BB84" s="10"/>
      <c r="BC84" s="10"/>
      <c r="BD84" s="10"/>
      <c r="BE84" s="10"/>
      <c r="BF84" s="10"/>
      <c r="BG84" s="10"/>
      <c r="BH84" s="10"/>
      <c r="BI84" s="10"/>
      <c r="BJ84" s="10"/>
      <c r="BK84" s="10"/>
      <c r="BL84" s="10"/>
      <c r="BM84" s="10"/>
    </row>
    <row r="85" spans="3:65">
      <c r="C85" s="382" t="s">
        <v>187</v>
      </c>
      <c r="D85" s="382" t="s">
        <v>712</v>
      </c>
      <c r="E85" s="382">
        <v>8350.1183086152651</v>
      </c>
      <c r="F85" s="382">
        <v>1313.6624464369017</v>
      </c>
      <c r="G85" s="382">
        <v>1050.1344733963863</v>
      </c>
      <c r="H85" s="382">
        <v>1097.316808512991</v>
      </c>
      <c r="I85" s="382">
        <v>2089.9071819738829</v>
      </c>
      <c r="J85" s="382">
        <v>583.38540007583913</v>
      </c>
      <c r="K85" s="382">
        <v>2468.475643751874</v>
      </c>
      <c r="L85" s="382">
        <v>2056.4502465888368</v>
      </c>
      <c r="M85" s="382">
        <v>7468.287840631976</v>
      </c>
      <c r="N85" s="382">
        <v>4962.7197725195574</v>
      </c>
      <c r="O85" s="382">
        <v>1089.7168225371429</v>
      </c>
      <c r="P85" s="382">
        <v>2724.0284026311001</v>
      </c>
      <c r="Q85" s="382">
        <v>6406.9273351127504</v>
      </c>
      <c r="R85" s="382">
        <v>1458.2241990355715</v>
      </c>
      <c r="S85" s="382">
        <v>636.77763741375077</v>
      </c>
      <c r="T85" s="382">
        <v>2175.9467564000411</v>
      </c>
      <c r="U85" s="382">
        <v>316.11359402747223</v>
      </c>
      <c r="V85" s="382">
        <v>168.6384803386623</v>
      </c>
      <c r="W85" s="382">
        <v>46416.83135</v>
      </c>
      <c r="Z85" s="10"/>
      <c r="AU85" s="10"/>
      <c r="AV85" s="10"/>
      <c r="AW85" s="10"/>
      <c r="AX85" s="10"/>
      <c r="AY85" s="10"/>
      <c r="AZ85" s="10"/>
      <c r="BA85" s="10"/>
      <c r="BB85" s="10"/>
      <c r="BC85" s="10"/>
      <c r="BD85" s="10"/>
      <c r="BE85" s="10"/>
      <c r="BF85" s="10"/>
      <c r="BG85" s="10"/>
      <c r="BH85" s="10"/>
      <c r="BI85" s="10"/>
      <c r="BJ85" s="10"/>
      <c r="BK85" s="10"/>
      <c r="BL85" s="10"/>
      <c r="BM85" s="10"/>
    </row>
    <row r="86" spans="3:65">
      <c r="C86" s="382" t="s">
        <v>188</v>
      </c>
      <c r="D86" s="382" t="s">
        <v>189</v>
      </c>
      <c r="E86" s="382">
        <v>3936.2882367935126</v>
      </c>
      <c r="F86" s="382">
        <v>619.26715813018041</v>
      </c>
      <c r="G86" s="382">
        <v>495.03873141733277</v>
      </c>
      <c r="H86" s="382">
        <v>517.28072414602502</v>
      </c>
      <c r="I86" s="382">
        <v>985.19287420231842</v>
      </c>
      <c r="J86" s="382">
        <v>275.01084451298271</v>
      </c>
      <c r="K86" s="382">
        <v>1163.6519723662627</v>
      </c>
      <c r="L86" s="382">
        <v>969.42110471020965</v>
      </c>
      <c r="M86" s="382">
        <v>3520.5888694698933</v>
      </c>
      <c r="N86" s="382">
        <v>2339.4513396195021</v>
      </c>
      <c r="O86" s="382">
        <v>513.69805210583831</v>
      </c>
      <c r="P86" s="382">
        <v>1284.1208425640125</v>
      </c>
      <c r="Q86" s="382">
        <v>3020.2581294177357</v>
      </c>
      <c r="R86" s="382">
        <v>687.4143035014373</v>
      </c>
      <c r="S86" s="382">
        <v>300.18021673043597</v>
      </c>
      <c r="T86" s="382">
        <v>1025.7523671574033</v>
      </c>
      <c r="U86" s="382">
        <v>149.01755588026018</v>
      </c>
      <c r="V86" s="382">
        <v>79.497037274660229</v>
      </c>
      <c r="W86" s="382">
        <v>21881.130360000003</v>
      </c>
      <c r="Z86" s="10"/>
      <c r="AU86" s="10"/>
      <c r="AV86" s="10"/>
      <c r="AW86" s="10"/>
      <c r="AX86" s="10"/>
      <c r="AY86" s="10"/>
      <c r="AZ86" s="10"/>
      <c r="BA86" s="10"/>
      <c r="BB86" s="10"/>
      <c r="BC86" s="10"/>
      <c r="BD86" s="10"/>
      <c r="BE86" s="10"/>
      <c r="BF86" s="10"/>
      <c r="BG86" s="10"/>
      <c r="BH86" s="10"/>
      <c r="BI86" s="10"/>
      <c r="BJ86" s="10"/>
      <c r="BK86" s="10"/>
      <c r="BL86" s="10"/>
      <c r="BM86" s="10"/>
    </row>
    <row r="87" spans="3:65">
      <c r="C87" s="382" t="s">
        <v>190</v>
      </c>
      <c r="D87" s="382" t="s">
        <v>713</v>
      </c>
      <c r="E87" s="382">
        <v>15094.762740110484</v>
      </c>
      <c r="F87" s="382">
        <v>2374.7475444867709</v>
      </c>
      <c r="G87" s="382">
        <v>1898.3600154233072</v>
      </c>
      <c r="H87" s="382">
        <v>1983.6529571262663</v>
      </c>
      <c r="I87" s="382">
        <v>3777.9887535485927</v>
      </c>
      <c r="J87" s="382">
        <v>1054.6035247313246</v>
      </c>
      <c r="K87" s="382">
        <v>4462.3384717473764</v>
      </c>
      <c r="L87" s="382">
        <v>3717.5076342418861</v>
      </c>
      <c r="M87" s="382">
        <v>13500.650992319481</v>
      </c>
      <c r="N87" s="382">
        <v>8971.2594173124489</v>
      </c>
      <c r="O87" s="382">
        <v>1969.9142314108196</v>
      </c>
      <c r="P87" s="382">
        <v>4924.308963696285</v>
      </c>
      <c r="Q87" s="382">
        <v>11581.997337315966</v>
      </c>
      <c r="R87" s="382">
        <v>2636.0762198565626</v>
      </c>
      <c r="S87" s="382">
        <v>1151.1222954831005</v>
      </c>
      <c r="T87" s="382">
        <v>3933.5251081512511</v>
      </c>
      <c r="U87" s="382">
        <v>571.44815491358042</v>
      </c>
      <c r="V87" s="382">
        <v>304.85290812448795</v>
      </c>
      <c r="W87" s="382">
        <v>83909.117269999988</v>
      </c>
      <c r="Z87" s="10"/>
      <c r="AU87" s="10"/>
      <c r="AV87" s="10"/>
      <c r="AW87" s="10"/>
      <c r="AX87" s="10"/>
      <c r="AY87" s="10"/>
      <c r="AZ87" s="10"/>
      <c r="BA87" s="10"/>
      <c r="BB87" s="10"/>
      <c r="BC87" s="10"/>
      <c r="BD87" s="10"/>
      <c r="BE87" s="10"/>
      <c r="BF87" s="10"/>
      <c r="BG87" s="10"/>
      <c r="BH87" s="10"/>
      <c r="BI87" s="10"/>
      <c r="BJ87" s="10"/>
      <c r="BK87" s="10"/>
      <c r="BL87" s="10"/>
      <c r="BM87" s="10"/>
    </row>
    <row r="88" spans="3:65">
      <c r="C88" s="382" t="s">
        <v>191</v>
      </c>
      <c r="D88" s="382" t="s">
        <v>714</v>
      </c>
      <c r="E88" s="382">
        <v>5101.6492027121376</v>
      </c>
      <c r="F88" s="382">
        <v>802.60479250731612</v>
      </c>
      <c r="G88" s="382">
        <v>641.59781944833878</v>
      </c>
      <c r="H88" s="382">
        <v>670.42468314455402</v>
      </c>
      <c r="I88" s="382">
        <v>1276.8649394654565</v>
      </c>
      <c r="J88" s="382">
        <v>356.42940029964279</v>
      </c>
      <c r="K88" s="382">
        <v>1508.1578888370839</v>
      </c>
      <c r="L88" s="382">
        <v>1256.4238461271495</v>
      </c>
      <c r="M88" s="382">
        <v>4562.8796263251097</v>
      </c>
      <c r="N88" s="382">
        <v>3032.059479281409</v>
      </c>
      <c r="O88" s="382">
        <v>665.78134026469263</v>
      </c>
      <c r="P88" s="382">
        <v>1664.2922668664289</v>
      </c>
      <c r="Q88" s="382">
        <v>3914.4230683879982</v>
      </c>
      <c r="R88" s="382">
        <v>890.92729557014718</v>
      </c>
      <c r="S88" s="382">
        <v>389.05031116325728</v>
      </c>
      <c r="T88" s="382">
        <v>1329.4323055852897</v>
      </c>
      <c r="U88" s="382">
        <v>193.13506771189245</v>
      </c>
      <c r="V88" s="382">
        <v>103.03259630209909</v>
      </c>
      <c r="W88" s="382">
        <v>28359.165930000003</v>
      </c>
      <c r="Z88" s="10"/>
      <c r="AU88" s="10"/>
      <c r="AV88" s="10"/>
      <c r="AW88" s="10"/>
      <c r="AX88" s="10"/>
      <c r="AY88" s="10"/>
      <c r="AZ88" s="10"/>
      <c r="BA88" s="10"/>
      <c r="BB88" s="10"/>
      <c r="BC88" s="10"/>
      <c r="BD88" s="10"/>
      <c r="BE88" s="10"/>
      <c r="BF88" s="10"/>
      <c r="BG88" s="10"/>
      <c r="BH88" s="10"/>
      <c r="BI88" s="10"/>
      <c r="BJ88" s="10"/>
      <c r="BK88" s="10"/>
      <c r="BL88" s="10"/>
      <c r="BM88" s="10"/>
    </row>
    <row r="89" spans="3:65">
      <c r="C89" s="382" t="s">
        <v>192</v>
      </c>
      <c r="D89" s="382" t="s">
        <v>193</v>
      </c>
      <c r="E89" s="382">
        <v>28926.764519585631</v>
      </c>
      <c r="F89" s="382">
        <v>4550.834232743312</v>
      </c>
      <c r="G89" s="382">
        <v>3637.9116442571544</v>
      </c>
      <c r="H89" s="382">
        <v>3801.3622981232238</v>
      </c>
      <c r="I89" s="382">
        <v>7239.92770957214</v>
      </c>
      <c r="J89" s="382">
        <v>2020.9835919027332</v>
      </c>
      <c r="K89" s="382">
        <v>8551.3774811394742</v>
      </c>
      <c r="L89" s="382">
        <v>7124.0250533868166</v>
      </c>
      <c r="M89" s="382">
        <v>25871.897348754042</v>
      </c>
      <c r="N89" s="382">
        <v>17192.023026578077</v>
      </c>
      <c r="O89" s="382">
        <v>3775.0341676045591</v>
      </c>
      <c r="P89" s="382">
        <v>9436.672060834564</v>
      </c>
      <c r="Q89" s="382">
        <v>22195.096101295501</v>
      </c>
      <c r="R89" s="382">
        <v>5051.6299845407239</v>
      </c>
      <c r="S89" s="382">
        <v>2205.9468007538089</v>
      </c>
      <c r="T89" s="382">
        <v>7537.9889365876861</v>
      </c>
      <c r="U89" s="382">
        <v>1095.091489474835</v>
      </c>
      <c r="V89" s="382">
        <v>584.20317286572947</v>
      </c>
      <c r="W89" s="382">
        <v>160798.76962000001</v>
      </c>
      <c r="Z89" s="10"/>
      <c r="AU89" s="10"/>
      <c r="AV89" s="10"/>
      <c r="AW89" s="10"/>
      <c r="AX89" s="10"/>
      <c r="AY89" s="10"/>
      <c r="AZ89" s="10"/>
      <c r="BA89" s="10"/>
      <c r="BB89" s="10"/>
      <c r="BC89" s="10"/>
      <c r="BD89" s="10"/>
      <c r="BE89" s="10"/>
      <c r="BF89" s="10"/>
      <c r="BG89" s="10"/>
      <c r="BH89" s="10"/>
      <c r="BI89" s="10"/>
      <c r="BJ89" s="10"/>
      <c r="BK89" s="10"/>
      <c r="BL89" s="10"/>
      <c r="BM89" s="10"/>
    </row>
    <row r="90" spans="3:65">
      <c r="C90" s="382"/>
      <c r="D90" s="382" t="s">
        <v>668</v>
      </c>
      <c r="E90" s="382">
        <v>382882.4451591043</v>
      </c>
      <c r="F90" s="382">
        <v>60236.067444278262</v>
      </c>
      <c r="G90" s="382">
        <v>48152.378213016607</v>
      </c>
      <c r="H90" s="382">
        <v>50315.855084850016</v>
      </c>
      <c r="I90" s="382">
        <v>95829.632876475007</v>
      </c>
      <c r="J90" s="382">
        <v>26750.283073318715</v>
      </c>
      <c r="K90" s="382">
        <v>113188.33522637207</v>
      </c>
      <c r="L90" s="382">
        <v>94295.514106620016</v>
      </c>
      <c r="M90" s="382">
        <v>342447.40061022877</v>
      </c>
      <c r="N90" s="382">
        <v>227558.24659169765</v>
      </c>
      <c r="O90" s="382">
        <v>49967.368859139249</v>
      </c>
      <c r="P90" s="382">
        <v>124906.33269305219</v>
      </c>
      <c r="Q90" s="382">
        <v>293780.2691362683</v>
      </c>
      <c r="R90" s="382">
        <v>66864.734879367941</v>
      </c>
      <c r="S90" s="382">
        <v>29198.505916264869</v>
      </c>
      <c r="T90" s="382">
        <v>99774.851545143101</v>
      </c>
      <c r="U90" s="382">
        <v>14494.925862833985</v>
      </c>
      <c r="V90" s="382">
        <v>7732.6705219689584</v>
      </c>
      <c r="W90" s="382">
        <v>2128375.8178000003</v>
      </c>
      <c r="Z90" s="10"/>
      <c r="AU90" s="10"/>
      <c r="AV90" s="10"/>
      <c r="AW90" s="10"/>
      <c r="AX90" s="10"/>
      <c r="AY90" s="10"/>
      <c r="AZ90" s="10"/>
      <c r="BA90" s="10"/>
      <c r="BB90" s="10"/>
      <c r="BC90" s="10"/>
      <c r="BD90" s="10"/>
      <c r="BE90" s="10"/>
      <c r="BF90" s="10"/>
      <c r="BG90" s="10"/>
      <c r="BH90" s="10"/>
      <c r="BI90" s="10"/>
      <c r="BJ90" s="10"/>
      <c r="BK90" s="10"/>
      <c r="BL90" s="10"/>
      <c r="BM90" s="10"/>
    </row>
    <row r="91" spans="3:65">
      <c r="C91" s="382" t="s">
        <v>655</v>
      </c>
      <c r="D91" s="382" t="s">
        <v>1187</v>
      </c>
      <c r="E91" s="382" t="s">
        <v>9</v>
      </c>
      <c r="F91" s="382" t="s">
        <v>10</v>
      </c>
      <c r="G91" s="382" t="s">
        <v>11</v>
      </c>
      <c r="H91" s="382" t="s">
        <v>31</v>
      </c>
      <c r="I91" s="382" t="s">
        <v>12</v>
      </c>
      <c r="J91" s="382" t="s">
        <v>13</v>
      </c>
      <c r="K91" s="382" t="s">
        <v>14</v>
      </c>
      <c r="L91" s="382" t="s">
        <v>15</v>
      </c>
      <c r="M91" s="382" t="s">
        <v>16</v>
      </c>
      <c r="N91" s="382" t="s">
        <v>17</v>
      </c>
      <c r="O91" s="382" t="s">
        <v>18</v>
      </c>
      <c r="P91" s="382" t="s">
        <v>19</v>
      </c>
      <c r="Q91" s="382" t="s">
        <v>20</v>
      </c>
      <c r="R91" s="382" t="s">
        <v>60</v>
      </c>
      <c r="S91" s="382" t="s">
        <v>61</v>
      </c>
      <c r="T91" s="382" t="s">
        <v>62</v>
      </c>
      <c r="U91" s="382" t="s">
        <v>63</v>
      </c>
      <c r="V91" s="382" t="s">
        <v>64</v>
      </c>
      <c r="W91" s="382" t="s">
        <v>656</v>
      </c>
      <c r="Z91" s="10"/>
      <c r="AU91" s="10"/>
      <c r="AV91" s="10"/>
      <c r="AW91" s="10"/>
      <c r="AX91" s="10"/>
      <c r="AY91" s="10"/>
      <c r="AZ91" s="10"/>
      <c r="BA91" s="10"/>
      <c r="BB91" s="10"/>
      <c r="BC91" s="10"/>
      <c r="BD91" s="10"/>
      <c r="BE91" s="10"/>
      <c r="BF91" s="10"/>
      <c r="BG91" s="10"/>
      <c r="BH91" s="10"/>
      <c r="BI91" s="10"/>
      <c r="BJ91" s="10"/>
      <c r="BK91" s="10"/>
      <c r="BL91" s="10"/>
      <c r="BM91" s="10"/>
    </row>
    <row r="92" spans="3:65">
      <c r="C92" s="382" t="s">
        <v>1188</v>
      </c>
      <c r="D92" s="382" t="s">
        <v>1189</v>
      </c>
      <c r="E92" s="382">
        <v>7732.292387838781</v>
      </c>
      <c r="F92" s="382">
        <v>1216.4644570716516</v>
      </c>
      <c r="G92" s="382">
        <v>972.43493981063477</v>
      </c>
      <c r="H92" s="382">
        <v>1016.1262501823895</v>
      </c>
      <c r="I92" s="382">
        <v>1935.2747826091695</v>
      </c>
      <c r="J92" s="382">
        <v>540.22066771539619</v>
      </c>
      <c r="K92" s="382">
        <v>2285.8329336549632</v>
      </c>
      <c r="L92" s="382">
        <v>1904.2933285462623</v>
      </c>
      <c r="M92" s="382">
        <v>6915.7086266342958</v>
      </c>
      <c r="N92" s="382">
        <v>4595.5277400606756</v>
      </c>
      <c r="O92" s="382">
        <v>1009.0885877760855</v>
      </c>
      <c r="P92" s="382">
        <v>2522.4773234876538</v>
      </c>
      <c r="Q92" s="382">
        <v>5932.8782697144798</v>
      </c>
      <c r="R92" s="382">
        <v>1350.3300740459692</v>
      </c>
      <c r="S92" s="382">
        <v>589.66240914697107</v>
      </c>
      <c r="T92" s="382">
        <v>2014.9482820495143</v>
      </c>
      <c r="U92" s="382">
        <v>292.72432394988761</v>
      </c>
      <c r="V92" s="382">
        <v>156.16090570524864</v>
      </c>
      <c r="W92" s="382">
        <v>42982.446290000029</v>
      </c>
      <c r="Z92" s="10"/>
      <c r="AU92" s="10"/>
      <c r="AV92" s="10"/>
      <c r="AW92" s="10"/>
      <c r="AX92" s="10"/>
      <c r="AY92" s="10"/>
      <c r="AZ92" s="10"/>
      <c r="BA92" s="10"/>
      <c r="BB92" s="10"/>
      <c r="BC92" s="10"/>
      <c r="BD92" s="10"/>
      <c r="BE92" s="10"/>
      <c r="BF92" s="10"/>
      <c r="BG92" s="10"/>
      <c r="BH92" s="10"/>
      <c r="BI92" s="10"/>
      <c r="BJ92" s="10"/>
      <c r="BK92" s="10"/>
      <c r="BL92" s="10"/>
      <c r="BM92" s="10"/>
    </row>
    <row r="93" spans="3:65">
      <c r="C93" s="382" t="s">
        <v>194</v>
      </c>
      <c r="D93" s="382" t="s">
        <v>195</v>
      </c>
      <c r="E93" s="382">
        <v>2131.2763296390822</v>
      </c>
      <c r="F93" s="382">
        <v>335.29796510045327</v>
      </c>
      <c r="G93" s="382">
        <v>268.03533355671442</v>
      </c>
      <c r="H93" s="382">
        <v>280.07810831684765</v>
      </c>
      <c r="I93" s="382">
        <v>533.42594002387352</v>
      </c>
      <c r="J93" s="382">
        <v>148.90273985170072</v>
      </c>
      <c r="K93" s="382">
        <v>630.05139752222487</v>
      </c>
      <c r="L93" s="382">
        <v>524.88642335920031</v>
      </c>
      <c r="M93" s="382">
        <v>1906.1987518485694</v>
      </c>
      <c r="N93" s="382">
        <v>1266.6799188809098</v>
      </c>
      <c r="O93" s="382">
        <v>278.13829505705201</v>
      </c>
      <c r="P93" s="382">
        <v>695.27844291765484</v>
      </c>
      <c r="Q93" s="382">
        <v>1635.2980964299491</v>
      </c>
      <c r="R93" s="382">
        <v>372.19577062816683</v>
      </c>
      <c r="S93" s="382">
        <v>162.53052420385245</v>
      </c>
      <c r="T93" s="382">
        <v>555.38659993422402</v>
      </c>
      <c r="U93" s="382">
        <v>80.684535898464006</v>
      </c>
      <c r="V93" s="382">
        <v>43.043126831061635</v>
      </c>
      <c r="W93" s="382">
        <v>11847.388300000001</v>
      </c>
      <c r="Z93" s="10"/>
      <c r="AU93" s="10"/>
      <c r="AV93" s="10"/>
      <c r="AW93" s="10"/>
      <c r="AX93" s="10"/>
      <c r="AY93" s="10"/>
      <c r="AZ93" s="10"/>
      <c r="BA93" s="10"/>
      <c r="BB93" s="10"/>
      <c r="BC93" s="10"/>
      <c r="BD93" s="10"/>
      <c r="BE93" s="10"/>
      <c r="BF93" s="10"/>
      <c r="BG93" s="10"/>
      <c r="BH93" s="10"/>
      <c r="BI93" s="10"/>
      <c r="BJ93" s="10"/>
      <c r="BK93" s="10"/>
      <c r="BL93" s="10"/>
      <c r="BM93" s="10"/>
    </row>
    <row r="94" spans="3:65">
      <c r="C94" s="382" t="s">
        <v>196</v>
      </c>
      <c r="D94" s="382" t="s">
        <v>715</v>
      </c>
      <c r="E94" s="382">
        <v>1009.3282339370679</v>
      </c>
      <c r="F94" s="382">
        <v>158.79015698299591</v>
      </c>
      <c r="G94" s="382">
        <v>126.93597075577006</v>
      </c>
      <c r="H94" s="382">
        <v>132.6391789279387</v>
      </c>
      <c r="I94" s="382">
        <v>252.61945365465183</v>
      </c>
      <c r="J94" s="382">
        <v>70.517247037768527</v>
      </c>
      <c r="K94" s="382">
        <v>298.37926481282659</v>
      </c>
      <c r="L94" s="382">
        <v>248.57531580449782</v>
      </c>
      <c r="M94" s="382">
        <v>902.73616470097681</v>
      </c>
      <c r="N94" s="382">
        <v>599.87331896287799</v>
      </c>
      <c r="O94" s="382">
        <v>131.72052362996109</v>
      </c>
      <c r="P94" s="382">
        <v>329.26943968989241</v>
      </c>
      <c r="Q94" s="382">
        <v>774.44323698269568</v>
      </c>
      <c r="R94" s="382">
        <v>176.26419184723483</v>
      </c>
      <c r="S94" s="382">
        <v>76.971082854995402</v>
      </c>
      <c r="T94" s="382">
        <v>263.01956638295309</v>
      </c>
      <c r="U94" s="382">
        <v>38.210521550820907</v>
      </c>
      <c r="V94" s="382">
        <v>20.38433148407449</v>
      </c>
      <c r="W94" s="382">
        <v>5610.6772000000001</v>
      </c>
      <c r="Z94" s="10"/>
      <c r="AU94" s="10"/>
      <c r="AV94" s="10"/>
      <c r="AW94" s="10"/>
      <c r="AX94" s="10"/>
      <c r="AY94" s="10"/>
      <c r="AZ94" s="10"/>
      <c r="BA94" s="10"/>
      <c r="BB94" s="10"/>
      <c r="BC94" s="10"/>
      <c r="BD94" s="10"/>
      <c r="BE94" s="10"/>
      <c r="BF94" s="10"/>
      <c r="BG94" s="10"/>
      <c r="BH94" s="10"/>
      <c r="BI94" s="10"/>
      <c r="BJ94" s="10"/>
      <c r="BK94" s="10"/>
      <c r="BL94" s="10"/>
      <c r="BM94" s="10"/>
    </row>
    <row r="95" spans="3:65">
      <c r="C95" s="382" t="s">
        <v>468</v>
      </c>
      <c r="D95" s="382" t="s">
        <v>716</v>
      </c>
      <c r="E95" s="382">
        <v>1135.229592052254</v>
      </c>
      <c r="F95" s="382">
        <v>178.59728785210947</v>
      </c>
      <c r="G95" s="382">
        <v>142.76968131143599</v>
      </c>
      <c r="H95" s="382">
        <v>149.18429498118871</v>
      </c>
      <c r="I95" s="382">
        <v>284.13064221753916</v>
      </c>
      <c r="J95" s="382">
        <v>79.31341153023304</v>
      </c>
      <c r="K95" s="382">
        <v>335.5984304026083</v>
      </c>
      <c r="L95" s="382">
        <v>279.58204761028708</v>
      </c>
      <c r="M95" s="382">
        <v>1015.34146527026</v>
      </c>
      <c r="N95" s="382">
        <v>674.70018203386553</v>
      </c>
      <c r="O95" s="382">
        <v>148.15104866537743</v>
      </c>
      <c r="P95" s="382">
        <v>370.34177696225748</v>
      </c>
      <c r="Q95" s="382">
        <v>871.04556320408005</v>
      </c>
      <c r="R95" s="382">
        <v>198.2509949450527</v>
      </c>
      <c r="S95" s="382">
        <v>86.572284467319136</v>
      </c>
      <c r="T95" s="382">
        <v>295.82804186700054</v>
      </c>
      <c r="U95" s="382">
        <v>42.976816989493727</v>
      </c>
      <c r="V95" s="382">
        <v>22.927027637638293</v>
      </c>
      <c r="W95" s="382">
        <v>6310.5405900000005</v>
      </c>
      <c r="Z95" s="10"/>
      <c r="AU95" s="10"/>
      <c r="AV95" s="10"/>
      <c r="AW95" s="10"/>
      <c r="AX95" s="10"/>
      <c r="AY95" s="10"/>
      <c r="AZ95" s="10"/>
      <c r="BA95" s="10"/>
      <c r="BB95" s="10"/>
      <c r="BC95" s="10"/>
      <c r="BD95" s="10"/>
      <c r="BE95" s="10"/>
      <c r="BF95" s="10"/>
      <c r="BG95" s="10"/>
      <c r="BH95" s="10"/>
      <c r="BI95" s="10"/>
      <c r="BJ95" s="10"/>
      <c r="BK95" s="10"/>
      <c r="BL95" s="10"/>
      <c r="BM95" s="10"/>
    </row>
    <row r="96" spans="3:65">
      <c r="C96" s="382" t="s">
        <v>197</v>
      </c>
      <c r="D96" s="382" t="s">
        <v>1190</v>
      </c>
      <c r="E96" s="382">
        <v>7261.4290059085461</v>
      </c>
      <c r="F96" s="382">
        <v>1142.386998599497</v>
      </c>
      <c r="G96" s="382">
        <v>913.21783038180456</v>
      </c>
      <c r="H96" s="382">
        <v>954.24852768686208</v>
      </c>
      <c r="I96" s="382">
        <v>1817.4248639308676</v>
      </c>
      <c r="J96" s="382">
        <v>507.32355029790818</v>
      </c>
      <c r="K96" s="382">
        <v>2146.6355298732469</v>
      </c>
      <c r="L96" s="382">
        <v>1788.3300472977762</v>
      </c>
      <c r="M96" s="382">
        <v>6494.5716870246833</v>
      </c>
      <c r="N96" s="382">
        <v>4315.6798469775758</v>
      </c>
      <c r="O96" s="382">
        <v>947.63942868133267</v>
      </c>
      <c r="P96" s="382">
        <v>2368.8692931902247</v>
      </c>
      <c r="Q96" s="382">
        <v>5571.5914757681139</v>
      </c>
      <c r="R96" s="382">
        <v>1268.1007747003575</v>
      </c>
      <c r="S96" s="382">
        <v>553.75450211997395</v>
      </c>
      <c r="T96" s="382">
        <v>1892.2465896002541</v>
      </c>
      <c r="U96" s="382">
        <v>274.89867041341927</v>
      </c>
      <c r="V96" s="382">
        <v>146.65137754755645</v>
      </c>
      <c r="W96" s="382">
        <v>40365</v>
      </c>
      <c r="Z96" s="10"/>
      <c r="AU96" s="10"/>
      <c r="AV96" s="10"/>
      <c r="AW96" s="10"/>
      <c r="AX96" s="10"/>
      <c r="AY96" s="10"/>
      <c r="AZ96" s="10"/>
      <c r="BA96" s="10"/>
      <c r="BB96" s="10"/>
      <c r="BC96" s="10"/>
      <c r="BD96" s="10"/>
      <c r="BE96" s="10"/>
      <c r="BF96" s="10"/>
      <c r="BG96" s="10"/>
      <c r="BH96" s="10"/>
      <c r="BI96" s="10"/>
      <c r="BJ96" s="10"/>
      <c r="BK96" s="10"/>
      <c r="BL96" s="10"/>
      <c r="BM96" s="10"/>
    </row>
    <row r="97" spans="3:65">
      <c r="C97" s="382" t="s">
        <v>198</v>
      </c>
      <c r="D97" s="382" t="s">
        <v>199</v>
      </c>
      <c r="E97" s="382">
        <v>83359.370067085401</v>
      </c>
      <c r="F97" s="382">
        <v>13114.314069392665</v>
      </c>
      <c r="G97" s="382">
        <v>10483.509927965331</v>
      </c>
      <c r="H97" s="382">
        <v>10954.531964809566</v>
      </c>
      <c r="I97" s="382">
        <v>20863.578185266579</v>
      </c>
      <c r="J97" s="382">
        <v>5823.9461597186846</v>
      </c>
      <c r="K97" s="382">
        <v>24642.833440670511</v>
      </c>
      <c r="L97" s="382">
        <v>20529.577042409106</v>
      </c>
      <c r="M97" s="382">
        <v>74556.041826669098</v>
      </c>
      <c r="N97" s="382">
        <v>49542.914096184046</v>
      </c>
      <c r="O97" s="382">
        <v>10878.661178306847</v>
      </c>
      <c r="P97" s="382">
        <v>27194.020886373994</v>
      </c>
      <c r="Q97" s="382">
        <v>63960.462233158149</v>
      </c>
      <c r="R97" s="382">
        <v>14557.476451892771</v>
      </c>
      <c r="S97" s="382">
        <v>6356.9617538053644</v>
      </c>
      <c r="T97" s="382">
        <v>21722.512688937586</v>
      </c>
      <c r="U97" s="382">
        <v>3155.7672710558704</v>
      </c>
      <c r="V97" s="382">
        <v>1683.5207562984442</v>
      </c>
      <c r="W97" s="382">
        <v>463380</v>
      </c>
      <c r="Z97" s="10"/>
      <c r="AU97" s="10"/>
      <c r="AV97" s="10"/>
      <c r="AW97" s="10"/>
      <c r="AX97" s="10"/>
      <c r="AY97" s="10"/>
      <c r="AZ97" s="10"/>
      <c r="BA97" s="10"/>
      <c r="BB97" s="10"/>
      <c r="BC97" s="10"/>
      <c r="BD97" s="10"/>
      <c r="BE97" s="10"/>
      <c r="BF97" s="10"/>
      <c r="BG97" s="10"/>
      <c r="BH97" s="10"/>
      <c r="BI97" s="10"/>
      <c r="BJ97" s="10"/>
      <c r="BK97" s="10"/>
      <c r="BL97" s="10"/>
      <c r="BM97" s="10"/>
    </row>
    <row r="98" spans="3:65">
      <c r="C98" s="382" t="s">
        <v>1191</v>
      </c>
      <c r="D98" s="382" t="s">
        <v>1192</v>
      </c>
      <c r="E98" s="382">
        <v>279.5242778890626</v>
      </c>
      <c r="F98" s="382">
        <v>43.975490305495896</v>
      </c>
      <c r="G98" s="382">
        <v>35.153763038264614</v>
      </c>
      <c r="H98" s="382">
        <v>36.733214689743768</v>
      </c>
      <c r="I98" s="382">
        <v>69.96066095179583</v>
      </c>
      <c r="J98" s="382">
        <v>19.529110446132528</v>
      </c>
      <c r="K98" s="382">
        <v>82.633424618016818</v>
      </c>
      <c r="L98" s="382">
        <v>68.840673742244917</v>
      </c>
      <c r="M98" s="382">
        <v>250.00457341621907</v>
      </c>
      <c r="N98" s="382">
        <v>166.12946182427777</v>
      </c>
      <c r="O98" s="382">
        <v>36.478801457098413</v>
      </c>
      <c r="P98" s="382">
        <v>91.188177706314022</v>
      </c>
      <c r="Q98" s="382">
        <v>214.4750134842196</v>
      </c>
      <c r="R98" s="382">
        <v>48.814765392631955</v>
      </c>
      <c r="S98" s="382">
        <v>21.316441599436409</v>
      </c>
      <c r="T98" s="382">
        <v>72.840877617293884</v>
      </c>
      <c r="U98" s="382">
        <v>10.582056545268138</v>
      </c>
      <c r="V98" s="382">
        <v>5.6452552764836996</v>
      </c>
      <c r="W98" s="382">
        <v>1553.8260399999999</v>
      </c>
      <c r="Z98" s="10"/>
      <c r="AU98" s="10"/>
      <c r="AV98" s="10"/>
      <c r="AW98" s="10"/>
      <c r="AX98" s="10"/>
      <c r="AY98" s="10"/>
      <c r="AZ98" s="10"/>
      <c r="BA98" s="10"/>
      <c r="BB98" s="10"/>
      <c r="BC98" s="10"/>
      <c r="BD98" s="10"/>
      <c r="BE98" s="10"/>
      <c r="BF98" s="10"/>
      <c r="BG98" s="10"/>
      <c r="BH98" s="10"/>
      <c r="BI98" s="10"/>
      <c r="BJ98" s="10"/>
      <c r="BK98" s="10"/>
      <c r="BL98" s="10"/>
      <c r="BM98" s="10"/>
    </row>
    <row r="99" spans="3:65">
      <c r="C99" s="382"/>
      <c r="D99" s="382" t="s">
        <v>668</v>
      </c>
      <c r="E99" s="382">
        <v>102908.4498943502</v>
      </c>
      <c r="F99" s="382">
        <v>16189.826425304869</v>
      </c>
      <c r="G99" s="382">
        <v>12942.057446819956</v>
      </c>
      <c r="H99" s="382">
        <v>13523.541539594537</v>
      </c>
      <c r="I99" s="382">
        <v>25756.414528654474</v>
      </c>
      <c r="J99" s="382">
        <v>7189.7528865978238</v>
      </c>
      <c r="K99" s="382">
        <v>30421.964421554396</v>
      </c>
      <c r="L99" s="382">
        <v>25344.084878769372</v>
      </c>
      <c r="M99" s="382">
        <v>92040.603095564104</v>
      </c>
      <c r="N99" s="382">
        <v>61161.504564924231</v>
      </c>
      <c r="O99" s="382">
        <v>13429.877863573754</v>
      </c>
      <c r="P99" s="382">
        <v>33571.445340327991</v>
      </c>
      <c r="Q99" s="382">
        <v>78960.193888741691</v>
      </c>
      <c r="R99" s="382">
        <v>17971.433023452184</v>
      </c>
      <c r="S99" s="382">
        <v>7847.7689981979129</v>
      </c>
      <c r="T99" s="382">
        <v>26816.782646388827</v>
      </c>
      <c r="U99" s="382">
        <v>3895.844196403224</v>
      </c>
      <c r="V99" s="382">
        <v>2078.3327807805072</v>
      </c>
      <c r="W99" s="382">
        <v>572049.87841999996</v>
      </c>
      <c r="Z99" s="10"/>
      <c r="AU99" s="10"/>
      <c r="AV99" s="10"/>
      <c r="AW99" s="10"/>
      <c r="AX99" s="10"/>
      <c r="AY99" s="10"/>
      <c r="AZ99" s="10"/>
      <c r="BA99" s="10"/>
      <c r="BB99" s="10"/>
      <c r="BC99" s="10"/>
      <c r="BD99" s="10"/>
      <c r="BE99" s="10"/>
      <c r="BF99" s="10"/>
      <c r="BG99" s="10"/>
      <c r="BH99" s="10"/>
      <c r="BI99" s="10"/>
      <c r="BJ99" s="10"/>
      <c r="BK99" s="10"/>
      <c r="BL99" s="10"/>
      <c r="BM99" s="10"/>
    </row>
    <row r="100" spans="3:65">
      <c r="C100" s="382" t="s">
        <v>655</v>
      </c>
      <c r="D100" s="382" t="s">
        <v>1088</v>
      </c>
      <c r="E100" s="382" t="s">
        <v>9</v>
      </c>
      <c r="F100" s="382" t="s">
        <v>10</v>
      </c>
      <c r="G100" s="382" t="s">
        <v>11</v>
      </c>
      <c r="H100" s="382" t="s">
        <v>31</v>
      </c>
      <c r="I100" s="382" t="s">
        <v>12</v>
      </c>
      <c r="J100" s="382" t="s">
        <v>13</v>
      </c>
      <c r="K100" s="382" t="s">
        <v>14</v>
      </c>
      <c r="L100" s="382" t="s">
        <v>15</v>
      </c>
      <c r="M100" s="382" t="s">
        <v>16</v>
      </c>
      <c r="N100" s="382" t="s">
        <v>17</v>
      </c>
      <c r="O100" s="382" t="s">
        <v>18</v>
      </c>
      <c r="P100" s="382" t="s">
        <v>19</v>
      </c>
      <c r="Q100" s="382" t="s">
        <v>20</v>
      </c>
      <c r="R100" s="382" t="s">
        <v>60</v>
      </c>
      <c r="S100" s="382" t="s">
        <v>61</v>
      </c>
      <c r="T100" s="382" t="s">
        <v>62</v>
      </c>
      <c r="U100" s="382" t="s">
        <v>63</v>
      </c>
      <c r="V100" s="382" t="s">
        <v>64</v>
      </c>
      <c r="W100" s="382" t="s">
        <v>656</v>
      </c>
      <c r="Z100" s="10"/>
      <c r="AU100" s="10"/>
      <c r="AV100" s="10"/>
      <c r="AW100" s="10"/>
      <c r="AX100" s="10"/>
      <c r="AY100" s="10"/>
      <c r="AZ100" s="10"/>
      <c r="BA100" s="10"/>
      <c r="BB100" s="10"/>
      <c r="BC100" s="10"/>
      <c r="BD100" s="10"/>
      <c r="BE100" s="10"/>
      <c r="BF100" s="10"/>
      <c r="BG100" s="10"/>
      <c r="BH100" s="10"/>
      <c r="BI100" s="10"/>
      <c r="BJ100" s="10"/>
      <c r="BK100" s="10"/>
      <c r="BL100" s="10"/>
      <c r="BM100" s="10"/>
    </row>
    <row r="101" spans="3:65">
      <c r="C101" s="382" t="s">
        <v>981</v>
      </c>
      <c r="D101" s="382" t="s">
        <v>1038</v>
      </c>
      <c r="E101" s="382">
        <v>4926283.2543500001</v>
      </c>
      <c r="F101" s="382">
        <v>418108.47970000003</v>
      </c>
      <c r="G101" s="382">
        <v>370498.84736999997</v>
      </c>
      <c r="H101" s="382">
        <v>335100.65590999997</v>
      </c>
      <c r="I101" s="382">
        <v>2717488.4308799994</v>
      </c>
      <c r="J101" s="382">
        <v>463610.87455000001</v>
      </c>
      <c r="K101" s="382">
        <v>1340108.1704299999</v>
      </c>
      <c r="L101" s="382">
        <v>1173442.06764</v>
      </c>
      <c r="M101" s="382">
        <v>482423.07624999987</v>
      </c>
      <c r="N101" s="382">
        <v>2207534.5418499997</v>
      </c>
      <c r="O101" s="382">
        <v>1161136.7437200001</v>
      </c>
      <c r="P101" s="382">
        <v>1814361.7092399998</v>
      </c>
      <c r="Q101" s="382">
        <v>-2502775.6016500001</v>
      </c>
      <c r="R101" s="382">
        <v>733719.7905</v>
      </c>
      <c r="S101" s="382">
        <v>0</v>
      </c>
      <c r="T101" s="382">
        <v>0</v>
      </c>
      <c r="U101" s="382">
        <v>248641.77098</v>
      </c>
      <c r="V101" s="382">
        <v>73723.63</v>
      </c>
      <c r="W101" s="382">
        <v>15963406.44172</v>
      </c>
      <c r="Z101" s="10"/>
      <c r="AU101" s="10"/>
      <c r="AV101" s="10"/>
      <c r="AW101" s="10"/>
      <c r="AX101" s="10"/>
      <c r="AY101" s="10"/>
      <c r="AZ101" s="10"/>
      <c r="BA101" s="10"/>
      <c r="BB101" s="10"/>
      <c r="BC101" s="10"/>
      <c r="BD101" s="10"/>
      <c r="BE101" s="10"/>
      <c r="BF101" s="10"/>
      <c r="BG101" s="10"/>
      <c r="BH101" s="10"/>
      <c r="BI101" s="10"/>
      <c r="BJ101" s="10"/>
      <c r="BK101" s="10"/>
      <c r="BL101" s="10"/>
      <c r="BM101" s="10"/>
    </row>
    <row r="102" spans="3:65">
      <c r="C102" s="382" t="s">
        <v>201</v>
      </c>
      <c r="D102" s="382" t="s">
        <v>1039</v>
      </c>
      <c r="E102" s="382">
        <v>-287256.70603</v>
      </c>
      <c r="F102" s="382">
        <v>-47084.678780000002</v>
      </c>
      <c r="G102" s="382">
        <v>-39176.745690000003</v>
      </c>
      <c r="H102" s="382">
        <v>-671862.69575000007</v>
      </c>
      <c r="I102" s="382">
        <v>-64549.999920000002</v>
      </c>
      <c r="J102" s="382">
        <v>-12147.94037</v>
      </c>
      <c r="K102" s="382">
        <v>-94516.99656</v>
      </c>
      <c r="L102" s="382">
        <v>-77278.223580000005</v>
      </c>
      <c r="M102" s="382">
        <v>-283370.98216000001</v>
      </c>
      <c r="N102" s="382">
        <v>-1455305.5609500001</v>
      </c>
      <c r="O102" s="382">
        <v>-36863.982969999997</v>
      </c>
      <c r="P102" s="382">
        <v>-101583.25005</v>
      </c>
      <c r="Q102" s="382">
        <v>-825510.86595000001</v>
      </c>
      <c r="R102" s="382">
        <v>-220022.52656</v>
      </c>
      <c r="S102" s="382">
        <v>0</v>
      </c>
      <c r="T102" s="382">
        <v>0</v>
      </c>
      <c r="U102" s="382">
        <v>-8766.4239799999996</v>
      </c>
      <c r="V102" s="382">
        <v>0</v>
      </c>
      <c r="W102" s="382">
        <v>-4225297.5793000003</v>
      </c>
      <c r="Z102" s="10"/>
      <c r="AU102" s="10"/>
      <c r="AV102" s="10"/>
      <c r="AW102" s="10"/>
      <c r="AX102" s="10"/>
      <c r="AY102" s="10"/>
      <c r="AZ102" s="10"/>
      <c r="BA102" s="10"/>
      <c r="BB102" s="10"/>
      <c r="BC102" s="10"/>
      <c r="BD102" s="10"/>
      <c r="BE102" s="10"/>
      <c r="BF102" s="10"/>
      <c r="BG102" s="10"/>
      <c r="BH102" s="10"/>
      <c r="BI102" s="10"/>
      <c r="BJ102" s="10"/>
      <c r="BK102" s="10"/>
      <c r="BL102" s="10"/>
      <c r="BM102" s="10"/>
    </row>
    <row r="103" spans="3:65">
      <c r="C103" s="382" t="s">
        <v>202</v>
      </c>
      <c r="D103" s="382" t="s">
        <v>1040</v>
      </c>
      <c r="E103" s="382">
        <v>-581822.25200000009</v>
      </c>
      <c r="F103" s="382">
        <v>-85911.76999999999</v>
      </c>
      <c r="G103" s="382">
        <v>-72499.54800000001</v>
      </c>
      <c r="H103" s="382">
        <v>-30801.928000000007</v>
      </c>
      <c r="I103" s="382">
        <v>-137438.976</v>
      </c>
      <c r="J103" s="382">
        <v>-46424.346000000005</v>
      </c>
      <c r="K103" s="382">
        <v>-179406.728</v>
      </c>
      <c r="L103" s="382">
        <v>-124581.83600000001</v>
      </c>
      <c r="M103" s="382">
        <v>-303068.22600000008</v>
      </c>
      <c r="N103" s="382">
        <v>-221576.80200000005</v>
      </c>
      <c r="O103" s="382">
        <v>-96625.864000000031</v>
      </c>
      <c r="P103" s="382">
        <v>-205959.91400000002</v>
      </c>
      <c r="Q103" s="382">
        <v>-133622.39599999998</v>
      </c>
      <c r="R103" s="382">
        <v>-71038.706000000006</v>
      </c>
      <c r="S103" s="382">
        <v>0</v>
      </c>
      <c r="T103" s="382">
        <v>0</v>
      </c>
      <c r="U103" s="382">
        <v>-24002.646000000008</v>
      </c>
      <c r="V103" s="382">
        <v>-1173.1500000000001</v>
      </c>
      <c r="W103" s="382">
        <v>-2315955.0880000005</v>
      </c>
      <c r="Z103" s="10"/>
      <c r="AU103" s="10"/>
      <c r="AV103" s="10"/>
      <c r="AW103" s="10"/>
      <c r="AX103" s="10"/>
      <c r="AY103" s="10"/>
      <c r="AZ103" s="10"/>
      <c r="BA103" s="10"/>
      <c r="BB103" s="10"/>
      <c r="BC103" s="10"/>
      <c r="BD103" s="10"/>
      <c r="BE103" s="10"/>
      <c r="BF103" s="10"/>
      <c r="BG103" s="10"/>
      <c r="BH103" s="10"/>
      <c r="BI103" s="10"/>
      <c r="BJ103" s="10"/>
      <c r="BK103" s="10"/>
      <c r="BL103" s="10"/>
      <c r="BM103" s="10"/>
    </row>
    <row r="104" spans="3:65">
      <c r="C104" s="382" t="s">
        <v>1193</v>
      </c>
      <c r="D104" s="382" t="s">
        <v>1194</v>
      </c>
      <c r="E104" s="382">
        <v>285802.33124999999</v>
      </c>
      <c r="F104" s="382">
        <v>0</v>
      </c>
      <c r="G104" s="382">
        <v>0</v>
      </c>
      <c r="H104" s="382">
        <v>0</v>
      </c>
      <c r="I104" s="382">
        <v>94135.709740000006</v>
      </c>
      <c r="J104" s="382">
        <v>0</v>
      </c>
      <c r="K104" s="382">
        <v>0</v>
      </c>
      <c r="L104" s="382">
        <v>0</v>
      </c>
      <c r="M104" s="382">
        <v>0</v>
      </c>
      <c r="N104" s="382">
        <v>0</v>
      </c>
      <c r="O104" s="382">
        <v>0</v>
      </c>
      <c r="P104" s="382">
        <v>0</v>
      </c>
      <c r="Q104" s="382">
        <v>0</v>
      </c>
      <c r="R104" s="382">
        <v>0</v>
      </c>
      <c r="S104" s="382">
        <v>0</v>
      </c>
      <c r="T104" s="382">
        <v>0</v>
      </c>
      <c r="U104" s="382">
        <v>0</v>
      </c>
      <c r="V104" s="382">
        <v>0</v>
      </c>
      <c r="W104" s="382">
        <v>379938.04099000001</v>
      </c>
      <c r="Z104" s="10"/>
      <c r="AU104" s="10"/>
      <c r="AV104" s="10"/>
      <c r="AW104" s="10"/>
      <c r="AX104" s="10"/>
      <c r="AY104" s="10"/>
      <c r="AZ104" s="10"/>
      <c r="BA104" s="10"/>
      <c r="BB104" s="10"/>
      <c r="BC104" s="10"/>
      <c r="BD104" s="10"/>
      <c r="BE104" s="10"/>
      <c r="BF104" s="10"/>
      <c r="BG104" s="10"/>
      <c r="BH104" s="10"/>
      <c r="BI104" s="10"/>
      <c r="BJ104" s="10"/>
      <c r="BK104" s="10"/>
      <c r="BL104" s="10"/>
      <c r="BM104" s="10"/>
    </row>
    <row r="105" spans="3:65">
      <c r="C105" s="382" t="s">
        <v>935</v>
      </c>
      <c r="D105" s="382" t="s">
        <v>1041</v>
      </c>
      <c r="E105" s="382">
        <v>3839188.4786903001</v>
      </c>
      <c r="F105" s="382">
        <v>1042914.5082503965</v>
      </c>
      <c r="G105" s="382">
        <v>833692.6050845735</v>
      </c>
      <c r="H105" s="382">
        <v>757567.36704259983</v>
      </c>
      <c r="I105" s="382">
        <v>1047613.6713256571</v>
      </c>
      <c r="J105" s="382">
        <v>442668.77713251283</v>
      </c>
      <c r="K105" s="382">
        <v>1706009.4858952998</v>
      </c>
      <c r="L105" s="382">
        <v>1056330.8194632707</v>
      </c>
      <c r="M105" s="382">
        <v>6946201.1405593092</v>
      </c>
      <c r="N105" s="382">
        <v>2816827.8187883594</v>
      </c>
      <c r="O105" s="382">
        <v>451414.40821940603</v>
      </c>
      <c r="P105" s="382">
        <v>1712152.4102804484</v>
      </c>
      <c r="Q105" s="382">
        <v>8406209.4832376186</v>
      </c>
      <c r="R105" s="382">
        <v>685425.72782752966</v>
      </c>
      <c r="S105" s="382">
        <v>0</v>
      </c>
      <c r="T105" s="382">
        <v>0</v>
      </c>
      <c r="U105" s="382">
        <v>232104.05498222285</v>
      </c>
      <c r="V105" s="382">
        <v>0</v>
      </c>
      <c r="W105" s="382">
        <v>31976320.756779503</v>
      </c>
      <c r="Z105" s="10"/>
      <c r="AU105" s="10"/>
      <c r="AV105" s="10"/>
      <c r="AW105" s="10"/>
      <c r="AX105" s="10"/>
      <c r="AY105" s="10"/>
      <c r="AZ105" s="10"/>
      <c r="BA105" s="10"/>
      <c r="BB105" s="10"/>
      <c r="BC105" s="10"/>
      <c r="BD105" s="10"/>
      <c r="BE105" s="10"/>
      <c r="BF105" s="10"/>
      <c r="BG105" s="10"/>
      <c r="BH105" s="10"/>
      <c r="BI105" s="10"/>
      <c r="BJ105" s="10"/>
      <c r="BK105" s="10"/>
      <c r="BL105" s="10"/>
      <c r="BM105" s="10"/>
    </row>
    <row r="106" spans="3:65">
      <c r="C106" s="382" t="s">
        <v>203</v>
      </c>
      <c r="D106" s="382" t="s">
        <v>1042</v>
      </c>
      <c r="E106" s="382">
        <v>5025911.79</v>
      </c>
      <c r="F106" s="382">
        <v>986848.11</v>
      </c>
      <c r="G106" s="382">
        <v>794732.27</v>
      </c>
      <c r="H106" s="382">
        <v>1106376.21</v>
      </c>
      <c r="I106" s="382">
        <v>0</v>
      </c>
      <c r="J106" s="382">
        <v>428717.37</v>
      </c>
      <c r="K106" s="382">
        <v>1766510.7</v>
      </c>
      <c r="L106" s="382">
        <v>1317140.3700000001</v>
      </c>
      <c r="M106" s="382">
        <v>5650607.5800000001</v>
      </c>
      <c r="N106" s="382">
        <v>3269807.93</v>
      </c>
      <c r="O106" s="382">
        <v>661668.66999999993</v>
      </c>
      <c r="P106" s="382">
        <v>1901931.41</v>
      </c>
      <c r="Q106" s="382">
        <v>4755223.58</v>
      </c>
      <c r="R106" s="382">
        <v>843065.93</v>
      </c>
      <c r="S106" s="382">
        <v>0</v>
      </c>
      <c r="T106" s="382">
        <v>0</v>
      </c>
      <c r="U106" s="382">
        <v>230611.35</v>
      </c>
      <c r="V106" s="382">
        <v>0</v>
      </c>
      <c r="W106" s="382">
        <v>28739153.270000003</v>
      </c>
      <c r="Z106" s="10"/>
      <c r="AU106" s="10"/>
      <c r="AV106" s="10"/>
      <c r="AW106" s="10"/>
      <c r="AX106" s="10"/>
      <c r="AY106" s="10"/>
      <c r="AZ106" s="10"/>
      <c r="BA106" s="10"/>
      <c r="BB106" s="10"/>
      <c r="BC106" s="10"/>
      <c r="BD106" s="10"/>
      <c r="BE106" s="10"/>
      <c r="BF106" s="10"/>
      <c r="BG106" s="10"/>
      <c r="BH106" s="10"/>
      <c r="BI106" s="10"/>
      <c r="BJ106" s="10"/>
      <c r="BK106" s="10"/>
      <c r="BL106" s="10"/>
      <c r="BM106" s="10"/>
    </row>
    <row r="107" spans="3:65">
      <c r="C107" s="382" t="s">
        <v>1089</v>
      </c>
      <c r="D107" s="382" t="s">
        <v>1090</v>
      </c>
      <c r="E107" s="382">
        <v>1797182.38</v>
      </c>
      <c r="F107" s="382">
        <v>440684.9</v>
      </c>
      <c r="G107" s="382">
        <v>287127.62</v>
      </c>
      <c r="H107" s="382">
        <v>364400.34</v>
      </c>
      <c r="I107" s="382">
        <v>27579.750000000004</v>
      </c>
      <c r="J107" s="382">
        <v>167666.70000000001</v>
      </c>
      <c r="K107" s="382">
        <v>726669.37</v>
      </c>
      <c r="L107" s="382">
        <v>600390.5</v>
      </c>
      <c r="M107" s="382">
        <v>2043281.9799999997</v>
      </c>
      <c r="N107" s="382">
        <v>1272584.74</v>
      </c>
      <c r="O107" s="382">
        <v>315636.18</v>
      </c>
      <c r="P107" s="382">
        <v>754729.79999999993</v>
      </c>
      <c r="Q107" s="382">
        <v>1466636.9700000002</v>
      </c>
      <c r="R107" s="382">
        <v>437102.27</v>
      </c>
      <c r="S107" s="382">
        <v>0</v>
      </c>
      <c r="T107" s="382">
        <v>0</v>
      </c>
      <c r="U107" s="382">
        <v>86044.62</v>
      </c>
      <c r="V107" s="382">
        <v>0</v>
      </c>
      <c r="W107" s="382">
        <v>10787718.119999999</v>
      </c>
      <c r="Z107" s="10"/>
      <c r="AU107" s="10"/>
      <c r="AV107" s="10"/>
      <c r="AW107" s="10"/>
      <c r="AX107" s="10"/>
      <c r="AY107" s="10"/>
      <c r="AZ107" s="10"/>
      <c r="BA107" s="10"/>
      <c r="BB107" s="10"/>
      <c r="BC107" s="10"/>
      <c r="BD107" s="10"/>
      <c r="BE107" s="10"/>
      <c r="BF107" s="10"/>
      <c r="BG107" s="10"/>
      <c r="BH107" s="10"/>
      <c r="BI107" s="10"/>
      <c r="BJ107" s="10"/>
      <c r="BK107" s="10"/>
      <c r="BL107" s="10"/>
      <c r="BM107" s="10"/>
    </row>
    <row r="108" spans="3:65">
      <c r="C108" s="382" t="s">
        <v>204</v>
      </c>
      <c r="D108" s="382" t="s">
        <v>205</v>
      </c>
      <c r="E108" s="382">
        <v>290775.88</v>
      </c>
      <c r="F108" s="382">
        <v>80431.360000000001</v>
      </c>
      <c r="G108" s="382">
        <v>79198.64</v>
      </c>
      <c r="H108" s="382">
        <v>41828.5</v>
      </c>
      <c r="I108" s="382">
        <v>60974.420000000006</v>
      </c>
      <c r="J108" s="382">
        <v>37063.800000000003</v>
      </c>
      <c r="K108" s="382">
        <v>98086.23</v>
      </c>
      <c r="L108" s="382">
        <v>89700.31</v>
      </c>
      <c r="M108" s="382">
        <v>344494.57</v>
      </c>
      <c r="N108" s="382">
        <v>181992.16999999998</v>
      </c>
      <c r="O108" s="382">
        <v>35769.32</v>
      </c>
      <c r="P108" s="382">
        <v>147752.20000000001</v>
      </c>
      <c r="Q108" s="382">
        <v>217805.19</v>
      </c>
      <c r="R108" s="382">
        <v>58212.639999999999</v>
      </c>
      <c r="S108" s="382">
        <v>0</v>
      </c>
      <c r="T108" s="382">
        <v>0</v>
      </c>
      <c r="U108" s="382">
        <v>11733.59</v>
      </c>
      <c r="V108" s="382">
        <v>0</v>
      </c>
      <c r="W108" s="382">
        <v>1775818.82</v>
      </c>
      <c r="Z108" s="10"/>
      <c r="AU108" s="10"/>
      <c r="AV108" s="10"/>
      <c r="AW108" s="10"/>
      <c r="AX108" s="10"/>
      <c r="AY108" s="10"/>
      <c r="AZ108" s="10"/>
      <c r="BA108" s="10"/>
      <c r="BB108" s="10"/>
      <c r="BC108" s="10"/>
      <c r="BD108" s="10"/>
      <c r="BE108" s="10"/>
      <c r="BF108" s="10"/>
      <c r="BG108" s="10"/>
      <c r="BH108" s="10"/>
      <c r="BI108" s="10"/>
      <c r="BJ108" s="10"/>
      <c r="BK108" s="10"/>
      <c r="BL108" s="10"/>
      <c r="BM108" s="10"/>
    </row>
    <row r="109" spans="3:65">
      <c r="C109" s="382" t="s">
        <v>936</v>
      </c>
      <c r="D109" s="382" t="s">
        <v>1043</v>
      </c>
      <c r="E109" s="382">
        <v>347407.31892555061</v>
      </c>
      <c r="F109" s="382">
        <v>98040.800400798995</v>
      </c>
      <c r="G109" s="382">
        <v>84280.527283151474</v>
      </c>
      <c r="H109" s="382">
        <v>49715.276183930619</v>
      </c>
      <c r="I109" s="382">
        <v>76438.005149791148</v>
      </c>
      <c r="J109" s="382">
        <v>43868.790597264866</v>
      </c>
      <c r="K109" s="382">
        <v>176832.59200651047</v>
      </c>
      <c r="L109" s="382">
        <v>97243.5095577295</v>
      </c>
      <c r="M109" s="382">
        <v>432233.08947359095</v>
      </c>
      <c r="N109" s="382">
        <v>252543.10471183431</v>
      </c>
      <c r="O109" s="382">
        <v>55604.710234508471</v>
      </c>
      <c r="P109" s="382">
        <v>195848.24783360882</v>
      </c>
      <c r="Q109" s="382">
        <v>364665.29153258062</v>
      </c>
      <c r="R109" s="382">
        <v>55624.316881209321</v>
      </c>
      <c r="S109" s="382">
        <v>0</v>
      </c>
      <c r="T109" s="382">
        <v>0</v>
      </c>
      <c r="U109" s="382">
        <v>21139.419227939743</v>
      </c>
      <c r="V109" s="382">
        <v>0</v>
      </c>
      <c r="W109" s="382">
        <v>2351484.9999999995</v>
      </c>
      <c r="Z109" s="10"/>
      <c r="AU109" s="10"/>
      <c r="AV109" s="10"/>
      <c r="AW109" s="10"/>
      <c r="AX109" s="10"/>
      <c r="AY109" s="10"/>
      <c r="AZ109" s="10"/>
      <c r="BA109" s="10"/>
      <c r="BB109" s="10"/>
      <c r="BC109" s="10"/>
      <c r="BD109" s="10"/>
      <c r="BE109" s="10"/>
      <c r="BF109" s="10"/>
      <c r="BG109" s="10"/>
      <c r="BH109" s="10"/>
      <c r="BI109" s="10"/>
      <c r="BJ109" s="10"/>
      <c r="BK109" s="10"/>
      <c r="BL109" s="10"/>
      <c r="BM109" s="10"/>
    </row>
    <row r="110" spans="3:65">
      <c r="C110" s="382" t="s">
        <v>937</v>
      </c>
      <c r="D110" s="382" t="s">
        <v>1044</v>
      </c>
      <c r="E110" s="382">
        <v>1061325.5023418725</v>
      </c>
      <c r="F110" s="382">
        <v>121570.00000000001</v>
      </c>
      <c r="G110" s="382">
        <v>82705.259447728939</v>
      </c>
      <c r="H110" s="382">
        <v>335622.99268485955</v>
      </c>
      <c r="I110" s="382">
        <v>230948.33849455943</v>
      </c>
      <c r="J110" s="382">
        <v>65549.355910065962</v>
      </c>
      <c r="K110" s="382">
        <v>203014.48644300617</v>
      </c>
      <c r="L110" s="382">
        <v>225930.01619904349</v>
      </c>
      <c r="M110" s="382">
        <v>1043214.1735280307</v>
      </c>
      <c r="N110" s="382">
        <v>680377.02788684214</v>
      </c>
      <c r="O110" s="382">
        <v>71728.88083429051</v>
      </c>
      <c r="P110" s="382">
        <v>184257.02046223544</v>
      </c>
      <c r="Q110" s="382">
        <v>970210.60984771117</v>
      </c>
      <c r="R110" s="382">
        <v>162712.6731623282</v>
      </c>
      <c r="S110" s="382">
        <v>0</v>
      </c>
      <c r="T110" s="382">
        <v>0</v>
      </c>
      <c r="U110" s="382">
        <v>33071</v>
      </c>
      <c r="V110" s="382">
        <v>0</v>
      </c>
      <c r="W110" s="382">
        <v>5472237.3372425754</v>
      </c>
      <c r="Z110" s="10"/>
      <c r="AU110" s="10"/>
      <c r="AV110" s="10"/>
      <c r="AW110" s="10"/>
      <c r="AX110" s="10"/>
      <c r="AY110" s="10"/>
      <c r="AZ110" s="10"/>
      <c r="BA110" s="10"/>
      <c r="BB110" s="10"/>
      <c r="BC110" s="10"/>
      <c r="BD110" s="10"/>
      <c r="BE110" s="10"/>
      <c r="BF110" s="10"/>
      <c r="BG110" s="10"/>
      <c r="BH110" s="10"/>
      <c r="BI110" s="10"/>
      <c r="BJ110" s="10"/>
      <c r="BK110" s="10"/>
      <c r="BL110" s="10"/>
      <c r="BM110" s="10"/>
    </row>
    <row r="111" spans="3:65">
      <c r="C111" s="382" t="s">
        <v>938</v>
      </c>
      <c r="D111" s="382" t="s">
        <v>206</v>
      </c>
      <c r="E111" s="382">
        <v>142874.33982069624</v>
      </c>
      <c r="F111" s="382">
        <v>27991.851362200523</v>
      </c>
      <c r="G111" s="382">
        <v>20292.430122131798</v>
      </c>
      <c r="H111" s="382">
        <v>35972.47087904004</v>
      </c>
      <c r="I111" s="382">
        <v>37455.669151930138</v>
      </c>
      <c r="J111" s="382">
        <v>13667.522533321078</v>
      </c>
      <c r="K111" s="382">
        <v>58774.855594283727</v>
      </c>
      <c r="L111" s="382">
        <v>42311.542253329288</v>
      </c>
      <c r="M111" s="382">
        <v>138621.75219666012</v>
      </c>
      <c r="N111" s="382">
        <v>136538.18797787378</v>
      </c>
      <c r="O111" s="382">
        <v>17153.471486504281</v>
      </c>
      <c r="P111" s="382">
        <v>46548.247315622117</v>
      </c>
      <c r="Q111" s="382">
        <v>256607.592606369</v>
      </c>
      <c r="R111" s="382">
        <v>21097.27945912314</v>
      </c>
      <c r="S111" s="382">
        <v>0</v>
      </c>
      <c r="T111" s="382">
        <v>0</v>
      </c>
      <c r="U111" s="382">
        <v>4647.7872409147985</v>
      </c>
      <c r="V111" s="382">
        <v>0</v>
      </c>
      <c r="W111" s="382">
        <v>1000555.0000000001</v>
      </c>
      <c r="Z111" s="10"/>
      <c r="AU111" s="10"/>
      <c r="AV111" s="10"/>
      <c r="AW111" s="10"/>
      <c r="AX111" s="10"/>
      <c r="AY111" s="10"/>
      <c r="AZ111" s="10"/>
      <c r="BA111" s="10"/>
      <c r="BB111" s="10"/>
      <c r="BC111" s="10"/>
      <c r="BD111" s="10"/>
      <c r="BE111" s="10"/>
      <c r="BF111" s="10"/>
      <c r="BG111" s="10"/>
      <c r="BH111" s="10"/>
      <c r="BI111" s="10"/>
      <c r="BJ111" s="10"/>
      <c r="BK111" s="10"/>
      <c r="BL111" s="10"/>
      <c r="BM111" s="10"/>
    </row>
    <row r="112" spans="3:65">
      <c r="C112" s="382" t="s">
        <v>939</v>
      </c>
      <c r="D112" s="382" t="s">
        <v>1045</v>
      </c>
      <c r="E112" s="382">
        <v>947.00486300424905</v>
      </c>
      <c r="F112" s="382">
        <v>35.71</v>
      </c>
      <c r="G112" s="382">
        <v>58.835178340320759</v>
      </c>
      <c r="H112" s="382">
        <v>35.785402504406584</v>
      </c>
      <c r="I112" s="382">
        <v>0</v>
      </c>
      <c r="J112" s="382">
        <v>75.341586252142179</v>
      </c>
      <c r="K112" s="382">
        <v>278.9115298763848</v>
      </c>
      <c r="L112" s="382">
        <v>166.27185285105068</v>
      </c>
      <c r="M112" s="382">
        <v>286.09415998183306</v>
      </c>
      <c r="N112" s="382">
        <v>593.98173058363091</v>
      </c>
      <c r="O112" s="382">
        <v>196.04526213958181</v>
      </c>
      <c r="P112" s="382">
        <v>358.0348534153382</v>
      </c>
      <c r="Q112" s="382">
        <v>356.17763667817013</v>
      </c>
      <c r="R112" s="382">
        <v>239.66619982032464</v>
      </c>
      <c r="S112" s="382">
        <v>0</v>
      </c>
      <c r="T112" s="382">
        <v>0</v>
      </c>
      <c r="U112" s="382">
        <v>0</v>
      </c>
      <c r="V112" s="382">
        <v>0</v>
      </c>
      <c r="W112" s="382">
        <v>3627.8602554474323</v>
      </c>
      <c r="Z112" s="10"/>
      <c r="AU112" s="10"/>
      <c r="AV112" s="10"/>
      <c r="AW112" s="10"/>
      <c r="AX112" s="10"/>
      <c r="AY112" s="10"/>
      <c r="AZ112" s="10"/>
      <c r="BA112" s="10"/>
      <c r="BB112" s="10"/>
      <c r="BC112" s="10"/>
      <c r="BD112" s="10"/>
      <c r="BE112" s="10"/>
      <c r="BF112" s="10"/>
      <c r="BG112" s="10"/>
      <c r="BH112" s="10"/>
      <c r="BI112" s="10"/>
      <c r="BJ112" s="10"/>
      <c r="BK112" s="10"/>
      <c r="BL112" s="10"/>
      <c r="BM112" s="10"/>
    </row>
    <row r="113" spans="3:65">
      <c r="C113" s="382" t="s">
        <v>940</v>
      </c>
      <c r="D113" s="382" t="s">
        <v>1046</v>
      </c>
      <c r="E113" s="382">
        <v>32816.83</v>
      </c>
      <c r="F113" s="382">
        <v>5807.05</v>
      </c>
      <c r="G113" s="382">
        <v>4511.4799999999996</v>
      </c>
      <c r="H113" s="382">
        <v>18261.060000000001</v>
      </c>
      <c r="I113" s="382">
        <v>0</v>
      </c>
      <c r="J113" s="382">
        <v>4476.6099999999997</v>
      </c>
      <c r="K113" s="382">
        <v>10223.75</v>
      </c>
      <c r="L113" s="382">
        <v>7507.01</v>
      </c>
      <c r="M113" s="382">
        <v>53810.13</v>
      </c>
      <c r="N113" s="382">
        <v>29318.3</v>
      </c>
      <c r="O113" s="382">
        <v>3289.38</v>
      </c>
      <c r="P113" s="382">
        <v>16336.82</v>
      </c>
      <c r="Q113" s="382">
        <v>94066.59</v>
      </c>
      <c r="R113" s="382">
        <v>6611.37</v>
      </c>
      <c r="S113" s="382">
        <v>0</v>
      </c>
      <c r="T113" s="382">
        <v>0</v>
      </c>
      <c r="U113" s="382">
        <v>1872.07</v>
      </c>
      <c r="V113" s="382">
        <v>0</v>
      </c>
      <c r="W113" s="382">
        <v>288908.45</v>
      </c>
      <c r="Z113" s="10"/>
      <c r="AU113" s="10"/>
      <c r="AV113" s="10"/>
      <c r="AW113" s="10"/>
      <c r="AX113" s="10"/>
      <c r="AY113" s="10"/>
      <c r="AZ113" s="10"/>
      <c r="BA113" s="10"/>
      <c r="BB113" s="10"/>
      <c r="BC113" s="10"/>
      <c r="BD113" s="10"/>
      <c r="BE113" s="10"/>
      <c r="BF113" s="10"/>
      <c r="BG113" s="10"/>
      <c r="BH113" s="10"/>
      <c r="BI113" s="10"/>
      <c r="BJ113" s="10"/>
      <c r="BK113" s="10"/>
      <c r="BL113" s="10"/>
      <c r="BM113" s="10"/>
    </row>
    <row r="114" spans="3:65">
      <c r="C114" s="382" t="s">
        <v>941</v>
      </c>
      <c r="D114" s="382" t="s">
        <v>1047</v>
      </c>
      <c r="E114" s="382">
        <v>0</v>
      </c>
      <c r="F114" s="382">
        <v>0</v>
      </c>
      <c r="G114" s="382">
        <v>0</v>
      </c>
      <c r="H114" s="382">
        <v>0</v>
      </c>
      <c r="I114" s="382">
        <v>900597.81246950803</v>
      </c>
      <c r="J114" s="382">
        <v>0</v>
      </c>
      <c r="K114" s="382">
        <v>0</v>
      </c>
      <c r="L114" s="382">
        <v>0</v>
      </c>
      <c r="M114" s="382">
        <v>0</v>
      </c>
      <c r="N114" s="382">
        <v>0</v>
      </c>
      <c r="O114" s="382">
        <v>0</v>
      </c>
      <c r="P114" s="382">
        <v>0</v>
      </c>
      <c r="Q114" s="382">
        <v>0</v>
      </c>
      <c r="R114" s="382">
        <v>0</v>
      </c>
      <c r="S114" s="382">
        <v>0</v>
      </c>
      <c r="T114" s="382">
        <v>0</v>
      </c>
      <c r="U114" s="382">
        <v>0</v>
      </c>
      <c r="V114" s="382">
        <v>0</v>
      </c>
      <c r="W114" s="382">
        <v>900597.81246950803</v>
      </c>
      <c r="Z114" s="10"/>
      <c r="AU114" s="10"/>
      <c r="AV114" s="10"/>
      <c r="AW114" s="10"/>
      <c r="AX114" s="10"/>
      <c r="AY114" s="10"/>
      <c r="AZ114" s="10"/>
      <c r="BA114" s="10"/>
      <c r="BB114" s="10"/>
      <c r="BC114" s="10"/>
      <c r="BD114" s="10"/>
      <c r="BE114" s="10"/>
      <c r="BF114" s="10"/>
      <c r="BG114" s="10"/>
      <c r="BH114" s="10"/>
      <c r="BI114" s="10"/>
      <c r="BJ114" s="10"/>
      <c r="BK114" s="10"/>
      <c r="BL114" s="10"/>
      <c r="BM114" s="10"/>
    </row>
    <row r="115" spans="3:65">
      <c r="C115" s="382" t="s">
        <v>1195</v>
      </c>
      <c r="D115" s="382" t="s">
        <v>1196</v>
      </c>
      <c r="E115" s="382">
        <v>2552.42</v>
      </c>
      <c r="F115" s="382">
        <v>1566.36</v>
      </c>
      <c r="G115" s="382">
        <v>1866.61</v>
      </c>
      <c r="H115" s="382">
        <v>1381.24</v>
      </c>
      <c r="I115" s="382">
        <v>1378.46</v>
      </c>
      <c r="J115" s="382">
        <v>853.57</v>
      </c>
      <c r="K115" s="382">
        <v>3575.73</v>
      </c>
      <c r="L115" s="382">
        <v>1277.3399999999999</v>
      </c>
      <c r="M115" s="382">
        <v>9522.18</v>
      </c>
      <c r="N115" s="382">
        <v>4631.82</v>
      </c>
      <c r="O115" s="382">
        <v>355.68</v>
      </c>
      <c r="P115" s="382">
        <v>3401.41</v>
      </c>
      <c r="Q115" s="382">
        <v>12255</v>
      </c>
      <c r="R115" s="382">
        <v>750.49</v>
      </c>
      <c r="S115" s="382">
        <v>0</v>
      </c>
      <c r="T115" s="382">
        <v>0</v>
      </c>
      <c r="U115" s="382">
        <v>692.42</v>
      </c>
      <c r="V115" s="382">
        <v>0</v>
      </c>
      <c r="W115" s="382">
        <v>46060.729999999996</v>
      </c>
      <c r="Z115" s="10"/>
      <c r="AU115" s="10"/>
      <c r="AV115" s="10"/>
      <c r="AW115" s="10"/>
      <c r="AX115" s="10"/>
      <c r="AY115" s="10"/>
      <c r="AZ115" s="10"/>
      <c r="BA115" s="10"/>
      <c r="BB115" s="10"/>
      <c r="BC115" s="10"/>
      <c r="BD115" s="10"/>
      <c r="BE115" s="10"/>
      <c r="BF115" s="10"/>
      <c r="BG115" s="10"/>
      <c r="BH115" s="10"/>
      <c r="BI115" s="10"/>
      <c r="BJ115" s="10"/>
      <c r="BK115" s="10"/>
      <c r="BL115" s="10"/>
      <c r="BM115" s="10"/>
    </row>
    <row r="116" spans="3:65">
      <c r="C116" s="382" t="s">
        <v>1197</v>
      </c>
      <c r="D116" s="382" t="s">
        <v>1198</v>
      </c>
      <c r="E116" s="382">
        <v>18000</v>
      </c>
      <c r="F116" s="382">
        <v>5100</v>
      </c>
      <c r="G116" s="382">
        <v>4500</v>
      </c>
      <c r="H116" s="382">
        <v>3300</v>
      </c>
      <c r="I116" s="382">
        <v>3800</v>
      </c>
      <c r="J116" s="382">
        <v>1900</v>
      </c>
      <c r="K116" s="382">
        <v>10900</v>
      </c>
      <c r="L116" s="382">
        <v>6100</v>
      </c>
      <c r="M116" s="382">
        <v>32299.999999999996</v>
      </c>
      <c r="N116" s="382">
        <v>15300</v>
      </c>
      <c r="O116" s="382">
        <v>2700</v>
      </c>
      <c r="P116" s="382">
        <v>11700</v>
      </c>
      <c r="Q116" s="382">
        <v>66700</v>
      </c>
      <c r="R116" s="382">
        <v>3700</v>
      </c>
      <c r="S116" s="382">
        <v>0</v>
      </c>
      <c r="T116" s="382">
        <v>0</v>
      </c>
      <c r="U116" s="382">
        <v>1200</v>
      </c>
      <c r="V116" s="382">
        <v>0</v>
      </c>
      <c r="W116" s="382">
        <v>187200</v>
      </c>
      <c r="Z116" s="10"/>
      <c r="AU116" s="10"/>
      <c r="AV116" s="10"/>
      <c r="AW116" s="10"/>
      <c r="AX116" s="10"/>
      <c r="AY116" s="10"/>
      <c r="AZ116" s="10"/>
      <c r="BA116" s="10"/>
      <c r="BB116" s="10"/>
      <c r="BC116" s="10"/>
      <c r="BD116" s="10"/>
      <c r="BE116" s="10"/>
      <c r="BF116" s="10"/>
      <c r="BG116" s="10"/>
      <c r="BH116" s="10"/>
      <c r="BI116" s="10"/>
      <c r="BJ116" s="10"/>
      <c r="BK116" s="10"/>
      <c r="BL116" s="10"/>
      <c r="BM116" s="10"/>
    </row>
    <row r="117" spans="3:65">
      <c r="C117" s="382" t="s">
        <v>942</v>
      </c>
      <c r="D117" s="382" t="s">
        <v>1048</v>
      </c>
      <c r="E117" s="382">
        <v>-814100.62953859032</v>
      </c>
      <c r="F117" s="382">
        <v>-85963.462592154174</v>
      </c>
      <c r="G117" s="382">
        <v>-76099.043416389322</v>
      </c>
      <c r="H117" s="382">
        <v>-56521.631910432247</v>
      </c>
      <c r="I117" s="382">
        <v>-277333.12010566611</v>
      </c>
      <c r="J117" s="382">
        <v>-133799.3853203324</v>
      </c>
      <c r="K117" s="382">
        <v>-15617.571699782398</v>
      </c>
      <c r="L117" s="382">
        <v>-11549.118572377529</v>
      </c>
      <c r="M117" s="382">
        <v>-2147195.3069139752</v>
      </c>
      <c r="N117" s="382">
        <v>-215167.58339465759</v>
      </c>
      <c r="O117" s="382">
        <v>-7928.9052523220025</v>
      </c>
      <c r="P117" s="382">
        <v>-227902.49543743904</v>
      </c>
      <c r="Q117" s="382">
        <v>-1012378.8911317169</v>
      </c>
      <c r="R117" s="382">
        <v>-18338.103622888109</v>
      </c>
      <c r="S117" s="382">
        <v>0</v>
      </c>
      <c r="T117" s="382">
        <v>0</v>
      </c>
      <c r="U117" s="382">
        <v>-69640.485579646527</v>
      </c>
      <c r="V117" s="382">
        <v>0</v>
      </c>
      <c r="W117" s="382">
        <v>-5169535.7344883699</v>
      </c>
      <c r="Z117" s="10"/>
      <c r="AU117" s="10"/>
      <c r="AV117" s="10"/>
      <c r="AW117" s="10"/>
      <c r="AX117" s="10"/>
      <c r="AY117" s="10"/>
      <c r="AZ117" s="10"/>
      <c r="BA117" s="10"/>
      <c r="BB117" s="10"/>
      <c r="BC117" s="10"/>
      <c r="BD117" s="10"/>
      <c r="BE117" s="10"/>
      <c r="BF117" s="10"/>
      <c r="BG117" s="10"/>
      <c r="BH117" s="10"/>
      <c r="BI117" s="10"/>
      <c r="BJ117" s="10"/>
      <c r="BK117" s="10"/>
      <c r="BL117" s="10"/>
      <c r="BM117" s="10"/>
    </row>
    <row r="118" spans="3:65">
      <c r="C118" s="382" t="s">
        <v>943</v>
      </c>
      <c r="D118" s="382" t="s">
        <v>627</v>
      </c>
      <c r="E118" s="382">
        <v>0</v>
      </c>
      <c r="F118" s="382">
        <v>0</v>
      </c>
      <c r="G118" s="382">
        <v>0</v>
      </c>
      <c r="H118" s="382">
        <v>0</v>
      </c>
      <c r="I118" s="382">
        <v>0</v>
      </c>
      <c r="J118" s="382">
        <v>0</v>
      </c>
      <c r="K118" s="382">
        <v>0</v>
      </c>
      <c r="L118" s="382">
        <v>0</v>
      </c>
      <c r="M118" s="382">
        <v>0</v>
      </c>
      <c r="N118" s="382">
        <v>0</v>
      </c>
      <c r="O118" s="382">
        <v>0</v>
      </c>
      <c r="P118" s="382">
        <v>0</v>
      </c>
      <c r="Q118" s="382">
        <v>0</v>
      </c>
      <c r="R118" s="382">
        <v>0</v>
      </c>
      <c r="S118" s="382">
        <v>0</v>
      </c>
      <c r="T118" s="382">
        <v>0</v>
      </c>
      <c r="U118" s="382">
        <v>0</v>
      </c>
      <c r="V118" s="382">
        <v>4740.3111388904545</v>
      </c>
      <c r="W118" s="382">
        <v>4740.3111388904545</v>
      </c>
      <c r="Z118" s="10"/>
      <c r="AU118" s="10"/>
      <c r="AV118" s="10"/>
      <c r="AW118" s="10"/>
      <c r="AX118" s="10"/>
      <c r="AY118" s="10"/>
      <c r="AZ118" s="10"/>
      <c r="BA118" s="10"/>
      <c r="BB118" s="10"/>
      <c r="BC118" s="10"/>
      <c r="BD118" s="10"/>
      <c r="BE118" s="10"/>
      <c r="BF118" s="10"/>
      <c r="BG118" s="10"/>
      <c r="BH118" s="10"/>
      <c r="BI118" s="10"/>
      <c r="BJ118" s="10"/>
      <c r="BK118" s="10"/>
      <c r="BL118" s="10"/>
      <c r="BM118" s="10"/>
    </row>
    <row r="119" spans="3:65">
      <c r="C119" s="382" t="s">
        <v>944</v>
      </c>
      <c r="D119" s="382" t="s">
        <v>1049</v>
      </c>
      <c r="E119" s="382">
        <v>0</v>
      </c>
      <c r="F119" s="382">
        <v>0</v>
      </c>
      <c r="G119" s="382">
        <v>0</v>
      </c>
      <c r="H119" s="382">
        <v>0</v>
      </c>
      <c r="I119" s="382">
        <v>0</v>
      </c>
      <c r="J119" s="382">
        <v>0</v>
      </c>
      <c r="K119" s="382">
        <v>0</v>
      </c>
      <c r="L119" s="382">
        <v>0</v>
      </c>
      <c r="M119" s="382">
        <v>0</v>
      </c>
      <c r="N119" s="382">
        <v>0</v>
      </c>
      <c r="O119" s="382">
        <v>0</v>
      </c>
      <c r="P119" s="382">
        <v>0</v>
      </c>
      <c r="Q119" s="382">
        <v>0</v>
      </c>
      <c r="R119" s="382">
        <v>0</v>
      </c>
      <c r="S119" s="382">
        <v>0</v>
      </c>
      <c r="T119" s="382">
        <v>0</v>
      </c>
      <c r="U119" s="382">
        <v>0</v>
      </c>
      <c r="V119" s="382">
        <v>462.34682000000004</v>
      </c>
      <c r="W119" s="382">
        <v>462.34682000000004</v>
      </c>
      <c r="Z119" s="10"/>
      <c r="AU119" s="10"/>
      <c r="AV119" s="10"/>
      <c r="AW119" s="10"/>
      <c r="AX119" s="10"/>
      <c r="AY119" s="10"/>
      <c r="AZ119" s="10"/>
      <c r="BA119" s="10"/>
      <c r="BB119" s="10"/>
      <c r="BC119" s="10"/>
      <c r="BD119" s="10"/>
      <c r="BE119" s="10"/>
      <c r="BF119" s="10"/>
      <c r="BG119" s="10"/>
      <c r="BH119" s="10"/>
      <c r="BI119" s="10"/>
      <c r="BJ119" s="10"/>
      <c r="BK119" s="10"/>
      <c r="BL119" s="10"/>
      <c r="BM119" s="10"/>
    </row>
    <row r="120" spans="3:65">
      <c r="C120" s="382" t="s">
        <v>945</v>
      </c>
      <c r="D120" s="382" t="s">
        <v>207</v>
      </c>
      <c r="E120" s="382">
        <v>0</v>
      </c>
      <c r="F120" s="382">
        <v>0</v>
      </c>
      <c r="G120" s="382">
        <v>0</v>
      </c>
      <c r="H120" s="382">
        <v>0</v>
      </c>
      <c r="I120" s="382">
        <v>0</v>
      </c>
      <c r="J120" s="382">
        <v>0</v>
      </c>
      <c r="K120" s="382">
        <v>0</v>
      </c>
      <c r="L120" s="382">
        <v>0</v>
      </c>
      <c r="M120" s="382">
        <v>0</v>
      </c>
      <c r="N120" s="382">
        <v>0</v>
      </c>
      <c r="O120" s="382">
        <v>0</v>
      </c>
      <c r="P120" s="382">
        <v>0</v>
      </c>
      <c r="Q120" s="382">
        <v>0</v>
      </c>
      <c r="R120" s="382">
        <v>0</v>
      </c>
      <c r="S120" s="382">
        <v>0</v>
      </c>
      <c r="T120" s="382">
        <v>0</v>
      </c>
      <c r="U120" s="382">
        <v>0</v>
      </c>
      <c r="V120" s="382">
        <v>59215.714780000002</v>
      </c>
      <c r="W120" s="382">
        <v>59215.714780000002</v>
      </c>
      <c r="Z120" s="10"/>
      <c r="AU120" s="10"/>
      <c r="AV120" s="10"/>
      <c r="AW120" s="10"/>
      <c r="AX120" s="10"/>
      <c r="AY120" s="10"/>
      <c r="AZ120" s="10"/>
      <c r="BA120" s="10"/>
      <c r="BB120" s="10"/>
      <c r="BC120" s="10"/>
      <c r="BD120" s="10"/>
      <c r="BE120" s="10"/>
      <c r="BF120" s="10"/>
      <c r="BG120" s="10"/>
      <c r="BH120" s="10"/>
      <c r="BI120" s="10"/>
      <c r="BJ120" s="10"/>
      <c r="BK120" s="10"/>
      <c r="BL120" s="10"/>
      <c r="BM120" s="10"/>
    </row>
    <row r="121" spans="3:65">
      <c r="C121" s="382" t="s">
        <v>946</v>
      </c>
      <c r="D121" s="382" t="s">
        <v>1050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64927.041660000003</v>
      </c>
      <c r="W121" s="382">
        <v>64927.041660000003</v>
      </c>
      <c r="Z121" s="10"/>
      <c r="AU121" s="10"/>
      <c r="AV121" s="10"/>
      <c r="AW121" s="10"/>
      <c r="AX121" s="10"/>
      <c r="AY121" s="10"/>
      <c r="AZ121" s="10"/>
      <c r="BA121" s="10"/>
      <c r="BB121" s="10"/>
      <c r="BC121" s="10"/>
      <c r="BD121" s="10"/>
      <c r="BE121" s="10"/>
      <c r="BF121" s="10"/>
      <c r="BG121" s="10"/>
      <c r="BH121" s="10"/>
      <c r="BI121" s="10"/>
      <c r="BJ121" s="10"/>
      <c r="BK121" s="10"/>
      <c r="BL121" s="10"/>
      <c r="BM121" s="10"/>
    </row>
    <row r="122" spans="3:65">
      <c r="C122" s="382" t="s">
        <v>947</v>
      </c>
      <c r="D122" s="382" t="s">
        <v>1051</v>
      </c>
      <c r="E122" s="382">
        <v>0</v>
      </c>
      <c r="F122" s="382">
        <v>0</v>
      </c>
      <c r="G122" s="382">
        <v>0</v>
      </c>
      <c r="H122" s="382">
        <v>0</v>
      </c>
      <c r="I122" s="382">
        <v>0</v>
      </c>
      <c r="J122" s="382">
        <v>0</v>
      </c>
      <c r="K122" s="382">
        <v>0</v>
      </c>
      <c r="L122" s="382">
        <v>0</v>
      </c>
      <c r="M122" s="382">
        <v>0</v>
      </c>
      <c r="N122" s="382">
        <v>0</v>
      </c>
      <c r="O122" s="382">
        <v>0</v>
      </c>
      <c r="P122" s="382">
        <v>0</v>
      </c>
      <c r="Q122" s="382">
        <v>0</v>
      </c>
      <c r="R122" s="382">
        <v>0</v>
      </c>
      <c r="S122" s="382">
        <v>0</v>
      </c>
      <c r="T122" s="382">
        <v>0</v>
      </c>
      <c r="U122" s="382">
        <v>0</v>
      </c>
      <c r="V122" s="382">
        <v>8217</v>
      </c>
      <c r="W122" s="382">
        <v>8217</v>
      </c>
      <c r="Z122" s="10"/>
      <c r="AU122" s="10"/>
      <c r="AV122" s="10"/>
      <c r="AW122" s="10"/>
      <c r="AX122" s="10"/>
      <c r="AY122" s="10"/>
      <c r="AZ122" s="10"/>
      <c r="BA122" s="10"/>
      <c r="BB122" s="10"/>
      <c r="BC122" s="10"/>
      <c r="BD122" s="10"/>
      <c r="BE122" s="10"/>
      <c r="BF122" s="10"/>
      <c r="BG122" s="10"/>
      <c r="BH122" s="10"/>
      <c r="BI122" s="10"/>
      <c r="BJ122" s="10"/>
      <c r="BK122" s="10"/>
      <c r="BL122" s="10"/>
      <c r="BM122" s="10"/>
    </row>
    <row r="123" spans="3:65">
      <c r="C123" s="382" t="s">
        <v>948</v>
      </c>
      <c r="D123" s="382" t="s">
        <v>208</v>
      </c>
      <c r="E123" s="382">
        <v>0</v>
      </c>
      <c r="F123" s="382">
        <v>0</v>
      </c>
      <c r="G123" s="382">
        <v>0</v>
      </c>
      <c r="H123" s="382">
        <v>0</v>
      </c>
      <c r="I123" s="382">
        <v>0</v>
      </c>
      <c r="J123" s="382">
        <v>0</v>
      </c>
      <c r="K123" s="382">
        <v>0</v>
      </c>
      <c r="L123" s="382">
        <v>0</v>
      </c>
      <c r="M123" s="382">
        <v>0</v>
      </c>
      <c r="N123" s="382">
        <v>0</v>
      </c>
      <c r="O123" s="382">
        <v>0</v>
      </c>
      <c r="P123" s="382">
        <v>0</v>
      </c>
      <c r="Q123" s="382">
        <v>0</v>
      </c>
      <c r="R123" s="382">
        <v>0</v>
      </c>
      <c r="S123" s="382">
        <v>0</v>
      </c>
      <c r="T123" s="382">
        <v>0</v>
      </c>
      <c r="U123" s="382">
        <v>0</v>
      </c>
      <c r="V123" s="382">
        <v>5284.3436400000001</v>
      </c>
      <c r="W123" s="382">
        <v>5284.3436400000001</v>
      </c>
      <c r="Z123" s="10"/>
      <c r="AU123" s="10"/>
      <c r="AV123" s="10"/>
      <c r="AW123" s="10"/>
      <c r="AX123" s="10"/>
      <c r="AY123" s="10"/>
      <c r="AZ123" s="10"/>
      <c r="BA123" s="10"/>
      <c r="BB123" s="10"/>
      <c r="BC123" s="10"/>
      <c r="BD123" s="10"/>
      <c r="BE123" s="10"/>
      <c r="BF123" s="10"/>
      <c r="BG123" s="10"/>
      <c r="BH123" s="10"/>
      <c r="BI123" s="10"/>
      <c r="BJ123" s="10"/>
      <c r="BK123" s="10"/>
      <c r="BL123" s="10"/>
      <c r="BM123" s="10"/>
    </row>
    <row r="124" spans="3:65">
      <c r="C124" s="382" t="s">
        <v>949</v>
      </c>
      <c r="D124" s="382" t="s">
        <v>209</v>
      </c>
      <c r="E124" s="382">
        <v>0</v>
      </c>
      <c r="F124" s="382">
        <v>0</v>
      </c>
      <c r="G124" s="382">
        <v>0</v>
      </c>
      <c r="H124" s="382">
        <v>0</v>
      </c>
      <c r="I124" s="382">
        <v>0</v>
      </c>
      <c r="J124" s="382">
        <v>0</v>
      </c>
      <c r="K124" s="382">
        <v>0</v>
      </c>
      <c r="L124" s="382">
        <v>0</v>
      </c>
      <c r="M124" s="382">
        <v>0</v>
      </c>
      <c r="N124" s="382">
        <v>0</v>
      </c>
      <c r="O124" s="382">
        <v>0</v>
      </c>
      <c r="P124" s="382">
        <v>0</v>
      </c>
      <c r="Q124" s="382">
        <v>0</v>
      </c>
      <c r="R124" s="382">
        <v>0</v>
      </c>
      <c r="S124" s="382">
        <v>0</v>
      </c>
      <c r="T124" s="382">
        <v>0</v>
      </c>
      <c r="U124" s="382">
        <v>0</v>
      </c>
      <c r="V124" s="382">
        <v>3434.0584800000006</v>
      </c>
      <c r="W124" s="382">
        <v>3434.0584800000006</v>
      </c>
      <c r="Z124" s="10"/>
      <c r="AU124" s="10"/>
      <c r="AV124" s="10"/>
      <c r="AW124" s="10"/>
      <c r="AX124" s="10"/>
      <c r="AY124" s="10"/>
      <c r="AZ124" s="10"/>
      <c r="BA124" s="10"/>
      <c r="BB124" s="10"/>
      <c r="BC124" s="10"/>
      <c r="BD124" s="10"/>
      <c r="BE124" s="10"/>
      <c r="BF124" s="10"/>
      <c r="BG124" s="10"/>
      <c r="BH124" s="10"/>
      <c r="BI124" s="10"/>
      <c r="BJ124" s="10"/>
      <c r="BK124" s="10"/>
      <c r="BL124" s="10"/>
      <c r="BM124" s="10"/>
    </row>
    <row r="125" spans="3:65">
      <c r="C125" s="382" t="s">
        <v>950</v>
      </c>
      <c r="D125" s="382" t="s">
        <v>628</v>
      </c>
      <c r="E125" s="382">
        <v>0</v>
      </c>
      <c r="F125" s="382">
        <v>0</v>
      </c>
      <c r="G125" s="382">
        <v>0</v>
      </c>
      <c r="H125" s="382">
        <v>0</v>
      </c>
      <c r="I125" s="382">
        <v>0</v>
      </c>
      <c r="J125" s="382">
        <v>0</v>
      </c>
      <c r="K125" s="382">
        <v>0</v>
      </c>
      <c r="L125" s="382">
        <v>0</v>
      </c>
      <c r="M125" s="382">
        <v>0</v>
      </c>
      <c r="N125" s="382">
        <v>0</v>
      </c>
      <c r="O125" s="382">
        <v>0</v>
      </c>
      <c r="P125" s="382">
        <v>0</v>
      </c>
      <c r="Q125" s="382">
        <v>0</v>
      </c>
      <c r="R125" s="382">
        <v>0</v>
      </c>
      <c r="S125" s="382">
        <v>0</v>
      </c>
      <c r="T125" s="382">
        <v>0</v>
      </c>
      <c r="U125" s="382">
        <v>0</v>
      </c>
      <c r="V125" s="382">
        <v>15342.695469999999</v>
      </c>
      <c r="W125" s="382">
        <v>15342.695469999999</v>
      </c>
      <c r="Z125" s="10"/>
      <c r="AU125" s="10"/>
      <c r="AV125" s="10"/>
      <c r="AW125" s="10"/>
      <c r="AX125" s="10"/>
      <c r="AY125" s="10"/>
      <c r="AZ125" s="10"/>
      <c r="BA125" s="10"/>
      <c r="BB125" s="10"/>
      <c r="BC125" s="10"/>
      <c r="BD125" s="10"/>
      <c r="BE125" s="10"/>
      <c r="BF125" s="10"/>
      <c r="BG125" s="10"/>
      <c r="BH125" s="10"/>
      <c r="BI125" s="10"/>
      <c r="BJ125" s="10"/>
      <c r="BK125" s="10"/>
      <c r="BL125" s="10"/>
      <c r="BM125" s="10"/>
    </row>
    <row r="126" spans="3:65">
      <c r="C126" s="382" t="s">
        <v>951</v>
      </c>
      <c r="D126" s="382" t="s">
        <v>210</v>
      </c>
      <c r="E126" s="382">
        <v>0</v>
      </c>
      <c r="F126" s="382">
        <v>0</v>
      </c>
      <c r="G126" s="382">
        <v>0</v>
      </c>
      <c r="H126" s="382">
        <v>0</v>
      </c>
      <c r="I126" s="382">
        <v>0</v>
      </c>
      <c r="J126" s="382">
        <v>0</v>
      </c>
      <c r="K126" s="382">
        <v>0</v>
      </c>
      <c r="L126" s="382">
        <v>0</v>
      </c>
      <c r="M126" s="382">
        <v>0</v>
      </c>
      <c r="N126" s="382">
        <v>0</v>
      </c>
      <c r="O126" s="382">
        <v>0</v>
      </c>
      <c r="P126" s="382">
        <v>0</v>
      </c>
      <c r="Q126" s="382">
        <v>0</v>
      </c>
      <c r="R126" s="382">
        <v>0</v>
      </c>
      <c r="S126" s="382">
        <v>0</v>
      </c>
      <c r="T126" s="382">
        <v>0</v>
      </c>
      <c r="U126" s="382">
        <v>0</v>
      </c>
      <c r="V126" s="382">
        <v>2497.7586999999999</v>
      </c>
      <c r="W126" s="382">
        <v>2497.7586999999999</v>
      </c>
      <c r="Z126" s="10"/>
      <c r="AU126" s="10"/>
      <c r="AV126" s="10"/>
      <c r="AW126" s="10"/>
      <c r="AX126" s="10"/>
      <c r="AY126" s="10"/>
      <c r="AZ126" s="10"/>
      <c r="BA126" s="10"/>
      <c r="BB126" s="10"/>
      <c r="BC126" s="10"/>
      <c r="BD126" s="10"/>
      <c r="BE126" s="10"/>
      <c r="BF126" s="10"/>
      <c r="BG126" s="10"/>
      <c r="BH126" s="10"/>
      <c r="BI126" s="10"/>
      <c r="BJ126" s="10"/>
      <c r="BK126" s="10"/>
      <c r="BL126" s="10"/>
      <c r="BM126" s="10"/>
    </row>
    <row r="127" spans="3:65">
      <c r="C127" s="382" t="s">
        <v>982</v>
      </c>
      <c r="D127" s="382" t="s">
        <v>1199</v>
      </c>
      <c r="E127" s="382">
        <v>0</v>
      </c>
      <c r="F127" s="382">
        <v>0</v>
      </c>
      <c r="G127" s="382">
        <v>0</v>
      </c>
      <c r="H127" s="382">
        <v>0</v>
      </c>
      <c r="I127" s="382">
        <v>0</v>
      </c>
      <c r="J127" s="382">
        <v>0</v>
      </c>
      <c r="K127" s="382">
        <v>0</v>
      </c>
      <c r="L127" s="382">
        <v>0</v>
      </c>
      <c r="M127" s="382">
        <v>0</v>
      </c>
      <c r="N127" s="382">
        <v>0</v>
      </c>
      <c r="O127" s="382">
        <v>0</v>
      </c>
      <c r="P127" s="382">
        <v>0</v>
      </c>
      <c r="Q127" s="382">
        <v>0</v>
      </c>
      <c r="R127" s="382">
        <v>0</v>
      </c>
      <c r="S127" s="382">
        <v>0</v>
      </c>
      <c r="T127" s="382">
        <v>0</v>
      </c>
      <c r="U127" s="382">
        <v>0</v>
      </c>
      <c r="V127" s="382">
        <v>58130.16977</v>
      </c>
      <c r="W127" s="382">
        <v>58130.16977</v>
      </c>
      <c r="Z127" s="10"/>
      <c r="AU127" s="10"/>
      <c r="AV127" s="10"/>
      <c r="AW127" s="10"/>
      <c r="AX127" s="10"/>
      <c r="AY127" s="10"/>
      <c r="AZ127" s="10"/>
      <c r="BA127" s="10"/>
      <c r="BB127" s="10"/>
      <c r="BC127" s="10"/>
      <c r="BD127" s="10"/>
      <c r="BE127" s="10"/>
      <c r="BF127" s="10"/>
      <c r="BG127" s="10"/>
      <c r="BH127" s="10"/>
      <c r="BI127" s="10"/>
      <c r="BJ127" s="10"/>
      <c r="BK127" s="10"/>
      <c r="BL127" s="10"/>
      <c r="BM127" s="10"/>
    </row>
    <row r="128" spans="3:65">
      <c r="C128" s="382" t="s">
        <v>983</v>
      </c>
      <c r="D128" s="382" t="s">
        <v>1052</v>
      </c>
      <c r="E128" s="382">
        <v>0</v>
      </c>
      <c r="F128" s="382">
        <v>0</v>
      </c>
      <c r="G128" s="382">
        <v>0</v>
      </c>
      <c r="H128" s="382">
        <v>0</v>
      </c>
      <c r="I128" s="382">
        <v>0</v>
      </c>
      <c r="J128" s="382">
        <v>0</v>
      </c>
      <c r="K128" s="382">
        <v>0</v>
      </c>
      <c r="L128" s="382">
        <v>0</v>
      </c>
      <c r="M128" s="382">
        <v>0</v>
      </c>
      <c r="N128" s="382">
        <v>0</v>
      </c>
      <c r="O128" s="382">
        <v>0</v>
      </c>
      <c r="P128" s="382">
        <v>0</v>
      </c>
      <c r="Q128" s="382">
        <v>0</v>
      </c>
      <c r="R128" s="382">
        <v>0</v>
      </c>
      <c r="S128" s="382">
        <v>0</v>
      </c>
      <c r="T128" s="382">
        <v>0</v>
      </c>
      <c r="U128" s="382">
        <v>0</v>
      </c>
      <c r="V128" s="382">
        <v>140449.9303897715</v>
      </c>
      <c r="W128" s="382">
        <v>140449.9303897715</v>
      </c>
      <c r="Z128" s="10"/>
      <c r="AU128" s="10"/>
      <c r="AV128" s="10"/>
      <c r="AW128" s="10"/>
      <c r="AX128" s="10"/>
      <c r="AY128" s="10"/>
      <c r="AZ128" s="10"/>
      <c r="BA128" s="10"/>
      <c r="BB128" s="10"/>
      <c r="BC128" s="10"/>
      <c r="BD128" s="10"/>
      <c r="BE128" s="10"/>
      <c r="BF128" s="10"/>
      <c r="BG128" s="10"/>
      <c r="BH128" s="10"/>
      <c r="BI128" s="10"/>
      <c r="BJ128" s="10"/>
      <c r="BK128" s="10"/>
      <c r="BL128" s="10"/>
      <c r="BM128" s="10"/>
    </row>
    <row r="129" spans="3:65">
      <c r="C129" s="382" t="s">
        <v>952</v>
      </c>
      <c r="D129" s="382" t="s">
        <v>1053</v>
      </c>
      <c r="E129" s="382">
        <v>0</v>
      </c>
      <c r="F129" s="382">
        <v>0</v>
      </c>
      <c r="G129" s="382">
        <v>0</v>
      </c>
      <c r="H129" s="382">
        <v>0</v>
      </c>
      <c r="I129" s="382">
        <v>0</v>
      </c>
      <c r="J129" s="382">
        <v>0</v>
      </c>
      <c r="K129" s="382">
        <v>0</v>
      </c>
      <c r="L129" s="382">
        <v>0</v>
      </c>
      <c r="M129" s="382">
        <v>0</v>
      </c>
      <c r="N129" s="382">
        <v>0</v>
      </c>
      <c r="O129" s="382">
        <v>0</v>
      </c>
      <c r="P129" s="382">
        <v>0</v>
      </c>
      <c r="Q129" s="382">
        <v>0</v>
      </c>
      <c r="R129" s="382">
        <v>0</v>
      </c>
      <c r="S129" s="382">
        <v>0</v>
      </c>
      <c r="T129" s="382">
        <v>0</v>
      </c>
      <c r="U129" s="382">
        <v>0</v>
      </c>
      <c r="V129" s="382">
        <v>13996.123929379688</v>
      </c>
      <c r="W129" s="382">
        <v>13996.123929379688</v>
      </c>
      <c r="Z129" s="10"/>
      <c r="AU129" s="10"/>
      <c r="AV129" s="10"/>
      <c r="AW129" s="10"/>
      <c r="AX129" s="10"/>
      <c r="AY129" s="10"/>
      <c r="AZ129" s="10"/>
      <c r="BA129" s="10"/>
      <c r="BB129" s="10"/>
      <c r="BC129" s="10"/>
      <c r="BD129" s="10"/>
      <c r="BE129" s="10"/>
      <c r="BF129" s="10"/>
      <c r="BG129" s="10"/>
      <c r="BH129" s="10"/>
      <c r="BI129" s="10"/>
      <c r="BJ129" s="10"/>
      <c r="BK129" s="10"/>
      <c r="BL129" s="10"/>
      <c r="BM129" s="10"/>
    </row>
    <row r="130" spans="3:65">
      <c r="C130" s="382" t="s">
        <v>953</v>
      </c>
      <c r="D130" s="382" t="s">
        <v>1159</v>
      </c>
      <c r="E130" s="382">
        <v>0</v>
      </c>
      <c r="F130" s="382">
        <v>0</v>
      </c>
      <c r="G130" s="382">
        <v>0</v>
      </c>
      <c r="H130" s="382">
        <v>0</v>
      </c>
      <c r="I130" s="382">
        <v>0</v>
      </c>
      <c r="J130" s="382">
        <v>0</v>
      </c>
      <c r="K130" s="382">
        <v>0</v>
      </c>
      <c r="L130" s="382">
        <v>0</v>
      </c>
      <c r="M130" s="382">
        <v>0</v>
      </c>
      <c r="N130" s="382">
        <v>0</v>
      </c>
      <c r="O130" s="382">
        <v>0</v>
      </c>
      <c r="P130" s="382">
        <v>0</v>
      </c>
      <c r="Q130" s="382">
        <v>0</v>
      </c>
      <c r="R130" s="382">
        <v>0</v>
      </c>
      <c r="S130" s="382">
        <v>0</v>
      </c>
      <c r="T130" s="382">
        <v>0</v>
      </c>
      <c r="U130" s="382">
        <v>0</v>
      </c>
      <c r="V130" s="382">
        <v>1917.6963699999999</v>
      </c>
      <c r="W130" s="382">
        <v>1917.6963699999999</v>
      </c>
      <c r="Z130" s="10"/>
      <c r="AU130" s="10"/>
      <c r="AV130" s="10"/>
      <c r="AW130" s="10"/>
      <c r="AX130" s="10"/>
      <c r="AY130" s="10"/>
      <c r="AZ130" s="10"/>
      <c r="BA130" s="10"/>
      <c r="BB130" s="10"/>
      <c r="BC130" s="10"/>
      <c r="BD130" s="10"/>
      <c r="BE130" s="10"/>
      <c r="BF130" s="10"/>
      <c r="BG130" s="10"/>
      <c r="BH130" s="10"/>
      <c r="BI130" s="10"/>
      <c r="BJ130" s="10"/>
      <c r="BK130" s="10"/>
      <c r="BL130" s="10"/>
      <c r="BM130" s="10"/>
    </row>
    <row r="131" spans="3:65">
      <c r="C131" s="382" t="s">
        <v>954</v>
      </c>
      <c r="D131" s="382" t="s">
        <v>1054</v>
      </c>
      <c r="E131" s="382">
        <v>0</v>
      </c>
      <c r="F131" s="382">
        <v>0</v>
      </c>
      <c r="G131" s="382">
        <v>0</v>
      </c>
      <c r="H131" s="382">
        <v>0</v>
      </c>
      <c r="I131" s="382">
        <v>0</v>
      </c>
      <c r="J131" s="382">
        <v>0</v>
      </c>
      <c r="K131" s="382">
        <v>0</v>
      </c>
      <c r="L131" s="382">
        <v>0</v>
      </c>
      <c r="M131" s="382">
        <v>0</v>
      </c>
      <c r="N131" s="382">
        <v>0</v>
      </c>
      <c r="O131" s="382">
        <v>0</v>
      </c>
      <c r="P131" s="382">
        <v>0</v>
      </c>
      <c r="Q131" s="382">
        <v>0</v>
      </c>
      <c r="R131" s="382">
        <v>0</v>
      </c>
      <c r="S131" s="382">
        <v>0</v>
      </c>
      <c r="T131" s="382">
        <v>0</v>
      </c>
      <c r="U131" s="382">
        <v>0</v>
      </c>
      <c r="V131" s="382">
        <v>24575.836473526666</v>
      </c>
      <c r="W131" s="382">
        <v>24575.836473526666</v>
      </c>
      <c r="Z131" s="10"/>
      <c r="AU131" s="10"/>
      <c r="AV131" s="10"/>
      <c r="AW131" s="10"/>
      <c r="AX131" s="10"/>
      <c r="AY131" s="10"/>
      <c r="AZ131" s="10"/>
      <c r="BA131" s="10"/>
      <c r="BB131" s="10"/>
      <c r="BC131" s="10"/>
      <c r="BD131" s="10"/>
      <c r="BE131" s="10"/>
      <c r="BF131" s="10"/>
      <c r="BG131" s="10"/>
      <c r="BH131" s="10"/>
      <c r="BI131" s="10"/>
      <c r="BJ131" s="10"/>
      <c r="BK131" s="10"/>
      <c r="BL131" s="10"/>
      <c r="BM131" s="10"/>
    </row>
    <row r="132" spans="3:65">
      <c r="C132" s="382" t="s">
        <v>955</v>
      </c>
      <c r="D132" s="382" t="s">
        <v>211</v>
      </c>
      <c r="E132" s="382">
        <v>0</v>
      </c>
      <c r="F132" s="382">
        <v>0</v>
      </c>
      <c r="G132" s="382">
        <v>0</v>
      </c>
      <c r="H132" s="382">
        <v>0</v>
      </c>
      <c r="I132" s="382">
        <v>0</v>
      </c>
      <c r="J132" s="382">
        <v>0</v>
      </c>
      <c r="K132" s="382">
        <v>0</v>
      </c>
      <c r="L132" s="382">
        <v>0</v>
      </c>
      <c r="M132" s="382">
        <v>0</v>
      </c>
      <c r="N132" s="382">
        <v>0</v>
      </c>
      <c r="O132" s="382">
        <v>0</v>
      </c>
      <c r="P132" s="382">
        <v>0</v>
      </c>
      <c r="Q132" s="382">
        <v>0</v>
      </c>
      <c r="R132" s="382">
        <v>0</v>
      </c>
      <c r="S132" s="382">
        <v>0</v>
      </c>
      <c r="T132" s="382">
        <v>0</v>
      </c>
      <c r="U132" s="382">
        <v>0</v>
      </c>
      <c r="V132" s="382">
        <v>1956.23704</v>
      </c>
      <c r="W132" s="382">
        <v>1956.23704</v>
      </c>
      <c r="Z132" s="10"/>
      <c r="AU132" s="10"/>
      <c r="AV132" s="10"/>
      <c r="AW132" s="10"/>
      <c r="AX132" s="10"/>
      <c r="AY132" s="10"/>
      <c r="AZ132" s="10"/>
      <c r="BA132" s="10"/>
      <c r="BB132" s="10"/>
      <c r="BC132" s="10"/>
      <c r="BD132" s="10"/>
      <c r="BE132" s="10"/>
      <c r="BF132" s="10"/>
      <c r="BG132" s="10"/>
      <c r="BH132" s="10"/>
      <c r="BI132" s="10"/>
      <c r="BJ132" s="10"/>
      <c r="BK132" s="10"/>
      <c r="BL132" s="10"/>
      <c r="BM132" s="10"/>
    </row>
    <row r="133" spans="3:65">
      <c r="C133" s="382" t="s">
        <v>212</v>
      </c>
      <c r="D133" s="382" t="s">
        <v>1055</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139501</v>
      </c>
      <c r="W133" s="382">
        <v>139501</v>
      </c>
      <c r="Z133" s="10"/>
      <c r="AU133" s="10"/>
      <c r="AV133" s="10"/>
      <c r="AW133" s="10"/>
      <c r="AX133" s="10"/>
      <c r="AY133" s="10"/>
      <c r="AZ133" s="10"/>
      <c r="BA133" s="10"/>
      <c r="BB133" s="10"/>
      <c r="BC133" s="10"/>
      <c r="BD133" s="10"/>
      <c r="BE133" s="10"/>
      <c r="BF133" s="10"/>
      <c r="BG133" s="10"/>
      <c r="BH133" s="10"/>
      <c r="BI133" s="10"/>
      <c r="BJ133" s="10"/>
      <c r="BK133" s="10"/>
      <c r="BL133" s="10"/>
      <c r="BM133" s="10"/>
    </row>
    <row r="134" spans="3:65">
      <c r="C134" s="382" t="s">
        <v>956</v>
      </c>
      <c r="D134" s="382" t="s">
        <v>1056</v>
      </c>
      <c r="E134" s="382">
        <v>0</v>
      </c>
      <c r="F134" s="382">
        <v>0</v>
      </c>
      <c r="G134" s="382">
        <v>0</v>
      </c>
      <c r="H134" s="382">
        <v>0</v>
      </c>
      <c r="I134" s="382">
        <v>0</v>
      </c>
      <c r="J134" s="382">
        <v>0</v>
      </c>
      <c r="K134" s="382">
        <v>0</v>
      </c>
      <c r="L134" s="382">
        <v>0</v>
      </c>
      <c r="M134" s="382">
        <v>0</v>
      </c>
      <c r="N134" s="382">
        <v>0</v>
      </c>
      <c r="O134" s="382">
        <v>0</v>
      </c>
      <c r="P134" s="382">
        <v>0</v>
      </c>
      <c r="Q134" s="382">
        <v>0</v>
      </c>
      <c r="R134" s="382">
        <v>0</v>
      </c>
      <c r="S134" s="382">
        <v>0</v>
      </c>
      <c r="T134" s="382">
        <v>0</v>
      </c>
      <c r="U134" s="382">
        <v>0</v>
      </c>
      <c r="V134" s="382">
        <v>71969.113970000006</v>
      </c>
      <c r="W134" s="382">
        <v>71969.113970000006</v>
      </c>
      <c r="Z134" s="10"/>
      <c r="AU134" s="10"/>
      <c r="AV134" s="10"/>
      <c r="AW134" s="10"/>
      <c r="AX134" s="10"/>
      <c r="AY134" s="10"/>
      <c r="AZ134" s="10"/>
      <c r="BA134" s="10"/>
      <c r="BB134" s="10"/>
      <c r="BC134" s="10"/>
      <c r="BD134" s="10"/>
      <c r="BE134" s="10"/>
      <c r="BF134" s="10"/>
      <c r="BG134" s="10"/>
      <c r="BH134" s="10"/>
      <c r="BI134" s="10"/>
      <c r="BJ134" s="10"/>
      <c r="BK134" s="10"/>
      <c r="BL134" s="10"/>
      <c r="BM134" s="10"/>
    </row>
    <row r="135" spans="3:65">
      <c r="C135" s="382" t="s">
        <v>957</v>
      </c>
      <c r="D135" s="382" t="s">
        <v>1057</v>
      </c>
      <c r="E135" s="382">
        <v>0</v>
      </c>
      <c r="F135" s="382">
        <v>0</v>
      </c>
      <c r="G135" s="382">
        <v>0</v>
      </c>
      <c r="H135" s="382">
        <v>0</v>
      </c>
      <c r="I135" s="382">
        <v>0</v>
      </c>
      <c r="J135" s="382">
        <v>0</v>
      </c>
      <c r="K135" s="382">
        <v>0</v>
      </c>
      <c r="L135" s="382">
        <v>0</v>
      </c>
      <c r="M135" s="382">
        <v>0</v>
      </c>
      <c r="N135" s="382">
        <v>0</v>
      </c>
      <c r="O135" s="382">
        <v>0</v>
      </c>
      <c r="P135" s="382">
        <v>0</v>
      </c>
      <c r="Q135" s="382">
        <v>0</v>
      </c>
      <c r="R135" s="382">
        <v>0</v>
      </c>
      <c r="S135" s="382">
        <v>1405959.0288910526</v>
      </c>
      <c r="T135" s="382">
        <v>5258275.3891569432</v>
      </c>
      <c r="U135" s="382">
        <v>0</v>
      </c>
      <c r="V135" s="382">
        <v>0</v>
      </c>
      <c r="W135" s="382">
        <v>6664234.4180479962</v>
      </c>
      <c r="Z135" s="10"/>
      <c r="AU135" s="10"/>
      <c r="AV135" s="10"/>
      <c r="AW135" s="10"/>
      <c r="AX135" s="10"/>
      <c r="AY135" s="10"/>
      <c r="AZ135" s="10"/>
      <c r="BA135" s="10"/>
      <c r="BB135" s="10"/>
      <c r="BC135" s="10"/>
      <c r="BD135" s="10"/>
      <c r="BE135" s="10"/>
      <c r="BF135" s="10"/>
      <c r="BG135" s="10"/>
      <c r="BH135" s="10"/>
      <c r="BI135" s="10"/>
      <c r="BJ135" s="10"/>
      <c r="BK135" s="10"/>
      <c r="BL135" s="10"/>
      <c r="BM135" s="10"/>
    </row>
    <row r="136" spans="3:65">
      <c r="C136" s="382" t="s">
        <v>958</v>
      </c>
      <c r="D136" s="382" t="s">
        <v>1058</v>
      </c>
      <c r="E136" s="382">
        <v>0</v>
      </c>
      <c r="F136" s="382">
        <v>0</v>
      </c>
      <c r="G136" s="382">
        <v>0</v>
      </c>
      <c r="H136" s="382">
        <v>0</v>
      </c>
      <c r="I136" s="382">
        <v>0</v>
      </c>
      <c r="J136" s="382">
        <v>0</v>
      </c>
      <c r="K136" s="382">
        <v>0</v>
      </c>
      <c r="L136" s="382">
        <v>0</v>
      </c>
      <c r="M136" s="382">
        <v>0</v>
      </c>
      <c r="N136" s="382">
        <v>0</v>
      </c>
      <c r="O136" s="382">
        <v>0</v>
      </c>
      <c r="P136" s="382">
        <v>0</v>
      </c>
      <c r="Q136" s="382">
        <v>0</v>
      </c>
      <c r="R136" s="382">
        <v>0</v>
      </c>
      <c r="S136" s="382">
        <v>351806.75992157578</v>
      </c>
      <c r="T136" s="382">
        <v>1223736.9552686848</v>
      </c>
      <c r="U136" s="382">
        <v>0</v>
      </c>
      <c r="V136" s="382">
        <v>0</v>
      </c>
      <c r="W136" s="382">
        <v>1575543.7151902607</v>
      </c>
      <c r="Z136" s="10"/>
      <c r="AU136" s="10"/>
      <c r="AV136" s="10"/>
      <c r="AW136" s="10"/>
      <c r="AX136" s="10"/>
      <c r="AY136" s="10"/>
      <c r="AZ136" s="10"/>
      <c r="BA136" s="10"/>
      <c r="BB136" s="10"/>
      <c r="BC136" s="10"/>
      <c r="BD136" s="10"/>
      <c r="BE136" s="10"/>
      <c r="BF136" s="10"/>
      <c r="BG136" s="10"/>
      <c r="BH136" s="10"/>
      <c r="BI136" s="10"/>
      <c r="BJ136" s="10"/>
      <c r="BK136" s="10"/>
      <c r="BL136" s="10"/>
      <c r="BM136" s="10"/>
    </row>
    <row r="137" spans="3:65">
      <c r="C137" s="382" t="s">
        <v>214</v>
      </c>
      <c r="D137" s="382" t="s">
        <v>1059</v>
      </c>
      <c r="E137" s="382">
        <v>0</v>
      </c>
      <c r="F137" s="382">
        <v>0</v>
      </c>
      <c r="G137" s="382">
        <v>0</v>
      </c>
      <c r="H137" s="382">
        <v>0</v>
      </c>
      <c r="I137" s="382">
        <v>0</v>
      </c>
      <c r="J137" s="382">
        <v>0</v>
      </c>
      <c r="K137" s="382">
        <v>0</v>
      </c>
      <c r="L137" s="382">
        <v>0</v>
      </c>
      <c r="M137" s="382">
        <v>0</v>
      </c>
      <c r="N137" s="382">
        <v>0</v>
      </c>
      <c r="O137" s="382">
        <v>0</v>
      </c>
      <c r="P137" s="382">
        <v>0</v>
      </c>
      <c r="Q137" s="382">
        <v>0</v>
      </c>
      <c r="R137" s="382">
        <v>0</v>
      </c>
      <c r="S137" s="382">
        <v>5739</v>
      </c>
      <c r="T137" s="382">
        <v>9593</v>
      </c>
      <c r="U137" s="382">
        <v>0</v>
      </c>
      <c r="V137" s="382">
        <v>0</v>
      </c>
      <c r="W137" s="382">
        <v>15332</v>
      </c>
      <c r="Z137" s="10"/>
      <c r="AU137" s="10"/>
      <c r="AV137" s="10"/>
      <c r="AW137" s="10"/>
      <c r="AX137" s="10"/>
      <c r="AY137" s="10"/>
      <c r="AZ137" s="10"/>
      <c r="BA137" s="10"/>
      <c r="BB137" s="10"/>
      <c r="BC137" s="10"/>
      <c r="BD137" s="10"/>
      <c r="BE137" s="10"/>
      <c r="BF137" s="10"/>
      <c r="BG137" s="10"/>
      <c r="BH137" s="10"/>
      <c r="BI137" s="10"/>
      <c r="BJ137" s="10"/>
      <c r="BK137" s="10"/>
      <c r="BL137" s="10"/>
      <c r="BM137" s="10"/>
    </row>
    <row r="138" spans="3:65">
      <c r="C138" s="382" t="s">
        <v>215</v>
      </c>
      <c r="D138" s="382" t="s">
        <v>1173</v>
      </c>
      <c r="E138" s="382">
        <v>0</v>
      </c>
      <c r="F138" s="382">
        <v>0</v>
      </c>
      <c r="G138" s="382">
        <v>0</v>
      </c>
      <c r="H138" s="382">
        <v>0</v>
      </c>
      <c r="I138" s="382">
        <v>0</v>
      </c>
      <c r="J138" s="382">
        <v>0</v>
      </c>
      <c r="K138" s="382">
        <v>0</v>
      </c>
      <c r="L138" s="382">
        <v>0</v>
      </c>
      <c r="M138" s="382">
        <v>0</v>
      </c>
      <c r="N138" s="382">
        <v>0</v>
      </c>
      <c r="O138" s="382">
        <v>0</v>
      </c>
      <c r="P138" s="382">
        <v>0</v>
      </c>
      <c r="Q138" s="382">
        <v>0</v>
      </c>
      <c r="R138" s="382">
        <v>0</v>
      </c>
      <c r="S138" s="382">
        <v>1096283</v>
      </c>
      <c r="T138" s="382">
        <v>4791671</v>
      </c>
      <c r="U138" s="382">
        <v>0</v>
      </c>
      <c r="V138" s="382">
        <v>0</v>
      </c>
      <c r="W138" s="382">
        <v>5887954</v>
      </c>
      <c r="Z138" s="10"/>
      <c r="AU138" s="10"/>
      <c r="AV138" s="10"/>
      <c r="AW138" s="10"/>
      <c r="AX138" s="10"/>
      <c r="AY138" s="10"/>
      <c r="AZ138" s="10"/>
      <c r="BA138" s="10"/>
      <c r="BB138" s="10"/>
      <c r="BC138" s="10"/>
      <c r="BD138" s="10"/>
      <c r="BE138" s="10"/>
      <c r="BF138" s="10"/>
      <c r="BG138" s="10"/>
      <c r="BH138" s="10"/>
      <c r="BI138" s="10"/>
      <c r="BJ138" s="10"/>
      <c r="BK138" s="10"/>
      <c r="BL138" s="10"/>
      <c r="BM138" s="10"/>
    </row>
    <row r="139" spans="3:65">
      <c r="C139" s="382" t="s">
        <v>1091</v>
      </c>
      <c r="D139" s="382" t="s">
        <v>1174</v>
      </c>
      <c r="E139" s="382">
        <v>0</v>
      </c>
      <c r="F139" s="382">
        <v>0</v>
      </c>
      <c r="G139" s="382">
        <v>0</v>
      </c>
      <c r="H139" s="382">
        <v>0</v>
      </c>
      <c r="I139" s="382">
        <v>0</v>
      </c>
      <c r="J139" s="382">
        <v>0</v>
      </c>
      <c r="K139" s="382">
        <v>0</v>
      </c>
      <c r="L139" s="382">
        <v>0</v>
      </c>
      <c r="M139" s="382">
        <v>0</v>
      </c>
      <c r="N139" s="382">
        <v>0</v>
      </c>
      <c r="O139" s="382">
        <v>0</v>
      </c>
      <c r="P139" s="382">
        <v>0</v>
      </c>
      <c r="Q139" s="382">
        <v>0</v>
      </c>
      <c r="R139" s="382">
        <v>0</v>
      </c>
      <c r="S139" s="382">
        <v>395935.32999999996</v>
      </c>
      <c r="T139" s="382">
        <v>1353930</v>
      </c>
      <c r="U139" s="382">
        <v>0</v>
      </c>
      <c r="V139" s="382">
        <v>0</v>
      </c>
      <c r="W139" s="382">
        <v>1749865.33</v>
      </c>
      <c r="Z139" s="10"/>
      <c r="AU139" s="10"/>
      <c r="AV139" s="10"/>
      <c r="AW139" s="10"/>
      <c r="AX139" s="10"/>
      <c r="AY139" s="10"/>
      <c r="AZ139" s="10"/>
      <c r="BA139" s="10"/>
      <c r="BB139" s="10"/>
      <c r="BC139" s="10"/>
      <c r="BD139" s="10"/>
      <c r="BE139" s="10"/>
      <c r="BF139" s="10"/>
      <c r="BG139" s="10"/>
      <c r="BH139" s="10"/>
      <c r="BI139" s="10"/>
      <c r="BJ139" s="10"/>
      <c r="BK139" s="10"/>
      <c r="BL139" s="10"/>
      <c r="BM139" s="10"/>
    </row>
    <row r="140" spans="3:65">
      <c r="C140" s="382" t="s">
        <v>216</v>
      </c>
      <c r="D140" s="382" t="s">
        <v>1060</v>
      </c>
      <c r="E140" s="382">
        <v>0</v>
      </c>
      <c r="F140" s="382">
        <v>0</v>
      </c>
      <c r="G140" s="382">
        <v>0</v>
      </c>
      <c r="H140" s="382">
        <v>0</v>
      </c>
      <c r="I140" s="382">
        <v>0</v>
      </c>
      <c r="J140" s="382">
        <v>0</v>
      </c>
      <c r="K140" s="382">
        <v>0</v>
      </c>
      <c r="L140" s="382">
        <v>0</v>
      </c>
      <c r="M140" s="382">
        <v>0</v>
      </c>
      <c r="N140" s="382">
        <v>0</v>
      </c>
      <c r="O140" s="382">
        <v>0</v>
      </c>
      <c r="P140" s="382">
        <v>0</v>
      </c>
      <c r="Q140" s="382">
        <v>0</v>
      </c>
      <c r="R140" s="382">
        <v>0</v>
      </c>
      <c r="S140" s="382">
        <v>19696</v>
      </c>
      <c r="T140" s="382">
        <v>70215</v>
      </c>
      <c r="U140" s="382">
        <v>0</v>
      </c>
      <c r="V140" s="382">
        <v>0</v>
      </c>
      <c r="W140" s="382">
        <v>89911</v>
      </c>
      <c r="Z140" s="10"/>
      <c r="AU140" s="10"/>
      <c r="AV140" s="10"/>
      <c r="AW140" s="10"/>
      <c r="AX140" s="10"/>
      <c r="AY140" s="10"/>
      <c r="AZ140" s="10"/>
      <c r="BA140" s="10"/>
      <c r="BB140" s="10"/>
      <c r="BC140" s="10"/>
      <c r="BD140" s="10"/>
      <c r="BE140" s="10"/>
      <c r="BF140" s="10"/>
      <c r="BG140" s="10"/>
      <c r="BH140" s="10"/>
      <c r="BI140" s="10"/>
      <c r="BJ140" s="10"/>
      <c r="BK140" s="10"/>
      <c r="BL140" s="10"/>
      <c r="BM140" s="10"/>
    </row>
    <row r="141" spans="3:65">
      <c r="C141" s="382" t="s">
        <v>959</v>
      </c>
      <c r="D141" s="382" t="s">
        <v>1061</v>
      </c>
      <c r="E141" s="382">
        <v>0</v>
      </c>
      <c r="F141" s="382">
        <v>0</v>
      </c>
      <c r="G141" s="382">
        <v>0</v>
      </c>
      <c r="H141" s="382">
        <v>0</v>
      </c>
      <c r="I141" s="382">
        <v>0</v>
      </c>
      <c r="J141" s="382">
        <v>0</v>
      </c>
      <c r="K141" s="382">
        <v>0</v>
      </c>
      <c r="L141" s="382">
        <v>0</v>
      </c>
      <c r="M141" s="382">
        <v>0</v>
      </c>
      <c r="N141" s="382">
        <v>0</v>
      </c>
      <c r="O141" s="382">
        <v>0</v>
      </c>
      <c r="P141" s="382">
        <v>0</v>
      </c>
      <c r="Q141" s="382">
        <v>0</v>
      </c>
      <c r="R141" s="382">
        <v>0</v>
      </c>
      <c r="S141" s="382">
        <v>42697.503158311352</v>
      </c>
      <c r="T141" s="382">
        <v>165628.10334529882</v>
      </c>
      <c r="U141" s="382">
        <v>0</v>
      </c>
      <c r="V141" s="382">
        <v>0</v>
      </c>
      <c r="W141" s="382">
        <v>208325.60650361018</v>
      </c>
      <c r="Z141" s="10"/>
      <c r="AU141" s="10"/>
      <c r="AV141" s="10"/>
      <c r="AW141" s="10"/>
      <c r="AX141" s="10"/>
      <c r="AY141" s="10"/>
      <c r="AZ141" s="10"/>
      <c r="BA141" s="10"/>
      <c r="BB141" s="10"/>
      <c r="BC141" s="10"/>
      <c r="BD141" s="10"/>
      <c r="BE141" s="10"/>
      <c r="BF141" s="10"/>
      <c r="BG141" s="10"/>
      <c r="BH141" s="10"/>
      <c r="BI141" s="10"/>
      <c r="BJ141" s="10"/>
      <c r="BK141" s="10"/>
      <c r="BL141" s="10"/>
      <c r="BM141" s="10"/>
    </row>
    <row r="142" spans="3:65">
      <c r="C142" s="382" t="s">
        <v>1081</v>
      </c>
      <c r="D142" s="382" t="s">
        <v>1200</v>
      </c>
      <c r="E142" s="382">
        <v>0</v>
      </c>
      <c r="F142" s="382">
        <v>0</v>
      </c>
      <c r="G142" s="382">
        <v>0</v>
      </c>
      <c r="H142" s="382">
        <v>0</v>
      </c>
      <c r="I142" s="382">
        <v>0</v>
      </c>
      <c r="J142" s="382">
        <v>0</v>
      </c>
      <c r="K142" s="382">
        <v>0</v>
      </c>
      <c r="L142" s="382">
        <v>0</v>
      </c>
      <c r="M142" s="382">
        <v>0</v>
      </c>
      <c r="N142" s="382">
        <v>0</v>
      </c>
      <c r="O142" s="382">
        <v>0</v>
      </c>
      <c r="P142" s="382">
        <v>0</v>
      </c>
      <c r="Q142" s="382">
        <v>0</v>
      </c>
      <c r="R142" s="382">
        <v>0</v>
      </c>
      <c r="S142" s="382">
        <v>-934.47133883818242</v>
      </c>
      <c r="T142" s="382">
        <v>202</v>
      </c>
      <c r="U142" s="382">
        <v>0</v>
      </c>
      <c r="V142" s="382">
        <v>0</v>
      </c>
      <c r="W142" s="382">
        <v>-732.47133883818242</v>
      </c>
      <c r="Z142" s="10"/>
      <c r="AU142" s="10"/>
      <c r="AV142" s="10"/>
      <c r="AW142" s="10"/>
      <c r="AX142" s="10"/>
      <c r="AY142" s="10"/>
      <c r="AZ142" s="10"/>
      <c r="BA142" s="10"/>
      <c r="BB142" s="10"/>
      <c r="BC142" s="10"/>
      <c r="BD142" s="10"/>
      <c r="BE142" s="10"/>
      <c r="BF142" s="10"/>
      <c r="BG142" s="10"/>
      <c r="BH142" s="10"/>
      <c r="BI142" s="10"/>
      <c r="BJ142" s="10"/>
      <c r="BK142" s="10"/>
      <c r="BL142" s="10"/>
      <c r="BM142" s="10"/>
    </row>
    <row r="143" spans="3:65">
      <c r="C143" s="382" t="s">
        <v>960</v>
      </c>
      <c r="D143" s="382" t="s">
        <v>1062</v>
      </c>
      <c r="E143" s="382">
        <v>0</v>
      </c>
      <c r="F143" s="382">
        <v>0</v>
      </c>
      <c r="G143" s="382">
        <v>0</v>
      </c>
      <c r="H143" s="382">
        <v>0</v>
      </c>
      <c r="I143" s="382">
        <v>0</v>
      </c>
      <c r="J143" s="382">
        <v>0</v>
      </c>
      <c r="K143" s="382">
        <v>0</v>
      </c>
      <c r="L143" s="382">
        <v>0</v>
      </c>
      <c r="M143" s="382">
        <v>0</v>
      </c>
      <c r="N143" s="382">
        <v>0</v>
      </c>
      <c r="O143" s="382">
        <v>0</v>
      </c>
      <c r="P143" s="382">
        <v>0</v>
      </c>
      <c r="Q143" s="382">
        <v>0</v>
      </c>
      <c r="R143" s="382">
        <v>0</v>
      </c>
      <c r="S143" s="382">
        <v>58758.308627139486</v>
      </c>
      <c r="T143" s="382">
        <v>209624.52365977745</v>
      </c>
      <c r="U143" s="382">
        <v>0</v>
      </c>
      <c r="V143" s="382">
        <v>0</v>
      </c>
      <c r="W143" s="382">
        <v>268382.83228691691</v>
      </c>
      <c r="Z143" s="10"/>
      <c r="AU143" s="10"/>
      <c r="AV143" s="10"/>
      <c r="AW143" s="10"/>
      <c r="AX143" s="10"/>
      <c r="AY143" s="10"/>
      <c r="AZ143" s="10"/>
      <c r="BA143" s="10"/>
      <c r="BB143" s="10"/>
      <c r="BC143" s="10"/>
      <c r="BD143" s="10"/>
      <c r="BE143" s="10"/>
      <c r="BF143" s="10"/>
      <c r="BG143" s="10"/>
      <c r="BH143" s="10"/>
      <c r="BI143" s="10"/>
      <c r="BJ143" s="10"/>
      <c r="BK143" s="10"/>
      <c r="BL143" s="10"/>
      <c r="BM143" s="10"/>
    </row>
    <row r="144" spans="3:65">
      <c r="C144" s="382" t="s">
        <v>961</v>
      </c>
      <c r="D144" s="382" t="s">
        <v>1063</v>
      </c>
      <c r="E144" s="382">
        <v>0</v>
      </c>
      <c r="F144" s="382">
        <v>0</v>
      </c>
      <c r="G144" s="382">
        <v>0</v>
      </c>
      <c r="H144" s="382">
        <v>0</v>
      </c>
      <c r="I144" s="382">
        <v>0</v>
      </c>
      <c r="J144" s="382">
        <v>0</v>
      </c>
      <c r="K144" s="382">
        <v>0</v>
      </c>
      <c r="L144" s="382">
        <v>0</v>
      </c>
      <c r="M144" s="382">
        <v>0</v>
      </c>
      <c r="N144" s="382">
        <v>0</v>
      </c>
      <c r="O144" s="382">
        <v>0</v>
      </c>
      <c r="P144" s="382">
        <v>0</v>
      </c>
      <c r="Q144" s="382">
        <v>0</v>
      </c>
      <c r="R144" s="382">
        <v>0</v>
      </c>
      <c r="S144" s="382">
        <v>10157.575626759373</v>
      </c>
      <c r="T144" s="382">
        <v>28099.02280613306</v>
      </c>
      <c r="U144" s="382">
        <v>0</v>
      </c>
      <c r="V144" s="382">
        <v>0</v>
      </c>
      <c r="W144" s="382">
        <v>38256.598432892431</v>
      </c>
      <c r="Z144" s="10"/>
      <c r="AU144" s="10"/>
      <c r="AV144" s="10"/>
      <c r="AW144" s="10"/>
      <c r="AX144" s="10"/>
      <c r="AY144" s="10"/>
      <c r="AZ144" s="10"/>
      <c r="BA144" s="10"/>
      <c r="BB144" s="10"/>
      <c r="BC144" s="10"/>
      <c r="BD144" s="10"/>
      <c r="BE144" s="10"/>
      <c r="BF144" s="10"/>
      <c r="BG144" s="10"/>
      <c r="BH144" s="10"/>
      <c r="BI144" s="10"/>
      <c r="BJ144" s="10"/>
      <c r="BK144" s="10"/>
      <c r="BL144" s="10"/>
      <c r="BM144" s="10"/>
    </row>
    <row r="145" spans="3:65">
      <c r="C145" s="382" t="s">
        <v>1201</v>
      </c>
      <c r="D145" s="382" t="s">
        <v>1202</v>
      </c>
      <c r="E145" s="382">
        <v>0</v>
      </c>
      <c r="F145" s="382">
        <v>0</v>
      </c>
      <c r="G145" s="382">
        <v>0</v>
      </c>
      <c r="H145" s="382">
        <v>0</v>
      </c>
      <c r="I145" s="382">
        <v>0</v>
      </c>
      <c r="J145" s="382">
        <v>0</v>
      </c>
      <c r="K145" s="382">
        <v>0</v>
      </c>
      <c r="L145" s="382">
        <v>0</v>
      </c>
      <c r="M145" s="382">
        <v>0</v>
      </c>
      <c r="N145" s="382">
        <v>0</v>
      </c>
      <c r="O145" s="382">
        <v>0</v>
      </c>
      <c r="P145" s="382">
        <v>0</v>
      </c>
      <c r="Q145" s="382">
        <v>0</v>
      </c>
      <c r="R145" s="382">
        <v>0</v>
      </c>
      <c r="S145" s="382">
        <v>1598.104</v>
      </c>
      <c r="T145" s="382">
        <v>7674</v>
      </c>
      <c r="U145" s="382">
        <v>0</v>
      </c>
      <c r="V145" s="382">
        <v>0</v>
      </c>
      <c r="W145" s="382">
        <v>9272.1039999999994</v>
      </c>
      <c r="Z145" s="10"/>
      <c r="AU145" s="10"/>
      <c r="AV145" s="10"/>
      <c r="AW145" s="10"/>
      <c r="AX145" s="10"/>
      <c r="AY145" s="10"/>
      <c r="AZ145" s="10"/>
      <c r="BA145" s="10"/>
      <c r="BB145" s="10"/>
      <c r="BC145" s="10"/>
      <c r="BD145" s="10"/>
      <c r="BE145" s="10"/>
      <c r="BF145" s="10"/>
      <c r="BG145" s="10"/>
      <c r="BH145" s="10"/>
      <c r="BI145" s="10"/>
      <c r="BJ145" s="10"/>
      <c r="BK145" s="10"/>
      <c r="BL145" s="10"/>
      <c r="BM145" s="10"/>
    </row>
    <row r="146" spans="3:65">
      <c r="C146" s="382" t="s">
        <v>1203</v>
      </c>
      <c r="D146" s="382" t="s">
        <v>1204</v>
      </c>
      <c r="E146" s="382">
        <v>0</v>
      </c>
      <c r="F146" s="382">
        <v>0</v>
      </c>
      <c r="G146" s="382">
        <v>0</v>
      </c>
      <c r="H146" s="382">
        <v>0</v>
      </c>
      <c r="I146" s="382">
        <v>0</v>
      </c>
      <c r="J146" s="382">
        <v>0</v>
      </c>
      <c r="K146" s="382">
        <v>0</v>
      </c>
      <c r="L146" s="382">
        <v>0</v>
      </c>
      <c r="M146" s="382">
        <v>0</v>
      </c>
      <c r="N146" s="382">
        <v>0</v>
      </c>
      <c r="O146" s="382">
        <v>0</v>
      </c>
      <c r="P146" s="382">
        <v>0</v>
      </c>
      <c r="Q146" s="382">
        <v>0</v>
      </c>
      <c r="R146" s="382">
        <v>0</v>
      </c>
      <c r="S146" s="382">
        <v>12941</v>
      </c>
      <c r="T146" s="382">
        <v>28217</v>
      </c>
      <c r="U146" s="382">
        <v>0</v>
      </c>
      <c r="V146" s="382">
        <v>0</v>
      </c>
      <c r="W146" s="382">
        <v>41158</v>
      </c>
      <c r="Z146" s="10"/>
      <c r="AU146" s="10"/>
      <c r="AV146" s="10"/>
      <c r="AW146" s="10"/>
      <c r="AX146" s="10"/>
      <c r="AY146" s="10"/>
      <c r="AZ146" s="10"/>
      <c r="BA146" s="10"/>
      <c r="BB146" s="10"/>
      <c r="BC146" s="10"/>
      <c r="BD146" s="10"/>
      <c r="BE146" s="10"/>
      <c r="BF146" s="10"/>
      <c r="BG146" s="10"/>
      <c r="BH146" s="10"/>
      <c r="BI146" s="10"/>
      <c r="BJ146" s="10"/>
      <c r="BK146" s="10"/>
      <c r="BL146" s="10"/>
      <c r="BM146" s="10"/>
    </row>
    <row r="147" spans="3:65">
      <c r="C147" s="382" t="s">
        <v>1205</v>
      </c>
      <c r="D147" s="382" t="s">
        <v>1206</v>
      </c>
      <c r="E147" s="382">
        <v>0</v>
      </c>
      <c r="F147" s="382">
        <v>0</v>
      </c>
      <c r="G147" s="382">
        <v>0</v>
      </c>
      <c r="H147" s="382">
        <v>0</v>
      </c>
      <c r="I147" s="382">
        <v>0</v>
      </c>
      <c r="J147" s="382">
        <v>0</v>
      </c>
      <c r="K147" s="382">
        <v>0</v>
      </c>
      <c r="L147" s="382">
        <v>0</v>
      </c>
      <c r="M147" s="382">
        <v>0</v>
      </c>
      <c r="N147" s="382">
        <v>0</v>
      </c>
      <c r="O147" s="382">
        <v>0</v>
      </c>
      <c r="P147" s="382">
        <v>0</v>
      </c>
      <c r="Q147" s="382">
        <v>0</v>
      </c>
      <c r="R147" s="382">
        <v>0</v>
      </c>
      <c r="S147" s="382">
        <v>0</v>
      </c>
      <c r="T147" s="382">
        <v>821</v>
      </c>
      <c r="U147" s="382">
        <v>0</v>
      </c>
      <c r="V147" s="382">
        <v>0</v>
      </c>
      <c r="W147" s="382">
        <v>821</v>
      </c>
      <c r="Z147" s="10"/>
      <c r="AU147" s="10"/>
      <c r="AV147" s="10"/>
      <c r="AW147" s="10"/>
      <c r="AX147" s="10"/>
      <c r="AY147" s="10"/>
      <c r="AZ147" s="10"/>
      <c r="BA147" s="10"/>
      <c r="BB147" s="10"/>
      <c r="BC147" s="10"/>
      <c r="BD147" s="10"/>
      <c r="BE147" s="10"/>
      <c r="BF147" s="10"/>
      <c r="BG147" s="10"/>
      <c r="BH147" s="10"/>
      <c r="BI147" s="10"/>
      <c r="BJ147" s="10"/>
      <c r="BK147" s="10"/>
      <c r="BL147" s="10"/>
      <c r="BM147" s="10"/>
    </row>
    <row r="148" spans="3:65">
      <c r="C148" s="382" t="s">
        <v>1207</v>
      </c>
      <c r="D148" s="382" t="s">
        <v>1208</v>
      </c>
      <c r="E148" s="382">
        <v>0</v>
      </c>
      <c r="F148" s="382">
        <v>0</v>
      </c>
      <c r="G148" s="382">
        <v>0</v>
      </c>
      <c r="H148" s="382">
        <v>0</v>
      </c>
      <c r="I148" s="382">
        <v>0</v>
      </c>
      <c r="J148" s="382">
        <v>0</v>
      </c>
      <c r="K148" s="382">
        <v>0</v>
      </c>
      <c r="L148" s="382">
        <v>0</v>
      </c>
      <c r="M148" s="382">
        <v>0</v>
      </c>
      <c r="N148" s="382">
        <v>0</v>
      </c>
      <c r="O148" s="382">
        <v>0</v>
      </c>
      <c r="P148" s="382">
        <v>0</v>
      </c>
      <c r="Q148" s="382">
        <v>0</v>
      </c>
      <c r="R148" s="382">
        <v>0</v>
      </c>
      <c r="S148" s="382">
        <v>0</v>
      </c>
      <c r="T148" s="382">
        <v>12299</v>
      </c>
      <c r="U148" s="382">
        <v>0</v>
      </c>
      <c r="V148" s="382">
        <v>0</v>
      </c>
      <c r="W148" s="382">
        <v>12299</v>
      </c>
      <c r="Z148" s="10"/>
      <c r="AU148" s="10"/>
      <c r="AV148" s="10"/>
      <c r="AW148" s="10"/>
      <c r="AX148" s="10"/>
      <c r="AY148" s="10"/>
      <c r="AZ148" s="10"/>
      <c r="BA148" s="10"/>
      <c r="BB148" s="10"/>
      <c r="BC148" s="10"/>
      <c r="BD148" s="10"/>
      <c r="BE148" s="10"/>
      <c r="BF148" s="10"/>
      <c r="BG148" s="10"/>
      <c r="BH148" s="10"/>
      <c r="BI148" s="10"/>
      <c r="BJ148" s="10"/>
      <c r="BK148" s="10"/>
      <c r="BL148" s="10"/>
      <c r="BM148" s="10"/>
    </row>
    <row r="149" spans="3:65">
      <c r="C149" s="382" t="s">
        <v>984</v>
      </c>
      <c r="D149" s="382" t="s">
        <v>1064</v>
      </c>
      <c r="E149" s="382">
        <v>0</v>
      </c>
      <c r="F149" s="382">
        <v>0</v>
      </c>
      <c r="G149" s="382">
        <v>0</v>
      </c>
      <c r="H149" s="382">
        <v>0</v>
      </c>
      <c r="I149" s="382">
        <v>0</v>
      </c>
      <c r="J149" s="382">
        <v>0</v>
      </c>
      <c r="K149" s="382">
        <v>0</v>
      </c>
      <c r="L149" s="382">
        <v>0</v>
      </c>
      <c r="M149" s="382">
        <v>0</v>
      </c>
      <c r="N149" s="382">
        <v>0</v>
      </c>
      <c r="O149" s="382">
        <v>0</v>
      </c>
      <c r="P149" s="382">
        <v>0</v>
      </c>
      <c r="Q149" s="382">
        <v>0</v>
      </c>
      <c r="R149" s="382">
        <v>0</v>
      </c>
      <c r="S149" s="382">
        <v>-537788</v>
      </c>
      <c r="T149" s="382">
        <v>-1027587.1400000001</v>
      </c>
      <c r="U149" s="382">
        <v>0</v>
      </c>
      <c r="V149" s="382">
        <v>0</v>
      </c>
      <c r="W149" s="382">
        <v>-1565375.1400000001</v>
      </c>
      <c r="Z149" s="10"/>
      <c r="AU149" s="10"/>
      <c r="AV149" s="10"/>
      <c r="AW149" s="10"/>
      <c r="AX149" s="10"/>
      <c r="AY149" s="10"/>
      <c r="AZ149" s="10"/>
      <c r="BA149" s="10"/>
      <c r="BB149" s="10"/>
      <c r="BC149" s="10"/>
      <c r="BD149" s="10"/>
      <c r="BE149" s="10"/>
      <c r="BF149" s="10"/>
      <c r="BG149" s="10"/>
      <c r="BH149" s="10"/>
      <c r="BI149" s="10"/>
      <c r="BJ149" s="10"/>
      <c r="BK149" s="10"/>
      <c r="BL149" s="10"/>
      <c r="BM149" s="10"/>
    </row>
    <row r="150" spans="3:65">
      <c r="C150" s="382" t="s">
        <v>962</v>
      </c>
      <c r="D150" s="382" t="s">
        <v>217</v>
      </c>
      <c r="E150" s="382">
        <v>0</v>
      </c>
      <c r="F150" s="382">
        <v>0</v>
      </c>
      <c r="G150" s="382">
        <v>0</v>
      </c>
      <c r="H150" s="382">
        <v>0</v>
      </c>
      <c r="I150" s="382">
        <v>0</v>
      </c>
      <c r="J150" s="382">
        <v>0</v>
      </c>
      <c r="K150" s="382">
        <v>0</v>
      </c>
      <c r="L150" s="382">
        <v>0</v>
      </c>
      <c r="M150" s="382">
        <v>0</v>
      </c>
      <c r="N150" s="382">
        <v>0</v>
      </c>
      <c r="O150" s="382">
        <v>0</v>
      </c>
      <c r="P150" s="382">
        <v>0</v>
      </c>
      <c r="Q150" s="382">
        <v>0</v>
      </c>
      <c r="R150" s="382">
        <v>0</v>
      </c>
      <c r="S150" s="382">
        <v>0</v>
      </c>
      <c r="T150" s="382">
        <v>136159.94</v>
      </c>
      <c r="U150" s="382">
        <v>0</v>
      </c>
      <c r="V150" s="382">
        <v>0</v>
      </c>
      <c r="W150" s="382">
        <v>136159.94</v>
      </c>
      <c r="Z150" s="10"/>
      <c r="AU150" s="10"/>
      <c r="AV150" s="10"/>
      <c r="AW150" s="10"/>
      <c r="AX150" s="10"/>
      <c r="AY150" s="10"/>
      <c r="AZ150" s="10"/>
      <c r="BA150" s="10"/>
      <c r="BB150" s="10"/>
      <c r="BC150" s="10"/>
      <c r="BD150" s="10"/>
      <c r="BE150" s="10"/>
      <c r="BF150" s="10"/>
      <c r="BG150" s="10"/>
      <c r="BH150" s="10"/>
      <c r="BI150" s="10"/>
      <c r="BJ150" s="10"/>
      <c r="BK150" s="10"/>
      <c r="BL150" s="10"/>
      <c r="BM150" s="10"/>
    </row>
    <row r="151" spans="3:65">
      <c r="C151" s="382" t="s">
        <v>218</v>
      </c>
      <c r="D151" s="382" t="s">
        <v>1065</v>
      </c>
      <c r="E151" s="382">
        <v>0</v>
      </c>
      <c r="F151" s="382">
        <v>0</v>
      </c>
      <c r="G151" s="382">
        <v>0</v>
      </c>
      <c r="H151" s="382">
        <v>0</v>
      </c>
      <c r="I151" s="382">
        <v>0</v>
      </c>
      <c r="J151" s="382">
        <v>0</v>
      </c>
      <c r="K151" s="382">
        <v>0</v>
      </c>
      <c r="L151" s="382">
        <v>0</v>
      </c>
      <c r="M151" s="382">
        <v>0</v>
      </c>
      <c r="N151" s="382">
        <v>0</v>
      </c>
      <c r="O151" s="382">
        <v>0</v>
      </c>
      <c r="P151" s="382">
        <v>0</v>
      </c>
      <c r="Q151" s="382">
        <v>0</v>
      </c>
      <c r="R151" s="382">
        <v>0</v>
      </c>
      <c r="S151" s="382">
        <v>0</v>
      </c>
      <c r="T151" s="382">
        <v>-60895.8</v>
      </c>
      <c r="U151" s="382">
        <v>0</v>
      </c>
      <c r="V151" s="382">
        <v>0</v>
      </c>
      <c r="W151" s="382">
        <v>-60895.8</v>
      </c>
      <c r="Z151" s="10"/>
      <c r="AU151" s="10"/>
      <c r="AV151" s="10"/>
      <c r="AW151" s="10"/>
      <c r="AX151" s="10"/>
      <c r="AY151" s="10"/>
      <c r="AZ151" s="10"/>
      <c r="BA151" s="10"/>
      <c r="BB151" s="10"/>
      <c r="BC151" s="10"/>
      <c r="BD151" s="10"/>
      <c r="BE151" s="10"/>
      <c r="BF151" s="10"/>
      <c r="BG151" s="10"/>
      <c r="BH151" s="10"/>
      <c r="BI151" s="10"/>
      <c r="BJ151" s="10"/>
      <c r="BK151" s="10"/>
      <c r="BL151" s="10"/>
      <c r="BM151" s="10"/>
    </row>
    <row r="152" spans="3:65">
      <c r="C152" s="382" t="s">
        <v>963</v>
      </c>
      <c r="D152" s="382" t="s">
        <v>1066</v>
      </c>
      <c r="E152" s="382">
        <v>12734.241309700068</v>
      </c>
      <c r="F152" s="382">
        <v>-5492.3082503965124</v>
      </c>
      <c r="G152" s="382">
        <v>-746.35508457350079</v>
      </c>
      <c r="H152" s="382">
        <v>-5109.2470425998326</v>
      </c>
      <c r="I152" s="382">
        <v>-31928.43132565706</v>
      </c>
      <c r="J152" s="382">
        <v>-20659.037132512836</v>
      </c>
      <c r="K152" s="382">
        <v>-33446.295895299874</v>
      </c>
      <c r="L152" s="382">
        <v>-56239.189463270828</v>
      </c>
      <c r="M152" s="382">
        <v>-4979.9105593096465</v>
      </c>
      <c r="N152" s="382">
        <v>-42861.618788359221</v>
      </c>
      <c r="O152" s="382">
        <v>-3083.7982194059878</v>
      </c>
      <c r="P152" s="382">
        <v>-24500.570280448301</v>
      </c>
      <c r="Q152" s="382">
        <v>-431779.33323761914</v>
      </c>
      <c r="R152" s="382">
        <v>-1039.9578275296371</v>
      </c>
      <c r="S152" s="382">
        <v>0</v>
      </c>
      <c r="T152" s="382">
        <v>0</v>
      </c>
      <c r="U152" s="382">
        <v>-6188.8049822228495</v>
      </c>
      <c r="V152" s="382">
        <v>0</v>
      </c>
      <c r="W152" s="382">
        <v>-655320.61677950516</v>
      </c>
      <c r="Z152" s="10"/>
      <c r="AU152" s="10"/>
      <c r="AV152" s="10"/>
      <c r="AW152" s="10"/>
      <c r="AX152" s="10"/>
      <c r="AY152" s="10"/>
      <c r="AZ152" s="10"/>
      <c r="BA152" s="10"/>
      <c r="BB152" s="10"/>
      <c r="BC152" s="10"/>
      <c r="BD152" s="10"/>
      <c r="BE152" s="10"/>
      <c r="BF152" s="10"/>
      <c r="BG152" s="10"/>
      <c r="BH152" s="10"/>
      <c r="BI152" s="10"/>
      <c r="BJ152" s="10"/>
      <c r="BK152" s="10"/>
      <c r="BL152" s="10"/>
      <c r="BM152" s="10"/>
    </row>
    <row r="153" spans="3:65">
      <c r="C153" s="382" t="s">
        <v>1092</v>
      </c>
      <c r="D153" s="382" t="s">
        <v>1093</v>
      </c>
      <c r="E153" s="382">
        <v>226453.49</v>
      </c>
      <c r="F153" s="382">
        <v>1.1499999999999999</v>
      </c>
      <c r="G153" s="382">
        <v>24567.47</v>
      </c>
      <c r="H153" s="382">
        <v>33821.949999999997</v>
      </c>
      <c r="I153" s="382">
        <v>0</v>
      </c>
      <c r="J153" s="382">
        <v>21773.9</v>
      </c>
      <c r="K153" s="382">
        <v>87964.61</v>
      </c>
      <c r="L153" s="382">
        <v>70043</v>
      </c>
      <c r="M153" s="382">
        <v>219878.9</v>
      </c>
      <c r="N153" s="382">
        <v>124878.3</v>
      </c>
      <c r="O153" s="382">
        <v>29454.84</v>
      </c>
      <c r="P153" s="382">
        <v>72564.62</v>
      </c>
      <c r="Q153" s="382">
        <v>55005.81</v>
      </c>
      <c r="R153" s="382">
        <v>46031.48</v>
      </c>
      <c r="S153" s="382">
        <v>0</v>
      </c>
      <c r="T153" s="382">
        <v>0</v>
      </c>
      <c r="U153" s="382">
        <v>-0.72</v>
      </c>
      <c r="V153" s="382">
        <v>0</v>
      </c>
      <c r="W153" s="382">
        <v>1012438.8</v>
      </c>
      <c r="Z153" s="10"/>
      <c r="AU153" s="10"/>
      <c r="AV153" s="10"/>
      <c r="AW153" s="10"/>
      <c r="AX153" s="10"/>
      <c r="AY153" s="10"/>
      <c r="AZ153" s="10"/>
      <c r="BA153" s="10"/>
      <c r="BB153" s="10"/>
      <c r="BC153" s="10"/>
      <c r="BD153" s="10"/>
      <c r="BE153" s="10"/>
      <c r="BF153" s="10"/>
      <c r="BG153" s="10"/>
      <c r="BH153" s="10"/>
      <c r="BI153" s="10"/>
      <c r="BJ153" s="10"/>
      <c r="BK153" s="10"/>
      <c r="BL153" s="10"/>
      <c r="BM153" s="10"/>
    </row>
    <row r="154" spans="3:65">
      <c r="C154" s="382" t="s">
        <v>964</v>
      </c>
      <c r="D154" s="382" t="s">
        <v>1067</v>
      </c>
      <c r="E154" s="382">
        <v>17878.681074449385</v>
      </c>
      <c r="F154" s="382">
        <v>40880.199599201005</v>
      </c>
      <c r="G154" s="382">
        <v>22135.472716848526</v>
      </c>
      <c r="H154" s="382">
        <v>33033.723816069381</v>
      </c>
      <c r="I154" s="382">
        <v>-9993.0051497911481</v>
      </c>
      <c r="J154" s="382">
        <v>-8426.7905972648659</v>
      </c>
      <c r="K154" s="382">
        <v>-11194.592006510473</v>
      </c>
      <c r="L154" s="382">
        <v>-26922.5095577295</v>
      </c>
      <c r="M154" s="382">
        <v>-119798.08947359095</v>
      </c>
      <c r="N154" s="382">
        <v>-71538.104711834312</v>
      </c>
      <c r="O154" s="382">
        <v>-6828.7102345084713</v>
      </c>
      <c r="P154" s="382">
        <v>38408.752166391176</v>
      </c>
      <c r="Q154" s="382">
        <v>66443.708467419376</v>
      </c>
      <c r="R154" s="382">
        <v>40504.683118790679</v>
      </c>
      <c r="S154" s="382">
        <v>0</v>
      </c>
      <c r="T154" s="382">
        <v>0</v>
      </c>
      <c r="U154" s="382">
        <v>-4583.419227939743</v>
      </c>
      <c r="V154" s="382">
        <v>0</v>
      </c>
      <c r="W154" s="382">
        <v>5.4569682106375694E-11</v>
      </c>
      <c r="Z154" s="10"/>
      <c r="AU154" s="10"/>
      <c r="AV154" s="10"/>
      <c r="AW154" s="10"/>
      <c r="AX154" s="10"/>
      <c r="AY154" s="10"/>
      <c r="AZ154" s="10"/>
      <c r="BA154" s="10"/>
      <c r="BB154" s="10"/>
      <c r="BC154" s="10"/>
      <c r="BD154" s="10"/>
      <c r="BE154" s="10"/>
      <c r="BF154" s="10"/>
      <c r="BG154" s="10"/>
      <c r="BH154" s="10"/>
      <c r="BI154" s="10"/>
      <c r="BJ154" s="10"/>
      <c r="BK154" s="10"/>
      <c r="BL154" s="10"/>
      <c r="BM154" s="10"/>
    </row>
    <row r="155" spans="3:65">
      <c r="C155" s="382" t="s">
        <v>965</v>
      </c>
      <c r="D155" s="382" t="s">
        <v>227</v>
      </c>
      <c r="E155" s="382">
        <v>69292.497658127511</v>
      </c>
      <c r="F155" s="382">
        <v>0</v>
      </c>
      <c r="G155" s="382">
        <v>5155.7405522710433</v>
      </c>
      <c r="H155" s="382">
        <v>15633.007315140469</v>
      </c>
      <c r="I155" s="382">
        <v>-7867.3384945594298</v>
      </c>
      <c r="J155" s="382">
        <v>4510.6440899340405</v>
      </c>
      <c r="K155" s="382">
        <v>14839.513556993805</v>
      </c>
      <c r="L155" s="382">
        <v>8903.983800956521</v>
      </c>
      <c r="M155" s="382">
        <v>200246.82647196928</v>
      </c>
      <c r="N155" s="382">
        <v>138254.97211315786</v>
      </c>
      <c r="O155" s="382">
        <v>3948.1191657094937</v>
      </c>
      <c r="P155" s="382">
        <v>32497.979537764575</v>
      </c>
      <c r="Q155" s="382">
        <v>-77314.609847711195</v>
      </c>
      <c r="R155" s="382">
        <v>8348.3268376717788</v>
      </c>
      <c r="S155" s="382">
        <v>0</v>
      </c>
      <c r="T155" s="382">
        <v>0</v>
      </c>
      <c r="U155" s="382">
        <v>0</v>
      </c>
      <c r="V155" s="382">
        <v>0</v>
      </c>
      <c r="W155" s="382">
        <v>416449.6627574258</v>
      </c>
      <c r="Z155" s="10"/>
      <c r="AU155" s="10"/>
      <c r="AV155" s="10"/>
      <c r="AW155" s="10"/>
      <c r="AX155" s="10"/>
      <c r="AY155" s="10"/>
      <c r="AZ155" s="10"/>
      <c r="BA155" s="10"/>
      <c r="BB155" s="10"/>
      <c r="BC155" s="10"/>
      <c r="BD155" s="10"/>
      <c r="BE155" s="10"/>
      <c r="BF155" s="10"/>
      <c r="BG155" s="10"/>
      <c r="BH155" s="10"/>
      <c r="BI155" s="10"/>
      <c r="BJ155" s="10"/>
      <c r="BK155" s="10"/>
      <c r="BL155" s="10"/>
      <c r="BM155" s="10"/>
    </row>
    <row r="156" spans="3:65">
      <c r="C156" s="382" t="s">
        <v>966</v>
      </c>
      <c r="D156" s="382" t="s">
        <v>228</v>
      </c>
      <c r="E156" s="382">
        <v>14755.660179303755</v>
      </c>
      <c r="F156" s="382">
        <v>9335.148637799477</v>
      </c>
      <c r="G156" s="382">
        <v>5677.5698778682017</v>
      </c>
      <c r="H156" s="382">
        <v>-6472.47087904004</v>
      </c>
      <c r="I156" s="382">
        <v>20416.330848069862</v>
      </c>
      <c r="J156" s="382">
        <v>1667.4774666789217</v>
      </c>
      <c r="K156" s="382">
        <v>2932.1444057162735</v>
      </c>
      <c r="L156" s="382">
        <v>-5156.5422533292876</v>
      </c>
      <c r="M156" s="382">
        <v>52996.24780333988</v>
      </c>
      <c r="N156" s="382">
        <v>-6215.1879778737639</v>
      </c>
      <c r="O156" s="382">
        <v>4210.5285134957194</v>
      </c>
      <c r="P156" s="382">
        <v>-7488.2473156221167</v>
      </c>
      <c r="Q156" s="382">
        <v>-96145.592606368999</v>
      </c>
      <c r="R156" s="382">
        <v>5821.7205408768605</v>
      </c>
      <c r="S156" s="382">
        <v>0</v>
      </c>
      <c r="T156" s="382">
        <v>0</v>
      </c>
      <c r="U156" s="382">
        <v>3665.2127590852015</v>
      </c>
      <c r="V156" s="382">
        <v>0</v>
      </c>
      <c r="W156" s="382">
        <v>-4.9112713895738125E-11</v>
      </c>
      <c r="Z156" s="10"/>
      <c r="AU156" s="10"/>
      <c r="AV156" s="10"/>
      <c r="AW156" s="10"/>
      <c r="AX156" s="10"/>
      <c r="AY156" s="10"/>
      <c r="AZ156" s="10"/>
      <c r="BA156" s="10"/>
      <c r="BB156" s="10"/>
      <c r="BC156" s="10"/>
      <c r="BD156" s="10"/>
      <c r="BE156" s="10"/>
      <c r="BF156" s="10"/>
      <c r="BG156" s="10"/>
      <c r="BH156" s="10"/>
      <c r="BI156" s="10"/>
      <c r="BJ156" s="10"/>
      <c r="BK156" s="10"/>
      <c r="BL156" s="10"/>
      <c r="BM156" s="10"/>
    </row>
    <row r="157" spans="3:65">
      <c r="C157" s="382" t="s">
        <v>967</v>
      </c>
      <c r="D157" s="382" t="s">
        <v>1068</v>
      </c>
      <c r="E157" s="382">
        <v>1768.5051369957512</v>
      </c>
      <c r="F157" s="382">
        <v>0</v>
      </c>
      <c r="G157" s="382">
        <v>51.424821659679246</v>
      </c>
      <c r="H157" s="382">
        <v>65.674597495593417</v>
      </c>
      <c r="I157" s="382">
        <v>0</v>
      </c>
      <c r="J157" s="382">
        <v>117.80841374785783</v>
      </c>
      <c r="K157" s="382">
        <v>434.73847012361517</v>
      </c>
      <c r="L157" s="382">
        <v>275.83814714894936</v>
      </c>
      <c r="M157" s="382">
        <v>553.13584001816696</v>
      </c>
      <c r="N157" s="382">
        <v>1005.348269416369</v>
      </c>
      <c r="O157" s="382">
        <v>326.5347378604182</v>
      </c>
      <c r="P157" s="382">
        <v>192.53514658466185</v>
      </c>
      <c r="Q157" s="382">
        <v>252.09236332182985</v>
      </c>
      <c r="R157" s="382">
        <v>318.29380017967537</v>
      </c>
      <c r="S157" s="382">
        <v>0</v>
      </c>
      <c r="T157" s="382">
        <v>0</v>
      </c>
      <c r="U157" s="382">
        <v>0</v>
      </c>
      <c r="V157" s="382">
        <v>0</v>
      </c>
      <c r="W157" s="382">
        <v>5361.9297445525681</v>
      </c>
      <c r="Z157" s="10"/>
      <c r="AU157" s="10"/>
      <c r="AV157" s="10"/>
      <c r="AW157" s="10"/>
      <c r="AX157" s="10"/>
      <c r="AY157" s="10"/>
      <c r="AZ157" s="10"/>
      <c r="BA157" s="10"/>
      <c r="BB157" s="10"/>
      <c r="BC157" s="10"/>
      <c r="BD157" s="10"/>
      <c r="BE157" s="10"/>
      <c r="BF157" s="10"/>
      <c r="BG157" s="10"/>
      <c r="BH157" s="10"/>
      <c r="BI157" s="10"/>
      <c r="BJ157" s="10"/>
      <c r="BK157" s="10"/>
      <c r="BL157" s="10"/>
      <c r="BM157" s="10"/>
    </row>
    <row r="158" spans="3:65">
      <c r="C158" s="382" t="s">
        <v>968</v>
      </c>
      <c r="D158" s="382" t="s">
        <v>1069</v>
      </c>
      <c r="E158" s="382">
        <v>861.68000000000029</v>
      </c>
      <c r="F158" s="382">
        <v>0</v>
      </c>
      <c r="G158" s="382">
        <v>52.380000000000109</v>
      </c>
      <c r="H158" s="382">
        <v>145.02999999999884</v>
      </c>
      <c r="I158" s="382">
        <v>0</v>
      </c>
      <c r="J158" s="382">
        <v>86.680000000000291</v>
      </c>
      <c r="K158" s="382">
        <v>0</v>
      </c>
      <c r="L158" s="382">
        <v>0</v>
      </c>
      <c r="M158" s="382">
        <v>724.05000000000291</v>
      </c>
      <c r="N158" s="382">
        <v>0</v>
      </c>
      <c r="O158" s="382">
        <v>301.02</v>
      </c>
      <c r="P158" s="382">
        <v>0</v>
      </c>
      <c r="Q158" s="382">
        <v>0</v>
      </c>
      <c r="R158" s="382">
        <v>14.75</v>
      </c>
      <c r="S158" s="382">
        <v>0</v>
      </c>
      <c r="T158" s="382">
        <v>0</v>
      </c>
      <c r="U158" s="382">
        <v>0</v>
      </c>
      <c r="V158" s="382">
        <v>0</v>
      </c>
      <c r="W158" s="382">
        <v>2185.5900000000024</v>
      </c>
      <c r="Z158" s="10"/>
      <c r="AU158" s="10"/>
      <c r="AV158" s="10"/>
      <c r="AW158" s="10"/>
      <c r="AX158" s="10"/>
      <c r="AY158" s="10"/>
      <c r="AZ158" s="10"/>
      <c r="BA158" s="10"/>
      <c r="BB158" s="10"/>
      <c r="BC158" s="10"/>
      <c r="BD158" s="10"/>
      <c r="BE158" s="10"/>
      <c r="BF158" s="10"/>
      <c r="BG158" s="10"/>
      <c r="BH158" s="10"/>
      <c r="BI158" s="10"/>
      <c r="BJ158" s="10"/>
      <c r="BK158" s="10"/>
      <c r="BL158" s="10"/>
      <c r="BM158" s="10"/>
    </row>
    <row r="159" spans="3:65">
      <c r="C159" s="382" t="s">
        <v>969</v>
      </c>
      <c r="D159" s="382" t="s">
        <v>229</v>
      </c>
      <c r="E159" s="382">
        <v>0</v>
      </c>
      <c r="F159" s="382">
        <v>0</v>
      </c>
      <c r="G159" s="382">
        <v>0</v>
      </c>
      <c r="H159" s="382">
        <v>0</v>
      </c>
      <c r="I159" s="382">
        <v>0</v>
      </c>
      <c r="J159" s="382">
        <v>0</v>
      </c>
      <c r="K159" s="382">
        <v>0</v>
      </c>
      <c r="L159" s="382">
        <v>0</v>
      </c>
      <c r="M159" s="382">
        <v>0</v>
      </c>
      <c r="N159" s="382">
        <v>0</v>
      </c>
      <c r="O159" s="382">
        <v>0</v>
      </c>
      <c r="P159" s="382">
        <v>0</v>
      </c>
      <c r="Q159" s="382">
        <v>0</v>
      </c>
      <c r="R159" s="382">
        <v>0</v>
      </c>
      <c r="S159" s="382">
        <v>-326776.02889105264</v>
      </c>
      <c r="T159" s="382">
        <v>-868069.38915694249</v>
      </c>
      <c r="U159" s="382">
        <v>0</v>
      </c>
      <c r="V159" s="382">
        <v>0</v>
      </c>
      <c r="W159" s="382">
        <v>-1194845.4180479951</v>
      </c>
      <c r="Z159" s="10"/>
      <c r="AU159" s="10"/>
      <c r="AV159" s="10"/>
      <c r="AW159" s="10"/>
      <c r="AX159" s="10"/>
      <c r="AY159" s="10"/>
      <c r="AZ159" s="10"/>
      <c r="BA159" s="10"/>
      <c r="BB159" s="10"/>
      <c r="BC159" s="10"/>
      <c r="BD159" s="10"/>
      <c r="BE159" s="10"/>
      <c r="BF159" s="10"/>
      <c r="BG159" s="10"/>
      <c r="BH159" s="10"/>
      <c r="BI159" s="10"/>
      <c r="BJ159" s="10"/>
      <c r="BK159" s="10"/>
      <c r="BL159" s="10"/>
      <c r="BM159" s="10"/>
    </row>
    <row r="160" spans="3:65">
      <c r="C160" s="382" t="s">
        <v>970</v>
      </c>
      <c r="D160" s="382" t="s">
        <v>1070</v>
      </c>
      <c r="E160" s="382">
        <v>0</v>
      </c>
      <c r="F160" s="382">
        <v>0</v>
      </c>
      <c r="G160" s="382">
        <v>0</v>
      </c>
      <c r="H160" s="382">
        <v>0</v>
      </c>
      <c r="I160" s="382">
        <v>0</v>
      </c>
      <c r="J160" s="382">
        <v>0</v>
      </c>
      <c r="K160" s="382">
        <v>0</v>
      </c>
      <c r="L160" s="382">
        <v>0</v>
      </c>
      <c r="M160" s="382">
        <v>0</v>
      </c>
      <c r="N160" s="382">
        <v>0</v>
      </c>
      <c r="O160" s="382">
        <v>0</v>
      </c>
      <c r="P160" s="382">
        <v>0</v>
      </c>
      <c r="Q160" s="382">
        <v>0</v>
      </c>
      <c r="R160" s="382">
        <v>0</v>
      </c>
      <c r="S160" s="382">
        <v>-146371.75992157578</v>
      </c>
      <c r="T160" s="382">
        <v>-64513.955268684775</v>
      </c>
      <c r="U160" s="382">
        <v>0</v>
      </c>
      <c r="V160" s="382">
        <v>0</v>
      </c>
      <c r="W160" s="382">
        <v>-210885.71519026055</v>
      </c>
      <c r="Z160" s="10"/>
      <c r="AU160" s="10"/>
      <c r="AV160" s="10"/>
      <c r="AW160" s="10"/>
      <c r="AX160" s="10"/>
      <c r="AY160" s="10"/>
      <c r="AZ160" s="10"/>
      <c r="BA160" s="10"/>
      <c r="BB160" s="10"/>
      <c r="BC160" s="10"/>
      <c r="BD160" s="10"/>
      <c r="BE160" s="10"/>
      <c r="BF160" s="10"/>
      <c r="BG160" s="10"/>
      <c r="BH160" s="10"/>
      <c r="BI160" s="10"/>
      <c r="BJ160" s="10"/>
      <c r="BK160" s="10"/>
      <c r="BL160" s="10"/>
      <c r="BM160" s="10"/>
    </row>
    <row r="161" spans="3:65">
      <c r="C161" s="382" t="s">
        <v>971</v>
      </c>
      <c r="D161" s="382" t="s">
        <v>1071</v>
      </c>
      <c r="E161" s="382">
        <v>0</v>
      </c>
      <c r="F161" s="382">
        <v>0</v>
      </c>
      <c r="G161" s="382">
        <v>0</v>
      </c>
      <c r="H161" s="382">
        <v>0</v>
      </c>
      <c r="I161" s="382">
        <v>0</v>
      </c>
      <c r="J161" s="382">
        <v>0</v>
      </c>
      <c r="K161" s="382">
        <v>0</v>
      </c>
      <c r="L161" s="382">
        <v>0</v>
      </c>
      <c r="M161" s="382">
        <v>0</v>
      </c>
      <c r="N161" s="382">
        <v>0</v>
      </c>
      <c r="O161" s="382">
        <v>0</v>
      </c>
      <c r="P161" s="382">
        <v>0</v>
      </c>
      <c r="Q161" s="382">
        <v>0</v>
      </c>
      <c r="R161" s="382">
        <v>0</v>
      </c>
      <c r="S161" s="382">
        <v>9065.4968416886477</v>
      </c>
      <c r="T161" s="382">
        <v>-53270.103345298819</v>
      </c>
      <c r="U161" s="382">
        <v>0</v>
      </c>
      <c r="V161" s="382">
        <v>0</v>
      </c>
      <c r="W161" s="382">
        <v>-44204.606503610172</v>
      </c>
      <c r="Z161" s="10"/>
      <c r="AU161" s="10"/>
      <c r="AV161" s="10"/>
      <c r="AW161" s="10"/>
      <c r="AX161" s="10"/>
      <c r="AY161" s="10"/>
      <c r="AZ161" s="10"/>
      <c r="BA161" s="10"/>
      <c r="BB161" s="10"/>
      <c r="BC161" s="10"/>
      <c r="BD161" s="10"/>
      <c r="BE161" s="10"/>
      <c r="BF161" s="10"/>
      <c r="BG161" s="10"/>
      <c r="BH161" s="10"/>
      <c r="BI161" s="10"/>
      <c r="BJ161" s="10"/>
      <c r="BK161" s="10"/>
      <c r="BL161" s="10"/>
      <c r="BM161" s="10"/>
    </row>
    <row r="162" spans="3:65">
      <c r="C162" s="382" t="s">
        <v>1079</v>
      </c>
      <c r="D162" s="382" t="s">
        <v>1072</v>
      </c>
      <c r="E162" s="382">
        <v>0</v>
      </c>
      <c r="F162" s="382">
        <v>0</v>
      </c>
      <c r="G162" s="382">
        <v>0</v>
      </c>
      <c r="H162" s="382">
        <v>0</v>
      </c>
      <c r="I162" s="382">
        <v>0</v>
      </c>
      <c r="J162" s="382">
        <v>0</v>
      </c>
      <c r="K162" s="382">
        <v>0</v>
      </c>
      <c r="L162" s="382">
        <v>0</v>
      </c>
      <c r="M162" s="382">
        <v>0</v>
      </c>
      <c r="N162" s="382">
        <v>0</v>
      </c>
      <c r="O162" s="382">
        <v>0</v>
      </c>
      <c r="P162" s="382">
        <v>0</v>
      </c>
      <c r="Q162" s="382">
        <v>0</v>
      </c>
      <c r="R162" s="382">
        <v>0</v>
      </c>
      <c r="S162" s="382">
        <v>-627.52866116181758</v>
      </c>
      <c r="T162" s="382">
        <v>0</v>
      </c>
      <c r="U162" s="382">
        <v>0</v>
      </c>
      <c r="V162" s="382">
        <v>0</v>
      </c>
      <c r="W162" s="382">
        <v>-627.52866116181758</v>
      </c>
      <c r="Z162" s="10"/>
      <c r="AU162" s="10"/>
      <c r="AV162" s="10"/>
      <c r="AW162" s="10"/>
      <c r="AX162" s="10"/>
      <c r="AY162" s="10"/>
      <c r="AZ162" s="10"/>
      <c r="BA162" s="10"/>
      <c r="BB162" s="10"/>
      <c r="BC162" s="10"/>
      <c r="BD162" s="10"/>
      <c r="BE162" s="10"/>
      <c r="BF162" s="10"/>
      <c r="BG162" s="10"/>
      <c r="BH162" s="10"/>
      <c r="BI162" s="10"/>
      <c r="BJ162" s="10"/>
      <c r="BK162" s="10"/>
      <c r="BL162" s="10"/>
      <c r="BM162" s="10"/>
    </row>
    <row r="163" spans="3:65">
      <c r="C163" s="382" t="s">
        <v>972</v>
      </c>
      <c r="D163" s="382" t="s">
        <v>1073</v>
      </c>
      <c r="E163" s="382">
        <v>0</v>
      </c>
      <c r="F163" s="382">
        <v>0</v>
      </c>
      <c r="G163" s="382">
        <v>0</v>
      </c>
      <c r="H163" s="382">
        <v>0</v>
      </c>
      <c r="I163" s="382">
        <v>0</v>
      </c>
      <c r="J163" s="382">
        <v>0</v>
      </c>
      <c r="K163" s="382">
        <v>0</v>
      </c>
      <c r="L163" s="382">
        <v>0</v>
      </c>
      <c r="M163" s="382">
        <v>0</v>
      </c>
      <c r="N163" s="382">
        <v>0</v>
      </c>
      <c r="O163" s="382">
        <v>0</v>
      </c>
      <c r="P163" s="382">
        <v>0</v>
      </c>
      <c r="Q163" s="382">
        <v>0</v>
      </c>
      <c r="R163" s="382">
        <v>0</v>
      </c>
      <c r="S163" s="382">
        <v>-17104.30862713949</v>
      </c>
      <c r="T163" s="382">
        <v>-82792.523659777449</v>
      </c>
      <c r="U163" s="382">
        <v>0</v>
      </c>
      <c r="V163" s="382">
        <v>0</v>
      </c>
      <c r="W163" s="382">
        <v>-99896.832286916935</v>
      </c>
      <c r="Z163" s="10"/>
      <c r="AU163" s="10"/>
      <c r="AV163" s="10"/>
      <c r="AW163" s="10"/>
      <c r="AX163" s="10"/>
      <c r="AY163" s="10"/>
      <c r="AZ163" s="10"/>
      <c r="BA163" s="10"/>
      <c r="BB163" s="10"/>
      <c r="BC163" s="10"/>
      <c r="BD163" s="10"/>
      <c r="BE163" s="10"/>
      <c r="BF163" s="10"/>
      <c r="BG163" s="10"/>
      <c r="BH163" s="10"/>
      <c r="BI163" s="10"/>
      <c r="BJ163" s="10"/>
      <c r="BK163" s="10"/>
      <c r="BL163" s="10"/>
      <c r="BM163" s="10"/>
    </row>
    <row r="164" spans="3:65">
      <c r="C164" s="382" t="s">
        <v>973</v>
      </c>
      <c r="D164" s="382" t="s">
        <v>1074</v>
      </c>
      <c r="E164" s="382">
        <v>0</v>
      </c>
      <c r="F164" s="382">
        <v>0</v>
      </c>
      <c r="G164" s="382">
        <v>0</v>
      </c>
      <c r="H164" s="382">
        <v>0</v>
      </c>
      <c r="I164" s="382">
        <v>0</v>
      </c>
      <c r="J164" s="382">
        <v>0</v>
      </c>
      <c r="K164" s="382">
        <v>0</v>
      </c>
      <c r="L164" s="382">
        <v>0</v>
      </c>
      <c r="M164" s="382">
        <v>0</v>
      </c>
      <c r="N164" s="382">
        <v>0</v>
      </c>
      <c r="O164" s="382">
        <v>0</v>
      </c>
      <c r="P164" s="382">
        <v>0</v>
      </c>
      <c r="Q164" s="382">
        <v>0</v>
      </c>
      <c r="R164" s="382">
        <v>0</v>
      </c>
      <c r="S164" s="382">
        <v>-885.57562675937334</v>
      </c>
      <c r="T164" s="382">
        <v>18554.97719386694</v>
      </c>
      <c r="U164" s="382">
        <v>0</v>
      </c>
      <c r="V164" s="382">
        <v>0</v>
      </c>
      <c r="W164" s="382">
        <v>17669.401567107569</v>
      </c>
      <c r="Z164" s="10"/>
      <c r="AU164" s="10"/>
      <c r="AV164" s="10"/>
      <c r="AW164" s="10"/>
      <c r="AX164" s="10"/>
      <c r="AY164" s="10"/>
      <c r="AZ164" s="10"/>
      <c r="BA164" s="10"/>
      <c r="BB164" s="10"/>
      <c r="BC164" s="10"/>
      <c r="BD164" s="10"/>
      <c r="BE164" s="10"/>
      <c r="BF164" s="10"/>
      <c r="BG164" s="10"/>
      <c r="BH164" s="10"/>
      <c r="BI164" s="10"/>
      <c r="BJ164" s="10"/>
      <c r="BK164" s="10"/>
      <c r="BL164" s="10"/>
      <c r="BM164" s="10"/>
    </row>
    <row r="165" spans="3:65">
      <c r="C165" s="382" t="s">
        <v>230</v>
      </c>
      <c r="D165" s="382" t="s">
        <v>1075</v>
      </c>
      <c r="E165" s="382">
        <v>260792.14</v>
      </c>
      <c r="F165" s="382">
        <v>83393.23000000001</v>
      </c>
      <c r="G165" s="382">
        <v>40307.300000000003</v>
      </c>
      <c r="H165" s="382">
        <v>127282.31</v>
      </c>
      <c r="I165" s="382">
        <v>131074.82637000002</v>
      </c>
      <c r="J165" s="382">
        <v>39934.75</v>
      </c>
      <c r="K165" s="382">
        <v>99027.07</v>
      </c>
      <c r="L165" s="382">
        <v>30329.8</v>
      </c>
      <c r="M165" s="382">
        <v>528559.24</v>
      </c>
      <c r="N165" s="382">
        <v>397243.95</v>
      </c>
      <c r="O165" s="382">
        <v>136444.89000000001</v>
      </c>
      <c r="P165" s="382">
        <v>147995.46000000002</v>
      </c>
      <c r="Q165" s="382">
        <v>6757</v>
      </c>
      <c r="R165" s="382">
        <v>72522.22</v>
      </c>
      <c r="S165" s="382">
        <v>47851</v>
      </c>
      <c r="T165" s="382">
        <v>160965.48000000001</v>
      </c>
      <c r="U165" s="382">
        <v>26857.440000000002</v>
      </c>
      <c r="V165" s="382">
        <v>0</v>
      </c>
      <c r="W165" s="382">
        <v>2337338.1063700002</v>
      </c>
      <c r="Z165" s="10"/>
      <c r="AU165" s="10"/>
      <c r="AV165" s="10"/>
      <c r="AW165" s="10"/>
      <c r="AX165" s="10"/>
      <c r="AY165" s="10"/>
      <c r="AZ165" s="10"/>
      <c r="BA165" s="10"/>
      <c r="BB165" s="10"/>
      <c r="BC165" s="10"/>
      <c r="BD165" s="10"/>
      <c r="BE165" s="10"/>
      <c r="BF165" s="10"/>
      <c r="BG165" s="10"/>
      <c r="BH165" s="10"/>
      <c r="BI165" s="10"/>
      <c r="BJ165" s="10"/>
      <c r="BK165" s="10"/>
      <c r="BL165" s="10"/>
      <c r="BM165" s="10"/>
    </row>
    <row r="166" spans="3:65">
      <c r="C166" s="382" t="s">
        <v>1097</v>
      </c>
      <c r="D166" s="382" t="s">
        <v>219</v>
      </c>
      <c r="E166" s="382">
        <v>0</v>
      </c>
      <c r="F166" s="382">
        <v>0</v>
      </c>
      <c r="G166" s="382">
        <v>0</v>
      </c>
      <c r="H166" s="382">
        <v>0</v>
      </c>
      <c r="I166" s="382">
        <v>0</v>
      </c>
      <c r="J166" s="382">
        <v>0</v>
      </c>
      <c r="K166" s="382">
        <v>0</v>
      </c>
      <c r="L166" s="382">
        <v>0</v>
      </c>
      <c r="M166" s="382">
        <v>0</v>
      </c>
      <c r="N166" s="382">
        <v>0</v>
      </c>
      <c r="O166" s="382">
        <v>0</v>
      </c>
      <c r="P166" s="382">
        <v>0</v>
      </c>
      <c r="Q166" s="382">
        <v>0</v>
      </c>
      <c r="R166" s="382">
        <v>0</v>
      </c>
      <c r="S166" s="382">
        <v>-18172.464503754767</v>
      </c>
      <c r="T166" s="382">
        <v>-62097.524896351184</v>
      </c>
      <c r="U166" s="382">
        <v>0</v>
      </c>
      <c r="V166" s="382">
        <v>0</v>
      </c>
      <c r="W166" s="382">
        <v>-80269.989400105958</v>
      </c>
      <c r="Z166" s="10"/>
      <c r="AU166" s="10"/>
      <c r="AV166" s="10"/>
      <c r="AW166" s="10"/>
      <c r="AX166" s="10"/>
      <c r="AY166" s="10"/>
      <c r="AZ166" s="10"/>
      <c r="BA166" s="10"/>
      <c r="BB166" s="10"/>
      <c r="BC166" s="10"/>
      <c r="BD166" s="10"/>
      <c r="BE166" s="10"/>
      <c r="BF166" s="10"/>
      <c r="BG166" s="10"/>
      <c r="BH166" s="10"/>
      <c r="BI166" s="10"/>
      <c r="BJ166" s="10"/>
      <c r="BK166" s="10"/>
      <c r="BL166" s="10"/>
      <c r="BM166" s="10"/>
    </row>
    <row r="167" spans="3:65">
      <c r="C167" s="382" t="s">
        <v>1098</v>
      </c>
      <c r="D167" s="382" t="s">
        <v>220</v>
      </c>
      <c r="E167" s="382">
        <v>0</v>
      </c>
      <c r="F167" s="382">
        <v>0</v>
      </c>
      <c r="G167" s="382">
        <v>0</v>
      </c>
      <c r="H167" s="382">
        <v>0</v>
      </c>
      <c r="I167" s="382">
        <v>0</v>
      </c>
      <c r="J167" s="382">
        <v>0</v>
      </c>
      <c r="K167" s="382">
        <v>0</v>
      </c>
      <c r="L167" s="382">
        <v>0</v>
      </c>
      <c r="M167" s="382">
        <v>0</v>
      </c>
      <c r="N167" s="382">
        <v>0</v>
      </c>
      <c r="O167" s="382">
        <v>0</v>
      </c>
      <c r="P167" s="382">
        <v>0</v>
      </c>
      <c r="Q167" s="382">
        <v>0</v>
      </c>
      <c r="R167" s="382">
        <v>0</v>
      </c>
      <c r="S167" s="382">
        <v>-1806.5942780945411</v>
      </c>
      <c r="T167" s="382">
        <v>-6173.3527193519531</v>
      </c>
      <c r="U167" s="382">
        <v>0</v>
      </c>
      <c r="V167" s="382">
        <v>0</v>
      </c>
      <c r="W167" s="382">
        <v>-7979.9469974464937</v>
      </c>
      <c r="Z167" s="10"/>
      <c r="AU167" s="10"/>
      <c r="AV167" s="10"/>
      <c r="AW167" s="10"/>
      <c r="AX167" s="10"/>
      <c r="AY167" s="10"/>
      <c r="AZ167" s="10"/>
      <c r="BA167" s="10"/>
      <c r="BB167" s="10"/>
      <c r="BC167" s="10"/>
      <c r="BD167" s="10"/>
      <c r="BE167" s="10"/>
      <c r="BF167" s="10"/>
      <c r="BG167" s="10"/>
      <c r="BH167" s="10"/>
      <c r="BI167" s="10"/>
      <c r="BJ167" s="10"/>
      <c r="BK167" s="10"/>
      <c r="BL167" s="10"/>
      <c r="BM167" s="10"/>
    </row>
    <row r="168" spans="3:65">
      <c r="C168" s="382" t="s">
        <v>1099</v>
      </c>
      <c r="D168" s="382" t="s">
        <v>221</v>
      </c>
      <c r="E168" s="382">
        <v>0</v>
      </c>
      <c r="F168" s="382">
        <v>0</v>
      </c>
      <c r="G168" s="382">
        <v>0</v>
      </c>
      <c r="H168" s="382">
        <v>0</v>
      </c>
      <c r="I168" s="382">
        <v>0</v>
      </c>
      <c r="J168" s="382">
        <v>0</v>
      </c>
      <c r="K168" s="382">
        <v>0</v>
      </c>
      <c r="L168" s="382">
        <v>0</v>
      </c>
      <c r="M168" s="382">
        <v>0</v>
      </c>
      <c r="N168" s="382">
        <v>0</v>
      </c>
      <c r="O168" s="382">
        <v>0</v>
      </c>
      <c r="P168" s="382">
        <v>0</v>
      </c>
      <c r="Q168" s="382">
        <v>0</v>
      </c>
      <c r="R168" s="382">
        <v>0</v>
      </c>
      <c r="S168" s="382">
        <v>-28029.968148515763</v>
      </c>
      <c r="T168" s="382">
        <v>-135328.48286980117</v>
      </c>
      <c r="U168" s="382">
        <v>0</v>
      </c>
      <c r="V168" s="382">
        <v>0</v>
      </c>
      <c r="W168" s="382">
        <v>-163358.45101831693</v>
      </c>
      <c r="Z168" s="10"/>
      <c r="AU168" s="10"/>
      <c r="AV168" s="10"/>
      <c r="AW168" s="10"/>
      <c r="AX168" s="10"/>
      <c r="AY168" s="10"/>
      <c r="AZ168" s="10"/>
      <c r="BA168" s="10"/>
      <c r="BB168" s="10"/>
      <c r="BC168" s="10"/>
      <c r="BD168" s="10"/>
      <c r="BE168" s="10"/>
      <c r="BF168" s="10"/>
      <c r="BG168" s="10"/>
      <c r="BH168" s="10"/>
      <c r="BI168" s="10"/>
      <c r="BJ168" s="10"/>
      <c r="BK168" s="10"/>
      <c r="BL168" s="10"/>
      <c r="BM168" s="10"/>
    </row>
    <row r="169" spans="3:65">
      <c r="C169" s="382" t="s">
        <v>1100</v>
      </c>
      <c r="D169" s="382" t="s">
        <v>1022</v>
      </c>
      <c r="E169" s="382">
        <v>0</v>
      </c>
      <c r="F169" s="382">
        <v>0</v>
      </c>
      <c r="G169" s="382">
        <v>0</v>
      </c>
      <c r="H169" s="382">
        <v>0</v>
      </c>
      <c r="I169" s="382">
        <v>0</v>
      </c>
      <c r="J169" s="382">
        <v>0</v>
      </c>
      <c r="K169" s="382">
        <v>0</v>
      </c>
      <c r="L169" s="382">
        <v>0</v>
      </c>
      <c r="M169" s="382">
        <v>0</v>
      </c>
      <c r="N169" s="382">
        <v>0</v>
      </c>
      <c r="O169" s="382">
        <v>0</v>
      </c>
      <c r="P169" s="382">
        <v>0</v>
      </c>
      <c r="Q169" s="382">
        <v>0</v>
      </c>
      <c r="R169" s="382">
        <v>0</v>
      </c>
      <c r="S169" s="382">
        <v>-100104.05402219974</v>
      </c>
      <c r="T169" s="382">
        <v>-342104.26912621013</v>
      </c>
      <c r="U169" s="382">
        <v>0</v>
      </c>
      <c r="V169" s="382">
        <v>0</v>
      </c>
      <c r="W169" s="382">
        <v>-442208.32314840984</v>
      </c>
      <c r="Z169" s="10"/>
      <c r="AU169" s="10"/>
      <c r="AV169" s="10"/>
      <c r="AW169" s="10"/>
      <c r="AX169" s="10"/>
      <c r="AY169" s="10"/>
      <c r="AZ169" s="10"/>
      <c r="BA169" s="10"/>
      <c r="BB169" s="10"/>
      <c r="BC169" s="10"/>
      <c r="BD169" s="10"/>
      <c r="BE169" s="10"/>
      <c r="BF169" s="10"/>
      <c r="BG169" s="10"/>
      <c r="BH169" s="10"/>
      <c r="BI169" s="10"/>
      <c r="BJ169" s="10"/>
      <c r="BK169" s="10"/>
      <c r="BL169" s="10"/>
      <c r="BM169" s="10"/>
    </row>
    <row r="170" spans="3:65">
      <c r="C170" s="382" t="s">
        <v>1101</v>
      </c>
      <c r="D170" s="382" t="s">
        <v>1023</v>
      </c>
      <c r="E170" s="382">
        <v>0</v>
      </c>
      <c r="F170" s="382">
        <v>0</v>
      </c>
      <c r="G170" s="382">
        <v>0</v>
      </c>
      <c r="H170" s="382">
        <v>0</v>
      </c>
      <c r="I170" s="382">
        <v>0</v>
      </c>
      <c r="J170" s="382">
        <v>0</v>
      </c>
      <c r="K170" s="382">
        <v>0</v>
      </c>
      <c r="L170" s="382">
        <v>0</v>
      </c>
      <c r="M170" s="382">
        <v>0</v>
      </c>
      <c r="N170" s="382">
        <v>0</v>
      </c>
      <c r="O170" s="382">
        <v>0</v>
      </c>
      <c r="P170" s="382">
        <v>0</v>
      </c>
      <c r="Q170" s="382">
        <v>0</v>
      </c>
      <c r="R170" s="382">
        <v>0</v>
      </c>
      <c r="S170" s="382">
        <v>-158844.25853937623</v>
      </c>
      <c r="T170" s="382">
        <v>-544944.40010081488</v>
      </c>
      <c r="U170" s="382">
        <v>0</v>
      </c>
      <c r="V170" s="382">
        <v>0</v>
      </c>
      <c r="W170" s="382">
        <v>-703788.65864019108</v>
      </c>
      <c r="Z170" s="10"/>
      <c r="AU170" s="10"/>
      <c r="AV170" s="10"/>
      <c r="AW170" s="10"/>
      <c r="AX170" s="10"/>
      <c r="AY170" s="10"/>
      <c r="AZ170" s="10"/>
      <c r="BA170" s="10"/>
      <c r="BB170" s="10"/>
      <c r="BC170" s="10"/>
      <c r="BD170" s="10"/>
      <c r="BE170" s="10"/>
      <c r="BF170" s="10"/>
      <c r="BG170" s="10"/>
      <c r="BH170" s="10"/>
      <c r="BI170" s="10"/>
      <c r="BJ170" s="10"/>
      <c r="BK170" s="10"/>
      <c r="BL170" s="10"/>
      <c r="BM170" s="10"/>
    </row>
    <row r="171" spans="3:65">
      <c r="C171" s="382" t="s">
        <v>1102</v>
      </c>
      <c r="D171" s="382" t="s">
        <v>1024</v>
      </c>
      <c r="E171" s="382">
        <v>0</v>
      </c>
      <c r="F171" s="382">
        <v>0</v>
      </c>
      <c r="G171" s="382">
        <v>0</v>
      </c>
      <c r="H171" s="382">
        <v>0</v>
      </c>
      <c r="I171" s="382">
        <v>0</v>
      </c>
      <c r="J171" s="382">
        <v>0</v>
      </c>
      <c r="K171" s="382">
        <v>0</v>
      </c>
      <c r="L171" s="382">
        <v>0</v>
      </c>
      <c r="M171" s="382">
        <v>0</v>
      </c>
      <c r="N171" s="382">
        <v>0</v>
      </c>
      <c r="O171" s="382">
        <v>0</v>
      </c>
      <c r="P171" s="382">
        <v>0</v>
      </c>
      <c r="Q171" s="382">
        <v>0</v>
      </c>
      <c r="R171" s="382">
        <v>0</v>
      </c>
      <c r="S171" s="382">
        <v>-27401.032951928395</v>
      </c>
      <c r="T171" s="382">
        <v>-93632.667466019455</v>
      </c>
      <c r="U171" s="382">
        <v>0</v>
      </c>
      <c r="V171" s="382">
        <v>0</v>
      </c>
      <c r="W171" s="382">
        <v>-121033.70041794785</v>
      </c>
      <c r="Z171" s="10"/>
      <c r="AU171" s="10"/>
      <c r="AV171" s="10"/>
      <c r="AW171" s="10"/>
      <c r="AX171" s="10"/>
      <c r="AY171" s="10"/>
      <c r="AZ171" s="10"/>
      <c r="BA171" s="10"/>
      <c r="BB171" s="10"/>
      <c r="BC171" s="10"/>
      <c r="BD171" s="10"/>
      <c r="BE171" s="10"/>
      <c r="BF171" s="10"/>
      <c r="BG171" s="10"/>
      <c r="BH171" s="10"/>
      <c r="BI171" s="10"/>
      <c r="BJ171" s="10"/>
      <c r="BK171" s="10"/>
      <c r="BL171" s="10"/>
      <c r="BM171" s="10"/>
    </row>
    <row r="172" spans="3:65">
      <c r="C172" s="382" t="s">
        <v>1103</v>
      </c>
      <c r="D172" s="382" t="s">
        <v>1025</v>
      </c>
      <c r="E172" s="382">
        <v>0</v>
      </c>
      <c r="F172" s="382">
        <v>0</v>
      </c>
      <c r="G172" s="382">
        <v>0</v>
      </c>
      <c r="H172" s="382">
        <v>0</v>
      </c>
      <c r="I172" s="382">
        <v>0</v>
      </c>
      <c r="J172" s="382">
        <v>0</v>
      </c>
      <c r="K172" s="382">
        <v>0</v>
      </c>
      <c r="L172" s="382">
        <v>0</v>
      </c>
      <c r="M172" s="382">
        <v>0</v>
      </c>
      <c r="N172" s="382">
        <v>0</v>
      </c>
      <c r="O172" s="382">
        <v>0</v>
      </c>
      <c r="P172" s="382">
        <v>0</v>
      </c>
      <c r="Q172" s="382">
        <v>0</v>
      </c>
      <c r="R172" s="382">
        <v>0</v>
      </c>
      <c r="S172" s="382">
        <v>-14300.17039976765</v>
      </c>
      <c r="T172" s="382">
        <v>-48865.424237761334</v>
      </c>
      <c r="U172" s="382">
        <v>0</v>
      </c>
      <c r="V172" s="382">
        <v>0</v>
      </c>
      <c r="W172" s="382">
        <v>-63165.594637528986</v>
      </c>
      <c r="Z172" s="10"/>
      <c r="AU172" s="10"/>
      <c r="AV172" s="10"/>
      <c r="AW172" s="10"/>
      <c r="AX172" s="10"/>
      <c r="AY172" s="10"/>
      <c r="AZ172" s="10"/>
      <c r="BA172" s="10"/>
      <c r="BB172" s="10"/>
      <c r="BC172" s="10"/>
      <c r="BD172" s="10"/>
      <c r="BE172" s="10"/>
      <c r="BF172" s="10"/>
      <c r="BG172" s="10"/>
      <c r="BH172" s="10"/>
      <c r="BI172" s="10"/>
      <c r="BJ172" s="10"/>
      <c r="BK172" s="10"/>
      <c r="BL172" s="10"/>
      <c r="BM172" s="10"/>
    </row>
    <row r="173" spans="3:65">
      <c r="C173" s="382" t="s">
        <v>1104</v>
      </c>
      <c r="D173" s="382" t="s">
        <v>224</v>
      </c>
      <c r="E173" s="382">
        <v>0</v>
      </c>
      <c r="F173" s="382">
        <v>0</v>
      </c>
      <c r="G173" s="382">
        <v>0</v>
      </c>
      <c r="H173" s="382">
        <v>0</v>
      </c>
      <c r="I173" s="382">
        <v>0</v>
      </c>
      <c r="J173" s="382">
        <v>0</v>
      </c>
      <c r="K173" s="382">
        <v>0</v>
      </c>
      <c r="L173" s="382">
        <v>0</v>
      </c>
      <c r="M173" s="382">
        <v>0</v>
      </c>
      <c r="N173" s="382">
        <v>0</v>
      </c>
      <c r="O173" s="382">
        <v>0</v>
      </c>
      <c r="P173" s="382">
        <v>0</v>
      </c>
      <c r="Q173" s="382">
        <v>0</v>
      </c>
      <c r="R173" s="382">
        <v>0</v>
      </c>
      <c r="S173" s="382">
        <v>-6180.3491866743489</v>
      </c>
      <c r="T173" s="382">
        <v>-21119.006032910791</v>
      </c>
      <c r="U173" s="382">
        <v>0</v>
      </c>
      <c r="V173" s="382">
        <v>0</v>
      </c>
      <c r="W173" s="382">
        <v>-27299.355219585141</v>
      </c>
      <c r="Z173" s="10"/>
      <c r="AU173" s="10"/>
      <c r="AV173" s="10"/>
      <c r="AW173" s="10"/>
      <c r="AX173" s="10"/>
      <c r="AY173" s="10"/>
      <c r="AZ173" s="10"/>
      <c r="BA173" s="10"/>
      <c r="BB173" s="10"/>
      <c r="BC173" s="10"/>
      <c r="BD173" s="10"/>
      <c r="BE173" s="10"/>
      <c r="BF173" s="10"/>
      <c r="BG173" s="10"/>
      <c r="BH173" s="10"/>
      <c r="BI173" s="10"/>
      <c r="BJ173" s="10"/>
      <c r="BK173" s="10"/>
      <c r="BL173" s="10"/>
      <c r="BM173" s="10"/>
    </row>
    <row r="174" spans="3:65">
      <c r="C174" s="382" t="s">
        <v>1105</v>
      </c>
      <c r="D174" s="382" t="s">
        <v>1026</v>
      </c>
      <c r="E174" s="382">
        <v>0</v>
      </c>
      <c r="F174" s="382">
        <v>0</v>
      </c>
      <c r="G174" s="382">
        <v>0</v>
      </c>
      <c r="H174" s="382">
        <v>0</v>
      </c>
      <c r="I174" s="382">
        <v>0</v>
      </c>
      <c r="J174" s="382">
        <v>0</v>
      </c>
      <c r="K174" s="382">
        <v>0</v>
      </c>
      <c r="L174" s="382">
        <v>0</v>
      </c>
      <c r="M174" s="382">
        <v>0</v>
      </c>
      <c r="N174" s="382">
        <v>0</v>
      </c>
      <c r="O174" s="382">
        <v>0</v>
      </c>
      <c r="P174" s="382">
        <v>0</v>
      </c>
      <c r="Q174" s="382">
        <v>0</v>
      </c>
      <c r="R174" s="382">
        <v>0</v>
      </c>
      <c r="S174" s="382">
        <v>-339.77204774829278</v>
      </c>
      <c r="T174" s="382">
        <v>-3301.1660161836503</v>
      </c>
      <c r="U174" s="382">
        <v>0</v>
      </c>
      <c r="V174" s="382">
        <v>0</v>
      </c>
      <c r="W174" s="382">
        <v>-3640.9380639319429</v>
      </c>
      <c r="Z174" s="10"/>
      <c r="AU174" s="10"/>
      <c r="AV174" s="10"/>
      <c r="AW174" s="10"/>
      <c r="AX174" s="10"/>
      <c r="AY174" s="10"/>
      <c r="AZ174" s="10"/>
      <c r="BA174" s="10"/>
      <c r="BB174" s="10"/>
      <c r="BC174" s="10"/>
      <c r="BD174" s="10"/>
      <c r="BE174" s="10"/>
      <c r="BF174" s="10"/>
      <c r="BG174" s="10"/>
      <c r="BH174" s="10"/>
      <c r="BI174" s="10"/>
      <c r="BJ174" s="10"/>
      <c r="BK174" s="10"/>
      <c r="BL174" s="10"/>
      <c r="BM174" s="10"/>
    </row>
    <row r="175" spans="3:65">
      <c r="C175" s="382" t="s">
        <v>1106</v>
      </c>
      <c r="D175" s="382" t="s">
        <v>1027</v>
      </c>
      <c r="E175" s="382">
        <v>0</v>
      </c>
      <c r="F175" s="382">
        <v>0</v>
      </c>
      <c r="G175" s="382">
        <v>0</v>
      </c>
      <c r="H175" s="382">
        <v>0</v>
      </c>
      <c r="I175" s="382">
        <v>0</v>
      </c>
      <c r="J175" s="382">
        <v>0</v>
      </c>
      <c r="K175" s="382">
        <v>0</v>
      </c>
      <c r="L175" s="382">
        <v>0</v>
      </c>
      <c r="M175" s="382">
        <v>0</v>
      </c>
      <c r="N175" s="382">
        <v>0</v>
      </c>
      <c r="O175" s="382">
        <v>0</v>
      </c>
      <c r="P175" s="382">
        <v>0</v>
      </c>
      <c r="Q175" s="382">
        <v>0</v>
      </c>
      <c r="R175" s="382">
        <v>0</v>
      </c>
      <c r="S175" s="382">
        <v>-176.89002815638219</v>
      </c>
      <c r="T175" s="382">
        <v>-588.18811229163589</v>
      </c>
      <c r="U175" s="382">
        <v>0</v>
      </c>
      <c r="V175" s="382">
        <v>0</v>
      </c>
      <c r="W175" s="382">
        <v>-765.07814044801808</v>
      </c>
      <c r="Z175" s="10"/>
      <c r="AU175" s="10"/>
      <c r="AV175" s="10"/>
      <c r="AW175" s="10"/>
      <c r="AX175" s="10"/>
      <c r="AY175" s="10"/>
      <c r="AZ175" s="10"/>
      <c r="BA175" s="10"/>
      <c r="BB175" s="10"/>
      <c r="BC175" s="10"/>
      <c r="BD175" s="10"/>
      <c r="BE175" s="10"/>
      <c r="BF175" s="10"/>
      <c r="BG175" s="10"/>
      <c r="BH175" s="10"/>
      <c r="BI175" s="10"/>
      <c r="BJ175" s="10"/>
      <c r="BK175" s="10"/>
      <c r="BL175" s="10"/>
      <c r="BM175" s="10"/>
    </row>
    <row r="176" spans="3:65">
      <c r="C176" s="382" t="s">
        <v>1107</v>
      </c>
      <c r="D176" s="382" t="s">
        <v>1028</v>
      </c>
      <c r="E176" s="382">
        <v>0</v>
      </c>
      <c r="F176" s="382">
        <v>0</v>
      </c>
      <c r="G176" s="382">
        <v>0</v>
      </c>
      <c r="H176" s="382">
        <v>0</v>
      </c>
      <c r="I176" s="382">
        <v>0</v>
      </c>
      <c r="J176" s="382">
        <v>0</v>
      </c>
      <c r="K176" s="382">
        <v>0</v>
      </c>
      <c r="L176" s="382">
        <v>0</v>
      </c>
      <c r="M176" s="382">
        <v>0</v>
      </c>
      <c r="N176" s="382">
        <v>0</v>
      </c>
      <c r="O176" s="382">
        <v>0</v>
      </c>
      <c r="P176" s="382">
        <v>0</v>
      </c>
      <c r="Q176" s="382">
        <v>0</v>
      </c>
      <c r="R176" s="382">
        <v>0</v>
      </c>
      <c r="S176" s="382">
        <v>-3145.7666377381679</v>
      </c>
      <c r="T176" s="382">
        <v>-12272.772918283334</v>
      </c>
      <c r="U176" s="382">
        <v>0</v>
      </c>
      <c r="V176" s="382">
        <v>0</v>
      </c>
      <c r="W176" s="382">
        <v>-15418.539556021502</v>
      </c>
      <c r="Z176" s="10"/>
      <c r="AU176" s="10"/>
      <c r="AV176" s="10"/>
      <c r="AW176" s="10"/>
      <c r="AX176" s="10"/>
      <c r="AY176" s="10"/>
      <c r="AZ176" s="10"/>
      <c r="BA176" s="10"/>
      <c r="BB176" s="10"/>
      <c r="BC176" s="10"/>
      <c r="BD176" s="10"/>
      <c r="BE176" s="10"/>
      <c r="BF176" s="10"/>
      <c r="BG176" s="10"/>
      <c r="BH176" s="10"/>
      <c r="BI176" s="10"/>
      <c r="BJ176" s="10"/>
      <c r="BK176" s="10"/>
      <c r="BL176" s="10"/>
      <c r="BM176" s="10"/>
    </row>
    <row r="177" spans="3:65">
      <c r="C177" s="382" t="s">
        <v>1108</v>
      </c>
      <c r="D177" s="382" t="s">
        <v>1029</v>
      </c>
      <c r="E177" s="382">
        <v>0</v>
      </c>
      <c r="F177" s="382">
        <v>0</v>
      </c>
      <c r="G177" s="382">
        <v>0</v>
      </c>
      <c r="H177" s="382">
        <v>0</v>
      </c>
      <c r="I177" s="382">
        <v>0</v>
      </c>
      <c r="J177" s="382">
        <v>0</v>
      </c>
      <c r="K177" s="382">
        <v>0</v>
      </c>
      <c r="L177" s="382">
        <v>0</v>
      </c>
      <c r="M177" s="382">
        <v>0</v>
      </c>
      <c r="N177" s="382">
        <v>0</v>
      </c>
      <c r="O177" s="382">
        <v>0</v>
      </c>
      <c r="P177" s="382">
        <v>0</v>
      </c>
      <c r="Q177" s="382">
        <v>0</v>
      </c>
      <c r="R177" s="382">
        <v>0</v>
      </c>
      <c r="S177" s="382">
        <v>-21689.65688930211</v>
      </c>
      <c r="T177" s="382">
        <v>-73778.970357691447</v>
      </c>
      <c r="U177" s="382">
        <v>0</v>
      </c>
      <c r="V177" s="382">
        <v>0</v>
      </c>
      <c r="W177" s="382">
        <v>-95468.627246993565</v>
      </c>
      <c r="Z177" s="10"/>
      <c r="AU177" s="10"/>
      <c r="AV177" s="10"/>
      <c r="AW177" s="10"/>
      <c r="AX177" s="10"/>
      <c r="AY177" s="10"/>
      <c r="AZ177" s="10"/>
      <c r="BA177" s="10"/>
      <c r="BB177" s="10"/>
      <c r="BC177" s="10"/>
      <c r="BD177" s="10"/>
      <c r="BE177" s="10"/>
      <c r="BF177" s="10"/>
      <c r="BG177" s="10"/>
      <c r="BH177" s="10"/>
      <c r="BI177" s="10"/>
      <c r="BJ177" s="10"/>
      <c r="BK177" s="10"/>
      <c r="BL177" s="10"/>
      <c r="BM177" s="10"/>
    </row>
    <row r="178" spans="3:65">
      <c r="C178" s="382" t="s">
        <v>1109</v>
      </c>
      <c r="D178" s="382" t="s">
        <v>1030</v>
      </c>
      <c r="E178" s="382">
        <v>0</v>
      </c>
      <c r="F178" s="382">
        <v>0</v>
      </c>
      <c r="G178" s="382">
        <v>0</v>
      </c>
      <c r="H178" s="382">
        <v>0</v>
      </c>
      <c r="I178" s="382">
        <v>0</v>
      </c>
      <c r="J178" s="382">
        <v>0</v>
      </c>
      <c r="K178" s="382">
        <v>0</v>
      </c>
      <c r="L178" s="382">
        <v>0</v>
      </c>
      <c r="M178" s="382">
        <v>0</v>
      </c>
      <c r="N178" s="382">
        <v>0</v>
      </c>
      <c r="O178" s="382">
        <v>0</v>
      </c>
      <c r="P178" s="382">
        <v>0</v>
      </c>
      <c r="Q178" s="382">
        <v>0</v>
      </c>
      <c r="R178" s="382">
        <v>0</v>
      </c>
      <c r="S178" s="382">
        <v>-71946.314143110721</v>
      </c>
      <c r="T178" s="382">
        <v>-525020.87235288613</v>
      </c>
      <c r="U178" s="382">
        <v>0</v>
      </c>
      <c r="V178" s="382">
        <v>0</v>
      </c>
      <c r="W178" s="382">
        <v>-596967.1864959969</v>
      </c>
      <c r="Z178" s="10"/>
      <c r="AU178" s="10"/>
      <c r="AV178" s="10"/>
      <c r="AW178" s="10"/>
      <c r="AX178" s="10"/>
      <c r="AY178" s="10"/>
      <c r="AZ178" s="10"/>
      <c r="BA178" s="10"/>
      <c r="BB178" s="10"/>
      <c r="BC178" s="10"/>
      <c r="BD178" s="10"/>
      <c r="BE178" s="10"/>
      <c r="BF178" s="10"/>
      <c r="BG178" s="10"/>
      <c r="BH178" s="10"/>
      <c r="BI178" s="10"/>
      <c r="BJ178" s="10"/>
      <c r="BK178" s="10"/>
      <c r="BL178" s="10"/>
      <c r="BM178" s="10"/>
    </row>
    <row r="179" spans="3:65">
      <c r="C179" s="382" t="s">
        <v>1110</v>
      </c>
      <c r="D179" s="382" t="s">
        <v>1031</v>
      </c>
      <c r="E179" s="382">
        <v>0</v>
      </c>
      <c r="F179" s="382">
        <v>0</v>
      </c>
      <c r="G179" s="382">
        <v>0</v>
      </c>
      <c r="H179" s="382">
        <v>0</v>
      </c>
      <c r="I179" s="382">
        <v>0</v>
      </c>
      <c r="J179" s="382">
        <v>0</v>
      </c>
      <c r="K179" s="382">
        <v>0</v>
      </c>
      <c r="L179" s="382">
        <v>0</v>
      </c>
      <c r="M179" s="382">
        <v>0</v>
      </c>
      <c r="N179" s="382">
        <v>0</v>
      </c>
      <c r="O179" s="382">
        <v>0</v>
      </c>
      <c r="P179" s="382">
        <v>0</v>
      </c>
      <c r="Q179" s="382">
        <v>0</v>
      </c>
      <c r="R179" s="382">
        <v>0</v>
      </c>
      <c r="S179" s="382">
        <v>-10525.820313933367</v>
      </c>
      <c r="T179" s="382">
        <v>-37584.434063979788</v>
      </c>
      <c r="U179" s="382">
        <v>0</v>
      </c>
      <c r="V179" s="382">
        <v>0</v>
      </c>
      <c r="W179" s="382">
        <v>-48110.254377913152</v>
      </c>
      <c r="Z179" s="10"/>
      <c r="AU179" s="10"/>
      <c r="AV179" s="10"/>
      <c r="AW179" s="10"/>
      <c r="AX179" s="10"/>
      <c r="AY179" s="10"/>
      <c r="AZ179" s="10"/>
      <c r="BA179" s="10"/>
      <c r="BB179" s="10"/>
      <c r="BC179" s="10"/>
      <c r="BD179" s="10"/>
      <c r="BE179" s="10"/>
      <c r="BF179" s="10"/>
      <c r="BG179" s="10"/>
      <c r="BH179" s="10"/>
      <c r="BI179" s="10"/>
      <c r="BJ179" s="10"/>
      <c r="BK179" s="10"/>
      <c r="BL179" s="10"/>
      <c r="BM179" s="10"/>
    </row>
    <row r="180" spans="3:65">
      <c r="C180" s="382" t="s">
        <v>1111</v>
      </c>
      <c r="D180" s="426" t="s">
        <v>1032</v>
      </c>
      <c r="E180" s="382">
        <v>0</v>
      </c>
      <c r="F180" s="382">
        <v>0</v>
      </c>
      <c r="G180" s="382">
        <v>0</v>
      </c>
      <c r="H180" s="382">
        <v>0</v>
      </c>
      <c r="I180" s="382">
        <v>0</v>
      </c>
      <c r="J180" s="382">
        <v>0</v>
      </c>
      <c r="K180" s="382">
        <v>0</v>
      </c>
      <c r="L180" s="382">
        <v>0</v>
      </c>
      <c r="M180" s="382">
        <v>0</v>
      </c>
      <c r="N180" s="382">
        <v>0</v>
      </c>
      <c r="O180" s="382">
        <v>0</v>
      </c>
      <c r="P180" s="382">
        <v>0</v>
      </c>
      <c r="Q180" s="382">
        <v>0</v>
      </c>
      <c r="R180" s="382">
        <v>0</v>
      </c>
      <c r="S180" s="382">
        <v>-4351.1654260556852</v>
      </c>
      <c r="T180" s="382">
        <v>-14857.215940025832</v>
      </c>
      <c r="U180" s="382">
        <v>0</v>
      </c>
      <c r="V180" s="382">
        <v>0</v>
      </c>
      <c r="W180" s="382">
        <v>-19208.381366081518</v>
      </c>
      <c r="Z180" s="10"/>
      <c r="AU180" s="10"/>
      <c r="AV180" s="10"/>
      <c r="AW180" s="10"/>
      <c r="AX180" s="10"/>
      <c r="AY180" s="10"/>
      <c r="AZ180" s="10"/>
      <c r="BA180" s="10"/>
      <c r="BB180" s="10"/>
      <c r="BC180" s="10"/>
      <c r="BD180" s="10"/>
      <c r="BE180" s="10"/>
      <c r="BF180" s="10"/>
      <c r="BG180" s="10"/>
      <c r="BH180" s="10"/>
      <c r="BI180" s="10"/>
      <c r="BJ180" s="10"/>
      <c r="BK180" s="10"/>
      <c r="BL180" s="10"/>
      <c r="BM180" s="10"/>
    </row>
    <row r="181" spans="3:65">
      <c r="C181" s="382" t="s">
        <v>1112</v>
      </c>
      <c r="D181" s="426" t="s">
        <v>1033</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-301.96423075426708</v>
      </c>
      <c r="T181" s="382">
        <v>-257.57233438361249</v>
      </c>
      <c r="U181" s="382">
        <v>0</v>
      </c>
      <c r="V181" s="382">
        <v>0</v>
      </c>
      <c r="W181" s="382">
        <v>-559.53656513787951</v>
      </c>
      <c r="Z181" s="10"/>
      <c r="AU181" s="10"/>
      <c r="AV181" s="10"/>
      <c r="AW181" s="10"/>
      <c r="AX181" s="10"/>
      <c r="AY181" s="10"/>
      <c r="AZ181" s="10"/>
      <c r="BA181" s="10"/>
      <c r="BB181" s="10"/>
      <c r="BC181" s="10"/>
      <c r="BD181" s="10"/>
      <c r="BE181" s="10"/>
      <c r="BF181" s="10"/>
      <c r="BG181" s="10"/>
      <c r="BH181" s="10"/>
      <c r="BI181" s="10"/>
      <c r="BJ181" s="10"/>
      <c r="BK181" s="10"/>
      <c r="BL181" s="10"/>
      <c r="BM181" s="10"/>
    </row>
    <row r="182" spans="3:65">
      <c r="C182" s="382" t="s">
        <v>1118</v>
      </c>
      <c r="D182" s="426" t="s">
        <v>1209</v>
      </c>
      <c r="E182" s="382">
        <v>0</v>
      </c>
      <c r="F182" s="382">
        <v>0</v>
      </c>
      <c r="G182" s="382">
        <v>0</v>
      </c>
      <c r="H182" s="382">
        <v>0</v>
      </c>
      <c r="I182" s="382">
        <v>0</v>
      </c>
      <c r="J182" s="382">
        <v>0</v>
      </c>
      <c r="K182" s="382">
        <v>0</v>
      </c>
      <c r="L182" s="382">
        <v>0</v>
      </c>
      <c r="M182" s="382">
        <v>0</v>
      </c>
      <c r="N182" s="382">
        <v>0</v>
      </c>
      <c r="O182" s="382">
        <v>0</v>
      </c>
      <c r="P182" s="382">
        <v>0</v>
      </c>
      <c r="Q182" s="382">
        <v>0</v>
      </c>
      <c r="R182" s="382">
        <v>0</v>
      </c>
      <c r="S182" s="382">
        <v>-370.73574726755407</v>
      </c>
      <c r="T182" s="382">
        <v>-1266.8492097567487</v>
      </c>
      <c r="U182" s="382">
        <v>0</v>
      </c>
      <c r="V182" s="382">
        <v>0</v>
      </c>
      <c r="W182" s="382">
        <v>-1637.5849570243026</v>
      </c>
      <c r="Z182" s="10"/>
      <c r="AU182" s="10"/>
      <c r="AV182" s="10"/>
      <c r="AW182" s="10"/>
      <c r="AX182" s="10"/>
      <c r="AY182" s="10"/>
      <c r="AZ182" s="10"/>
      <c r="BA182" s="10"/>
      <c r="BB182" s="10"/>
      <c r="BC182" s="10"/>
      <c r="BD182" s="10"/>
      <c r="BE182" s="10"/>
      <c r="BF182" s="10"/>
      <c r="BG182" s="10"/>
      <c r="BH182" s="10"/>
      <c r="BI182" s="10"/>
      <c r="BJ182" s="10"/>
      <c r="BK182" s="10"/>
      <c r="BL182" s="10"/>
      <c r="BM182" s="10"/>
    </row>
    <row r="183" spans="3:65">
      <c r="C183" s="382" t="s">
        <v>1113</v>
      </c>
      <c r="D183" s="426" t="s">
        <v>1034</v>
      </c>
      <c r="E183" s="382">
        <v>0</v>
      </c>
      <c r="F183" s="382">
        <v>0</v>
      </c>
      <c r="G183" s="382">
        <v>0</v>
      </c>
      <c r="H183" s="382">
        <v>0</v>
      </c>
      <c r="I183" s="382">
        <v>0</v>
      </c>
      <c r="J183" s="382">
        <v>0</v>
      </c>
      <c r="K183" s="382">
        <v>0</v>
      </c>
      <c r="L183" s="382">
        <v>0</v>
      </c>
      <c r="M183" s="382">
        <v>0</v>
      </c>
      <c r="N183" s="382">
        <v>0</v>
      </c>
      <c r="O183" s="382">
        <v>0</v>
      </c>
      <c r="P183" s="382">
        <v>0</v>
      </c>
      <c r="Q183" s="382">
        <v>0</v>
      </c>
      <c r="R183" s="382">
        <v>0</v>
      </c>
      <c r="S183" s="382">
        <v>-2362.771031740519</v>
      </c>
      <c r="T183" s="382">
        <v>-6747.4047786972415</v>
      </c>
      <c r="U183" s="382">
        <v>0</v>
      </c>
      <c r="V183" s="382">
        <v>0</v>
      </c>
      <c r="W183" s="382">
        <v>-9110.1758104377604</v>
      </c>
      <c r="Z183" s="10"/>
      <c r="AU183" s="10"/>
      <c r="AV183" s="10"/>
      <c r="AW183" s="10"/>
      <c r="AX183" s="10"/>
      <c r="AY183" s="10"/>
      <c r="AZ183" s="10"/>
      <c r="BA183" s="10"/>
      <c r="BB183" s="10"/>
      <c r="BC183" s="10"/>
      <c r="BD183" s="10"/>
      <c r="BE183" s="10"/>
      <c r="BF183" s="10"/>
      <c r="BG183" s="10"/>
      <c r="BH183" s="10"/>
      <c r="BI183" s="10"/>
      <c r="BJ183" s="10"/>
      <c r="BK183" s="10"/>
      <c r="BL183" s="10"/>
      <c r="BM183" s="10"/>
    </row>
    <row r="184" spans="3:65">
      <c r="C184" s="382" t="s">
        <v>1114</v>
      </c>
      <c r="D184" s="426" t="s">
        <v>1035</v>
      </c>
      <c r="E184" s="382">
        <v>0</v>
      </c>
      <c r="F184" s="382">
        <v>0</v>
      </c>
      <c r="G184" s="382">
        <v>0</v>
      </c>
      <c r="H184" s="382">
        <v>0</v>
      </c>
      <c r="I184" s="382">
        <v>0</v>
      </c>
      <c r="J184" s="382">
        <v>0</v>
      </c>
      <c r="K184" s="382">
        <v>0</v>
      </c>
      <c r="L184" s="382">
        <v>0</v>
      </c>
      <c r="M184" s="382">
        <v>0</v>
      </c>
      <c r="N184" s="382">
        <v>0</v>
      </c>
      <c r="O184" s="382">
        <v>0</v>
      </c>
      <c r="P184" s="382">
        <v>0</v>
      </c>
      <c r="Q184" s="382">
        <v>0</v>
      </c>
      <c r="R184" s="382">
        <v>0</v>
      </c>
      <c r="S184" s="382">
        <v>0</v>
      </c>
      <c r="T184" s="382">
        <v>-83865.578766954583</v>
      </c>
      <c r="U184" s="382">
        <v>0</v>
      </c>
      <c r="V184" s="382">
        <v>0</v>
      </c>
      <c r="W184" s="382">
        <v>-83865.578766954583</v>
      </c>
      <c r="Z184" s="10"/>
      <c r="AU184" s="10"/>
      <c r="AV184" s="10"/>
      <c r="AW184" s="10"/>
      <c r="AX184" s="10"/>
      <c r="AY184" s="10"/>
      <c r="AZ184" s="10"/>
      <c r="BA184" s="10"/>
      <c r="BB184" s="10"/>
      <c r="BC184" s="10"/>
      <c r="BD184" s="10"/>
      <c r="BE184" s="10"/>
      <c r="BF184" s="10"/>
      <c r="BG184" s="10"/>
      <c r="BH184" s="10"/>
      <c r="BI184" s="10"/>
      <c r="BJ184" s="10"/>
      <c r="BK184" s="10"/>
      <c r="BL184" s="10"/>
      <c r="BM184" s="10"/>
    </row>
    <row r="185" spans="3:65">
      <c r="C185" s="382" t="s">
        <v>1115</v>
      </c>
      <c r="D185" s="426" t="s">
        <v>1036</v>
      </c>
      <c r="E185" s="382">
        <v>0</v>
      </c>
      <c r="F185" s="382">
        <v>0</v>
      </c>
      <c r="G185" s="382">
        <v>0</v>
      </c>
      <c r="H185" s="382">
        <v>0</v>
      </c>
      <c r="I185" s="382">
        <v>0</v>
      </c>
      <c r="J185" s="382">
        <v>0</v>
      </c>
      <c r="K185" s="382">
        <v>0</v>
      </c>
      <c r="L185" s="382">
        <v>0</v>
      </c>
      <c r="M185" s="382">
        <v>0</v>
      </c>
      <c r="N185" s="382">
        <v>0</v>
      </c>
      <c r="O185" s="382">
        <v>0</v>
      </c>
      <c r="P185" s="382">
        <v>0</v>
      </c>
      <c r="Q185" s="382">
        <v>0</v>
      </c>
      <c r="R185" s="382">
        <v>0</v>
      </c>
      <c r="S185" s="382">
        <v>-737.93951080673787</v>
      </c>
      <c r="T185" s="382">
        <v>-4832.31109101948</v>
      </c>
      <c r="U185" s="382">
        <v>0</v>
      </c>
      <c r="V185" s="382">
        <v>0</v>
      </c>
      <c r="W185" s="382">
        <v>-5570.2506018262175</v>
      </c>
      <c r="Z185" s="10"/>
      <c r="AU185" s="10"/>
      <c r="AV185" s="10"/>
      <c r="AW185" s="10"/>
      <c r="AX185" s="10"/>
      <c r="AY185" s="10"/>
      <c r="AZ185" s="10"/>
      <c r="BA185" s="10"/>
      <c r="BB185" s="10"/>
      <c r="BC185" s="10"/>
      <c r="BD185" s="10"/>
      <c r="BE185" s="10"/>
      <c r="BF185" s="10"/>
      <c r="BG185" s="10"/>
      <c r="BH185" s="10"/>
      <c r="BI185" s="10"/>
      <c r="BJ185" s="10"/>
      <c r="BK185" s="10"/>
      <c r="BL185" s="10"/>
      <c r="BM185" s="10"/>
    </row>
    <row r="186" spans="3:65">
      <c r="C186" s="382" t="s">
        <v>1116</v>
      </c>
      <c r="D186" s="426" t="s">
        <v>1037</v>
      </c>
      <c r="E186" s="382">
        <v>0</v>
      </c>
      <c r="F186" s="382">
        <v>0</v>
      </c>
      <c r="G186" s="382">
        <v>0</v>
      </c>
      <c r="H186" s="382">
        <v>0</v>
      </c>
      <c r="I186" s="382">
        <v>0</v>
      </c>
      <c r="J186" s="382">
        <v>0</v>
      </c>
      <c r="K186" s="382">
        <v>0</v>
      </c>
      <c r="L186" s="382">
        <v>0</v>
      </c>
      <c r="M186" s="382">
        <v>0</v>
      </c>
      <c r="N186" s="382">
        <v>0</v>
      </c>
      <c r="O186" s="382">
        <v>0</v>
      </c>
      <c r="P186" s="382">
        <v>0</v>
      </c>
      <c r="Q186" s="382">
        <v>0</v>
      </c>
      <c r="R186" s="382">
        <v>0</v>
      </c>
      <c r="S186" s="382">
        <v>-93.614845847752392</v>
      </c>
      <c r="T186" s="382">
        <v>-319.89333199675565</v>
      </c>
      <c r="U186" s="382">
        <v>0</v>
      </c>
      <c r="V186" s="382">
        <v>0</v>
      </c>
      <c r="W186" s="382">
        <v>-413.50817784450805</v>
      </c>
      <c r="Z186" s="10"/>
      <c r="AU186" s="10"/>
      <c r="AV186" s="10"/>
      <c r="AW186" s="10"/>
      <c r="AX186" s="10"/>
      <c r="AY186" s="10"/>
      <c r="AZ186" s="10"/>
      <c r="BA186" s="10"/>
      <c r="BB186" s="10"/>
      <c r="BC186" s="10"/>
      <c r="BD186" s="10"/>
      <c r="BE186" s="10"/>
      <c r="BF186" s="10"/>
      <c r="BG186" s="10"/>
      <c r="BH186" s="10"/>
      <c r="BI186" s="10"/>
      <c r="BJ186" s="10"/>
      <c r="BK186" s="10"/>
      <c r="BL186" s="10"/>
      <c r="BM186" s="10"/>
    </row>
    <row r="187" spans="3:65">
      <c r="C187" s="382"/>
      <c r="D187" s="426" t="s">
        <v>668</v>
      </c>
      <c r="E187" s="382">
        <v>16692424.838031411</v>
      </c>
      <c r="F187" s="382">
        <v>3138256.6383278449</v>
      </c>
      <c r="G187" s="382">
        <v>2472890.7902636104</v>
      </c>
      <c r="H187" s="382">
        <v>2488775.6202495685</v>
      </c>
      <c r="I187" s="382">
        <v>4820790.5534338402</v>
      </c>
      <c r="J187" s="382">
        <v>1516752.4728596676</v>
      </c>
      <c r="K187" s="382">
        <v>5972000.1741702184</v>
      </c>
      <c r="L187" s="382">
        <v>4425364.9594876217</v>
      </c>
      <c r="M187" s="382">
        <v>15321541.651176026</v>
      </c>
      <c r="N187" s="382">
        <v>9516767.335505344</v>
      </c>
      <c r="O187" s="382">
        <v>2800008.1614976781</v>
      </c>
      <c r="P187" s="382">
        <v>6513602.1797525622</v>
      </c>
      <c r="Q187" s="382">
        <v>11659667.805268282</v>
      </c>
      <c r="R187" s="382">
        <v>2871384.3343171123</v>
      </c>
      <c r="S187" s="382">
        <v>1957119.131117227</v>
      </c>
      <c r="T187" s="382">
        <v>9299579.123276623</v>
      </c>
      <c r="U187" s="382">
        <v>789098.23542035348</v>
      </c>
      <c r="V187" s="382">
        <v>689167.85863156826</v>
      </c>
      <c r="W187" s="382">
        <v>102945191.86278656</v>
      </c>
      <c r="Z187" s="10"/>
      <c r="AU187" s="10"/>
      <c r="AV187" s="10"/>
      <c r="AW187" s="10"/>
      <c r="AX187" s="10"/>
      <c r="AY187" s="10"/>
      <c r="AZ187" s="10"/>
      <c r="BA187" s="10"/>
      <c r="BB187" s="10"/>
      <c r="BC187" s="10"/>
      <c r="BD187" s="10"/>
      <c r="BE187" s="10"/>
      <c r="BF187" s="10"/>
      <c r="BG187" s="10"/>
      <c r="BH187" s="10"/>
      <c r="BI187" s="10"/>
      <c r="BJ187" s="10"/>
      <c r="BK187" s="10"/>
      <c r="BL187" s="10"/>
      <c r="BM187" s="10"/>
    </row>
    <row r="188" spans="3:65">
      <c r="C188" s="382" t="s">
        <v>655</v>
      </c>
      <c r="D188" s="426" t="s">
        <v>717</v>
      </c>
      <c r="E188" s="382" t="s">
        <v>9</v>
      </c>
      <c r="F188" s="382" t="s">
        <v>10</v>
      </c>
      <c r="G188" s="382" t="s">
        <v>11</v>
      </c>
      <c r="H188" s="382" t="s">
        <v>31</v>
      </c>
      <c r="I188" s="382" t="s">
        <v>12</v>
      </c>
      <c r="J188" s="382" t="s">
        <v>13</v>
      </c>
      <c r="K188" s="382" t="s">
        <v>14</v>
      </c>
      <c r="L188" s="382" t="s">
        <v>15</v>
      </c>
      <c r="M188" s="382" t="s">
        <v>16</v>
      </c>
      <c r="N188" s="382" t="s">
        <v>17</v>
      </c>
      <c r="O188" s="382" t="s">
        <v>18</v>
      </c>
      <c r="P188" s="382" t="s">
        <v>19</v>
      </c>
      <c r="Q188" s="382" t="s">
        <v>20</v>
      </c>
      <c r="R188" s="382" t="s">
        <v>60</v>
      </c>
      <c r="S188" s="382" t="s">
        <v>61</v>
      </c>
      <c r="T188" s="382" t="s">
        <v>62</v>
      </c>
      <c r="U188" s="382" t="s">
        <v>63</v>
      </c>
      <c r="V188" s="382" t="s">
        <v>64</v>
      </c>
      <c r="W188" s="382" t="s">
        <v>656</v>
      </c>
      <c r="Z188" s="10"/>
      <c r="AU188" s="10"/>
      <c r="AV188" s="10"/>
      <c r="AW188" s="10"/>
      <c r="AX188" s="10"/>
      <c r="AY188" s="10"/>
      <c r="AZ188" s="10"/>
      <c r="BA188" s="10"/>
      <c r="BB188" s="10"/>
      <c r="BC188" s="10"/>
      <c r="BD188" s="10"/>
      <c r="BE188" s="10"/>
      <c r="BF188" s="10"/>
      <c r="BG188" s="10"/>
      <c r="BH188" s="10"/>
      <c r="BI188" s="10"/>
      <c r="BJ188" s="10"/>
      <c r="BK188" s="10"/>
      <c r="BL188" s="10"/>
      <c r="BM188" s="10"/>
    </row>
    <row r="189" spans="3:65">
      <c r="C189" s="382" t="s">
        <v>718</v>
      </c>
      <c r="D189" s="426" t="s">
        <v>238</v>
      </c>
      <c r="E189" s="382">
        <v>4193.4809500000001</v>
      </c>
      <c r="F189" s="382">
        <v>704.25920999999994</v>
      </c>
      <c r="G189" s="382">
        <v>632.91045999999994</v>
      </c>
      <c r="H189" s="382">
        <v>815.48788000000002</v>
      </c>
      <c r="I189" s="382">
        <v>1419.09302</v>
      </c>
      <c r="J189" s="382">
        <v>316.45211</v>
      </c>
      <c r="K189" s="382">
        <v>1844.30529</v>
      </c>
      <c r="L189" s="382">
        <v>1199.98207</v>
      </c>
      <c r="M189" s="382">
        <v>6422.1585400000004</v>
      </c>
      <c r="N189" s="382">
        <v>2304.1924399999998</v>
      </c>
      <c r="O189" s="382">
        <v>630.83006999999998</v>
      </c>
      <c r="P189" s="382">
        <v>1539.3030100000001</v>
      </c>
      <c r="Q189" s="382">
        <v>4468.9451399999998</v>
      </c>
      <c r="R189" s="382">
        <v>723.71117000000004</v>
      </c>
      <c r="S189" s="382">
        <v>341.06504999999999</v>
      </c>
      <c r="T189" s="382">
        <v>1257.3686399999999</v>
      </c>
      <c r="U189" s="382">
        <v>177.64564000000001</v>
      </c>
      <c r="V189" s="382">
        <v>252.18428999999998</v>
      </c>
      <c r="W189" s="382">
        <v>29243.374979999997</v>
      </c>
      <c r="Z189" s="10"/>
      <c r="AU189" s="10"/>
      <c r="AV189" s="10"/>
      <c r="AW189" s="10"/>
      <c r="AX189" s="10"/>
      <c r="AY189" s="10"/>
      <c r="AZ189" s="10"/>
      <c r="BA189" s="10"/>
      <c r="BB189" s="10"/>
      <c r="BC189" s="10"/>
      <c r="BD189" s="10"/>
      <c r="BE189" s="10"/>
      <c r="BF189" s="10"/>
      <c r="BG189" s="10"/>
      <c r="BH189" s="10"/>
      <c r="BI189" s="10"/>
      <c r="BJ189" s="10"/>
      <c r="BK189" s="10"/>
      <c r="BL189" s="10"/>
      <c r="BM189" s="10"/>
    </row>
    <row r="190" spans="3:65">
      <c r="C190" s="382" t="s">
        <v>719</v>
      </c>
      <c r="D190" s="426" t="s">
        <v>720</v>
      </c>
      <c r="E190" s="382">
        <v>961247.03779999993</v>
      </c>
      <c r="F190" s="382">
        <v>207723.59693000003</v>
      </c>
      <c r="G190" s="382">
        <v>184420.30161999998</v>
      </c>
      <c r="H190" s="382">
        <v>98833.805989999993</v>
      </c>
      <c r="I190" s="382">
        <v>359317.16297999996</v>
      </c>
      <c r="J190" s="382">
        <v>86.909960000000012</v>
      </c>
      <c r="K190" s="382">
        <v>549720.59645000007</v>
      </c>
      <c r="L190" s="382">
        <v>396324.12573999999</v>
      </c>
      <c r="M190" s="382">
        <v>735173.0976000001</v>
      </c>
      <c r="N190" s="382">
        <v>640802.35241000005</v>
      </c>
      <c r="O190" s="382">
        <v>253741.71028</v>
      </c>
      <c r="P190" s="382">
        <v>467976.84618999989</v>
      </c>
      <c r="Q190" s="382">
        <v>15581.395339999999</v>
      </c>
      <c r="R190" s="382">
        <v>181955.59239999999</v>
      </c>
      <c r="S190" s="382">
        <v>88.896910000000005</v>
      </c>
      <c r="T190" s="382">
        <v>263.78414000000004</v>
      </c>
      <c r="U190" s="382">
        <v>619.46564999999998</v>
      </c>
      <c r="V190" s="382">
        <v>11182.46616</v>
      </c>
      <c r="W190" s="382">
        <v>5065059.1445500012</v>
      </c>
      <c r="Z190" s="10"/>
      <c r="AU190" s="10"/>
      <c r="AV190" s="10"/>
      <c r="AW190" s="10"/>
      <c r="AX190" s="10"/>
      <c r="AY190" s="10"/>
      <c r="AZ190" s="10"/>
      <c r="BA190" s="10"/>
      <c r="BB190" s="10"/>
      <c r="BC190" s="10"/>
      <c r="BD190" s="10"/>
      <c r="BE190" s="10"/>
      <c r="BF190" s="10"/>
      <c r="BG190" s="10"/>
      <c r="BH190" s="10"/>
      <c r="BI190" s="10"/>
      <c r="BJ190" s="10"/>
      <c r="BK190" s="10"/>
      <c r="BL190" s="10"/>
      <c r="BM190" s="10"/>
    </row>
    <row r="191" spans="3:65">
      <c r="C191" s="382" t="s">
        <v>473</v>
      </c>
      <c r="D191" s="426" t="s">
        <v>721</v>
      </c>
      <c r="E191" s="382">
        <v>-45078.914839999998</v>
      </c>
      <c r="F191" s="382">
        <v>-17921.175719999999</v>
      </c>
      <c r="G191" s="382">
        <v>-5354.9541400000007</v>
      </c>
      <c r="H191" s="382">
        <v>-9564.5293800000018</v>
      </c>
      <c r="I191" s="382">
        <v>-14125.382070000001</v>
      </c>
      <c r="J191" s="382">
        <v>0</v>
      </c>
      <c r="K191" s="382">
        <v>-25269.177159999999</v>
      </c>
      <c r="L191" s="382">
        <v>-16360.390960000001</v>
      </c>
      <c r="M191" s="382">
        <v>-32904.689380000011</v>
      </c>
      <c r="N191" s="382">
        <v>-34457.63884</v>
      </c>
      <c r="O191" s="382">
        <v>-9524.9742500000066</v>
      </c>
      <c r="P191" s="382">
        <v>-20793.423800000004</v>
      </c>
      <c r="Q191" s="382">
        <v>0</v>
      </c>
      <c r="R191" s="382">
        <v>-5332.7871400000004</v>
      </c>
      <c r="S191" s="382">
        <v>-6.5670000000000019</v>
      </c>
      <c r="T191" s="382">
        <v>-18.975120000000004</v>
      </c>
      <c r="U191" s="382">
        <v>0</v>
      </c>
      <c r="V191" s="382">
        <v>-604.24451999999997</v>
      </c>
      <c r="W191" s="382">
        <v>-237317.82431999999</v>
      </c>
      <c r="Z191" s="10"/>
      <c r="AU191" s="10"/>
      <c r="AV191" s="10"/>
      <c r="AW191" s="10"/>
      <c r="AX191" s="10"/>
      <c r="AY191" s="10"/>
      <c r="AZ191" s="10"/>
      <c r="BA191" s="10"/>
      <c r="BB191" s="10"/>
      <c r="BC191" s="10"/>
      <c r="BD191" s="10"/>
      <c r="BE191" s="10"/>
      <c r="BF191" s="10"/>
      <c r="BG191" s="10"/>
      <c r="BH191" s="10"/>
      <c r="BI191" s="10"/>
      <c r="BJ191" s="10"/>
      <c r="BK191" s="10"/>
      <c r="BL191" s="10"/>
      <c r="BM191" s="10"/>
    </row>
    <row r="192" spans="3:65">
      <c r="C192" s="382" t="s">
        <v>231</v>
      </c>
      <c r="D192" s="426" t="s">
        <v>722</v>
      </c>
      <c r="E192" s="382">
        <v>289050.20396745065</v>
      </c>
      <c r="F192" s="382">
        <v>31044.890232685575</v>
      </c>
      <c r="G192" s="382">
        <v>0</v>
      </c>
      <c r="H192" s="382">
        <v>21527.666607458905</v>
      </c>
      <c r="I192" s="382">
        <v>0</v>
      </c>
      <c r="J192" s="382">
        <v>0</v>
      </c>
      <c r="K192" s="382">
        <v>0</v>
      </c>
      <c r="L192" s="382">
        <v>0</v>
      </c>
      <c r="M192" s="382">
        <v>72839.363006209853</v>
      </c>
      <c r="N192" s="382">
        <v>0</v>
      </c>
      <c r="O192" s="382">
        <v>0</v>
      </c>
      <c r="P192" s="382">
        <v>0</v>
      </c>
      <c r="Q192" s="382">
        <v>0</v>
      </c>
      <c r="R192" s="382">
        <v>0</v>
      </c>
      <c r="S192" s="382">
        <v>0</v>
      </c>
      <c r="T192" s="382">
        <v>0</v>
      </c>
      <c r="U192" s="382">
        <v>0</v>
      </c>
      <c r="V192" s="382">
        <v>0</v>
      </c>
      <c r="W192" s="382">
        <v>414462.123813805</v>
      </c>
      <c r="Z192" s="10"/>
      <c r="AU192" s="10"/>
      <c r="AV192" s="10"/>
      <c r="AW192" s="10"/>
      <c r="AX192" s="10"/>
      <c r="AY192" s="10"/>
      <c r="AZ192" s="10"/>
      <c r="BA192" s="10"/>
      <c r="BB192" s="10"/>
      <c r="BC192" s="10"/>
      <c r="BD192" s="10"/>
      <c r="BE192" s="10"/>
      <c r="BF192" s="10"/>
      <c r="BG192" s="10"/>
      <c r="BH192" s="10"/>
      <c r="BI192" s="10"/>
      <c r="BJ192" s="10"/>
      <c r="BK192" s="10"/>
      <c r="BL192" s="10"/>
      <c r="BM192" s="10"/>
    </row>
    <row r="193" spans="3:65">
      <c r="C193" s="382" t="s">
        <v>232</v>
      </c>
      <c r="D193" s="426" t="s">
        <v>723</v>
      </c>
      <c r="E193" s="382">
        <v>0</v>
      </c>
      <c r="F193" s="382">
        <v>0</v>
      </c>
      <c r="G193" s="382">
        <v>0</v>
      </c>
      <c r="H193" s="382">
        <v>0</v>
      </c>
      <c r="I193" s="382">
        <v>0</v>
      </c>
      <c r="J193" s="382">
        <v>101422.75395983316</v>
      </c>
      <c r="K193" s="382">
        <v>0</v>
      </c>
      <c r="L193" s="382">
        <v>0</v>
      </c>
      <c r="M193" s="382">
        <v>0</v>
      </c>
      <c r="N193" s="382">
        <v>0</v>
      </c>
      <c r="O193" s="382">
        <v>0</v>
      </c>
      <c r="P193" s="382">
        <v>0</v>
      </c>
      <c r="Q193" s="382">
        <v>747898.53940943605</v>
      </c>
      <c r="R193" s="382">
        <v>0</v>
      </c>
      <c r="S193" s="382">
        <v>0</v>
      </c>
      <c r="T193" s="382">
        <v>0</v>
      </c>
      <c r="U193" s="382">
        <v>51171.777503409525</v>
      </c>
      <c r="V193" s="382">
        <v>0</v>
      </c>
      <c r="W193" s="382">
        <v>900493.07087267877</v>
      </c>
      <c r="Z193" s="10"/>
      <c r="AU193" s="10"/>
      <c r="AV193" s="10"/>
      <c r="AW193" s="10"/>
      <c r="AX193" s="10"/>
      <c r="AY193" s="10"/>
      <c r="AZ193" s="10"/>
      <c r="BA193" s="10"/>
      <c r="BB193" s="10"/>
      <c r="BC193" s="10"/>
      <c r="BD193" s="10"/>
      <c r="BE193" s="10"/>
      <c r="BF193" s="10"/>
      <c r="BG193" s="10"/>
      <c r="BH193" s="10"/>
      <c r="BI193" s="10"/>
      <c r="BJ193" s="10"/>
      <c r="BK193" s="10"/>
      <c r="BL193" s="10"/>
      <c r="BM193" s="10"/>
    </row>
    <row r="194" spans="3:65">
      <c r="C194" s="382" t="s">
        <v>233</v>
      </c>
      <c r="D194" s="426" t="s">
        <v>234</v>
      </c>
      <c r="E194" s="382">
        <v>140101.05802</v>
      </c>
      <c r="F194" s="382">
        <v>31181.560939999996</v>
      </c>
      <c r="G194" s="382">
        <v>24335.908159999999</v>
      </c>
      <c r="H194" s="382">
        <v>30188.304780000002</v>
      </c>
      <c r="I194" s="382">
        <v>13817.01268</v>
      </c>
      <c r="J194" s="382">
        <v>0</v>
      </c>
      <c r="K194" s="382">
        <v>54826.598489999997</v>
      </c>
      <c r="L194" s="382">
        <v>37245.10766999999</v>
      </c>
      <c r="M194" s="382">
        <v>190976.75329999998</v>
      </c>
      <c r="N194" s="382">
        <v>96437.406130000032</v>
      </c>
      <c r="O194" s="382">
        <v>17993.695430000003</v>
      </c>
      <c r="P194" s="382">
        <v>55472.720150000008</v>
      </c>
      <c r="Q194" s="382">
        <v>0</v>
      </c>
      <c r="R194" s="382">
        <v>25436.433589999997</v>
      </c>
      <c r="S194" s="382">
        <v>0</v>
      </c>
      <c r="T194" s="382">
        <v>0</v>
      </c>
      <c r="U194" s="382">
        <v>0</v>
      </c>
      <c r="V194" s="382">
        <v>0</v>
      </c>
      <c r="W194" s="382">
        <v>718012.55933999992</v>
      </c>
      <c r="Z194" s="10"/>
      <c r="AU194" s="10"/>
      <c r="AV194" s="10"/>
      <c r="AW194" s="10"/>
      <c r="AX194" s="10"/>
      <c r="AY194" s="10"/>
      <c r="AZ194" s="10"/>
      <c r="BA194" s="10"/>
      <c r="BB194" s="10"/>
      <c r="BC194" s="10"/>
      <c r="BD194" s="10"/>
      <c r="BE194" s="10"/>
      <c r="BF194" s="10"/>
      <c r="BG194" s="10"/>
      <c r="BH194" s="10"/>
      <c r="BI194" s="10"/>
      <c r="BJ194" s="10"/>
      <c r="BK194" s="10"/>
      <c r="BL194" s="10"/>
      <c r="BM194" s="10"/>
    </row>
    <row r="195" spans="3:65">
      <c r="C195" s="382" t="s">
        <v>724</v>
      </c>
      <c r="D195" s="426" t="s">
        <v>235</v>
      </c>
      <c r="E195" s="382">
        <v>0</v>
      </c>
      <c r="F195" s="382">
        <v>0</v>
      </c>
      <c r="G195" s="382">
        <v>0</v>
      </c>
      <c r="H195" s="382">
        <v>0</v>
      </c>
      <c r="I195" s="382">
        <v>455964.45317660685</v>
      </c>
      <c r="J195" s="382">
        <v>0</v>
      </c>
      <c r="K195" s="382">
        <v>0</v>
      </c>
      <c r="L195" s="382">
        <v>0</v>
      </c>
      <c r="M195" s="382">
        <v>0</v>
      </c>
      <c r="N195" s="382">
        <v>0</v>
      </c>
      <c r="O195" s="382">
        <v>0</v>
      </c>
      <c r="P195" s="382">
        <v>0</v>
      </c>
      <c r="Q195" s="382">
        <v>0</v>
      </c>
      <c r="R195" s="382">
        <v>0</v>
      </c>
      <c r="S195" s="382">
        <v>0</v>
      </c>
      <c r="T195" s="382">
        <v>0</v>
      </c>
      <c r="U195" s="382">
        <v>0</v>
      </c>
      <c r="V195" s="382">
        <v>0</v>
      </c>
      <c r="W195" s="382">
        <v>455964.45317660685</v>
      </c>
      <c r="Z195" s="10"/>
      <c r="AU195" s="10"/>
      <c r="AV195" s="10"/>
      <c r="AW195" s="10"/>
      <c r="AX195" s="10"/>
      <c r="AY195" s="10"/>
      <c r="AZ195" s="10"/>
      <c r="BA195" s="10"/>
      <c r="BB195" s="10"/>
      <c r="BC195" s="10"/>
      <c r="BD195" s="10"/>
      <c r="BE195" s="10"/>
      <c r="BF195" s="10"/>
      <c r="BG195" s="10"/>
      <c r="BH195" s="10"/>
      <c r="BI195" s="10"/>
      <c r="BJ195" s="10"/>
      <c r="BK195" s="10"/>
      <c r="BL195" s="10"/>
      <c r="BM195" s="10"/>
    </row>
    <row r="196" spans="3:65">
      <c r="C196" s="382" t="s">
        <v>236</v>
      </c>
      <c r="D196" s="426" t="s">
        <v>237</v>
      </c>
      <c r="E196" s="382">
        <v>30093.0363</v>
      </c>
      <c r="F196" s="382">
        <v>9300.9604999999992</v>
      </c>
      <c r="G196" s="382">
        <v>7596.3000400000001</v>
      </c>
      <c r="H196" s="382">
        <v>3738.3456000000001</v>
      </c>
      <c r="I196" s="382">
        <v>5311.6262000000006</v>
      </c>
      <c r="J196" s="382">
        <v>997.94664999999998</v>
      </c>
      <c r="K196" s="382">
        <v>14857.1059</v>
      </c>
      <c r="L196" s="382">
        <v>8509.0969000000005</v>
      </c>
      <c r="M196" s="382">
        <v>33751.919099999999</v>
      </c>
      <c r="N196" s="382">
        <v>21223.947800000002</v>
      </c>
      <c r="O196" s="382">
        <v>5136.2062000000005</v>
      </c>
      <c r="P196" s="382">
        <v>14448.834699999999</v>
      </c>
      <c r="Q196" s="382">
        <v>25210.643660000002</v>
      </c>
      <c r="R196" s="382">
        <v>3476.3725399999998</v>
      </c>
      <c r="S196" s="382">
        <v>0</v>
      </c>
      <c r="T196" s="382">
        <v>3762.9328999999998</v>
      </c>
      <c r="U196" s="382">
        <v>1271.7271000000001</v>
      </c>
      <c r="V196" s="382">
        <v>0</v>
      </c>
      <c r="W196" s="382">
        <v>188687.00209000005</v>
      </c>
      <c r="Z196" s="10"/>
      <c r="AU196" s="10"/>
      <c r="AV196" s="10"/>
      <c r="AW196" s="10"/>
      <c r="AX196" s="10"/>
      <c r="AY196" s="10"/>
      <c r="AZ196" s="10"/>
      <c r="BA196" s="10"/>
      <c r="BB196" s="10"/>
      <c r="BC196" s="10"/>
      <c r="BD196" s="10"/>
      <c r="BE196" s="10"/>
      <c r="BF196" s="10"/>
      <c r="BG196" s="10"/>
      <c r="BH196" s="10"/>
      <c r="BI196" s="10"/>
      <c r="BJ196" s="10"/>
      <c r="BK196" s="10"/>
      <c r="BL196" s="10"/>
      <c r="BM196" s="10"/>
    </row>
    <row r="197" spans="3:65">
      <c r="C197" s="382" t="s">
        <v>222</v>
      </c>
      <c r="D197" s="426" t="s">
        <v>238</v>
      </c>
      <c r="E197" s="382">
        <v>0</v>
      </c>
      <c r="F197" s="382">
        <v>0</v>
      </c>
      <c r="G197" s="382">
        <v>0</v>
      </c>
      <c r="H197" s="382">
        <v>0</v>
      </c>
      <c r="I197" s="382">
        <v>0</v>
      </c>
      <c r="J197" s="382">
        <v>0</v>
      </c>
      <c r="K197" s="382">
        <v>0</v>
      </c>
      <c r="L197" s="382">
        <v>0</v>
      </c>
      <c r="M197" s="382">
        <v>0</v>
      </c>
      <c r="N197" s="382">
        <v>0</v>
      </c>
      <c r="O197" s="382">
        <v>0</v>
      </c>
      <c r="P197" s="382">
        <v>0</v>
      </c>
      <c r="Q197" s="382">
        <v>0</v>
      </c>
      <c r="R197" s="382">
        <v>0</v>
      </c>
      <c r="S197" s="382">
        <v>100104.05402219974</v>
      </c>
      <c r="T197" s="382">
        <v>342104.26912621013</v>
      </c>
      <c r="U197" s="382">
        <v>0</v>
      </c>
      <c r="V197" s="382">
        <v>0</v>
      </c>
      <c r="W197" s="382">
        <v>442208.32314840984</v>
      </c>
      <c r="Z197" s="10"/>
      <c r="AU197" s="10"/>
      <c r="AV197" s="10"/>
      <c r="AW197" s="10"/>
      <c r="AX197" s="10"/>
      <c r="AY197" s="10"/>
      <c r="AZ197" s="10"/>
      <c r="BA197" s="10"/>
      <c r="BB197" s="10"/>
      <c r="BC197" s="10"/>
      <c r="BD197" s="10"/>
      <c r="BE197" s="10"/>
      <c r="BF197" s="10"/>
      <c r="BG197" s="10"/>
      <c r="BH197" s="10"/>
      <c r="BI197" s="10"/>
      <c r="BJ197" s="10"/>
      <c r="BK197" s="10"/>
      <c r="BL197" s="10"/>
      <c r="BM197" s="10"/>
    </row>
    <row r="198" spans="3:65">
      <c r="C198" s="382"/>
      <c r="D198" s="426" t="s">
        <v>485</v>
      </c>
      <c r="E198" s="382">
        <v>1379605.9021974506</v>
      </c>
      <c r="F198" s="382">
        <v>262034.09209268558</v>
      </c>
      <c r="G198" s="382">
        <v>211630.46614</v>
      </c>
      <c r="H198" s="382">
        <v>145539.08147745888</v>
      </c>
      <c r="I198" s="382">
        <v>821703.9659866069</v>
      </c>
      <c r="J198" s="382">
        <v>102824.06267983317</v>
      </c>
      <c r="K198" s="382">
        <v>595979.42897000012</v>
      </c>
      <c r="L198" s="382">
        <v>426917.92142000003</v>
      </c>
      <c r="M198" s="382">
        <v>1006258.6021662098</v>
      </c>
      <c r="N198" s="382">
        <v>726310.25994000002</v>
      </c>
      <c r="O198" s="382">
        <v>267977.46773000003</v>
      </c>
      <c r="P198" s="382">
        <v>518644.28024999989</v>
      </c>
      <c r="Q198" s="382">
        <v>793159.52354943613</v>
      </c>
      <c r="R198" s="382">
        <v>206259.32256</v>
      </c>
      <c r="S198" s="382">
        <v>100527.44898219974</v>
      </c>
      <c r="T198" s="382">
        <v>347369.37968621013</v>
      </c>
      <c r="U198" s="382">
        <v>53240.615893409529</v>
      </c>
      <c r="V198" s="382">
        <v>10830.405929999999</v>
      </c>
      <c r="W198" s="382">
        <v>7976812.2276515011</v>
      </c>
      <c r="Z198" s="10"/>
      <c r="AU198" s="10"/>
      <c r="AV198" s="10"/>
      <c r="AW198" s="10"/>
      <c r="AX198" s="10"/>
      <c r="AY198" s="10"/>
      <c r="AZ198" s="10"/>
      <c r="BA198" s="10"/>
      <c r="BB198" s="10"/>
      <c r="BC198" s="10"/>
      <c r="BD198" s="10"/>
      <c r="BE198" s="10"/>
      <c r="BF198" s="10"/>
      <c r="BG198" s="10"/>
      <c r="BH198" s="10"/>
      <c r="BI198" s="10"/>
      <c r="BJ198" s="10"/>
      <c r="BK198" s="10"/>
      <c r="BL198" s="10"/>
      <c r="BM198" s="10"/>
    </row>
    <row r="199" spans="3:65">
      <c r="C199" s="382"/>
      <c r="D199" s="426" t="s">
        <v>725</v>
      </c>
      <c r="E199" s="382"/>
      <c r="F199" s="382"/>
      <c r="G199" s="382"/>
      <c r="H199" s="382"/>
      <c r="I199" s="382"/>
      <c r="J199" s="382"/>
      <c r="K199" s="382"/>
      <c r="L199" s="382"/>
      <c r="M199" s="382"/>
      <c r="N199" s="382"/>
      <c r="O199" s="382"/>
      <c r="P199" s="382"/>
      <c r="Q199" s="382"/>
      <c r="R199" s="382"/>
      <c r="S199" s="382"/>
      <c r="T199" s="382"/>
      <c r="U199" s="382"/>
      <c r="V199" s="382"/>
      <c r="W199" s="382"/>
      <c r="Z199" s="10"/>
      <c r="AU199" s="10"/>
      <c r="AV199" s="10"/>
      <c r="AW199" s="10"/>
      <c r="AX199" s="10"/>
      <c r="AY199" s="10"/>
      <c r="AZ199" s="10"/>
      <c r="BA199" s="10"/>
      <c r="BB199" s="10"/>
      <c r="BC199" s="10"/>
      <c r="BD199" s="10"/>
      <c r="BE199" s="10"/>
      <c r="BF199" s="10"/>
      <c r="BG199" s="10"/>
      <c r="BH199" s="10"/>
      <c r="BI199" s="10"/>
      <c r="BJ199" s="10"/>
      <c r="BK199" s="10"/>
      <c r="BL199" s="10"/>
      <c r="BM199" s="10"/>
    </row>
    <row r="200" spans="3:65">
      <c r="C200" s="382" t="s">
        <v>726</v>
      </c>
      <c r="D200" s="426" t="s">
        <v>727</v>
      </c>
      <c r="E200" s="382">
        <v>1896421.3893200001</v>
      </c>
      <c r="F200" s="382">
        <v>348887.51868999994</v>
      </c>
      <c r="G200" s="382">
        <v>214803.30610000005</v>
      </c>
      <c r="H200" s="382">
        <v>214244.50038000004</v>
      </c>
      <c r="I200" s="382">
        <v>440348.41409000003</v>
      </c>
      <c r="J200" s="382">
        <v>116759.49028999997</v>
      </c>
      <c r="K200" s="382">
        <v>474845.03211999999</v>
      </c>
      <c r="L200" s="382">
        <v>368191.50471999997</v>
      </c>
      <c r="M200" s="382">
        <v>2190101.1392300008</v>
      </c>
      <c r="N200" s="382">
        <v>1130332.4027699998</v>
      </c>
      <c r="O200" s="382">
        <v>197807.15502000001</v>
      </c>
      <c r="P200" s="382">
        <v>531257.98522999999</v>
      </c>
      <c r="Q200" s="382">
        <v>1979989.3377500002</v>
      </c>
      <c r="R200" s="382">
        <v>277415.21229</v>
      </c>
      <c r="S200" s="382">
        <v>775.4898300000001</v>
      </c>
      <c r="T200" s="382">
        <v>2753.9049699999996</v>
      </c>
      <c r="U200" s="382">
        <v>59274.023760000026</v>
      </c>
      <c r="V200" s="382">
        <v>36077.282909999994</v>
      </c>
      <c r="W200" s="382">
        <v>10480285.089470003</v>
      </c>
      <c r="Z200" s="10"/>
      <c r="AU200" s="10"/>
      <c r="AV200" s="10"/>
      <c r="AW200" s="10"/>
      <c r="AX200" s="10"/>
      <c r="AY200" s="10"/>
      <c r="AZ200" s="10"/>
      <c r="BA200" s="10"/>
      <c r="BB200" s="10"/>
      <c r="BC200" s="10"/>
      <c r="BD200" s="10"/>
      <c r="BE200" s="10"/>
      <c r="BF200" s="10"/>
      <c r="BG200" s="10"/>
      <c r="BH200" s="10"/>
      <c r="BI200" s="10"/>
      <c r="BJ200" s="10"/>
      <c r="BK200" s="10"/>
      <c r="BL200" s="10"/>
      <c r="BM200" s="10"/>
    </row>
    <row r="201" spans="3:65">
      <c r="C201" s="382" t="s">
        <v>474</v>
      </c>
      <c r="D201" s="426" t="s">
        <v>728</v>
      </c>
      <c r="E201" s="382">
        <v>-71085.570520000008</v>
      </c>
      <c r="F201" s="382">
        <v>-13645.188539999999</v>
      </c>
      <c r="G201" s="382">
        <v>-13136.758229999999</v>
      </c>
      <c r="H201" s="382">
        <v>-7821.0517599999976</v>
      </c>
      <c r="I201" s="382">
        <v>-19448.929250000001</v>
      </c>
      <c r="J201" s="382">
        <v>-4241.4774799999996</v>
      </c>
      <c r="K201" s="382">
        <v>-17457.586269999996</v>
      </c>
      <c r="L201" s="382">
        <v>-12716.941849999999</v>
      </c>
      <c r="M201" s="382">
        <v>-85977.826279999979</v>
      </c>
      <c r="N201" s="382">
        <v>-41694.052769999995</v>
      </c>
      <c r="O201" s="382">
        <v>-8452.6231700000008</v>
      </c>
      <c r="P201" s="382">
        <v>-24965.344380000006</v>
      </c>
      <c r="Q201" s="382">
        <v>-85934.926850000018</v>
      </c>
      <c r="R201" s="382">
        <v>-13296.028960000001</v>
      </c>
      <c r="S201" s="382">
        <v>-9.3577000000000012</v>
      </c>
      <c r="T201" s="382">
        <v>-24.945959999999999</v>
      </c>
      <c r="U201" s="382">
        <v>-2456.7978200000002</v>
      </c>
      <c r="V201" s="382">
        <v>-1675.29936</v>
      </c>
      <c r="W201" s="382">
        <v>-424040.70714999997</v>
      </c>
      <c r="Z201" s="10"/>
      <c r="AU201" s="10"/>
      <c r="AV201" s="10"/>
      <c r="AW201" s="10"/>
      <c r="AX201" s="10"/>
      <c r="AY201" s="10"/>
      <c r="AZ201" s="10"/>
      <c r="BA201" s="10"/>
      <c r="BB201" s="10"/>
      <c r="BC201" s="10"/>
      <c r="BD201" s="10"/>
      <c r="BE201" s="10"/>
      <c r="BF201" s="10"/>
      <c r="BG201" s="10"/>
      <c r="BH201" s="10"/>
      <c r="BI201" s="10"/>
      <c r="BJ201" s="10"/>
      <c r="BK201" s="10"/>
      <c r="BL201" s="10"/>
      <c r="BM201" s="10"/>
    </row>
    <row r="202" spans="3:65">
      <c r="C202" s="382" t="s">
        <v>239</v>
      </c>
      <c r="D202" s="382" t="s">
        <v>729</v>
      </c>
      <c r="E202" s="382">
        <v>110946.32561</v>
      </c>
      <c r="F202" s="382">
        <v>32357.303090000001</v>
      </c>
      <c r="G202" s="382">
        <v>23875.74237</v>
      </c>
      <c r="H202" s="382">
        <v>18930.139940000001</v>
      </c>
      <c r="I202" s="382">
        <v>12336.618969999998</v>
      </c>
      <c r="J202" s="382">
        <v>7123.525059999999</v>
      </c>
      <c r="K202" s="382">
        <v>43730.266729999996</v>
      </c>
      <c r="L202" s="382">
        <v>18918.982659999998</v>
      </c>
      <c r="M202" s="382">
        <v>161401.41738999996</v>
      </c>
      <c r="N202" s="382">
        <v>63844.297390000007</v>
      </c>
      <c r="O202" s="382">
        <v>9873.7317399999993</v>
      </c>
      <c r="P202" s="382">
        <v>36338.937039999997</v>
      </c>
      <c r="Q202" s="382">
        <v>256012.15713000001</v>
      </c>
      <c r="R202" s="382">
        <v>23091.404849999999</v>
      </c>
      <c r="S202" s="382">
        <v>0</v>
      </c>
      <c r="T202" s="382">
        <v>0</v>
      </c>
      <c r="U202" s="382">
        <v>6106.2141500000007</v>
      </c>
      <c r="V202" s="382">
        <v>0</v>
      </c>
      <c r="W202" s="382">
        <v>824887.06412000011</v>
      </c>
      <c r="Z202" s="10"/>
      <c r="AU202" s="10"/>
      <c r="AV202" s="10"/>
      <c r="AW202" s="10"/>
      <c r="AX202" s="10"/>
      <c r="AY202" s="10"/>
      <c r="AZ202" s="10"/>
      <c r="BA202" s="10"/>
      <c r="BB202" s="10"/>
      <c r="BC202" s="10"/>
      <c r="BD202" s="10"/>
      <c r="BE202" s="10"/>
      <c r="BF202" s="10"/>
      <c r="BG202" s="10"/>
      <c r="BH202" s="10"/>
      <c r="BI202" s="10"/>
      <c r="BJ202" s="10"/>
      <c r="BK202" s="10"/>
      <c r="BL202" s="10"/>
      <c r="BM202" s="10"/>
    </row>
    <row r="203" spans="3:65">
      <c r="C203" s="382" t="s">
        <v>240</v>
      </c>
      <c r="D203" s="382" t="s">
        <v>730</v>
      </c>
      <c r="E203" s="382">
        <v>2607053.21</v>
      </c>
      <c r="F203" s="382">
        <v>481678.73000000004</v>
      </c>
      <c r="G203" s="382">
        <v>375911.12</v>
      </c>
      <c r="H203" s="382">
        <v>496526.46</v>
      </c>
      <c r="I203" s="382">
        <v>588986.62000000011</v>
      </c>
      <c r="J203" s="382">
        <v>233233.04</v>
      </c>
      <c r="K203" s="382">
        <v>838453.81</v>
      </c>
      <c r="L203" s="382">
        <v>662812.07999999996</v>
      </c>
      <c r="M203" s="382">
        <v>3540020.74</v>
      </c>
      <c r="N203" s="382">
        <v>1878719.6099999999</v>
      </c>
      <c r="O203" s="382">
        <v>265523.37</v>
      </c>
      <c r="P203" s="382">
        <v>713407.41999999993</v>
      </c>
      <c r="Q203" s="382">
        <v>3339451.1799999997</v>
      </c>
      <c r="R203" s="382">
        <v>487547.86000000004</v>
      </c>
      <c r="S203" s="382">
        <v>215975.75186186782</v>
      </c>
      <c r="T203" s="382">
        <v>627851.28299999994</v>
      </c>
      <c r="U203" s="382">
        <v>107747.35999999999</v>
      </c>
      <c r="V203" s="382">
        <v>20128.780510000001</v>
      </c>
      <c r="W203" s="382">
        <v>17481028.425371867</v>
      </c>
      <c r="Z203" s="10"/>
      <c r="AU203" s="10"/>
      <c r="AV203" s="10"/>
      <c r="AW203" s="10"/>
      <c r="AX203" s="10"/>
      <c r="AY203" s="10"/>
      <c r="AZ203" s="10"/>
      <c r="BA203" s="10"/>
      <c r="BB203" s="10"/>
      <c r="BC203" s="10"/>
      <c r="BD203" s="10"/>
      <c r="BE203" s="10"/>
      <c r="BF203" s="10"/>
      <c r="BG203" s="10"/>
      <c r="BH203" s="10"/>
      <c r="BI203" s="10"/>
      <c r="BJ203" s="10"/>
      <c r="BK203" s="10"/>
      <c r="BL203" s="10"/>
      <c r="BM203" s="10"/>
    </row>
    <row r="204" spans="3:65">
      <c r="C204" s="382" t="s">
        <v>241</v>
      </c>
      <c r="D204" s="382" t="s">
        <v>731</v>
      </c>
      <c r="E204" s="382">
        <v>991650.09</v>
      </c>
      <c r="F204" s="382">
        <v>235150.92</v>
      </c>
      <c r="G204" s="382">
        <v>130058.59</v>
      </c>
      <c r="H204" s="382">
        <v>262131.63</v>
      </c>
      <c r="I204" s="382">
        <v>273485.96000000002</v>
      </c>
      <c r="J204" s="382">
        <v>97042.98</v>
      </c>
      <c r="K204" s="382">
        <v>358930.24</v>
      </c>
      <c r="L204" s="382">
        <v>306431.45</v>
      </c>
      <c r="M204" s="382">
        <v>1319232.68</v>
      </c>
      <c r="N204" s="382">
        <v>597301.62</v>
      </c>
      <c r="O204" s="382">
        <v>124468.33</v>
      </c>
      <c r="P204" s="382">
        <v>339141.96</v>
      </c>
      <c r="Q204" s="382">
        <v>903182.6</v>
      </c>
      <c r="R204" s="382">
        <v>188777.63</v>
      </c>
      <c r="S204" s="382">
        <v>162620.34962724376</v>
      </c>
      <c r="T204" s="382">
        <v>485846.87300000002</v>
      </c>
      <c r="U204" s="382">
        <v>62247.07</v>
      </c>
      <c r="V204" s="382">
        <v>13143.239280000002</v>
      </c>
      <c r="W204" s="382">
        <v>6850844.2119072434</v>
      </c>
      <c r="Z204" s="10"/>
      <c r="AU204" s="10"/>
      <c r="AV204" s="10"/>
      <c r="AW204" s="10"/>
      <c r="AX204" s="10"/>
      <c r="AY204" s="10"/>
      <c r="AZ204" s="10"/>
      <c r="BA204" s="10"/>
      <c r="BB204" s="10"/>
      <c r="BC204" s="10"/>
      <c r="BD204" s="10"/>
      <c r="BE204" s="10"/>
      <c r="BF204" s="10"/>
      <c r="BG204" s="10"/>
      <c r="BH204" s="10"/>
      <c r="BI204" s="10"/>
      <c r="BJ204" s="10"/>
      <c r="BK204" s="10"/>
      <c r="BL204" s="10"/>
      <c r="BM204" s="10"/>
    </row>
    <row r="205" spans="3:65">
      <c r="C205" s="382" t="s">
        <v>732</v>
      </c>
      <c r="D205" s="382" t="s">
        <v>242</v>
      </c>
      <c r="E205" s="382">
        <v>0</v>
      </c>
      <c r="F205" s="382">
        <v>0</v>
      </c>
      <c r="G205" s="382">
        <v>0</v>
      </c>
      <c r="H205" s="382">
        <v>0</v>
      </c>
      <c r="I205" s="382">
        <v>256535.66898388515</v>
      </c>
      <c r="J205" s="382">
        <v>0</v>
      </c>
      <c r="K205" s="382">
        <v>0</v>
      </c>
      <c r="L205" s="382">
        <v>0</v>
      </c>
      <c r="M205" s="382">
        <v>0</v>
      </c>
      <c r="N205" s="382">
        <v>0</v>
      </c>
      <c r="O205" s="382">
        <v>0</v>
      </c>
      <c r="P205" s="382">
        <v>0</v>
      </c>
      <c r="Q205" s="382">
        <v>0</v>
      </c>
      <c r="R205" s="382">
        <v>0</v>
      </c>
      <c r="S205" s="382">
        <v>0</v>
      </c>
      <c r="T205" s="382">
        <v>0</v>
      </c>
      <c r="U205" s="382">
        <v>0</v>
      </c>
      <c r="V205" s="382">
        <v>0</v>
      </c>
      <c r="W205" s="382">
        <v>256535.66898388515</v>
      </c>
      <c r="Z205" s="10"/>
      <c r="AU205" s="10"/>
      <c r="AV205" s="10"/>
      <c r="AW205" s="10"/>
      <c r="AX205" s="10"/>
      <c r="AY205" s="10"/>
      <c r="AZ205" s="10"/>
      <c r="BA205" s="10"/>
      <c r="BB205" s="10"/>
      <c r="BC205" s="10"/>
      <c r="BD205" s="10"/>
      <c r="BE205" s="10"/>
      <c r="BF205" s="10"/>
      <c r="BG205" s="10"/>
      <c r="BH205" s="10"/>
      <c r="BI205" s="10"/>
      <c r="BJ205" s="10"/>
      <c r="BK205" s="10"/>
      <c r="BL205" s="10"/>
      <c r="BM205" s="10"/>
    </row>
    <row r="206" spans="3:65">
      <c r="C206" s="382" t="s">
        <v>733</v>
      </c>
      <c r="D206" s="382" t="s">
        <v>243</v>
      </c>
      <c r="E206" s="382">
        <v>12907.24728</v>
      </c>
      <c r="F206" s="382">
        <v>1640.2551100000001</v>
      </c>
      <c r="G206" s="382">
        <v>1155.2419499999999</v>
      </c>
      <c r="H206" s="382">
        <v>900.99806999999998</v>
      </c>
      <c r="I206" s="382">
        <v>291.03591999999998</v>
      </c>
      <c r="J206" s="382">
        <v>1236.8884399999999</v>
      </c>
      <c r="K206" s="382">
        <v>4451.7767599999997</v>
      </c>
      <c r="L206" s="382">
        <v>1538.78314</v>
      </c>
      <c r="M206" s="382">
        <v>14985.606890000001</v>
      </c>
      <c r="N206" s="382">
        <v>8945.7398300000004</v>
      </c>
      <c r="O206" s="382">
        <v>1561.7051999999999</v>
      </c>
      <c r="P206" s="382">
        <v>2618.60635</v>
      </c>
      <c r="Q206" s="382">
        <v>10618.88327</v>
      </c>
      <c r="R206" s="382">
        <v>9704.4812500000007</v>
      </c>
      <c r="S206" s="382">
        <v>0</v>
      </c>
      <c r="T206" s="382">
        <v>0</v>
      </c>
      <c r="U206" s="382">
        <v>831.45739000000003</v>
      </c>
      <c r="V206" s="382">
        <v>0</v>
      </c>
      <c r="W206" s="382">
        <v>73388.706849999988</v>
      </c>
      <c r="Z206" s="10"/>
      <c r="AU206" s="10"/>
      <c r="AV206" s="10"/>
      <c r="AW206" s="10"/>
      <c r="AX206" s="10"/>
      <c r="AY206" s="10"/>
      <c r="AZ206" s="10"/>
      <c r="BA206" s="10"/>
      <c r="BB206" s="10"/>
      <c r="BC206" s="10"/>
      <c r="BD206" s="10"/>
      <c r="BE206" s="10"/>
      <c r="BF206" s="10"/>
      <c r="BG206" s="10"/>
      <c r="BH206" s="10"/>
      <c r="BI206" s="10"/>
      <c r="BJ206" s="10"/>
      <c r="BK206" s="10"/>
      <c r="BL206" s="10"/>
      <c r="BM206" s="10"/>
    </row>
    <row r="207" spans="3:65">
      <c r="C207" s="382" t="s">
        <v>244</v>
      </c>
      <c r="D207" s="382" t="s">
        <v>734</v>
      </c>
      <c r="E207" s="382">
        <v>12701.69853925566</v>
      </c>
      <c r="F207" s="382">
        <v>2229.8436146125878</v>
      </c>
      <c r="G207" s="382">
        <v>45.248003487268903</v>
      </c>
      <c r="H207" s="382">
        <v>76.744802232037998</v>
      </c>
      <c r="I207" s="382">
        <v>1324.0384866514555</v>
      </c>
      <c r="J207" s="382">
        <v>25.13680417678227</v>
      </c>
      <c r="K207" s="382">
        <v>1017.011908849203</v>
      </c>
      <c r="L207" s="382">
        <v>634.20017583746267</v>
      </c>
      <c r="M207" s="382">
        <v>478.36859367255312</v>
      </c>
      <c r="N207" s="382">
        <v>3303.0074305346106</v>
      </c>
      <c r="O207" s="382">
        <v>135.65744294088199</v>
      </c>
      <c r="P207" s="382">
        <v>125.24799067308885</v>
      </c>
      <c r="Q207" s="382">
        <v>310.07567138465004</v>
      </c>
      <c r="R207" s="382">
        <v>3331.0217778099131</v>
      </c>
      <c r="S207" s="382">
        <v>690.33768983966593</v>
      </c>
      <c r="T207" s="382">
        <v>93.756798691948674</v>
      </c>
      <c r="U207" s="382">
        <v>13.62064513382481</v>
      </c>
      <c r="V207" s="382">
        <v>7.266264216403143</v>
      </c>
      <c r="W207" s="382">
        <v>26542.282640000005</v>
      </c>
      <c r="Z207" s="10"/>
      <c r="AU207" s="10"/>
      <c r="AV207" s="10"/>
      <c r="AW207" s="10"/>
      <c r="AX207" s="10"/>
      <c r="AY207" s="10"/>
      <c r="AZ207" s="10"/>
      <c r="BA207" s="10"/>
      <c r="BB207" s="10"/>
      <c r="BC207" s="10"/>
      <c r="BD207" s="10"/>
      <c r="BE207" s="10"/>
      <c r="BF207" s="10"/>
      <c r="BG207" s="10"/>
      <c r="BH207" s="10"/>
      <c r="BI207" s="10"/>
      <c r="BJ207" s="10"/>
      <c r="BK207" s="10"/>
      <c r="BL207" s="10"/>
      <c r="BM207" s="10"/>
    </row>
    <row r="208" spans="3:65">
      <c r="C208" s="382" t="s">
        <v>223</v>
      </c>
      <c r="D208" s="382" t="s">
        <v>245</v>
      </c>
      <c r="E208" s="382">
        <v>0</v>
      </c>
      <c r="F208" s="382">
        <v>0</v>
      </c>
      <c r="G208" s="382">
        <v>0</v>
      </c>
      <c r="H208" s="382">
        <v>0</v>
      </c>
      <c r="I208" s="382">
        <v>0</v>
      </c>
      <c r="J208" s="382">
        <v>0</v>
      </c>
      <c r="K208" s="382">
        <v>0</v>
      </c>
      <c r="L208" s="382">
        <v>0</v>
      </c>
      <c r="M208" s="382">
        <v>0</v>
      </c>
      <c r="N208" s="382">
        <v>0</v>
      </c>
      <c r="O208" s="382">
        <v>0</v>
      </c>
      <c r="P208" s="382">
        <v>0</v>
      </c>
      <c r="Q208" s="382">
        <v>0</v>
      </c>
      <c r="R208" s="382">
        <v>0</v>
      </c>
      <c r="S208" s="382">
        <v>158844.25853937623</v>
      </c>
      <c r="T208" s="382">
        <v>544944.40010081488</v>
      </c>
      <c r="U208" s="382">
        <v>0</v>
      </c>
      <c r="V208" s="382">
        <v>0</v>
      </c>
      <c r="W208" s="382">
        <v>703788.65864019108</v>
      </c>
      <c r="Z208" s="10"/>
      <c r="AU208" s="10"/>
      <c r="AV208" s="10"/>
      <c r="AW208" s="10"/>
      <c r="AX208" s="10"/>
      <c r="AY208" s="10"/>
      <c r="AZ208" s="10"/>
      <c r="BA208" s="10"/>
      <c r="BB208" s="10"/>
      <c r="BC208" s="10"/>
      <c r="BD208" s="10"/>
      <c r="BE208" s="10"/>
      <c r="BF208" s="10"/>
      <c r="BG208" s="10"/>
      <c r="BH208" s="10"/>
      <c r="BI208" s="10"/>
      <c r="BJ208" s="10"/>
      <c r="BK208" s="10"/>
      <c r="BL208" s="10"/>
      <c r="BM208" s="10"/>
    </row>
    <row r="209" spans="3:65">
      <c r="C209" s="382"/>
      <c r="D209" s="382" t="s">
        <v>485</v>
      </c>
      <c r="E209" s="382">
        <v>5560594.3902292559</v>
      </c>
      <c r="F209" s="382">
        <v>1088299.3819646125</v>
      </c>
      <c r="G209" s="382">
        <v>732712.49019348726</v>
      </c>
      <c r="H209" s="382">
        <v>984989.42143223202</v>
      </c>
      <c r="I209" s="382">
        <v>1553859.4272005365</v>
      </c>
      <c r="J209" s="382">
        <v>451179.58311417676</v>
      </c>
      <c r="K209" s="382">
        <v>1703970.5512488494</v>
      </c>
      <c r="L209" s="382">
        <v>1345810.0588458371</v>
      </c>
      <c r="M209" s="382">
        <v>7140242.1258236729</v>
      </c>
      <c r="N209" s="382">
        <v>3640752.6246505347</v>
      </c>
      <c r="O209" s="382">
        <v>590917.32623294077</v>
      </c>
      <c r="P209" s="382">
        <v>1597924.8122306729</v>
      </c>
      <c r="Q209" s="382">
        <v>6403629.3069713842</v>
      </c>
      <c r="R209" s="382">
        <v>976571.58120780997</v>
      </c>
      <c r="S209" s="382">
        <v>538896.82984832744</v>
      </c>
      <c r="T209" s="382">
        <v>1661465.2719095068</v>
      </c>
      <c r="U209" s="382">
        <v>233762.94812513384</v>
      </c>
      <c r="V209" s="382">
        <v>67681.269604216403</v>
      </c>
      <c r="W209" s="382">
        <v>36273259.400833189</v>
      </c>
      <c r="Z209" s="10"/>
      <c r="AU209" s="10"/>
      <c r="AV209" s="10"/>
      <c r="AW209" s="10"/>
      <c r="AX209" s="10"/>
      <c r="AY209" s="10"/>
      <c r="AZ209" s="10"/>
      <c r="BA209" s="10"/>
      <c r="BB209" s="10"/>
      <c r="BC209" s="10"/>
      <c r="BD209" s="10"/>
      <c r="BE209" s="10"/>
      <c r="BF209" s="10"/>
      <c r="BG209" s="10"/>
      <c r="BH209" s="10"/>
      <c r="BI209" s="10"/>
      <c r="BJ209" s="10"/>
      <c r="BK209" s="10"/>
      <c r="BL209" s="10"/>
      <c r="BM209" s="10"/>
    </row>
    <row r="210" spans="3:65">
      <c r="C210" s="382"/>
      <c r="D210" s="382" t="s">
        <v>668</v>
      </c>
      <c r="E210" s="382">
        <v>6940200.2924267063</v>
      </c>
      <c r="F210" s="382">
        <v>1350333.4740572982</v>
      </c>
      <c r="G210" s="382">
        <v>944342.95633348729</v>
      </c>
      <c r="H210" s="382">
        <v>1130528.5029096908</v>
      </c>
      <c r="I210" s="382">
        <v>2375563.3931871434</v>
      </c>
      <c r="J210" s="382">
        <v>554003.64579400991</v>
      </c>
      <c r="K210" s="382">
        <v>2299949.9802188496</v>
      </c>
      <c r="L210" s="382">
        <v>1772727.9802658372</v>
      </c>
      <c r="M210" s="382">
        <v>8146500.7279898822</v>
      </c>
      <c r="N210" s="382">
        <v>4367062.8845905345</v>
      </c>
      <c r="O210" s="382">
        <v>858894.79396294081</v>
      </c>
      <c r="P210" s="382">
        <v>2116569.092480673</v>
      </c>
      <c r="Q210" s="382">
        <v>7196788.8305208199</v>
      </c>
      <c r="R210" s="382">
        <v>1182830.90376781</v>
      </c>
      <c r="S210" s="382">
        <v>639424.27883052721</v>
      </c>
      <c r="T210" s="382">
        <v>2008834.6515957168</v>
      </c>
      <c r="U210" s="382">
        <v>287003.56401854334</v>
      </c>
      <c r="V210" s="382">
        <v>78511.675534216396</v>
      </c>
      <c r="W210" s="382">
        <v>44250071.628484689</v>
      </c>
      <c r="Z210" s="10"/>
      <c r="AU210" s="10"/>
      <c r="AV210" s="10"/>
      <c r="AW210" s="10"/>
      <c r="AX210" s="10"/>
      <c r="AY210" s="10"/>
      <c r="AZ210" s="10"/>
      <c r="BA210" s="10"/>
      <c r="BB210" s="10"/>
      <c r="BC210" s="10"/>
      <c r="BD210" s="10"/>
      <c r="BE210" s="10"/>
      <c r="BF210" s="10"/>
      <c r="BG210" s="10"/>
      <c r="BH210" s="10"/>
      <c r="BI210" s="10"/>
      <c r="BJ210" s="10"/>
      <c r="BK210" s="10"/>
      <c r="BL210" s="10"/>
      <c r="BM210" s="10"/>
    </row>
    <row r="211" spans="3:65">
      <c r="C211" s="382" t="s">
        <v>655</v>
      </c>
      <c r="D211" s="382" t="s">
        <v>735</v>
      </c>
      <c r="E211" s="382" t="s">
        <v>9</v>
      </c>
      <c r="F211" s="382" t="s">
        <v>10</v>
      </c>
      <c r="G211" s="382" t="s">
        <v>11</v>
      </c>
      <c r="H211" s="382" t="s">
        <v>31</v>
      </c>
      <c r="I211" s="382" t="s">
        <v>12</v>
      </c>
      <c r="J211" s="382" t="s">
        <v>13</v>
      </c>
      <c r="K211" s="382" t="s">
        <v>14</v>
      </c>
      <c r="L211" s="382" t="s">
        <v>15</v>
      </c>
      <c r="M211" s="382" t="s">
        <v>16</v>
      </c>
      <c r="N211" s="382" t="s">
        <v>17</v>
      </c>
      <c r="O211" s="382" t="s">
        <v>18</v>
      </c>
      <c r="P211" s="382" t="s">
        <v>19</v>
      </c>
      <c r="Q211" s="382" t="s">
        <v>20</v>
      </c>
      <c r="R211" s="382" t="s">
        <v>60</v>
      </c>
      <c r="S211" s="382" t="s">
        <v>61</v>
      </c>
      <c r="T211" s="382" t="s">
        <v>62</v>
      </c>
      <c r="U211" s="382" t="s">
        <v>63</v>
      </c>
      <c r="V211" s="382" t="s">
        <v>64</v>
      </c>
      <c r="W211" s="382" t="s">
        <v>656</v>
      </c>
      <c r="Z211" s="10"/>
      <c r="AU211" s="10"/>
      <c r="AV211" s="10"/>
      <c r="AW211" s="10"/>
      <c r="AX211" s="10"/>
      <c r="AY211" s="10"/>
      <c r="AZ211" s="10"/>
      <c r="BA211" s="10"/>
      <c r="BB211" s="10"/>
      <c r="BC211" s="10"/>
      <c r="BD211" s="10"/>
      <c r="BE211" s="10"/>
      <c r="BF211" s="10"/>
      <c r="BG211" s="10"/>
      <c r="BH211" s="10"/>
      <c r="BI211" s="10"/>
      <c r="BJ211" s="10"/>
      <c r="BK211" s="10"/>
      <c r="BL211" s="10"/>
      <c r="BM211" s="10"/>
    </row>
    <row r="212" spans="3:65">
      <c r="C212" s="382" t="s">
        <v>246</v>
      </c>
      <c r="D212" s="382" t="s">
        <v>736</v>
      </c>
      <c r="E212" s="382">
        <v>10365.681981787106</v>
      </c>
      <c r="F212" s="382">
        <v>1228.2416400682521</v>
      </c>
      <c r="G212" s="382">
        <v>0</v>
      </c>
      <c r="H212" s="382">
        <v>3158.8641299824603</v>
      </c>
      <c r="I212" s="382">
        <v>263.2432047408692</v>
      </c>
      <c r="J212" s="382">
        <v>0</v>
      </c>
      <c r="K212" s="382">
        <v>1732.9328792217436</v>
      </c>
      <c r="L212" s="382">
        <v>0</v>
      </c>
      <c r="M212" s="382">
        <v>1782.0843289868715</v>
      </c>
      <c r="N212" s="382">
        <v>9056.7569413819783</v>
      </c>
      <c r="O212" s="382">
        <v>0</v>
      </c>
      <c r="P212" s="382">
        <v>0</v>
      </c>
      <c r="Q212" s="382">
        <v>0</v>
      </c>
      <c r="R212" s="382">
        <v>0</v>
      </c>
      <c r="S212" s="382">
        <v>0</v>
      </c>
      <c r="T212" s="382">
        <v>1639.2608790901829</v>
      </c>
      <c r="U212" s="382">
        <v>830.7091747405392</v>
      </c>
      <c r="V212" s="382">
        <v>0</v>
      </c>
      <c r="W212" s="382">
        <v>30057.775160000005</v>
      </c>
      <c r="Z212" s="10"/>
      <c r="AU212" s="432"/>
      <c r="AV212" s="432"/>
      <c r="AW212" s="432"/>
      <c r="AX212" s="432"/>
      <c r="AY212" s="432"/>
      <c r="AZ212" s="432"/>
      <c r="BA212" s="432"/>
      <c r="BB212" s="432"/>
      <c r="BC212" s="432"/>
      <c r="BD212" s="432"/>
      <c r="BE212" s="432"/>
      <c r="BF212" s="432"/>
      <c r="BG212" s="432"/>
      <c r="BH212" s="432"/>
      <c r="BI212" s="432"/>
      <c r="BJ212" s="432"/>
      <c r="BK212" s="432"/>
      <c r="BL212" s="432"/>
      <c r="BM212" s="432"/>
    </row>
    <row r="213" spans="3:65">
      <c r="C213" s="382" t="s">
        <v>247</v>
      </c>
      <c r="D213" s="382" t="s">
        <v>737</v>
      </c>
      <c r="E213" s="382">
        <v>87849.597572600018</v>
      </c>
      <c r="F213" s="382">
        <v>26551.341688967052</v>
      </c>
      <c r="G213" s="382">
        <v>13858.716819886664</v>
      </c>
      <c r="H213" s="382">
        <v>3587.8876516524201</v>
      </c>
      <c r="I213" s="382">
        <v>28807.488943314165</v>
      </c>
      <c r="J213" s="382">
        <v>6276.0592982817298</v>
      </c>
      <c r="K213" s="382">
        <v>17771.139329849386</v>
      </c>
      <c r="L213" s="382">
        <v>27607.119365286675</v>
      </c>
      <c r="M213" s="382">
        <v>328912.02439008089</v>
      </c>
      <c r="N213" s="382">
        <v>74067.406401210377</v>
      </c>
      <c r="O213" s="382">
        <v>7234.6999858393383</v>
      </c>
      <c r="P213" s="382">
        <v>34763.834813387992</v>
      </c>
      <c r="Q213" s="382">
        <v>343120.24772214342</v>
      </c>
      <c r="R213" s="382">
        <v>11836.119395757079</v>
      </c>
      <c r="S213" s="382">
        <v>15762.979988309819</v>
      </c>
      <c r="T213" s="382">
        <v>27289.702462768455</v>
      </c>
      <c r="U213" s="382">
        <v>8049.6470552161672</v>
      </c>
      <c r="V213" s="382">
        <v>768.74295544830113</v>
      </c>
      <c r="W213" s="382">
        <v>1064114.7558399998</v>
      </c>
      <c r="Z213" s="10"/>
      <c r="AU213" s="432"/>
      <c r="AV213" s="432"/>
      <c r="AW213" s="432"/>
      <c r="AX213" s="432"/>
      <c r="AY213" s="432"/>
      <c r="AZ213" s="432"/>
      <c r="BA213" s="432"/>
      <c r="BB213" s="432"/>
      <c r="BC213" s="432"/>
      <c r="BD213" s="432"/>
      <c r="BE213" s="432"/>
      <c r="BF213" s="432"/>
      <c r="BG213" s="432"/>
      <c r="BH213" s="432"/>
      <c r="BI213" s="432"/>
      <c r="BJ213" s="432"/>
      <c r="BK213" s="432"/>
      <c r="BL213" s="432"/>
      <c r="BM213" s="432"/>
    </row>
    <row r="214" spans="3:65">
      <c r="C214" s="382" t="s">
        <v>248</v>
      </c>
      <c r="D214" s="382" t="s">
        <v>738</v>
      </c>
      <c r="E214" s="382">
        <v>3986.3807494290463</v>
      </c>
      <c r="F214" s="382">
        <v>1378.2601218150605</v>
      </c>
      <c r="G214" s="382">
        <v>1018.1121833009978</v>
      </c>
      <c r="H214" s="382">
        <v>401.06835612627395</v>
      </c>
      <c r="I214" s="382">
        <v>624.51578094374804</v>
      </c>
      <c r="J214" s="382">
        <v>434.74284778618039</v>
      </c>
      <c r="K214" s="382">
        <v>3104.2746058925441</v>
      </c>
      <c r="L214" s="382">
        <v>1444.6934829907516</v>
      </c>
      <c r="M214" s="382">
        <v>2880.2539716039023</v>
      </c>
      <c r="N214" s="382">
        <v>2114.7170383339517</v>
      </c>
      <c r="O214" s="382">
        <v>822.50606931740754</v>
      </c>
      <c r="P214" s="382">
        <v>2551.5099383005004</v>
      </c>
      <c r="Q214" s="382">
        <v>2579.829206552733</v>
      </c>
      <c r="R214" s="382">
        <v>811.53030962592709</v>
      </c>
      <c r="S214" s="382">
        <v>449.27074499399174</v>
      </c>
      <c r="T214" s="382">
        <v>1328.0786346477862</v>
      </c>
      <c r="U214" s="382">
        <v>290.49994956848769</v>
      </c>
      <c r="V214" s="382">
        <v>85.601178770710646</v>
      </c>
      <c r="W214" s="382">
        <v>26305.845169999997</v>
      </c>
      <c r="Z214" s="10"/>
      <c r="AU214" s="10"/>
      <c r="AV214" s="10"/>
      <c r="AW214" s="10"/>
      <c r="AX214" s="10"/>
      <c r="AY214" s="10"/>
      <c r="AZ214" s="10"/>
      <c r="BA214" s="10"/>
      <c r="BB214" s="10"/>
      <c r="BC214" s="10"/>
      <c r="BD214" s="10"/>
      <c r="BE214" s="10"/>
      <c r="BF214" s="10"/>
      <c r="BG214" s="10"/>
      <c r="BH214" s="10"/>
      <c r="BI214" s="10"/>
      <c r="BJ214" s="10"/>
      <c r="BK214" s="10"/>
      <c r="BL214" s="10"/>
      <c r="BM214" s="10"/>
    </row>
    <row r="215" spans="3:65">
      <c r="C215" s="382" t="s">
        <v>249</v>
      </c>
      <c r="D215" s="382" t="s">
        <v>739</v>
      </c>
      <c r="E215" s="382">
        <v>15924.18953814015</v>
      </c>
      <c r="F215" s="382">
        <v>3467.2495102107896</v>
      </c>
      <c r="G215" s="382">
        <v>3153.0101133902394</v>
      </c>
      <c r="H215" s="382">
        <v>1866.8693770729462</v>
      </c>
      <c r="I215" s="382">
        <v>3215.0294849610668</v>
      </c>
      <c r="J215" s="382">
        <v>1532.3415097440272</v>
      </c>
      <c r="K215" s="382">
        <v>8479.4486503040407</v>
      </c>
      <c r="L215" s="382">
        <v>4907.2795698006958</v>
      </c>
      <c r="M215" s="382">
        <v>14002.751956830893</v>
      </c>
      <c r="N215" s="382">
        <v>8882.8395749857718</v>
      </c>
      <c r="O215" s="382">
        <v>2095.5429868262913</v>
      </c>
      <c r="P215" s="382">
        <v>14584.390444584453</v>
      </c>
      <c r="Q215" s="382">
        <v>12366.925692154175</v>
      </c>
      <c r="R215" s="382">
        <v>2334.1068111977929</v>
      </c>
      <c r="S215" s="382">
        <v>1456.8640503795364</v>
      </c>
      <c r="T215" s="382">
        <v>4539.126146109099</v>
      </c>
      <c r="U215" s="382">
        <v>798.16505060933389</v>
      </c>
      <c r="V215" s="382">
        <v>214.06061269872595</v>
      </c>
      <c r="W215" s="382">
        <v>103820.19108000003</v>
      </c>
      <c r="Z215" s="10"/>
      <c r="AU215" s="10"/>
      <c r="AV215" s="10"/>
      <c r="AW215" s="10"/>
      <c r="AX215" s="10"/>
      <c r="AY215" s="10"/>
      <c r="AZ215" s="10"/>
      <c r="BA215" s="10"/>
      <c r="BB215" s="10"/>
      <c r="BC215" s="10"/>
      <c r="BD215" s="10"/>
      <c r="BE215" s="10"/>
      <c r="BF215" s="10"/>
      <c r="BG215" s="10"/>
      <c r="BH215" s="10"/>
      <c r="BI215" s="10"/>
      <c r="BJ215" s="10"/>
      <c r="BK215" s="10"/>
      <c r="BL215" s="10"/>
      <c r="BM215" s="10"/>
    </row>
    <row r="216" spans="3:65">
      <c r="C216" s="382" t="s">
        <v>740</v>
      </c>
      <c r="D216" s="382" t="s">
        <v>741</v>
      </c>
      <c r="E216" s="382">
        <v>11234.410621992964</v>
      </c>
      <c r="F216" s="382">
        <v>3793.0831311229217</v>
      </c>
      <c r="G216" s="382">
        <v>1535.9707858891088</v>
      </c>
      <c r="H216" s="382">
        <v>987.79199501314088</v>
      </c>
      <c r="I216" s="382">
        <v>2439.9275456441774</v>
      </c>
      <c r="J216" s="382">
        <v>687.58859126614436</v>
      </c>
      <c r="K216" s="382">
        <v>5143.50134975534</v>
      </c>
      <c r="L216" s="382">
        <v>3901.2271930189149</v>
      </c>
      <c r="M216" s="382">
        <v>6021.2459048238879</v>
      </c>
      <c r="N216" s="382">
        <v>5937.4931878754396</v>
      </c>
      <c r="O216" s="382">
        <v>3678.6872505521928</v>
      </c>
      <c r="P216" s="382">
        <v>3027.9496195805309</v>
      </c>
      <c r="Q216" s="382">
        <v>6130.2555953408137</v>
      </c>
      <c r="R216" s="382">
        <v>4076.8443884205299</v>
      </c>
      <c r="S216" s="382">
        <v>839.4585434138437</v>
      </c>
      <c r="T216" s="382">
        <v>2944.6108645256327</v>
      </c>
      <c r="U216" s="382">
        <v>912.99531608521659</v>
      </c>
      <c r="V216" s="382">
        <v>560.02545460278839</v>
      </c>
      <c r="W216" s="382">
        <v>63853.067338923574</v>
      </c>
      <c r="Z216" s="10"/>
      <c r="AU216" s="10"/>
      <c r="AV216" s="10"/>
      <c r="AW216" s="10"/>
      <c r="AX216" s="10"/>
      <c r="AY216" s="10"/>
      <c r="AZ216" s="10"/>
      <c r="BA216" s="10"/>
      <c r="BB216" s="10"/>
      <c r="BC216" s="10"/>
      <c r="BD216" s="10"/>
      <c r="BE216" s="10"/>
      <c r="BF216" s="10"/>
      <c r="BG216" s="10"/>
      <c r="BH216" s="10"/>
      <c r="BI216" s="10"/>
      <c r="BJ216" s="10"/>
      <c r="BK216" s="10"/>
      <c r="BL216" s="10"/>
      <c r="BM216" s="10"/>
    </row>
    <row r="217" spans="3:65">
      <c r="C217" s="382" t="s">
        <v>250</v>
      </c>
      <c r="D217" s="382" t="s">
        <v>742</v>
      </c>
      <c r="E217" s="382">
        <v>179901.42820570763</v>
      </c>
      <c r="F217" s="382">
        <v>92818.467196787387</v>
      </c>
      <c r="G217" s="382">
        <v>6714.6531253818694</v>
      </c>
      <c r="H217" s="382">
        <v>1296.9527670460541</v>
      </c>
      <c r="I217" s="382">
        <v>24948.217758768125</v>
      </c>
      <c r="J217" s="382">
        <v>3926.0597330946166</v>
      </c>
      <c r="K217" s="382">
        <v>121439.12398374271</v>
      </c>
      <c r="L217" s="382">
        <v>85155.416284407955</v>
      </c>
      <c r="M217" s="382">
        <v>14035.302192176458</v>
      </c>
      <c r="N217" s="382">
        <v>81224.222481541088</v>
      </c>
      <c r="O217" s="382">
        <v>94837.383688905567</v>
      </c>
      <c r="P217" s="382">
        <v>22041.992196478175</v>
      </c>
      <c r="Q217" s="382">
        <v>57695.821942033574</v>
      </c>
      <c r="R217" s="382">
        <v>128259.73739505377</v>
      </c>
      <c r="S217" s="382">
        <v>15073.657279656727</v>
      </c>
      <c r="T217" s="382">
        <v>18070.181777465004</v>
      </c>
      <c r="U217" s="382">
        <v>27904.571310874071</v>
      </c>
      <c r="V217" s="382">
        <v>15256.826410879257</v>
      </c>
      <c r="W217" s="382">
        <v>990600.01572999998</v>
      </c>
      <c r="Z217" s="10"/>
      <c r="AU217" s="10"/>
      <c r="AV217" s="10"/>
      <c r="AW217" s="10"/>
      <c r="AX217" s="10"/>
      <c r="AY217" s="10"/>
      <c r="AZ217" s="10"/>
      <c r="BA217" s="10"/>
      <c r="BB217" s="10"/>
      <c r="BC217" s="10"/>
      <c r="BD217" s="10"/>
      <c r="BE217" s="10"/>
      <c r="BF217" s="10"/>
      <c r="BG217" s="10"/>
      <c r="BH217" s="10"/>
      <c r="BI217" s="10"/>
      <c r="BJ217" s="10"/>
      <c r="BK217" s="10"/>
      <c r="BL217" s="10"/>
      <c r="BM217" s="10"/>
    </row>
    <row r="218" spans="3:65">
      <c r="C218" s="382" t="s">
        <v>251</v>
      </c>
      <c r="D218" s="382" t="s">
        <v>743</v>
      </c>
      <c r="E218" s="382">
        <v>1405.1318999476068</v>
      </c>
      <c r="F218" s="382">
        <v>221.05902467839564</v>
      </c>
      <c r="G218" s="382">
        <v>176.71335821451913</v>
      </c>
      <c r="H218" s="382">
        <v>184.65305460396513</v>
      </c>
      <c r="I218" s="382">
        <v>351.6830709202369</v>
      </c>
      <c r="J218" s="382">
        <v>98.170277990492139</v>
      </c>
      <c r="K218" s="382">
        <v>415.38739249967159</v>
      </c>
      <c r="L218" s="382">
        <v>346.05304204561492</v>
      </c>
      <c r="M218" s="382">
        <v>1256.7402155291225</v>
      </c>
      <c r="N218" s="382">
        <v>835.11102539388673</v>
      </c>
      <c r="O218" s="382">
        <v>183.37415263645639</v>
      </c>
      <c r="P218" s="382">
        <v>458.39101476575752</v>
      </c>
      <c r="Q218" s="382">
        <v>1078.1377755959211</v>
      </c>
      <c r="R218" s="382">
        <v>245.38542612340828</v>
      </c>
      <c r="S218" s="382">
        <v>107.15495738307845</v>
      </c>
      <c r="T218" s="382">
        <v>366.16154250780414</v>
      </c>
      <c r="U218" s="382">
        <v>53.194610969380264</v>
      </c>
      <c r="V218" s="382">
        <v>28.377958194683075</v>
      </c>
      <c r="W218" s="382">
        <v>7810.8798000000006</v>
      </c>
      <c r="Z218" s="10"/>
      <c r="AU218" s="10"/>
      <c r="AV218" s="10"/>
      <c r="AW218" s="10"/>
      <c r="AX218" s="10"/>
      <c r="AY218" s="10"/>
      <c r="AZ218" s="10"/>
      <c r="BA218" s="10"/>
      <c r="BB218" s="10"/>
      <c r="BC218" s="10"/>
      <c r="BD218" s="10"/>
      <c r="BE218" s="10"/>
      <c r="BF218" s="10"/>
      <c r="BG218" s="10"/>
      <c r="BH218" s="10"/>
      <c r="BI218" s="10"/>
      <c r="BJ218" s="10"/>
      <c r="BK218" s="10"/>
      <c r="BL218" s="10"/>
      <c r="BM218" s="10"/>
    </row>
    <row r="219" spans="3:65">
      <c r="C219" s="382" t="s">
        <v>252</v>
      </c>
      <c r="D219" s="382" t="s">
        <v>744</v>
      </c>
      <c r="E219" s="382">
        <v>48055.835275464968</v>
      </c>
      <c r="F219" s="382">
        <v>1383.5973931788858</v>
      </c>
      <c r="G219" s="382">
        <v>4259.5586034703083</v>
      </c>
      <c r="H219" s="382">
        <v>4106.3018916234123</v>
      </c>
      <c r="I219" s="382">
        <v>13178.053499616562</v>
      </c>
      <c r="J219" s="382">
        <v>1217.2395461581405</v>
      </c>
      <c r="K219" s="382">
        <v>20827.997764706641</v>
      </c>
      <c r="L219" s="382">
        <v>1639.2694992763961</v>
      </c>
      <c r="M219" s="382">
        <v>14905.203739424005</v>
      </c>
      <c r="N219" s="382">
        <v>5981.4851771550011</v>
      </c>
      <c r="O219" s="382">
        <v>2572.5589271672793</v>
      </c>
      <c r="P219" s="382">
        <v>4701.5039210826781</v>
      </c>
      <c r="Q219" s="382">
        <v>11572.022254528534</v>
      </c>
      <c r="R219" s="382">
        <v>1495.0328378643742</v>
      </c>
      <c r="S219" s="382">
        <v>760.11658410895836</v>
      </c>
      <c r="T219" s="382">
        <v>1549.8413784644665</v>
      </c>
      <c r="U219" s="382">
        <v>172.45963114599905</v>
      </c>
      <c r="V219" s="382">
        <v>35.574615563374465</v>
      </c>
      <c r="W219" s="382">
        <v>138413.65254000001</v>
      </c>
      <c r="Z219" s="10"/>
      <c r="AU219" s="10"/>
      <c r="AV219" s="10"/>
      <c r="AW219" s="10"/>
      <c r="AX219" s="10"/>
      <c r="AY219" s="10"/>
      <c r="AZ219" s="10"/>
      <c r="BA219" s="10"/>
      <c r="BB219" s="10"/>
      <c r="BC219" s="10"/>
      <c r="BD219" s="10"/>
      <c r="BE219" s="10"/>
      <c r="BF219" s="10"/>
      <c r="BG219" s="10"/>
      <c r="BH219" s="10"/>
      <c r="BI219" s="10"/>
      <c r="BJ219" s="10"/>
      <c r="BK219" s="10"/>
      <c r="BL219" s="10"/>
      <c r="BM219" s="10"/>
    </row>
    <row r="220" spans="3:65">
      <c r="C220" s="382" t="s">
        <v>253</v>
      </c>
      <c r="D220" s="382" t="s">
        <v>254</v>
      </c>
      <c r="E220" s="382">
        <v>411049.58307339618</v>
      </c>
      <c r="F220" s="382">
        <v>134090.66441319938</v>
      </c>
      <c r="G220" s="382">
        <v>111055.91791295673</v>
      </c>
      <c r="H220" s="382">
        <v>81047.274753249687</v>
      </c>
      <c r="I220" s="382">
        <v>56382.284845305127</v>
      </c>
      <c r="J220" s="382">
        <v>60850.635073615987</v>
      </c>
      <c r="K220" s="382">
        <v>81229.636391511114</v>
      </c>
      <c r="L220" s="382">
        <v>63992.174808801901</v>
      </c>
      <c r="M220" s="382">
        <v>143133.75594526716</v>
      </c>
      <c r="N220" s="382">
        <v>96939.427205352666</v>
      </c>
      <c r="O220" s="382">
        <v>12540.674090364788</v>
      </c>
      <c r="P220" s="382">
        <v>126772.51569815412</v>
      </c>
      <c r="Q220" s="382">
        <v>82942.687111230582</v>
      </c>
      <c r="R220" s="382">
        <v>17627.705724655316</v>
      </c>
      <c r="S220" s="382">
        <v>24876.90957870875</v>
      </c>
      <c r="T220" s="382">
        <v>80085.513178424299</v>
      </c>
      <c r="U220" s="382">
        <v>36847.448177617283</v>
      </c>
      <c r="V220" s="382">
        <v>2119.1851762410397</v>
      </c>
      <c r="W220" s="382">
        <v>1623583.993158052</v>
      </c>
      <c r="Z220" s="10"/>
      <c r="AU220" s="10"/>
      <c r="AV220" s="10"/>
      <c r="AW220" s="10"/>
      <c r="AX220" s="10"/>
      <c r="AY220" s="10"/>
      <c r="AZ220" s="10"/>
      <c r="BA220" s="10"/>
      <c r="BB220" s="10"/>
      <c r="BC220" s="10"/>
      <c r="BD220" s="10"/>
      <c r="BE220" s="10"/>
      <c r="BF220" s="10"/>
      <c r="BG220" s="10"/>
      <c r="BH220" s="10"/>
      <c r="BI220" s="10"/>
      <c r="BJ220" s="10"/>
      <c r="BK220" s="10"/>
      <c r="BL220" s="10"/>
      <c r="BM220" s="10"/>
    </row>
    <row r="221" spans="3:65">
      <c r="C221" s="382" t="s">
        <v>255</v>
      </c>
      <c r="D221" s="382" t="s">
        <v>256</v>
      </c>
      <c r="E221" s="382">
        <v>110069.53378440485</v>
      </c>
      <c r="F221" s="382">
        <v>86464.801515884697</v>
      </c>
      <c r="G221" s="382">
        <v>26218.240126953748</v>
      </c>
      <c r="H221" s="382">
        <v>1552.6975344483158</v>
      </c>
      <c r="I221" s="382">
        <v>3345.3466301480207</v>
      </c>
      <c r="J221" s="382">
        <v>28130.326620596556</v>
      </c>
      <c r="K221" s="382">
        <v>149274.34020048074</v>
      </c>
      <c r="L221" s="382">
        <v>130690.46137656755</v>
      </c>
      <c r="M221" s="382">
        <v>72677.900242768679</v>
      </c>
      <c r="N221" s="382">
        <v>69355.395025909325</v>
      </c>
      <c r="O221" s="382">
        <v>24851.766630937273</v>
      </c>
      <c r="P221" s="382">
        <v>59091.416518243299</v>
      </c>
      <c r="Q221" s="382">
        <v>103033.91165534993</v>
      </c>
      <c r="R221" s="382">
        <v>30244.702930133382</v>
      </c>
      <c r="S221" s="382">
        <v>15693.35297952476</v>
      </c>
      <c r="T221" s="382">
        <v>50678.170604516272</v>
      </c>
      <c r="U221" s="382">
        <v>8014.3392962985545</v>
      </c>
      <c r="V221" s="382">
        <v>1433.6077743631195</v>
      </c>
      <c r="W221" s="382">
        <v>970820.31144752889</v>
      </c>
      <c r="Z221" s="10"/>
      <c r="AU221" s="10"/>
      <c r="AV221" s="10"/>
      <c r="AW221" s="10"/>
      <c r="AX221" s="10"/>
      <c r="AY221" s="10"/>
      <c r="AZ221" s="10"/>
      <c r="BA221" s="10"/>
      <c r="BB221" s="10"/>
      <c r="BC221" s="10"/>
      <c r="BD221" s="10"/>
      <c r="BE221" s="10"/>
      <c r="BF221" s="10"/>
      <c r="BG221" s="10"/>
      <c r="BH221" s="10"/>
      <c r="BI221" s="10"/>
      <c r="BJ221" s="10"/>
      <c r="BK221" s="10"/>
      <c r="BL221" s="10"/>
      <c r="BM221" s="10"/>
    </row>
    <row r="222" spans="3:65">
      <c r="C222" s="382" t="s">
        <v>257</v>
      </c>
      <c r="D222" s="382" t="s">
        <v>745</v>
      </c>
      <c r="E222" s="382">
        <v>2668.4382522660858</v>
      </c>
      <c r="F222" s="382">
        <v>778.79760437718437</v>
      </c>
      <c r="G222" s="382">
        <v>604.13897566447213</v>
      </c>
      <c r="H222" s="382">
        <v>133.67302648739138</v>
      </c>
      <c r="I222" s="382">
        <v>312.85087691780132</v>
      </c>
      <c r="J222" s="382">
        <v>349.65397406876679</v>
      </c>
      <c r="K222" s="382">
        <v>1057.8494322656197</v>
      </c>
      <c r="L222" s="382">
        <v>1309.7086129125098</v>
      </c>
      <c r="M222" s="382">
        <v>4618.5159664172352</v>
      </c>
      <c r="N222" s="382">
        <v>1705.7940366860846</v>
      </c>
      <c r="O222" s="382">
        <v>467.38214479724849</v>
      </c>
      <c r="P222" s="382">
        <v>1061.9979716224602</v>
      </c>
      <c r="Q222" s="382">
        <v>2977.2017071421642</v>
      </c>
      <c r="R222" s="382">
        <v>521.0360285419863</v>
      </c>
      <c r="S222" s="382">
        <v>462.15843389416477</v>
      </c>
      <c r="T222" s="382">
        <v>1264.8240343530833</v>
      </c>
      <c r="U222" s="382">
        <v>145.1269636468044</v>
      </c>
      <c r="V222" s="382">
        <v>24.402727938939449</v>
      </c>
      <c r="W222" s="382">
        <v>20463.550770000002</v>
      </c>
      <c r="Z222" s="10"/>
      <c r="AU222" s="10"/>
      <c r="AV222" s="10"/>
      <c r="AW222" s="10"/>
      <c r="AX222" s="10"/>
      <c r="AY222" s="10"/>
      <c r="AZ222" s="10"/>
      <c r="BA222" s="10"/>
      <c r="BB222" s="10"/>
      <c r="BC222" s="10"/>
      <c r="BD222" s="10"/>
      <c r="BE222" s="10"/>
      <c r="BF222" s="10"/>
      <c r="BG222" s="10"/>
      <c r="BH222" s="10"/>
      <c r="BI222" s="10"/>
      <c r="BJ222" s="10"/>
      <c r="BK222" s="10"/>
      <c r="BL222" s="10"/>
      <c r="BM222" s="10"/>
    </row>
    <row r="223" spans="3:65">
      <c r="C223" s="382" t="s">
        <v>258</v>
      </c>
      <c r="D223" s="382" t="s">
        <v>746</v>
      </c>
      <c r="E223" s="382">
        <v>5002.2131365959094</v>
      </c>
      <c r="F223" s="382">
        <v>1898.8093401703482</v>
      </c>
      <c r="G223" s="382">
        <v>795.32991805694348</v>
      </c>
      <c r="H223" s="382">
        <v>758.68330247078586</v>
      </c>
      <c r="I223" s="382">
        <v>2225.9831843581132</v>
      </c>
      <c r="J223" s="382">
        <v>616.25271304576768</v>
      </c>
      <c r="K223" s="382">
        <v>2474.4966287292755</v>
      </c>
      <c r="L223" s="382">
        <v>1677.5736608232116</v>
      </c>
      <c r="M223" s="382">
        <v>7950.07308327797</v>
      </c>
      <c r="N223" s="382">
        <v>3949.4026050002549</v>
      </c>
      <c r="O223" s="382">
        <v>570.48978439584585</v>
      </c>
      <c r="P223" s="382">
        <v>2250.3215560340609</v>
      </c>
      <c r="Q223" s="382">
        <v>5497.9302635084341</v>
      </c>
      <c r="R223" s="382">
        <v>1589.5718770737949</v>
      </c>
      <c r="S223" s="382">
        <v>976.10828110945317</v>
      </c>
      <c r="T223" s="382">
        <v>2664.7034933053828</v>
      </c>
      <c r="U223" s="382">
        <v>382.57866679963013</v>
      </c>
      <c r="V223" s="382">
        <v>253.33316524481435</v>
      </c>
      <c r="W223" s="382">
        <v>41533.854659999997</v>
      </c>
      <c r="Z223" s="10"/>
      <c r="AU223" s="10"/>
      <c r="AV223" s="10"/>
      <c r="AW223" s="10"/>
      <c r="AX223" s="10"/>
      <c r="AY223" s="10"/>
      <c r="AZ223" s="10"/>
      <c r="BA223" s="10"/>
      <c r="BB223" s="10"/>
      <c r="BC223" s="10"/>
      <c r="BD223" s="10"/>
      <c r="BE223" s="10"/>
      <c r="BF223" s="10"/>
      <c r="BG223" s="10"/>
      <c r="BH223" s="10"/>
      <c r="BI223" s="10"/>
      <c r="BJ223" s="10"/>
      <c r="BK223" s="10"/>
      <c r="BL223" s="10"/>
      <c r="BM223" s="10"/>
    </row>
    <row r="224" spans="3:65">
      <c r="C224" s="382" t="s">
        <v>259</v>
      </c>
      <c r="D224" s="382" t="s">
        <v>747</v>
      </c>
      <c r="E224" s="382">
        <v>9268.0135503132078</v>
      </c>
      <c r="F224" s="382">
        <v>1581.8013635509537</v>
      </c>
      <c r="G224" s="382">
        <v>1279.4626751195806</v>
      </c>
      <c r="H224" s="382">
        <v>2116.6464797529643</v>
      </c>
      <c r="I224" s="382">
        <v>3577.1559185581418</v>
      </c>
      <c r="J224" s="382">
        <v>732.83637890505452</v>
      </c>
      <c r="K224" s="382">
        <v>2638.8136529168055</v>
      </c>
      <c r="L224" s="382">
        <v>2496.8552994898027</v>
      </c>
      <c r="M224" s="382">
        <v>10106.839727321591</v>
      </c>
      <c r="N224" s="382">
        <v>5834.3797142946869</v>
      </c>
      <c r="O224" s="382">
        <v>1152.7641100151773</v>
      </c>
      <c r="P224" s="382">
        <v>3224.960023676098</v>
      </c>
      <c r="Q224" s="382">
        <v>8989.2534967245465</v>
      </c>
      <c r="R224" s="382">
        <v>1668.4115023415704</v>
      </c>
      <c r="S224" s="382">
        <v>812.25572511097243</v>
      </c>
      <c r="T224" s="382">
        <v>2897.0313036317889</v>
      </c>
      <c r="U224" s="382">
        <v>363.7878307569822</v>
      </c>
      <c r="V224" s="382">
        <v>226.52336752007432</v>
      </c>
      <c r="W224" s="382">
        <v>58967.792119999998</v>
      </c>
      <c r="Z224" s="10"/>
      <c r="AU224" s="10"/>
      <c r="AV224" s="10"/>
      <c r="AW224" s="10"/>
      <c r="AX224" s="10"/>
      <c r="AY224" s="10"/>
      <c r="AZ224" s="10"/>
      <c r="BA224" s="10"/>
      <c r="BB224" s="10"/>
      <c r="BC224" s="10"/>
      <c r="BD224" s="10"/>
      <c r="BE224" s="10"/>
      <c r="BF224" s="10"/>
      <c r="BG224" s="10"/>
      <c r="BH224" s="10"/>
      <c r="BI224" s="10"/>
      <c r="BJ224" s="10"/>
      <c r="BK224" s="10"/>
      <c r="BL224" s="10"/>
      <c r="BM224" s="10"/>
    </row>
    <row r="225" spans="3:65">
      <c r="C225" s="382" t="s">
        <v>260</v>
      </c>
      <c r="D225" s="382" t="s">
        <v>261</v>
      </c>
      <c r="E225" s="382">
        <v>15595.801688874004</v>
      </c>
      <c r="F225" s="382">
        <v>25565.161947397057</v>
      </c>
      <c r="G225" s="382">
        <v>18736.026817272454</v>
      </c>
      <c r="H225" s="382">
        <v>12.150034025644924</v>
      </c>
      <c r="I225" s="382">
        <v>1248.0329409571186</v>
      </c>
      <c r="J225" s="382">
        <v>1639.3083059170722</v>
      </c>
      <c r="K225" s="382">
        <v>691.76285079057789</v>
      </c>
      <c r="L225" s="382">
        <v>251.42353742722619</v>
      </c>
      <c r="M225" s="382">
        <v>229.54537826750226</v>
      </c>
      <c r="N225" s="382">
        <v>260.70064374284618</v>
      </c>
      <c r="O225" s="382">
        <v>23133.87675146191</v>
      </c>
      <c r="P225" s="382">
        <v>8502.1826658104073</v>
      </c>
      <c r="Q225" s="382">
        <v>229.85178355759609</v>
      </c>
      <c r="R225" s="382">
        <v>58.308682490878283</v>
      </c>
      <c r="S225" s="382">
        <v>163.6954513299805</v>
      </c>
      <c r="T225" s="382">
        <v>15170.369585370136</v>
      </c>
      <c r="U225" s="382">
        <v>97.605389896019815</v>
      </c>
      <c r="V225" s="382">
        <v>3683.3275754115648</v>
      </c>
      <c r="W225" s="382">
        <v>115269.13202999999</v>
      </c>
      <c r="Z225" s="10"/>
      <c r="AU225" s="10"/>
      <c r="AV225" s="10"/>
      <c r="AW225" s="10"/>
      <c r="AX225" s="10"/>
      <c r="AY225" s="10"/>
      <c r="AZ225" s="10"/>
      <c r="BA225" s="10"/>
      <c r="BB225" s="10"/>
      <c r="BC225" s="10"/>
      <c r="BD225" s="10"/>
      <c r="BE225" s="10"/>
      <c r="BF225" s="10"/>
      <c r="BG225" s="10"/>
      <c r="BH225" s="10"/>
      <c r="BI225" s="10"/>
      <c r="BJ225" s="10"/>
      <c r="BK225" s="10"/>
      <c r="BL225" s="10"/>
      <c r="BM225" s="10"/>
    </row>
    <row r="226" spans="3:65">
      <c r="C226" s="382" t="s">
        <v>262</v>
      </c>
      <c r="D226" s="382" t="s">
        <v>263</v>
      </c>
      <c r="E226" s="382">
        <v>2399.6524191191829</v>
      </c>
      <c r="F226" s="382">
        <v>363.56300695397283</v>
      </c>
      <c r="G226" s="382">
        <v>290.63025124114733</v>
      </c>
      <c r="H226" s="382">
        <v>303.68821120386809</v>
      </c>
      <c r="I226" s="382">
        <v>578.3928294471682</v>
      </c>
      <c r="J226" s="382">
        <v>196.73498475647114</v>
      </c>
      <c r="K226" s="382">
        <v>683.16364684798168</v>
      </c>
      <c r="L226" s="382">
        <v>569.13344621287979</v>
      </c>
      <c r="M226" s="382">
        <v>2100.830418581832</v>
      </c>
      <c r="N226" s="382">
        <v>1373.4588577613033</v>
      </c>
      <c r="O226" s="382">
        <v>301.58487502212535</v>
      </c>
      <c r="P226" s="382">
        <v>753.88922000074797</v>
      </c>
      <c r="Q226" s="382">
        <v>2282.8851737732502</v>
      </c>
      <c r="R226" s="382">
        <v>403.57123403533757</v>
      </c>
      <c r="S226" s="382">
        <v>176.23156789411181</v>
      </c>
      <c r="T226" s="382">
        <v>620.83873522270312</v>
      </c>
      <c r="U226" s="382">
        <v>87.48610352330374</v>
      </c>
      <c r="V226" s="382">
        <v>46.671588402612826</v>
      </c>
      <c r="W226" s="382">
        <v>13532.406569999999</v>
      </c>
      <c r="Z226" s="10"/>
      <c r="AU226" s="10"/>
      <c r="AV226" s="10"/>
      <c r="AW226" s="10"/>
      <c r="AX226" s="10"/>
      <c r="AY226" s="10"/>
      <c r="AZ226" s="10"/>
      <c r="BA226" s="10"/>
      <c r="BB226" s="10"/>
      <c r="BC226" s="10"/>
      <c r="BD226" s="10"/>
      <c r="BE226" s="10"/>
      <c r="BF226" s="10"/>
      <c r="BG226" s="10"/>
      <c r="BH226" s="10"/>
      <c r="BI226" s="10"/>
      <c r="BJ226" s="10"/>
      <c r="BK226" s="10"/>
      <c r="BL226" s="10"/>
      <c r="BM226" s="10"/>
    </row>
    <row r="227" spans="3:65">
      <c r="C227" s="382" t="s">
        <v>264</v>
      </c>
      <c r="D227" s="382" t="s">
        <v>265</v>
      </c>
      <c r="E227" s="382">
        <v>14403.680007431123</v>
      </c>
      <c r="F227" s="382">
        <v>4548.5641477870504</v>
      </c>
      <c r="G227" s="382">
        <v>4569.9047384183514</v>
      </c>
      <c r="H227" s="382">
        <v>1456.3679936878812</v>
      </c>
      <c r="I227" s="382">
        <v>6782.7319219983401</v>
      </c>
      <c r="J227" s="382">
        <v>903.44211372368795</v>
      </c>
      <c r="K227" s="382">
        <v>22917.748285335125</v>
      </c>
      <c r="L227" s="382">
        <v>20199.954801426924</v>
      </c>
      <c r="M227" s="382">
        <v>7766.9037533205028</v>
      </c>
      <c r="N227" s="382">
        <v>6244.7589139950942</v>
      </c>
      <c r="O227" s="382">
        <v>8375.5979037148772</v>
      </c>
      <c r="P227" s="382">
        <v>6788.9127711439223</v>
      </c>
      <c r="Q227" s="382">
        <v>6639.3699071223818</v>
      </c>
      <c r="R227" s="382">
        <v>2136.8788148382032</v>
      </c>
      <c r="S227" s="382">
        <v>1298.0143489927852</v>
      </c>
      <c r="T227" s="382">
        <v>4478.708466027706</v>
      </c>
      <c r="U227" s="382">
        <v>1057.8361755720414</v>
      </c>
      <c r="V227" s="382">
        <v>128.22088939594261</v>
      </c>
      <c r="W227" s="382">
        <v>120697.59595393194</v>
      </c>
      <c r="Z227" s="10"/>
      <c r="AU227" s="10"/>
      <c r="AV227" s="10"/>
      <c r="AW227" s="10"/>
      <c r="AX227" s="10"/>
      <c r="AY227" s="10"/>
      <c r="AZ227" s="10"/>
      <c r="BA227" s="10"/>
      <c r="BB227" s="10"/>
      <c r="BC227" s="10"/>
      <c r="BD227" s="10"/>
      <c r="BE227" s="10"/>
      <c r="BF227" s="10"/>
      <c r="BG227" s="10"/>
      <c r="BH227" s="10"/>
      <c r="BI227" s="10"/>
      <c r="BJ227" s="10"/>
      <c r="BK227" s="10"/>
      <c r="BL227" s="10"/>
      <c r="BM227" s="10"/>
    </row>
    <row r="228" spans="3:65">
      <c r="C228" s="382" t="s">
        <v>266</v>
      </c>
      <c r="D228" s="382" t="s">
        <v>267</v>
      </c>
      <c r="E228" s="382">
        <v>10900.442222061707</v>
      </c>
      <c r="F228" s="382">
        <v>669.7722039501823</v>
      </c>
      <c r="G228" s="382">
        <v>4437.8224935531916</v>
      </c>
      <c r="H228" s="382">
        <v>3133.2538696350275</v>
      </c>
      <c r="I228" s="382">
        <v>8400.0174709282001</v>
      </c>
      <c r="J228" s="382">
        <v>5403.7869094354546</v>
      </c>
      <c r="K228" s="382">
        <v>1154.6183401266608</v>
      </c>
      <c r="L228" s="382">
        <v>880.66719812764995</v>
      </c>
      <c r="M228" s="382">
        <v>7162.1059940190526</v>
      </c>
      <c r="N228" s="382">
        <v>8368.3837541664016</v>
      </c>
      <c r="O228" s="382">
        <v>442.22860955387068</v>
      </c>
      <c r="P228" s="382">
        <v>10294.121873608126</v>
      </c>
      <c r="Q228" s="382">
        <v>3651.8693178207664</v>
      </c>
      <c r="R228" s="382">
        <v>2276.5854436946192</v>
      </c>
      <c r="S228" s="382">
        <v>345.85902519990054</v>
      </c>
      <c r="T228" s="382">
        <v>21629.961615634027</v>
      </c>
      <c r="U228" s="382">
        <v>158.55586630826912</v>
      </c>
      <c r="V228" s="382">
        <v>148.13332217688873</v>
      </c>
      <c r="W228" s="382">
        <v>89458.185529999988</v>
      </c>
      <c r="Z228" s="10"/>
      <c r="AU228" s="10"/>
      <c r="AV228" s="10"/>
      <c r="AW228" s="10"/>
      <c r="AX228" s="10"/>
      <c r="AY228" s="10"/>
      <c r="AZ228" s="10"/>
      <c r="BA228" s="10"/>
      <c r="BB228" s="10"/>
      <c r="BC228" s="10"/>
      <c r="BD228" s="10"/>
      <c r="BE228" s="10"/>
      <c r="BF228" s="10"/>
      <c r="BG228" s="10"/>
      <c r="BH228" s="10"/>
      <c r="BI228" s="10"/>
      <c r="BJ228" s="10"/>
      <c r="BK228" s="10"/>
      <c r="BL228" s="10"/>
      <c r="BM228" s="10"/>
    </row>
    <row r="229" spans="3:65">
      <c r="C229" s="382" t="s">
        <v>268</v>
      </c>
      <c r="D229" s="382" t="s">
        <v>748</v>
      </c>
      <c r="E229" s="382">
        <v>4788.2817527451944</v>
      </c>
      <c r="F229" s="382">
        <v>753.30500587644428</v>
      </c>
      <c r="G229" s="382">
        <v>602.18784345900724</v>
      </c>
      <c r="H229" s="382">
        <v>629.24402469390679</v>
      </c>
      <c r="I229" s="382">
        <v>1198.4338490212585</v>
      </c>
      <c r="J229" s="382">
        <v>334.53581886606094</v>
      </c>
      <c r="K229" s="382">
        <v>1415.5196902872583</v>
      </c>
      <c r="L229" s="382">
        <v>1179.2483444228744</v>
      </c>
      <c r="M229" s="382">
        <v>4282.6059547744508</v>
      </c>
      <c r="N229" s="382">
        <v>2845.8160294837639</v>
      </c>
      <c r="O229" s="382">
        <v>624.8858979196159</v>
      </c>
      <c r="P229" s="382">
        <v>1562.0635555331646</v>
      </c>
      <c r="Q229" s="382">
        <v>3673.9806690202772</v>
      </c>
      <c r="R229" s="382">
        <v>836.20232260055514</v>
      </c>
      <c r="S229" s="382">
        <v>365.15299892680184</v>
      </c>
      <c r="T229" s="382">
        <v>1247.7722786113725</v>
      </c>
      <c r="U229" s="382">
        <v>181.27179737258848</v>
      </c>
      <c r="V229" s="382">
        <v>96.703846385405896</v>
      </c>
      <c r="W229" s="382">
        <v>26617.211680000004</v>
      </c>
      <c r="Z229" s="10"/>
      <c r="AU229" s="10"/>
      <c r="AV229" s="10"/>
      <c r="AW229" s="10"/>
      <c r="AX229" s="10"/>
      <c r="AY229" s="10"/>
      <c r="AZ229" s="10"/>
      <c r="BA229" s="10"/>
      <c r="BB229" s="10"/>
      <c r="BC229" s="10"/>
      <c r="BD229" s="10"/>
      <c r="BE229" s="10"/>
      <c r="BF229" s="10"/>
      <c r="BG229" s="10"/>
      <c r="BH229" s="10"/>
      <c r="BI229" s="10"/>
      <c r="BJ229" s="10"/>
      <c r="BK229" s="10"/>
      <c r="BL229" s="10"/>
      <c r="BM229" s="10"/>
    </row>
    <row r="230" spans="3:65">
      <c r="C230" s="382" t="s">
        <v>269</v>
      </c>
      <c r="D230" s="382" t="s">
        <v>749</v>
      </c>
      <c r="E230" s="382">
        <v>13.502414475650818</v>
      </c>
      <c r="F230" s="382">
        <v>4.6683547282013507</v>
      </c>
      <c r="G230" s="382">
        <v>3.4484846144234411</v>
      </c>
      <c r="H230" s="382">
        <v>1.3584731408961637</v>
      </c>
      <c r="I230" s="382">
        <v>2.1153199984961266</v>
      </c>
      <c r="J230" s="382">
        <v>1.4725332300419449</v>
      </c>
      <c r="K230" s="382">
        <v>10.514600839621773</v>
      </c>
      <c r="L230" s="382">
        <v>4.8933735695985927</v>
      </c>
      <c r="M230" s="382">
        <v>9.7558124434815738</v>
      </c>
      <c r="N230" s="382">
        <v>7.1628345973714183</v>
      </c>
      <c r="O230" s="382">
        <v>2.7859400681313899</v>
      </c>
      <c r="P230" s="382">
        <v>8.6423116333305501</v>
      </c>
      <c r="Q230" s="382">
        <v>8.7382328515040903</v>
      </c>
      <c r="R230" s="382">
        <v>2.7487636753443399</v>
      </c>
      <c r="S230" s="382">
        <v>1.5217411963375915</v>
      </c>
      <c r="T230" s="382">
        <v>4.4983831972997592</v>
      </c>
      <c r="U230" s="382">
        <v>0.98396289034638196</v>
      </c>
      <c r="V230" s="382">
        <v>0.28994284992269265</v>
      </c>
      <c r="W230" s="382">
        <v>89.101479999999995</v>
      </c>
      <c r="Z230" s="10"/>
      <c r="AU230" s="10"/>
      <c r="AV230" s="10"/>
      <c r="AW230" s="10"/>
      <c r="AX230" s="10"/>
      <c r="AY230" s="10"/>
      <c r="AZ230" s="10"/>
      <c r="BA230" s="10"/>
      <c r="BB230" s="10"/>
      <c r="BC230" s="10"/>
      <c r="BD230" s="10"/>
      <c r="BE230" s="10"/>
      <c r="BF230" s="10"/>
      <c r="BG230" s="10"/>
      <c r="BH230" s="10"/>
      <c r="BI230" s="10"/>
      <c r="BJ230" s="10"/>
      <c r="BK230" s="10"/>
      <c r="BL230" s="10"/>
      <c r="BM230" s="10"/>
    </row>
    <row r="231" spans="3:65">
      <c r="C231" s="382" t="s">
        <v>270</v>
      </c>
      <c r="D231" s="382" t="s">
        <v>750</v>
      </c>
      <c r="E231" s="382">
        <v>52450.117232445969</v>
      </c>
      <c r="F231" s="382">
        <v>19773.75787060137</v>
      </c>
      <c r="G231" s="382">
        <v>9931.5109058828002</v>
      </c>
      <c r="H231" s="382">
        <v>30605.705990220504</v>
      </c>
      <c r="I231" s="382">
        <v>116462.2810319054</v>
      </c>
      <c r="J231" s="382">
        <v>7929.381088787658</v>
      </c>
      <c r="K231" s="382">
        <v>52690.434475276452</v>
      </c>
      <c r="L231" s="382">
        <v>38039.252413525952</v>
      </c>
      <c r="M231" s="382">
        <v>47073.871786455427</v>
      </c>
      <c r="N231" s="382">
        <v>26819.59936363317</v>
      </c>
      <c r="O231" s="382">
        <v>22223.092275423915</v>
      </c>
      <c r="P231" s="382">
        <v>49618.653240822721</v>
      </c>
      <c r="Q231" s="382">
        <v>8542.4566941149806</v>
      </c>
      <c r="R231" s="382">
        <v>1851.9442234276837</v>
      </c>
      <c r="S231" s="382">
        <v>12005.834606339549</v>
      </c>
      <c r="T231" s="382">
        <v>13731.960523972062</v>
      </c>
      <c r="U231" s="382">
        <v>4362.9055462689485</v>
      </c>
      <c r="V231" s="382">
        <v>4666.0143108954408</v>
      </c>
      <c r="W231" s="382">
        <v>518778.7735800001</v>
      </c>
      <c r="Z231" s="10"/>
      <c r="AU231" s="10"/>
      <c r="AV231" s="10"/>
      <c r="AW231" s="10"/>
      <c r="AX231" s="10"/>
      <c r="AY231" s="10"/>
      <c r="AZ231" s="10"/>
      <c r="BA231" s="10"/>
      <c r="BB231" s="10"/>
      <c r="BC231" s="10"/>
      <c r="BD231" s="10"/>
      <c r="BE231" s="10"/>
      <c r="BF231" s="10"/>
      <c r="BG231" s="10"/>
      <c r="BH231" s="10"/>
      <c r="BI231" s="10"/>
      <c r="BJ231" s="10"/>
      <c r="BK231" s="10"/>
      <c r="BL231" s="10"/>
      <c r="BM231" s="10"/>
    </row>
    <row r="232" spans="3:65">
      <c r="C232" s="382" t="s">
        <v>751</v>
      </c>
      <c r="D232" s="382" t="s">
        <v>752</v>
      </c>
      <c r="E232" s="382">
        <v>16693.144313888428</v>
      </c>
      <c r="F232" s="382">
        <v>6336.6149091346588</v>
      </c>
      <c r="G232" s="382">
        <v>2654.1366264758035</v>
      </c>
      <c r="H232" s="382">
        <v>2531.841309205171</v>
      </c>
      <c r="I232" s="382">
        <v>7428.4436752461106</v>
      </c>
      <c r="J232" s="382">
        <v>2056.5288187018123</v>
      </c>
      <c r="K232" s="382">
        <v>8257.7707505918825</v>
      </c>
      <c r="L232" s="382">
        <v>5598.3178750270454</v>
      </c>
      <c r="M232" s="382">
        <v>26530.600288541809</v>
      </c>
      <c r="N232" s="382">
        <v>13179.755807802549</v>
      </c>
      <c r="O232" s="382">
        <v>1903.8109813528845</v>
      </c>
      <c r="P232" s="382">
        <v>7509.6645148339512</v>
      </c>
      <c r="Q232" s="382">
        <v>18347.427590599873</v>
      </c>
      <c r="R232" s="382">
        <v>5304.6425685389431</v>
      </c>
      <c r="S232" s="382">
        <v>3257.4214567814738</v>
      </c>
      <c r="T232" s="382">
        <v>8892.5199212403659</v>
      </c>
      <c r="U232" s="382">
        <v>1276.7230667518779</v>
      </c>
      <c r="V232" s="382">
        <v>845.4112152853379</v>
      </c>
      <c r="W232" s="382">
        <v>138604.77568999995</v>
      </c>
      <c r="Z232" s="10"/>
      <c r="AU232" s="10"/>
      <c r="AV232" s="10"/>
      <c r="AW232" s="10"/>
      <c r="AX232" s="10"/>
      <c r="AY232" s="10"/>
      <c r="AZ232" s="10"/>
      <c r="BA232" s="10"/>
      <c r="BB232" s="10"/>
      <c r="BC232" s="10"/>
      <c r="BD232" s="10"/>
      <c r="BE232" s="10"/>
      <c r="BF232" s="10"/>
      <c r="BG232" s="10"/>
      <c r="BH232" s="10"/>
      <c r="BI232" s="10"/>
      <c r="BJ232" s="10"/>
      <c r="BK232" s="10"/>
      <c r="BL232" s="10"/>
      <c r="BM232" s="10"/>
    </row>
    <row r="233" spans="3:65">
      <c r="C233" s="382" t="s">
        <v>753</v>
      </c>
      <c r="D233" s="382" t="s">
        <v>271</v>
      </c>
      <c r="E233" s="382">
        <v>16743.846450000001</v>
      </c>
      <c r="F233" s="382">
        <v>5916.0538499999993</v>
      </c>
      <c r="G233" s="382">
        <v>2141.6011899999999</v>
      </c>
      <c r="H233" s="382">
        <v>2472.8272000000002</v>
      </c>
      <c r="I233" s="382">
        <v>0</v>
      </c>
      <c r="J233" s="382">
        <v>1104.5446600000002</v>
      </c>
      <c r="K233" s="382">
        <v>4588.3993099999998</v>
      </c>
      <c r="L233" s="382">
        <v>1115.3850600000001</v>
      </c>
      <c r="M233" s="382">
        <v>3274.9504400000005</v>
      </c>
      <c r="N233" s="382">
        <v>7737.9375100000007</v>
      </c>
      <c r="O233" s="382">
        <v>916.72572000000002</v>
      </c>
      <c r="P233" s="382">
        <v>3434.49991</v>
      </c>
      <c r="Q233" s="382">
        <v>0</v>
      </c>
      <c r="R233" s="382">
        <v>743.25361999999996</v>
      </c>
      <c r="S233" s="382">
        <v>0</v>
      </c>
      <c r="T233" s="382">
        <v>11.246360000000001</v>
      </c>
      <c r="U233" s="382">
        <v>669.83686999999998</v>
      </c>
      <c r="V233" s="382">
        <v>183.63185000000001</v>
      </c>
      <c r="W233" s="382">
        <v>51054.740000000005</v>
      </c>
      <c r="Z233" s="10"/>
      <c r="AU233" s="10"/>
      <c r="AV233" s="10"/>
      <c r="AW233" s="10"/>
      <c r="AX233" s="10"/>
      <c r="AY233" s="10"/>
      <c r="AZ233" s="10"/>
      <c r="BA233" s="10"/>
      <c r="BB233" s="10"/>
      <c r="BC233" s="10"/>
      <c r="BD233" s="10"/>
      <c r="BE233" s="10"/>
      <c r="BF233" s="10"/>
      <c r="BG233" s="10"/>
      <c r="BH233" s="10"/>
      <c r="BI233" s="10"/>
      <c r="BJ233" s="10"/>
      <c r="BK233" s="10"/>
      <c r="BL233" s="10"/>
      <c r="BM233" s="10"/>
    </row>
    <row r="234" spans="3:65">
      <c r="C234" s="382" t="s">
        <v>754</v>
      </c>
      <c r="D234" s="382" t="s">
        <v>755</v>
      </c>
      <c r="E234" s="382">
        <v>5392.1267800000005</v>
      </c>
      <c r="F234" s="382">
        <v>0</v>
      </c>
      <c r="G234" s="382">
        <v>0</v>
      </c>
      <c r="H234" s="382">
        <v>0</v>
      </c>
      <c r="I234" s="382">
        <v>0</v>
      </c>
      <c r="J234" s="382">
        <v>0</v>
      </c>
      <c r="K234" s="382">
        <v>0</v>
      </c>
      <c r="L234" s="382">
        <v>0</v>
      </c>
      <c r="M234" s="382">
        <v>0</v>
      </c>
      <c r="N234" s="382">
        <v>0</v>
      </c>
      <c r="O234" s="382">
        <v>0</v>
      </c>
      <c r="P234" s="382">
        <v>0</v>
      </c>
      <c r="Q234" s="382">
        <v>0</v>
      </c>
      <c r="R234" s="382">
        <v>0</v>
      </c>
      <c r="S234" s="382">
        <v>0</v>
      </c>
      <c r="T234" s="382">
        <v>0</v>
      </c>
      <c r="U234" s="382">
        <v>0</v>
      </c>
      <c r="V234" s="382">
        <v>15000</v>
      </c>
      <c r="W234" s="382">
        <v>20392.126779999999</v>
      </c>
      <c r="Z234" s="10"/>
      <c r="AU234" s="10"/>
      <c r="AV234" s="10"/>
      <c r="AW234" s="10"/>
      <c r="AX234" s="10"/>
      <c r="AY234" s="10"/>
      <c r="AZ234" s="10"/>
      <c r="BA234" s="10"/>
      <c r="BB234" s="10"/>
      <c r="BC234" s="10"/>
      <c r="BD234" s="10"/>
      <c r="BE234" s="10"/>
      <c r="BF234" s="10"/>
      <c r="BG234" s="10"/>
      <c r="BH234" s="10"/>
      <c r="BI234" s="10"/>
      <c r="BJ234" s="10"/>
      <c r="BK234" s="10"/>
      <c r="BL234" s="10"/>
      <c r="BM234" s="10"/>
    </row>
    <row r="235" spans="3:65">
      <c r="C235" s="382" t="s">
        <v>272</v>
      </c>
      <c r="D235" s="382" t="s">
        <v>756</v>
      </c>
      <c r="E235" s="382">
        <v>0</v>
      </c>
      <c r="F235" s="382">
        <v>0</v>
      </c>
      <c r="G235" s="382">
        <v>0</v>
      </c>
      <c r="H235" s="382">
        <v>0</v>
      </c>
      <c r="I235" s="382">
        <v>13455.682928693823</v>
      </c>
      <c r="J235" s="382">
        <v>0</v>
      </c>
      <c r="K235" s="382">
        <v>0</v>
      </c>
      <c r="L235" s="382">
        <v>0</v>
      </c>
      <c r="M235" s="382">
        <v>134092.59910471665</v>
      </c>
      <c r="N235" s="382">
        <v>0</v>
      </c>
      <c r="O235" s="382">
        <v>0</v>
      </c>
      <c r="P235" s="382">
        <v>36704.30617812775</v>
      </c>
      <c r="Q235" s="382">
        <v>0</v>
      </c>
      <c r="R235" s="382">
        <v>0</v>
      </c>
      <c r="S235" s="382">
        <v>0</v>
      </c>
      <c r="T235" s="382">
        <v>0</v>
      </c>
      <c r="U235" s="382">
        <v>0</v>
      </c>
      <c r="V235" s="382">
        <v>0</v>
      </c>
      <c r="W235" s="382">
        <v>184252.58821153821</v>
      </c>
      <c r="Z235" s="10"/>
      <c r="AU235" s="10"/>
      <c r="AV235" s="10"/>
      <c r="AW235" s="10"/>
      <c r="AX235" s="10"/>
      <c r="AY235" s="10"/>
      <c r="AZ235" s="10"/>
      <c r="BA235" s="10"/>
      <c r="BB235" s="10"/>
      <c r="BC235" s="10"/>
      <c r="BD235" s="10"/>
      <c r="BE235" s="10"/>
      <c r="BF235" s="10"/>
      <c r="BG235" s="10"/>
      <c r="BH235" s="10"/>
      <c r="BI235" s="10"/>
      <c r="BJ235" s="10"/>
      <c r="BK235" s="10"/>
      <c r="BL235" s="10"/>
      <c r="BM235" s="10"/>
    </row>
    <row r="236" spans="3:65">
      <c r="C236" s="382" t="s">
        <v>273</v>
      </c>
      <c r="D236" s="382" t="s">
        <v>757</v>
      </c>
      <c r="E236" s="382">
        <v>184972.79523044385</v>
      </c>
      <c r="F236" s="382">
        <v>0</v>
      </c>
      <c r="G236" s="382">
        <v>0</v>
      </c>
      <c r="H236" s="382">
        <v>0</v>
      </c>
      <c r="I236" s="382">
        <v>0</v>
      </c>
      <c r="J236" s="382">
        <v>0</v>
      </c>
      <c r="K236" s="382">
        <v>0</v>
      </c>
      <c r="L236" s="382">
        <v>0</v>
      </c>
      <c r="M236" s="382">
        <v>0</v>
      </c>
      <c r="N236" s="382">
        <v>0</v>
      </c>
      <c r="O236" s="382">
        <v>0</v>
      </c>
      <c r="P236" s="382">
        <v>0</v>
      </c>
      <c r="Q236" s="382">
        <v>0</v>
      </c>
      <c r="R236" s="382">
        <v>0</v>
      </c>
      <c r="S236" s="382">
        <v>0</v>
      </c>
      <c r="T236" s="382">
        <v>0</v>
      </c>
      <c r="U236" s="382">
        <v>0</v>
      </c>
      <c r="V236" s="382">
        <v>0</v>
      </c>
      <c r="W236" s="382">
        <v>184972.79523044385</v>
      </c>
      <c r="Z236" s="10"/>
      <c r="AU236" s="10"/>
      <c r="AV236" s="10"/>
      <c r="AW236" s="10"/>
      <c r="AX236" s="10"/>
      <c r="AY236" s="10"/>
      <c r="AZ236" s="10"/>
      <c r="BA236" s="10"/>
      <c r="BB236" s="10"/>
      <c r="BC236" s="10"/>
      <c r="BD236" s="10"/>
      <c r="BE236" s="10"/>
      <c r="BF236" s="10"/>
      <c r="BG236" s="10"/>
      <c r="BH236" s="10"/>
      <c r="BI236" s="10"/>
      <c r="BJ236" s="10"/>
      <c r="BK236" s="10"/>
      <c r="BL236" s="10"/>
      <c r="BM236" s="10"/>
    </row>
    <row r="237" spans="3:65">
      <c r="C237" s="382" t="s">
        <v>274</v>
      </c>
      <c r="D237" s="382" t="s">
        <v>275</v>
      </c>
      <c r="E237" s="382">
        <v>18643.715671818416</v>
      </c>
      <c r="F237" s="382">
        <v>4710.1247478541009</v>
      </c>
      <c r="G237" s="382">
        <v>4016.9527728294561</v>
      </c>
      <c r="H237" s="382">
        <v>7684.4575335415593</v>
      </c>
      <c r="I237" s="382">
        <v>28574.251051882959</v>
      </c>
      <c r="J237" s="382">
        <v>2220.8029179844862</v>
      </c>
      <c r="K237" s="382">
        <v>2337.6839015013993</v>
      </c>
      <c r="L237" s="382">
        <v>0</v>
      </c>
      <c r="M237" s="382">
        <v>0</v>
      </c>
      <c r="N237" s="382">
        <v>0</v>
      </c>
      <c r="O237" s="382">
        <v>0</v>
      </c>
      <c r="P237" s="382">
        <v>4811.1457280648701</v>
      </c>
      <c r="Q237" s="382">
        <v>0</v>
      </c>
      <c r="R237" s="382">
        <v>0</v>
      </c>
      <c r="S237" s="382">
        <v>0</v>
      </c>
      <c r="T237" s="382">
        <v>0</v>
      </c>
      <c r="U237" s="382">
        <v>0</v>
      </c>
      <c r="V237" s="382">
        <v>0</v>
      </c>
      <c r="W237" s="382">
        <v>72999.134325477251</v>
      </c>
      <c r="Z237" s="10"/>
      <c r="AU237" s="10"/>
      <c r="AV237" s="10"/>
      <c r="AW237" s="10"/>
      <c r="AX237" s="10"/>
      <c r="AY237" s="10"/>
      <c r="AZ237" s="10"/>
      <c r="BA237" s="10"/>
      <c r="BB237" s="10"/>
      <c r="BC237" s="10"/>
      <c r="BD237" s="10"/>
      <c r="BE237" s="10"/>
      <c r="BF237" s="10"/>
      <c r="BG237" s="10"/>
      <c r="BH237" s="10"/>
      <c r="BI237" s="10"/>
      <c r="BJ237" s="10"/>
      <c r="BK237" s="10"/>
      <c r="BL237" s="10"/>
      <c r="BM237" s="10"/>
    </row>
    <row r="238" spans="3:65">
      <c r="C238" s="382" t="s">
        <v>276</v>
      </c>
      <c r="D238" s="382" t="s">
        <v>758</v>
      </c>
      <c r="E238" s="382">
        <v>254527.24348740725</v>
      </c>
      <c r="F238" s="382">
        <v>32054.991026031599</v>
      </c>
      <c r="G238" s="382">
        <v>96614.607710697877</v>
      </c>
      <c r="H238" s="382">
        <v>4683.1313553347927</v>
      </c>
      <c r="I238" s="382">
        <v>4858.1373355417782</v>
      </c>
      <c r="J238" s="382">
        <v>17126.357090954643</v>
      </c>
      <c r="K238" s="382">
        <v>520943.13167362387</v>
      </c>
      <c r="L238" s="382">
        <v>48773.455282822717</v>
      </c>
      <c r="M238" s="382">
        <v>374668.60950777674</v>
      </c>
      <c r="N238" s="382">
        <v>279018.8882487524</v>
      </c>
      <c r="O238" s="382">
        <v>80633.276267351073</v>
      </c>
      <c r="P238" s="382">
        <v>432578.43686397123</v>
      </c>
      <c r="Q238" s="382">
        <v>373971.3676563456</v>
      </c>
      <c r="R238" s="382">
        <v>38796.631296884691</v>
      </c>
      <c r="S238" s="382">
        <v>66141.922635676965</v>
      </c>
      <c r="T238" s="382">
        <v>130770.31159923441</v>
      </c>
      <c r="U238" s="382">
        <v>5781.7047945583117</v>
      </c>
      <c r="V238" s="382">
        <v>1001.7961670338925</v>
      </c>
      <c r="W238" s="382">
        <v>2762943.9999999995</v>
      </c>
      <c r="Z238" s="10"/>
      <c r="AU238" s="10"/>
      <c r="AV238" s="10"/>
      <c r="AW238" s="10"/>
      <c r="AX238" s="10"/>
      <c r="AY238" s="10"/>
      <c r="AZ238" s="10"/>
      <c r="BA238" s="10"/>
      <c r="BB238" s="10"/>
      <c r="BC238" s="10"/>
      <c r="BD238" s="10"/>
      <c r="BE238" s="10"/>
      <c r="BF238" s="10"/>
      <c r="BG238" s="10"/>
      <c r="BH238" s="10"/>
      <c r="BI238" s="10"/>
      <c r="BJ238" s="10"/>
      <c r="BK238" s="10"/>
      <c r="BL238" s="10"/>
      <c r="BM238" s="10"/>
    </row>
    <row r="239" spans="3:65">
      <c r="C239" s="382" t="s">
        <v>277</v>
      </c>
      <c r="D239" s="382" t="s">
        <v>759</v>
      </c>
      <c r="E239" s="382">
        <v>37672.998562289475</v>
      </c>
      <c r="F239" s="382">
        <v>4160.0954786938155</v>
      </c>
      <c r="G239" s="382">
        <v>6629.2962206137599</v>
      </c>
      <c r="H239" s="382">
        <v>18890.153533244546</v>
      </c>
      <c r="I239" s="382">
        <v>63519.073501141909</v>
      </c>
      <c r="J239" s="382">
        <v>2018.6926554136994</v>
      </c>
      <c r="K239" s="382">
        <v>5993.1817942170383</v>
      </c>
      <c r="L239" s="382">
        <v>5096.7849197173127</v>
      </c>
      <c r="M239" s="382">
        <v>39361.184739572382</v>
      </c>
      <c r="N239" s="382">
        <v>17132.824734473194</v>
      </c>
      <c r="O239" s="382">
        <v>2384.4955210453054</v>
      </c>
      <c r="P239" s="382">
        <v>27166.553823461905</v>
      </c>
      <c r="Q239" s="382">
        <v>110755.32331234231</v>
      </c>
      <c r="R239" s="382">
        <v>4028.9757427506638</v>
      </c>
      <c r="S239" s="382">
        <v>1866.9981643051615</v>
      </c>
      <c r="T239" s="382">
        <v>10036.553730512363</v>
      </c>
      <c r="U239" s="382">
        <v>865.34828295728732</v>
      </c>
      <c r="V239" s="382">
        <v>980.46528324786073</v>
      </c>
      <c r="W239" s="382">
        <v>358559.00000000006</v>
      </c>
      <c r="Z239" s="10"/>
      <c r="AU239" s="10"/>
      <c r="AV239" s="10"/>
      <c r="AW239" s="10"/>
      <c r="AX239" s="10"/>
      <c r="AY239" s="10"/>
      <c r="AZ239" s="10"/>
      <c r="BA239" s="10"/>
      <c r="BB239" s="10"/>
      <c r="BC239" s="10"/>
      <c r="BD239" s="10"/>
      <c r="BE239" s="10"/>
      <c r="BF239" s="10"/>
      <c r="BG239" s="10"/>
      <c r="BH239" s="10"/>
      <c r="BI239" s="10"/>
      <c r="BJ239" s="10"/>
      <c r="BK239" s="10"/>
      <c r="BL239" s="10"/>
      <c r="BM239" s="10"/>
    </row>
    <row r="240" spans="3:65">
      <c r="C240" s="382" t="s">
        <v>278</v>
      </c>
      <c r="D240" s="382" t="s">
        <v>760</v>
      </c>
      <c r="E240" s="382">
        <v>56914.197226321434</v>
      </c>
      <c r="F240" s="382">
        <v>5733.966492763253</v>
      </c>
      <c r="G240" s="382">
        <v>10482.37967931781</v>
      </c>
      <c r="H240" s="382">
        <v>5791.0486813784983</v>
      </c>
      <c r="I240" s="382">
        <v>17943.289415252962</v>
      </c>
      <c r="J240" s="382">
        <v>10527.607801157752</v>
      </c>
      <c r="K240" s="382">
        <v>7472.4093964675685</v>
      </c>
      <c r="L240" s="382">
        <v>5065.8857405027911</v>
      </c>
      <c r="M240" s="382">
        <v>108409.38805637289</v>
      </c>
      <c r="N240" s="382">
        <v>33760.952115353022</v>
      </c>
      <c r="O240" s="382">
        <v>1722.7476392632689</v>
      </c>
      <c r="P240" s="382">
        <v>25160.785687219784</v>
      </c>
      <c r="Q240" s="382">
        <v>16602.482009951666</v>
      </c>
      <c r="R240" s="382">
        <v>19933.473973131444</v>
      </c>
      <c r="S240" s="382">
        <v>2947.6219959441614</v>
      </c>
      <c r="T240" s="382">
        <v>45516.123614231932</v>
      </c>
      <c r="U240" s="382">
        <v>1155.2993814946753</v>
      </c>
      <c r="V240" s="382">
        <v>1128.3410938750546</v>
      </c>
      <c r="W240" s="382">
        <v>376268</v>
      </c>
      <c r="Z240" s="10"/>
      <c r="AU240" s="10"/>
      <c r="AV240" s="10"/>
      <c r="AW240" s="10"/>
      <c r="AX240" s="10"/>
      <c r="AY240" s="10"/>
      <c r="AZ240" s="10"/>
      <c r="BA240" s="10"/>
      <c r="BB240" s="10"/>
      <c r="BC240" s="10"/>
      <c r="BD240" s="10"/>
      <c r="BE240" s="10"/>
      <c r="BF240" s="10"/>
      <c r="BG240" s="10"/>
      <c r="BH240" s="10"/>
      <c r="BI240" s="10"/>
      <c r="BJ240" s="10"/>
      <c r="BK240" s="10"/>
      <c r="BL240" s="10"/>
      <c r="BM240" s="10"/>
    </row>
    <row r="241" spans="3:65">
      <c r="C241" s="382" t="s">
        <v>279</v>
      </c>
      <c r="D241" s="382" t="s">
        <v>280</v>
      </c>
      <c r="E241" s="382">
        <v>8546.458375543134</v>
      </c>
      <c r="F241" s="382">
        <v>4442.6310708110977</v>
      </c>
      <c r="G241" s="382">
        <v>868.61970043662882</v>
      </c>
      <c r="H241" s="382">
        <v>169.65760513768416</v>
      </c>
      <c r="I241" s="382">
        <v>364.68836072134155</v>
      </c>
      <c r="J241" s="382">
        <v>228.53927961048558</v>
      </c>
      <c r="K241" s="382">
        <v>13411.610765453341</v>
      </c>
      <c r="L241" s="382">
        <v>8901.706025365911</v>
      </c>
      <c r="M241" s="382">
        <v>30290.496216637348</v>
      </c>
      <c r="N241" s="382">
        <v>8952.8574247421002</v>
      </c>
      <c r="O241" s="382">
        <v>421.19768054434638</v>
      </c>
      <c r="P241" s="382">
        <v>6538.3997179508988</v>
      </c>
      <c r="Q241" s="382">
        <v>6998.94944367484</v>
      </c>
      <c r="R241" s="382">
        <v>892.33388537555197</v>
      </c>
      <c r="S241" s="382">
        <v>2320.9825773964067</v>
      </c>
      <c r="T241" s="382">
        <v>7243.7966862700332</v>
      </c>
      <c r="U241" s="382">
        <v>5445.1408974538426</v>
      </c>
      <c r="V241" s="382">
        <v>39.934286874999628</v>
      </c>
      <c r="W241" s="382">
        <v>106077.99999999999</v>
      </c>
      <c r="Z241" s="10"/>
      <c r="AU241" s="10"/>
      <c r="AV241" s="10"/>
      <c r="AW241" s="10"/>
      <c r="AX241" s="10"/>
      <c r="AY241" s="10"/>
      <c r="AZ241" s="10"/>
      <c r="BA241" s="10"/>
      <c r="BB241" s="10"/>
      <c r="BC241" s="10"/>
      <c r="BD241" s="10"/>
      <c r="BE241" s="10"/>
      <c r="BF241" s="10"/>
      <c r="BG241" s="10"/>
      <c r="BH241" s="10"/>
      <c r="BI241" s="10"/>
      <c r="BJ241" s="10"/>
      <c r="BK241" s="10"/>
      <c r="BL241" s="10"/>
      <c r="BM241" s="10"/>
    </row>
    <row r="242" spans="3:65">
      <c r="C242" s="382" t="s">
        <v>281</v>
      </c>
      <c r="D242" s="382" t="s">
        <v>761</v>
      </c>
      <c r="E242" s="382">
        <v>-332392.55614273506</v>
      </c>
      <c r="F242" s="382">
        <v>-57436.425568989143</v>
      </c>
      <c r="G242" s="382">
        <v>-48201.063750782865</v>
      </c>
      <c r="H242" s="382">
        <v>-45845.007638041454</v>
      </c>
      <c r="I242" s="382">
        <v>-93564.072588244439</v>
      </c>
      <c r="J242" s="382">
        <v>-26562.612143283121</v>
      </c>
      <c r="K242" s="382">
        <v>-99674.246987330494</v>
      </c>
      <c r="L242" s="382">
        <v>-98310.422661176999</v>
      </c>
      <c r="M242" s="382">
        <v>-328119.73444198997</v>
      </c>
      <c r="N242" s="382">
        <v>-210721.93978967494</v>
      </c>
      <c r="O242" s="382">
        <v>-46061.400705097141</v>
      </c>
      <c r="P242" s="382">
        <v>-116218.45537131764</v>
      </c>
      <c r="Q242" s="382">
        <v>-249570.4941814724</v>
      </c>
      <c r="R242" s="382">
        <v>-62664.780696839582</v>
      </c>
      <c r="S242" s="382">
        <v>-29350.197698302782</v>
      </c>
      <c r="T242" s="382">
        <v>-103753.29036651066</v>
      </c>
      <c r="U242" s="382">
        <v>-12986.539124096304</v>
      </c>
      <c r="V242" s="382">
        <v>-7045.7601441149145</v>
      </c>
      <c r="W242" s="382">
        <v>-1968479</v>
      </c>
      <c r="Z242" s="10"/>
      <c r="AU242" s="10"/>
      <c r="AV242" s="10"/>
      <c r="AW242" s="10"/>
      <c r="AX242" s="10"/>
      <c r="AY242" s="10"/>
      <c r="AZ242" s="10"/>
      <c r="BA242" s="10"/>
      <c r="BB242" s="10"/>
      <c r="BC242" s="10"/>
      <c r="BD242" s="10"/>
      <c r="BE242" s="10"/>
      <c r="BF242" s="10"/>
      <c r="BG242" s="10"/>
      <c r="BH242" s="10"/>
      <c r="BI242" s="10"/>
      <c r="BJ242" s="10"/>
      <c r="BK242" s="10"/>
      <c r="BL242" s="10"/>
      <c r="BM242" s="10"/>
    </row>
    <row r="243" spans="3:65">
      <c r="C243" s="382" t="s">
        <v>282</v>
      </c>
      <c r="D243" s="382" t="s">
        <v>762</v>
      </c>
      <c r="E243" s="382">
        <v>-88181.369792121899</v>
      </c>
      <c r="F243" s="382">
        <v>-12174.108859199523</v>
      </c>
      <c r="G243" s="382">
        <v>-8160.5048271564519</v>
      </c>
      <c r="H243" s="382">
        <v>-15506.923970986443</v>
      </c>
      <c r="I243" s="382">
        <v>-36194.370871642481</v>
      </c>
      <c r="J243" s="382">
        <v>-3009.4980962237096</v>
      </c>
      <c r="K243" s="382">
        <v>-28895.07551174051</v>
      </c>
      <c r="L243" s="382">
        <v>-24715.446644091233</v>
      </c>
      <c r="M243" s="382">
        <v>-77223.050676110244</v>
      </c>
      <c r="N243" s="382">
        <v>-48575.238477453815</v>
      </c>
      <c r="O243" s="382">
        <v>-15273.117459518377</v>
      </c>
      <c r="P243" s="382">
        <v>-20594.419179841774</v>
      </c>
      <c r="Q243" s="382">
        <v>-103128.68889078623</v>
      </c>
      <c r="R243" s="382">
        <v>-10822.375137017294</v>
      </c>
      <c r="S243" s="382">
        <v>-6003.05939222906</v>
      </c>
      <c r="T243" s="382">
        <v>-14301.003535139942</v>
      </c>
      <c r="U243" s="382">
        <v>-3428.2045440088168</v>
      </c>
      <c r="V243" s="382">
        <v>2465.8210052678141</v>
      </c>
      <c r="W243" s="382">
        <v>-513720.63486000005</v>
      </c>
      <c r="Z243" s="10"/>
      <c r="AU243" s="10"/>
      <c r="AV243" s="10"/>
      <c r="AW243" s="10"/>
      <c r="AX243" s="10"/>
      <c r="AY243" s="10"/>
      <c r="AZ243" s="10"/>
      <c r="BA243" s="10"/>
      <c r="BB243" s="10"/>
      <c r="BC243" s="10"/>
      <c r="BD243" s="10"/>
      <c r="BE243" s="10"/>
      <c r="BF243" s="10"/>
      <c r="BG243" s="10"/>
      <c r="BH243" s="10"/>
      <c r="BI243" s="10"/>
      <c r="BJ243" s="10"/>
      <c r="BK243" s="10"/>
      <c r="BL243" s="10"/>
      <c r="BM243" s="10"/>
    </row>
    <row r="244" spans="3:65">
      <c r="C244" s="382" t="s">
        <v>283</v>
      </c>
      <c r="D244" s="382" t="s">
        <v>763</v>
      </c>
      <c r="E244" s="382">
        <v>-154383.62779670983</v>
      </c>
      <c r="F244" s="382">
        <v>-56606.866593843326</v>
      </c>
      <c r="G244" s="382">
        <v>-22697.603425905749</v>
      </c>
      <c r="H244" s="382">
        <v>-10833.920842231222</v>
      </c>
      <c r="I244" s="382">
        <v>-19811.647843952505</v>
      </c>
      <c r="J244" s="382">
        <v>-8118.2488957253163</v>
      </c>
      <c r="K244" s="382">
        <v>-82351.311394271121</v>
      </c>
      <c r="L244" s="382">
        <v>-77972.215660209258</v>
      </c>
      <c r="M244" s="382">
        <v>-234446.01127016929</v>
      </c>
      <c r="N244" s="382">
        <v>-145395.52654778358</v>
      </c>
      <c r="O244" s="382">
        <v>-18667.809143789949</v>
      </c>
      <c r="P244" s="382">
        <v>-95528.112229021965</v>
      </c>
      <c r="Q244" s="382">
        <v>-156136.79925906123</v>
      </c>
      <c r="R244" s="382">
        <v>-38472.87354598978</v>
      </c>
      <c r="S244" s="382">
        <v>-39266.039784783483</v>
      </c>
      <c r="T244" s="382">
        <v>-84037.20971481991</v>
      </c>
      <c r="U244" s="382">
        <v>-27158.663871576966</v>
      </c>
      <c r="V244" s="382">
        <v>-1822.1121801559123</v>
      </c>
      <c r="W244" s="382">
        <v>-1273706.6000000006</v>
      </c>
      <c r="Z244" s="10"/>
      <c r="AU244" s="10"/>
      <c r="AV244" s="10"/>
      <c r="AW244" s="10"/>
      <c r="AX244" s="10"/>
      <c r="AY244" s="10"/>
      <c r="AZ244" s="10"/>
      <c r="BA244" s="10"/>
      <c r="BB244" s="10"/>
      <c r="BC244" s="10"/>
      <c r="BD244" s="10"/>
      <c r="BE244" s="10"/>
      <c r="BF244" s="10"/>
      <c r="BG244" s="10"/>
      <c r="BH244" s="10"/>
      <c r="BI244" s="10"/>
      <c r="BJ244" s="10"/>
      <c r="BK244" s="10"/>
      <c r="BL244" s="10"/>
      <c r="BM244" s="10"/>
    </row>
    <row r="245" spans="3:65">
      <c r="C245" s="382" t="s">
        <v>284</v>
      </c>
      <c r="D245" s="382" t="s">
        <v>285</v>
      </c>
      <c r="E245" s="382">
        <v>69804.438906176787</v>
      </c>
      <c r="F245" s="382">
        <v>28438.869867870424</v>
      </c>
      <c r="G245" s="382">
        <v>20764.928984318267</v>
      </c>
      <c r="H245" s="382">
        <v>597.80778428509757</v>
      </c>
      <c r="I245" s="382">
        <v>1285.0207375051805</v>
      </c>
      <c r="J245" s="382">
        <v>805.28403224354065</v>
      </c>
      <c r="K245" s="382">
        <v>2986.06524941814</v>
      </c>
      <c r="L245" s="382">
        <v>70582.092131258847</v>
      </c>
      <c r="M245" s="382">
        <v>61782.21339722797</v>
      </c>
      <c r="N245" s="382">
        <v>27578.474036970092</v>
      </c>
      <c r="O245" s="382">
        <v>1484.1377252018603</v>
      </c>
      <c r="P245" s="382">
        <v>50554.153559013146</v>
      </c>
      <c r="Q245" s="382">
        <v>10526.80939275717</v>
      </c>
      <c r="R245" s="382">
        <v>1793.5210860091465</v>
      </c>
      <c r="S245" s="382">
        <v>5727.1317630809463</v>
      </c>
      <c r="T245" s="382">
        <v>18435.318006642792</v>
      </c>
      <c r="U245" s="382">
        <v>490.86597782310639</v>
      </c>
      <c r="V245" s="382">
        <v>140.71298209340532</v>
      </c>
      <c r="W245" s="382">
        <v>373777.84561989596</v>
      </c>
      <c r="Z245" s="10"/>
      <c r="AU245" s="10"/>
      <c r="AV245" s="10"/>
      <c r="AW245" s="10"/>
      <c r="AX245" s="10"/>
      <c r="AY245" s="10"/>
      <c r="AZ245" s="10"/>
      <c r="BA245" s="10"/>
      <c r="BB245" s="10"/>
      <c r="BC245" s="10"/>
      <c r="BD245" s="10"/>
      <c r="BE245" s="10"/>
      <c r="BF245" s="10"/>
      <c r="BG245" s="10"/>
      <c r="BH245" s="10"/>
      <c r="BI245" s="10"/>
      <c r="BJ245" s="10"/>
      <c r="BK245" s="10"/>
      <c r="BL245" s="10"/>
      <c r="BM245" s="10"/>
    </row>
    <row r="246" spans="3:65">
      <c r="C246" s="382" t="s">
        <v>286</v>
      </c>
      <c r="D246" s="382" t="s">
        <v>287</v>
      </c>
      <c r="E246" s="382">
        <v>9722.2799719619597</v>
      </c>
      <c r="F246" s="382">
        <v>2496.8331089359208</v>
      </c>
      <c r="G246" s="382">
        <v>1551.1674075158269</v>
      </c>
      <c r="H246" s="382">
        <v>399.37386026518806</v>
      </c>
      <c r="I246" s="382">
        <v>414.29823641046499</v>
      </c>
      <c r="J246" s="382">
        <v>703.58414273973904</v>
      </c>
      <c r="K246" s="382">
        <v>1985.5108090712338</v>
      </c>
      <c r="L246" s="382">
        <v>3085.9816570747112</v>
      </c>
      <c r="M246" s="382">
        <v>22139.16681406994</v>
      </c>
      <c r="N246" s="382">
        <v>8324.1250429951033</v>
      </c>
      <c r="O246" s="382">
        <v>797.29912963561992</v>
      </c>
      <c r="P246" s="382">
        <v>2447.4944524809171</v>
      </c>
      <c r="Q246" s="382">
        <v>24401.689577922367</v>
      </c>
      <c r="R246" s="382">
        <v>1325.5205626218799</v>
      </c>
      <c r="S246" s="382">
        <v>1772.8918491527547</v>
      </c>
      <c r="T246" s="382">
        <v>173126.2547192825</v>
      </c>
      <c r="U246" s="382">
        <v>332.05216692553245</v>
      </c>
      <c r="V246" s="382">
        <v>85.432410938341619</v>
      </c>
      <c r="W246" s="382">
        <v>255110.95592000001</v>
      </c>
      <c r="Z246" s="10"/>
      <c r="AU246" s="10"/>
      <c r="AV246" s="10"/>
      <c r="AW246" s="10"/>
      <c r="AX246" s="10"/>
      <c r="AY246" s="10"/>
      <c r="AZ246" s="10"/>
      <c r="BA246" s="10"/>
      <c r="BB246" s="10"/>
      <c r="BC246" s="10"/>
      <c r="BD246" s="10"/>
      <c r="BE246" s="10"/>
      <c r="BF246" s="10"/>
      <c r="BG246" s="10"/>
      <c r="BH246" s="10"/>
      <c r="BI246" s="10"/>
      <c r="BJ246" s="10"/>
      <c r="BK246" s="10"/>
      <c r="BL246" s="10"/>
      <c r="BM246" s="10"/>
    </row>
    <row r="247" spans="3:65">
      <c r="C247" s="382" t="s">
        <v>1210</v>
      </c>
      <c r="D247" s="382" t="s">
        <v>1211</v>
      </c>
      <c r="E247" s="382">
        <v>0.97438132129614918</v>
      </c>
      <c r="F247" s="382">
        <v>0.18605160801725051</v>
      </c>
      <c r="G247" s="382">
        <v>0.13191218962234241</v>
      </c>
      <c r="H247" s="382">
        <v>0.15216291360946965</v>
      </c>
      <c r="I247" s="382">
        <v>18.896485352935599</v>
      </c>
      <c r="J247" s="382">
        <v>7.4824104369680761E-2</v>
      </c>
      <c r="K247" s="382">
        <v>0.32073382197681066</v>
      </c>
      <c r="L247" s="382">
        <v>0.24463473905507577</v>
      </c>
      <c r="M247" s="382">
        <v>1.0894944117187384</v>
      </c>
      <c r="N247" s="382">
        <v>0.62363215824914109</v>
      </c>
      <c r="O247" s="382">
        <v>0.12284377200707222</v>
      </c>
      <c r="P247" s="382">
        <v>0.34376942203683891</v>
      </c>
      <c r="Q247" s="382">
        <v>1.0144287189618124</v>
      </c>
      <c r="R247" s="382">
        <v>0.1772052283398311</v>
      </c>
      <c r="S247" s="382">
        <v>9.6073900060663658E-2</v>
      </c>
      <c r="T247" s="382">
        <v>0.33719778594857913</v>
      </c>
      <c r="U247" s="382">
        <v>4.4044189521809191E-2</v>
      </c>
      <c r="V247" s="382">
        <v>2.0124362273138956E-2</v>
      </c>
      <c r="W247" s="382">
        <v>24.850000000000005</v>
      </c>
      <c r="Z247" s="10"/>
      <c r="AU247" s="10"/>
      <c r="AV247" s="10"/>
      <c r="AW247" s="10"/>
      <c r="AX247" s="10"/>
      <c r="AY247" s="10"/>
      <c r="AZ247" s="10"/>
      <c r="BA247" s="10"/>
      <c r="BB247" s="10"/>
      <c r="BC247" s="10"/>
      <c r="BD247" s="10"/>
      <c r="BE247" s="10"/>
      <c r="BF247" s="10"/>
      <c r="BG247" s="10"/>
      <c r="BH247" s="10"/>
      <c r="BI247" s="10"/>
      <c r="BJ247" s="10"/>
      <c r="BK247" s="10"/>
      <c r="BL247" s="10"/>
      <c r="BM247" s="10"/>
    </row>
    <row r="248" spans="3:65">
      <c r="C248" s="382" t="s">
        <v>226</v>
      </c>
      <c r="D248" s="382" t="s">
        <v>764</v>
      </c>
      <c r="E248" s="382">
        <v>0</v>
      </c>
      <c r="F248" s="382">
        <v>0</v>
      </c>
      <c r="G248" s="382">
        <v>0</v>
      </c>
      <c r="H248" s="382">
        <v>0</v>
      </c>
      <c r="I248" s="382">
        <v>0</v>
      </c>
      <c r="J248" s="382">
        <v>0</v>
      </c>
      <c r="K248" s="382">
        <v>0</v>
      </c>
      <c r="L248" s="382">
        <v>0</v>
      </c>
      <c r="M248" s="382">
        <v>0</v>
      </c>
      <c r="N248" s="382">
        <v>0</v>
      </c>
      <c r="O248" s="382">
        <v>0</v>
      </c>
      <c r="P248" s="382">
        <v>0</v>
      </c>
      <c r="Q248" s="382">
        <v>0</v>
      </c>
      <c r="R248" s="382">
        <v>0</v>
      </c>
      <c r="S248" s="382">
        <v>4351.1654260556852</v>
      </c>
      <c r="T248" s="382">
        <v>14857.215940025832</v>
      </c>
      <c r="U248" s="382">
        <v>0</v>
      </c>
      <c r="V248" s="382">
        <v>0</v>
      </c>
      <c r="W248" s="382">
        <v>19208.381366081518</v>
      </c>
      <c r="Z248" s="10"/>
      <c r="AU248" s="10"/>
      <c r="AV248" s="10"/>
      <c r="AW248" s="10"/>
      <c r="AX248" s="10"/>
      <c r="AY248" s="10"/>
      <c r="AZ248" s="10"/>
      <c r="BA248" s="10"/>
      <c r="BB248" s="10"/>
      <c r="BC248" s="10"/>
      <c r="BD248" s="10"/>
      <c r="BE248" s="10"/>
      <c r="BF248" s="10"/>
      <c r="BG248" s="10"/>
      <c r="BH248" s="10"/>
      <c r="BI248" s="10"/>
      <c r="BJ248" s="10"/>
      <c r="BK248" s="10"/>
      <c r="BL248" s="10"/>
      <c r="BM248" s="10"/>
    </row>
    <row r="249" spans="3:65">
      <c r="C249" s="382"/>
      <c r="D249" s="382" t="s">
        <v>668</v>
      </c>
      <c r="E249" s="382">
        <v>1102008.5810048033</v>
      </c>
      <c r="F249" s="382">
        <v>375407.93206297653</v>
      </c>
      <c r="G249" s="382">
        <v>275906.00633327657</v>
      </c>
      <c r="H249" s="382">
        <v>108375.73149018457</v>
      </c>
      <c r="I249" s="382">
        <v>262635.47653236223</v>
      </c>
      <c r="J249" s="382">
        <v>120362.22540694827</v>
      </c>
      <c r="K249" s="382">
        <v>852208.15464220382</v>
      </c>
      <c r="L249" s="382">
        <v>333514.17367116606</v>
      </c>
      <c r="M249" s="382">
        <v>851669.81243342906</v>
      </c>
      <c r="N249" s="382">
        <v>402798.04455083481</v>
      </c>
      <c r="O249" s="382">
        <v>216373.36827468016</v>
      </c>
      <c r="P249" s="382">
        <v>716624.04677882767</v>
      </c>
      <c r="Q249" s="382">
        <v>715782.45728155843</v>
      </c>
      <c r="R249" s="382">
        <v>169134.92467224548</v>
      </c>
      <c r="S249" s="382">
        <v>105393.53195345182</v>
      </c>
      <c r="T249" s="382">
        <v>458999.49004660023</v>
      </c>
      <c r="U249" s="382">
        <v>63155.775818632035</v>
      </c>
      <c r="V249" s="382">
        <v>42779.316967691753</v>
      </c>
      <c r="W249" s="382">
        <v>7173129.0499218702</v>
      </c>
      <c r="Z249" s="10"/>
      <c r="AU249" s="10"/>
      <c r="AV249" s="10"/>
      <c r="AW249" s="10"/>
      <c r="AX249" s="10"/>
      <c r="AY249" s="10"/>
      <c r="AZ249" s="10"/>
      <c r="BA249" s="10"/>
      <c r="BB249" s="10"/>
      <c r="BC249" s="10"/>
      <c r="BD249" s="10"/>
      <c r="BE249" s="10"/>
      <c r="BF249" s="10"/>
      <c r="BG249" s="10"/>
      <c r="BH249" s="10"/>
      <c r="BI249" s="10"/>
      <c r="BJ249" s="10"/>
      <c r="BK249" s="10"/>
      <c r="BL249" s="10"/>
      <c r="BM249" s="10"/>
    </row>
    <row r="250" spans="3:65">
      <c r="C250" s="382" t="s">
        <v>655</v>
      </c>
      <c r="D250" s="382" t="s">
        <v>55</v>
      </c>
      <c r="E250" s="382" t="s">
        <v>9</v>
      </c>
      <c r="F250" s="382" t="s">
        <v>10</v>
      </c>
      <c r="G250" s="382" t="s">
        <v>11</v>
      </c>
      <c r="H250" s="382" t="s">
        <v>31</v>
      </c>
      <c r="I250" s="382" t="s">
        <v>12</v>
      </c>
      <c r="J250" s="382" t="s">
        <v>13</v>
      </c>
      <c r="K250" s="382" t="s">
        <v>14</v>
      </c>
      <c r="L250" s="382" t="s">
        <v>15</v>
      </c>
      <c r="M250" s="382" t="s">
        <v>16</v>
      </c>
      <c r="N250" s="382" t="s">
        <v>17</v>
      </c>
      <c r="O250" s="382" t="s">
        <v>18</v>
      </c>
      <c r="P250" s="382" t="s">
        <v>19</v>
      </c>
      <c r="Q250" s="382" t="s">
        <v>20</v>
      </c>
      <c r="R250" s="382" t="s">
        <v>60</v>
      </c>
      <c r="S250" s="382" t="s">
        <v>61</v>
      </c>
      <c r="T250" s="382" t="s">
        <v>62</v>
      </c>
      <c r="U250" s="382" t="s">
        <v>63</v>
      </c>
      <c r="V250" s="382" t="s">
        <v>64</v>
      </c>
      <c r="W250" s="382" t="s">
        <v>656</v>
      </c>
      <c r="Z250" s="10"/>
      <c r="AU250" s="10"/>
      <c r="AV250" s="10"/>
      <c r="AW250" s="10"/>
      <c r="AX250" s="10"/>
      <c r="AY250" s="10"/>
      <c r="AZ250" s="10"/>
      <c r="BA250" s="10"/>
      <c r="BB250" s="10"/>
      <c r="BC250" s="10"/>
      <c r="BD250" s="10"/>
      <c r="BE250" s="10"/>
      <c r="BF250" s="10"/>
      <c r="BG250" s="10"/>
      <c r="BH250" s="10"/>
      <c r="BI250" s="10"/>
      <c r="BJ250" s="10"/>
      <c r="BK250" s="10"/>
      <c r="BL250" s="10"/>
      <c r="BM250" s="10"/>
    </row>
    <row r="251" spans="3:65">
      <c r="C251" s="382" t="s">
        <v>629</v>
      </c>
      <c r="D251" s="382" t="s">
        <v>765</v>
      </c>
      <c r="E251" s="382">
        <v>893054.25200244365</v>
      </c>
      <c r="F251" s="382">
        <v>0</v>
      </c>
      <c r="G251" s="382">
        <v>0</v>
      </c>
      <c r="H251" s="382">
        <v>0</v>
      </c>
      <c r="I251" s="382">
        <v>0</v>
      </c>
      <c r="J251" s="382">
        <v>0</v>
      </c>
      <c r="K251" s="382">
        <v>0</v>
      </c>
      <c r="L251" s="382">
        <v>0</v>
      </c>
      <c r="M251" s="382">
        <v>0</v>
      </c>
      <c r="N251" s="382">
        <v>0</v>
      </c>
      <c r="O251" s="382">
        <v>130568.29425631771</v>
      </c>
      <c r="P251" s="382">
        <v>0</v>
      </c>
      <c r="Q251" s="382">
        <v>0</v>
      </c>
      <c r="R251" s="382">
        <v>0</v>
      </c>
      <c r="S251" s="382">
        <v>0</v>
      </c>
      <c r="T251" s="382">
        <v>0</v>
      </c>
      <c r="U251" s="382">
        <v>0</v>
      </c>
      <c r="V251" s="382">
        <v>0</v>
      </c>
      <c r="W251" s="382">
        <v>1023622.5462587613</v>
      </c>
      <c r="Z251" s="10"/>
      <c r="AU251" s="10"/>
      <c r="AV251" s="10"/>
      <c r="AW251" s="10"/>
      <c r="AX251" s="10"/>
      <c r="AY251" s="10"/>
      <c r="AZ251" s="10"/>
      <c r="BA251" s="10"/>
      <c r="BB251" s="10"/>
      <c r="BC251" s="10"/>
      <c r="BD251" s="10"/>
      <c r="BE251" s="10"/>
      <c r="BF251" s="10"/>
      <c r="BG251" s="10"/>
      <c r="BH251" s="10"/>
      <c r="BI251" s="10"/>
      <c r="BJ251" s="10"/>
      <c r="BK251" s="10"/>
      <c r="BL251" s="10"/>
      <c r="BM251" s="10"/>
    </row>
    <row r="252" spans="3:65">
      <c r="C252" s="382" t="s">
        <v>288</v>
      </c>
      <c r="D252" s="382" t="s">
        <v>766</v>
      </c>
      <c r="E252" s="382">
        <v>14471.84745329366</v>
      </c>
      <c r="F252" s="382">
        <v>877.92105847618882</v>
      </c>
      <c r="G252" s="382">
        <v>2462.5131207283653</v>
      </c>
      <c r="H252" s="382">
        <v>0</v>
      </c>
      <c r="I252" s="382">
        <v>522.86757432044749</v>
      </c>
      <c r="J252" s="382">
        <v>342.16389637635086</v>
      </c>
      <c r="K252" s="382">
        <v>13570.592824284948</v>
      </c>
      <c r="L252" s="382">
        <v>1155.0910431569475</v>
      </c>
      <c r="M252" s="382">
        <v>0</v>
      </c>
      <c r="N252" s="382">
        <v>37568.777781506651</v>
      </c>
      <c r="O252" s="382">
        <v>6206.0178509282541</v>
      </c>
      <c r="P252" s="382">
        <v>3143.2915276844469</v>
      </c>
      <c r="Q252" s="382">
        <v>0</v>
      </c>
      <c r="R252" s="382">
        <v>977.3417292437415</v>
      </c>
      <c r="S252" s="382">
        <v>0</v>
      </c>
      <c r="T252" s="382">
        <v>0</v>
      </c>
      <c r="U252" s="382">
        <v>0</v>
      </c>
      <c r="V252" s="382">
        <v>0</v>
      </c>
      <c r="W252" s="382">
        <v>81298.425860000003</v>
      </c>
      <c r="Z252" s="10"/>
      <c r="AU252" s="10"/>
      <c r="AV252" s="10"/>
      <c r="AW252" s="10"/>
      <c r="AX252" s="10"/>
      <c r="AY252" s="10"/>
      <c r="AZ252" s="10"/>
      <c r="BA252" s="10"/>
      <c r="BB252" s="10"/>
      <c r="BC252" s="10"/>
      <c r="BD252" s="10"/>
      <c r="BE252" s="10"/>
      <c r="BF252" s="10"/>
      <c r="BG252" s="10"/>
      <c r="BH252" s="10"/>
      <c r="BI252" s="10"/>
      <c r="BJ252" s="10"/>
      <c r="BK252" s="10"/>
      <c r="BL252" s="10"/>
      <c r="BM252" s="10"/>
    </row>
    <row r="253" spans="3:65">
      <c r="C253" s="382" t="s">
        <v>289</v>
      </c>
      <c r="D253" s="382" t="s">
        <v>767</v>
      </c>
      <c r="E253" s="382">
        <v>581.47441000000003</v>
      </c>
      <c r="F253" s="382">
        <v>582.55178999999998</v>
      </c>
      <c r="G253" s="382">
        <v>4787.5285200000008</v>
      </c>
      <c r="H253" s="382">
        <v>0</v>
      </c>
      <c r="I253" s="382">
        <v>0</v>
      </c>
      <c r="J253" s="382">
        <v>0</v>
      </c>
      <c r="K253" s="382">
        <v>2085.8729800000001</v>
      </c>
      <c r="L253" s="382">
        <v>0</v>
      </c>
      <c r="M253" s="382">
        <v>694.04198999999994</v>
      </c>
      <c r="N253" s="382">
        <v>0</v>
      </c>
      <c r="O253" s="382">
        <v>0</v>
      </c>
      <c r="P253" s="382">
        <v>1299.83079</v>
      </c>
      <c r="Q253" s="382">
        <v>0</v>
      </c>
      <c r="R253" s="382">
        <v>0</v>
      </c>
      <c r="S253" s="382">
        <v>0</v>
      </c>
      <c r="T253" s="382">
        <v>0</v>
      </c>
      <c r="U253" s="382">
        <v>0</v>
      </c>
      <c r="V253" s="382">
        <v>0</v>
      </c>
      <c r="W253" s="382">
        <v>10031.300480000002</v>
      </c>
      <c r="Z253" s="10"/>
      <c r="AU253" s="10"/>
      <c r="AV253" s="10"/>
      <c r="AW253" s="10"/>
      <c r="AX253" s="10"/>
      <c r="AY253" s="10"/>
      <c r="AZ253" s="10"/>
      <c r="BA253" s="10"/>
      <c r="BB253" s="10"/>
      <c r="BC253" s="10"/>
      <c r="BD253" s="10"/>
      <c r="BE253" s="10"/>
      <c r="BF253" s="10"/>
      <c r="BG253" s="10"/>
      <c r="BH253" s="10"/>
      <c r="BI253" s="10"/>
      <c r="BJ253" s="10"/>
      <c r="BK253" s="10"/>
      <c r="BL253" s="10"/>
      <c r="BM253" s="10"/>
    </row>
    <row r="254" spans="3:65">
      <c r="C254" s="382" t="s">
        <v>630</v>
      </c>
      <c r="D254" s="382" t="s">
        <v>768</v>
      </c>
      <c r="E254" s="382">
        <v>15163.090848571117</v>
      </c>
      <c r="F254" s="382">
        <v>41422.06314923388</v>
      </c>
      <c r="G254" s="382">
        <v>60853.280664651546</v>
      </c>
      <c r="H254" s="382">
        <v>48.357761228072668</v>
      </c>
      <c r="I254" s="382">
        <v>142.87362173256014</v>
      </c>
      <c r="J254" s="382">
        <v>519.89097883529939</v>
      </c>
      <c r="K254" s="382">
        <v>164904.83254497542</v>
      </c>
      <c r="L254" s="382">
        <v>6041.6953171533314</v>
      </c>
      <c r="M254" s="382">
        <v>4697.2269548957092</v>
      </c>
      <c r="N254" s="382">
        <v>1560.0844560180792</v>
      </c>
      <c r="O254" s="382">
        <v>184.70335629775278</v>
      </c>
      <c r="P254" s="382">
        <v>46596.669842627482</v>
      </c>
      <c r="Q254" s="382">
        <v>1469.2771414851613</v>
      </c>
      <c r="R254" s="382">
        <v>110.05471380456606</v>
      </c>
      <c r="S254" s="382">
        <v>13.171398514556172</v>
      </c>
      <c r="T254" s="382">
        <v>142.04040396459536</v>
      </c>
      <c r="U254" s="382">
        <v>30.759746011006349</v>
      </c>
      <c r="V254" s="382">
        <v>0</v>
      </c>
      <c r="W254" s="382">
        <v>343900.07290000014</v>
      </c>
      <c r="Z254" s="10"/>
      <c r="AU254" s="10"/>
      <c r="AV254" s="10"/>
      <c r="AW254" s="10"/>
      <c r="AX254" s="10"/>
      <c r="AY254" s="10"/>
      <c r="AZ254" s="10"/>
      <c r="BA254" s="10"/>
      <c r="BB254" s="10"/>
      <c r="BC254" s="10"/>
      <c r="BD254" s="10"/>
      <c r="BE254" s="10"/>
      <c r="BF254" s="10"/>
      <c r="BG254" s="10"/>
      <c r="BH254" s="10"/>
      <c r="BI254" s="10"/>
      <c r="BJ254" s="10"/>
      <c r="BK254" s="10"/>
      <c r="BL254" s="10"/>
      <c r="BM254" s="10"/>
    </row>
    <row r="255" spans="3:65">
      <c r="C255" s="382" t="s">
        <v>1212</v>
      </c>
      <c r="D255" s="382" t="s">
        <v>633</v>
      </c>
      <c r="E255" s="382">
        <v>0</v>
      </c>
      <c r="F255" s="382">
        <v>0</v>
      </c>
      <c r="G255" s="382">
        <v>0</v>
      </c>
      <c r="H255" s="382">
        <v>186574.29162666231</v>
      </c>
      <c r="I255" s="382">
        <v>637492.61997918214</v>
      </c>
      <c r="J255" s="382">
        <v>0</v>
      </c>
      <c r="K255" s="382">
        <v>0</v>
      </c>
      <c r="L255" s="382">
        <v>0</v>
      </c>
      <c r="M255" s="382">
        <v>0</v>
      </c>
      <c r="N255" s="382">
        <v>0</v>
      </c>
      <c r="O255" s="382">
        <v>0</v>
      </c>
      <c r="P255" s="382">
        <v>0</v>
      </c>
      <c r="Q255" s="382">
        <v>0</v>
      </c>
      <c r="R255" s="382">
        <v>0</v>
      </c>
      <c r="S255" s="382">
        <v>0</v>
      </c>
      <c r="T255" s="382">
        <v>0</v>
      </c>
      <c r="U255" s="382">
        <v>0</v>
      </c>
      <c r="V255" s="382">
        <v>56828.407504155526</v>
      </c>
      <c r="W255" s="382">
        <v>880895.31911000004</v>
      </c>
      <c r="Z255" s="10"/>
      <c r="AU255" s="10"/>
      <c r="AV255" s="10"/>
      <c r="AW255" s="10"/>
      <c r="AX255" s="10"/>
      <c r="AY255" s="10"/>
      <c r="AZ255" s="10"/>
      <c r="BA255" s="10"/>
      <c r="BB255" s="10"/>
      <c r="BC255" s="10"/>
      <c r="BD255" s="10"/>
      <c r="BE255" s="10"/>
      <c r="BF255" s="10"/>
      <c r="BG255" s="10"/>
      <c r="BH255" s="10"/>
      <c r="BI255" s="10"/>
      <c r="BJ255" s="10"/>
      <c r="BK255" s="10"/>
      <c r="BL255" s="10"/>
      <c r="BM255" s="10"/>
    </row>
    <row r="256" spans="3:65">
      <c r="C256" s="382" t="s">
        <v>290</v>
      </c>
      <c r="D256" s="382" t="s">
        <v>769</v>
      </c>
      <c r="E256" s="382">
        <v>721.09326366964547</v>
      </c>
      <c r="F256" s="382">
        <v>25.87887388552808</v>
      </c>
      <c r="G256" s="382">
        <v>0</v>
      </c>
      <c r="H256" s="382">
        <v>22276.25842813318</v>
      </c>
      <c r="I256" s="382">
        <v>41037.333068025473</v>
      </c>
      <c r="J256" s="382">
        <v>0</v>
      </c>
      <c r="K256" s="382">
        <v>108.93859162550058</v>
      </c>
      <c r="L256" s="382">
        <v>0</v>
      </c>
      <c r="M256" s="382">
        <v>1564.3277314780262</v>
      </c>
      <c r="N256" s="382">
        <v>985.28305384583518</v>
      </c>
      <c r="O256" s="382">
        <v>0</v>
      </c>
      <c r="P256" s="382">
        <v>0</v>
      </c>
      <c r="Q256" s="382">
        <v>639.33846062027146</v>
      </c>
      <c r="R256" s="382">
        <v>115.34393262252095</v>
      </c>
      <c r="S256" s="382">
        <v>30.013543061093923</v>
      </c>
      <c r="T256" s="382">
        <v>143.55624422504761</v>
      </c>
      <c r="U256" s="382">
        <v>17.115762389436664</v>
      </c>
      <c r="V256" s="382">
        <v>27037.903256418434</v>
      </c>
      <c r="W256" s="382">
        <v>94702.384210000004</v>
      </c>
      <c r="Z256" s="10"/>
      <c r="AU256" s="10"/>
      <c r="AV256" s="10"/>
      <c r="AW256" s="10"/>
      <c r="AX256" s="10"/>
      <c r="AY256" s="10"/>
      <c r="AZ256" s="10"/>
      <c r="BA256" s="10"/>
      <c r="BB256" s="10"/>
      <c r="BC256" s="10"/>
      <c r="BD256" s="10"/>
      <c r="BE256" s="10"/>
      <c r="BF256" s="10"/>
      <c r="BG256" s="10"/>
      <c r="BH256" s="10"/>
      <c r="BI256" s="10"/>
      <c r="BJ256" s="10"/>
      <c r="BK256" s="10"/>
      <c r="BL256" s="10"/>
      <c r="BM256" s="10"/>
    </row>
    <row r="257" spans="3:65">
      <c r="C257" s="382" t="s">
        <v>291</v>
      </c>
      <c r="D257" s="382" t="s">
        <v>770</v>
      </c>
      <c r="E257" s="382">
        <v>1606.022658918338</v>
      </c>
      <c r="F257" s="382">
        <v>245.4887180523119</v>
      </c>
      <c r="G257" s="382">
        <v>206.85214981776022</v>
      </c>
      <c r="H257" s="382">
        <v>126025.25756867236</v>
      </c>
      <c r="I257" s="382">
        <v>241041.19830746381</v>
      </c>
      <c r="J257" s="382">
        <v>120.72407599070151</v>
      </c>
      <c r="K257" s="382">
        <v>472.65756166983454</v>
      </c>
      <c r="L257" s="382">
        <v>372.68894350239481</v>
      </c>
      <c r="M257" s="382">
        <v>1527.426207815347</v>
      </c>
      <c r="N257" s="382">
        <v>950.29659912179761</v>
      </c>
      <c r="O257" s="382">
        <v>198.72768294861095</v>
      </c>
      <c r="P257" s="382">
        <v>540.24152413156878</v>
      </c>
      <c r="Q257" s="382">
        <v>1326.5482878185046</v>
      </c>
      <c r="R257" s="382">
        <v>263.03676019511141</v>
      </c>
      <c r="S257" s="382">
        <v>124.37961518117352</v>
      </c>
      <c r="T257" s="382">
        <v>453.41870363408049</v>
      </c>
      <c r="U257" s="382">
        <v>59.827229053332537</v>
      </c>
      <c r="V257" s="382">
        <v>1217.9593960129225</v>
      </c>
      <c r="W257" s="382">
        <v>376752.75198999996</v>
      </c>
      <c r="Z257" s="10"/>
      <c r="AU257" s="10"/>
      <c r="AV257" s="10"/>
      <c r="AW257" s="10"/>
      <c r="AX257" s="10"/>
      <c r="AY257" s="10"/>
      <c r="AZ257" s="10"/>
      <c r="BA257" s="10"/>
      <c r="BB257" s="10"/>
      <c r="BC257" s="10"/>
      <c r="BD257" s="10"/>
      <c r="BE257" s="10"/>
      <c r="BF257" s="10"/>
      <c r="BG257" s="10"/>
      <c r="BH257" s="10"/>
      <c r="BI257" s="10"/>
      <c r="BJ257" s="10"/>
      <c r="BK257" s="10"/>
      <c r="BL257" s="10"/>
      <c r="BM257" s="10"/>
    </row>
    <row r="258" spans="3:65">
      <c r="C258" s="382" t="s">
        <v>292</v>
      </c>
      <c r="D258" s="382" t="s">
        <v>771</v>
      </c>
      <c r="E258" s="382">
        <v>0</v>
      </c>
      <c r="F258" s="382">
        <v>0</v>
      </c>
      <c r="G258" s="382">
        <v>0</v>
      </c>
      <c r="H258" s="382">
        <v>1143.1400000000001</v>
      </c>
      <c r="I258" s="382">
        <v>19006.83927</v>
      </c>
      <c r="J258" s="382">
        <v>0</v>
      </c>
      <c r="K258" s="382">
        <v>0</v>
      </c>
      <c r="L258" s="382">
        <v>0</v>
      </c>
      <c r="M258" s="382">
        <v>0</v>
      </c>
      <c r="N258" s="382">
        <v>0</v>
      </c>
      <c r="O258" s="382">
        <v>0</v>
      </c>
      <c r="P258" s="382">
        <v>0</v>
      </c>
      <c r="Q258" s="382">
        <v>0</v>
      </c>
      <c r="R258" s="382">
        <v>0</v>
      </c>
      <c r="S258" s="382">
        <v>0</v>
      </c>
      <c r="T258" s="382">
        <v>0</v>
      </c>
      <c r="U258" s="382">
        <v>0</v>
      </c>
      <c r="V258" s="382">
        <v>0</v>
      </c>
      <c r="W258" s="382">
        <v>20149.97927</v>
      </c>
      <c r="Z258" s="10"/>
      <c r="AU258" s="10"/>
      <c r="AV258" s="10"/>
      <c r="AW258" s="10"/>
      <c r="AX258" s="10"/>
      <c r="AY258" s="10"/>
      <c r="AZ258" s="10"/>
      <c r="BA258" s="10"/>
      <c r="BB258" s="10"/>
      <c r="BC258" s="10"/>
      <c r="BD258" s="10"/>
      <c r="BE258" s="10"/>
      <c r="BF258" s="10"/>
      <c r="BG258" s="10"/>
      <c r="BH258" s="10"/>
      <c r="BI258" s="10"/>
      <c r="BJ258" s="10"/>
      <c r="BK258" s="10"/>
      <c r="BL258" s="10"/>
      <c r="BM258" s="10"/>
    </row>
    <row r="259" spans="3:65">
      <c r="C259" s="382" t="s">
        <v>631</v>
      </c>
      <c r="D259" s="382" t="s">
        <v>772</v>
      </c>
      <c r="E259" s="382">
        <v>0</v>
      </c>
      <c r="F259" s="382">
        <v>0</v>
      </c>
      <c r="G259" s="382">
        <v>0</v>
      </c>
      <c r="H259" s="382">
        <v>0</v>
      </c>
      <c r="I259" s="382">
        <v>1086</v>
      </c>
      <c r="J259" s="382">
        <v>0</v>
      </c>
      <c r="K259" s="382">
        <v>0</v>
      </c>
      <c r="L259" s="382">
        <v>0</v>
      </c>
      <c r="M259" s="382">
        <v>0</v>
      </c>
      <c r="N259" s="382">
        <v>0</v>
      </c>
      <c r="O259" s="382">
        <v>0</v>
      </c>
      <c r="P259" s="382">
        <v>0</v>
      </c>
      <c r="Q259" s="382">
        <v>0</v>
      </c>
      <c r="R259" s="382">
        <v>0</v>
      </c>
      <c r="S259" s="382">
        <v>0</v>
      </c>
      <c r="T259" s="382">
        <v>0</v>
      </c>
      <c r="U259" s="382">
        <v>0</v>
      </c>
      <c r="V259" s="382">
        <v>0</v>
      </c>
      <c r="W259" s="382">
        <v>1086</v>
      </c>
      <c r="Z259" s="10"/>
      <c r="AU259" s="10"/>
      <c r="AV259" s="10"/>
      <c r="AW259" s="10"/>
      <c r="AX259" s="10"/>
      <c r="AY259" s="10"/>
      <c r="AZ259" s="10"/>
      <c r="BA259" s="10"/>
      <c r="BB259" s="10"/>
      <c r="BC259" s="10"/>
      <c r="BD259" s="10"/>
      <c r="BE259" s="10"/>
      <c r="BF259" s="10"/>
      <c r="BG259" s="10"/>
      <c r="BH259" s="10"/>
      <c r="BI259" s="10"/>
      <c r="BJ259" s="10"/>
      <c r="BK259" s="10"/>
      <c r="BL259" s="10"/>
      <c r="BM259" s="10"/>
    </row>
    <row r="260" spans="3:65">
      <c r="C260" s="382" t="s">
        <v>293</v>
      </c>
      <c r="D260" s="382" t="s">
        <v>773</v>
      </c>
      <c r="E260" s="382">
        <v>159350.27000000002</v>
      </c>
      <c r="F260" s="382">
        <v>0</v>
      </c>
      <c r="G260" s="382">
        <v>13065.23</v>
      </c>
      <c r="H260" s="382">
        <v>0</v>
      </c>
      <c r="I260" s="382">
        <v>41432.250689999993</v>
      </c>
      <c r="J260" s="382">
        <v>5008.7350000000006</v>
      </c>
      <c r="K260" s="382">
        <v>20885.810000000001</v>
      </c>
      <c r="L260" s="382">
        <v>37715.89</v>
      </c>
      <c r="M260" s="382">
        <v>0</v>
      </c>
      <c r="N260" s="382">
        <v>53867.200000000004</v>
      </c>
      <c r="O260" s="382">
        <v>35732.944860000003</v>
      </c>
      <c r="P260" s="382">
        <v>43244.503999999994</v>
      </c>
      <c r="Q260" s="382">
        <v>0</v>
      </c>
      <c r="R260" s="382">
        <v>18277.46</v>
      </c>
      <c r="S260" s="382">
        <v>0</v>
      </c>
      <c r="T260" s="382">
        <v>0</v>
      </c>
      <c r="U260" s="382">
        <v>0</v>
      </c>
      <c r="V260" s="382">
        <v>6291.4662500000004</v>
      </c>
      <c r="W260" s="382">
        <v>434871.76080000005</v>
      </c>
      <c r="Z260" s="10"/>
      <c r="AU260" s="10"/>
      <c r="AV260" s="10"/>
      <c r="AW260" s="10"/>
      <c r="AX260" s="10"/>
      <c r="AY260" s="10"/>
      <c r="AZ260" s="10"/>
      <c r="BA260" s="10"/>
      <c r="BB260" s="10"/>
      <c r="BC260" s="10"/>
      <c r="BD260" s="10"/>
      <c r="BE260" s="10"/>
      <c r="BF260" s="10"/>
      <c r="BG260" s="10"/>
      <c r="BH260" s="10"/>
      <c r="BI260" s="10"/>
      <c r="BJ260" s="10"/>
      <c r="BK260" s="10"/>
      <c r="BL260" s="10"/>
      <c r="BM260" s="10"/>
    </row>
    <row r="261" spans="3:65">
      <c r="C261" s="382" t="s">
        <v>632</v>
      </c>
      <c r="D261" s="382" t="s">
        <v>1213</v>
      </c>
      <c r="E261" s="382">
        <v>0</v>
      </c>
      <c r="F261" s="382">
        <v>30000</v>
      </c>
      <c r="G261" s="382">
        <v>0</v>
      </c>
      <c r="H261" s="382">
        <v>0</v>
      </c>
      <c r="I261" s="382">
        <v>0</v>
      </c>
      <c r="J261" s="382">
        <v>28000</v>
      </c>
      <c r="K261" s="382">
        <v>0</v>
      </c>
      <c r="L261" s="382">
        <v>0</v>
      </c>
      <c r="M261" s="382">
        <v>0</v>
      </c>
      <c r="N261" s="382">
        <v>0</v>
      </c>
      <c r="O261" s="382">
        <v>40000</v>
      </c>
      <c r="P261" s="382">
        <v>0</v>
      </c>
      <c r="Q261" s="382">
        <v>0</v>
      </c>
      <c r="R261" s="382">
        <v>0</v>
      </c>
      <c r="S261" s="382">
        <v>0</v>
      </c>
      <c r="T261" s="382">
        <v>0</v>
      </c>
      <c r="U261" s="382">
        <v>0</v>
      </c>
      <c r="V261" s="382">
        <v>0</v>
      </c>
      <c r="W261" s="382">
        <v>98000</v>
      </c>
      <c r="Z261" s="10"/>
      <c r="AU261" s="10"/>
      <c r="AV261" s="10"/>
      <c r="AW261" s="10"/>
      <c r="AX261" s="10"/>
      <c r="AY261" s="10"/>
      <c r="AZ261" s="10"/>
      <c r="BA261" s="10"/>
      <c r="BB261" s="10"/>
      <c r="BC261" s="10"/>
      <c r="BD261" s="10"/>
      <c r="BE261" s="10"/>
      <c r="BF261" s="10"/>
      <c r="BG261" s="10"/>
      <c r="BH261" s="10"/>
      <c r="BI261" s="10"/>
      <c r="BJ261" s="10"/>
      <c r="BK261" s="10"/>
      <c r="BL261" s="10"/>
      <c r="BM261" s="10"/>
    </row>
    <row r="262" spans="3:65">
      <c r="C262" s="382" t="s">
        <v>294</v>
      </c>
      <c r="D262" s="382" t="s">
        <v>774</v>
      </c>
      <c r="E262" s="382">
        <v>0</v>
      </c>
      <c r="F262" s="382">
        <v>0</v>
      </c>
      <c r="G262" s="382">
        <v>0</v>
      </c>
      <c r="H262" s="382">
        <v>0</v>
      </c>
      <c r="I262" s="382">
        <v>120866.69101151821</v>
      </c>
      <c r="J262" s="382">
        <v>0</v>
      </c>
      <c r="K262" s="382">
        <v>0</v>
      </c>
      <c r="L262" s="382">
        <v>0</v>
      </c>
      <c r="M262" s="382">
        <v>0</v>
      </c>
      <c r="N262" s="382">
        <v>0</v>
      </c>
      <c r="O262" s="382">
        <v>0</v>
      </c>
      <c r="P262" s="382">
        <v>0</v>
      </c>
      <c r="Q262" s="382">
        <v>0</v>
      </c>
      <c r="R262" s="382">
        <v>0</v>
      </c>
      <c r="S262" s="382">
        <v>0</v>
      </c>
      <c r="T262" s="382">
        <v>0</v>
      </c>
      <c r="U262" s="382">
        <v>0</v>
      </c>
      <c r="V262" s="382">
        <v>0</v>
      </c>
      <c r="W262" s="382">
        <v>120866.69101151821</v>
      </c>
      <c r="Z262" s="10"/>
      <c r="AU262" s="10"/>
      <c r="AV262" s="10"/>
      <c r="AW262" s="10"/>
      <c r="AX262" s="10"/>
      <c r="AY262" s="10"/>
      <c r="AZ262" s="10"/>
      <c r="BA262" s="10"/>
      <c r="BB262" s="10"/>
      <c r="BC262" s="10"/>
      <c r="BD262" s="10"/>
      <c r="BE262" s="10"/>
      <c r="BF262" s="10"/>
      <c r="BG262" s="10"/>
      <c r="BH262" s="10"/>
      <c r="BI262" s="10"/>
      <c r="BJ262" s="10"/>
      <c r="BK262" s="10"/>
      <c r="BL262" s="10"/>
      <c r="BM262" s="10"/>
    </row>
    <row r="263" spans="3:65">
      <c r="C263" s="382" t="s">
        <v>295</v>
      </c>
      <c r="D263" s="382" t="s">
        <v>775</v>
      </c>
      <c r="E263" s="382">
        <v>0</v>
      </c>
      <c r="F263" s="382">
        <v>0</v>
      </c>
      <c r="G263" s="382">
        <v>0</v>
      </c>
      <c r="H263" s="382">
        <v>0</v>
      </c>
      <c r="I263" s="382">
        <v>31290.36706081784</v>
      </c>
      <c r="J263" s="382">
        <v>0</v>
      </c>
      <c r="K263" s="382">
        <v>0</v>
      </c>
      <c r="L263" s="382">
        <v>0</v>
      </c>
      <c r="M263" s="382">
        <v>0</v>
      </c>
      <c r="N263" s="382">
        <v>0</v>
      </c>
      <c r="O263" s="382">
        <v>0</v>
      </c>
      <c r="P263" s="382">
        <v>0</v>
      </c>
      <c r="Q263" s="382">
        <v>0</v>
      </c>
      <c r="R263" s="382">
        <v>0</v>
      </c>
      <c r="S263" s="382">
        <v>0</v>
      </c>
      <c r="T263" s="382">
        <v>0</v>
      </c>
      <c r="U263" s="382">
        <v>0</v>
      </c>
      <c r="V263" s="382">
        <v>0</v>
      </c>
      <c r="W263" s="382">
        <v>31290.36706081784</v>
      </c>
      <c r="Z263" s="10"/>
      <c r="AU263" s="10"/>
      <c r="AV263" s="10"/>
      <c r="AW263" s="10"/>
      <c r="AX263" s="10"/>
      <c r="AY263" s="10"/>
      <c r="AZ263" s="10"/>
      <c r="BA263" s="10"/>
      <c r="BB263" s="10"/>
      <c r="BC263" s="10"/>
      <c r="BD263" s="10"/>
      <c r="BE263" s="10"/>
      <c r="BF263" s="10"/>
      <c r="BG263" s="10"/>
      <c r="BH263" s="10"/>
      <c r="BI263" s="10"/>
      <c r="BJ263" s="10"/>
      <c r="BK263" s="10"/>
      <c r="BL263" s="10"/>
      <c r="BM263" s="10"/>
    </row>
    <row r="264" spans="3:65">
      <c r="C264" s="382" t="s">
        <v>296</v>
      </c>
      <c r="D264" s="382" t="s">
        <v>776</v>
      </c>
      <c r="E264" s="382">
        <v>109351.07932999992</v>
      </c>
      <c r="F264" s="382">
        <v>6186.0413400000107</v>
      </c>
      <c r="G264" s="382">
        <v>24974.935119999991</v>
      </c>
      <c r="H264" s="382">
        <v>259.06361000000015</v>
      </c>
      <c r="I264" s="382">
        <v>80659.797490000041</v>
      </c>
      <c r="J264" s="382">
        <v>13611.456030000003</v>
      </c>
      <c r="K264" s="382">
        <v>63291.756420000122</v>
      </c>
      <c r="L264" s="382">
        <v>163077.55611999982</v>
      </c>
      <c r="M264" s="382">
        <v>109152.81816</v>
      </c>
      <c r="N264" s="382">
        <v>69827.521049999996</v>
      </c>
      <c r="O264" s="382">
        <v>61269.684400000027</v>
      </c>
      <c r="P264" s="382">
        <v>260823.15536999991</v>
      </c>
      <c r="Q264" s="382">
        <v>22404.909999999996</v>
      </c>
      <c r="R264" s="382">
        <v>77300.057480000018</v>
      </c>
      <c r="S264" s="382">
        <v>4039.5849999999973</v>
      </c>
      <c r="T264" s="382">
        <v>77305.814999999973</v>
      </c>
      <c r="U264" s="382">
        <v>2366.1178</v>
      </c>
      <c r="V264" s="382">
        <v>46108.020779999999</v>
      </c>
      <c r="W264" s="382">
        <v>1192009.3704999997</v>
      </c>
      <c r="Z264" s="10"/>
      <c r="AU264" s="10"/>
      <c r="AV264" s="10"/>
      <c r="AW264" s="10"/>
      <c r="AX264" s="10"/>
      <c r="AY264" s="10"/>
      <c r="AZ264" s="10"/>
      <c r="BA264" s="10"/>
      <c r="BB264" s="10"/>
      <c r="BC264" s="10"/>
      <c r="BD264" s="10"/>
      <c r="BE264" s="10"/>
      <c r="BF264" s="10"/>
      <c r="BG264" s="10"/>
      <c r="BH264" s="10"/>
      <c r="BI264" s="10"/>
      <c r="BJ264" s="10"/>
      <c r="BK264" s="10"/>
      <c r="BL264" s="10"/>
      <c r="BM264" s="10"/>
    </row>
    <row r="265" spans="3:65">
      <c r="C265" s="382"/>
      <c r="D265" s="382" t="s">
        <v>668</v>
      </c>
      <c r="E265" s="382">
        <v>1194299.1299668963</v>
      </c>
      <c r="F265" s="382">
        <v>79339.944929647914</v>
      </c>
      <c r="G265" s="382">
        <v>106350.33957519766</v>
      </c>
      <c r="H265" s="382">
        <v>336326.36899469595</v>
      </c>
      <c r="I265" s="382">
        <v>1214578.8380730604</v>
      </c>
      <c r="J265" s="382">
        <v>47602.969981202354</v>
      </c>
      <c r="K265" s="382">
        <v>265320.46092255582</v>
      </c>
      <c r="L265" s="382">
        <v>208362.92142381248</v>
      </c>
      <c r="M265" s="382">
        <v>117635.84104418907</v>
      </c>
      <c r="N265" s="382">
        <v>164759.16294049239</v>
      </c>
      <c r="O265" s="382">
        <v>274160.37240649236</v>
      </c>
      <c r="P265" s="382">
        <v>355647.6930544434</v>
      </c>
      <c r="Q265" s="382">
        <v>25840.073889923933</v>
      </c>
      <c r="R265" s="382">
        <v>97043.294615865962</v>
      </c>
      <c r="S265" s="382">
        <v>4207.1495567568209</v>
      </c>
      <c r="T265" s="382">
        <v>78044.830351823693</v>
      </c>
      <c r="U265" s="382">
        <v>2473.8205374537756</v>
      </c>
      <c r="V265" s="382">
        <v>137483.75718658688</v>
      </c>
      <c r="W265" s="382">
        <v>4709476.9694510978</v>
      </c>
      <c r="Z265" s="10"/>
      <c r="AU265" s="10"/>
      <c r="AV265" s="10"/>
      <c r="AW265" s="10"/>
      <c r="AX265" s="10"/>
      <c r="AY265" s="10"/>
      <c r="AZ265" s="10"/>
      <c r="BA265" s="10"/>
      <c r="BB265" s="10"/>
      <c r="BC265" s="10"/>
      <c r="BD265" s="10"/>
      <c r="BE265" s="10"/>
      <c r="BF265" s="10"/>
      <c r="BG265" s="10"/>
      <c r="BH265" s="10"/>
      <c r="BI265" s="10"/>
      <c r="BJ265" s="10"/>
      <c r="BK265" s="10"/>
      <c r="BL265" s="10"/>
      <c r="BM265" s="10"/>
    </row>
    <row r="266" spans="3:65">
      <c r="C266" s="382" t="s">
        <v>655</v>
      </c>
      <c r="D266" s="382" t="s">
        <v>28</v>
      </c>
      <c r="E266" s="382" t="s">
        <v>9</v>
      </c>
      <c r="F266" s="382" t="s">
        <v>10</v>
      </c>
      <c r="G266" s="382" t="s">
        <v>11</v>
      </c>
      <c r="H266" s="382" t="s">
        <v>31</v>
      </c>
      <c r="I266" s="382" t="s">
        <v>12</v>
      </c>
      <c r="J266" s="382" t="s">
        <v>13</v>
      </c>
      <c r="K266" s="382" t="s">
        <v>14</v>
      </c>
      <c r="L266" s="382" t="s">
        <v>15</v>
      </c>
      <c r="M266" s="382" t="s">
        <v>16</v>
      </c>
      <c r="N266" s="382" t="s">
        <v>17</v>
      </c>
      <c r="O266" s="382" t="s">
        <v>18</v>
      </c>
      <c r="P266" s="382" t="s">
        <v>19</v>
      </c>
      <c r="Q266" s="382" t="s">
        <v>20</v>
      </c>
      <c r="R266" s="382" t="s">
        <v>60</v>
      </c>
      <c r="S266" s="382" t="s">
        <v>61</v>
      </c>
      <c r="T266" s="382" t="s">
        <v>62</v>
      </c>
      <c r="U266" s="382" t="s">
        <v>63</v>
      </c>
      <c r="V266" s="382" t="s">
        <v>64</v>
      </c>
      <c r="W266" s="382" t="s">
        <v>656</v>
      </c>
      <c r="Z266" s="10"/>
      <c r="AU266" s="10"/>
      <c r="AV266" s="10"/>
      <c r="AW266" s="10"/>
      <c r="AX266" s="10"/>
      <c r="AY266" s="10"/>
      <c r="AZ266" s="10"/>
      <c r="BA266" s="10"/>
      <c r="BB266" s="10"/>
      <c r="BC266" s="10"/>
      <c r="BD266" s="10"/>
      <c r="BE266" s="10"/>
      <c r="BF266" s="10"/>
      <c r="BG266" s="10"/>
      <c r="BH266" s="10"/>
      <c r="BI266" s="10"/>
      <c r="BJ266" s="10"/>
      <c r="BK266" s="10"/>
      <c r="BL266" s="10"/>
      <c r="BM266" s="10"/>
    </row>
    <row r="267" spans="3:65">
      <c r="C267" s="382" t="s">
        <v>297</v>
      </c>
      <c r="D267" s="382" t="s">
        <v>777</v>
      </c>
      <c r="E267" s="382">
        <v>5491.358984880615</v>
      </c>
      <c r="F267" s="382">
        <v>973.29083435196981</v>
      </c>
      <c r="G267" s="382">
        <v>1047.446974956968</v>
      </c>
      <c r="H267" s="382">
        <v>860.26547232804967</v>
      </c>
      <c r="I267" s="382">
        <v>1356.605702565726</v>
      </c>
      <c r="J267" s="382">
        <v>717.66902216970902</v>
      </c>
      <c r="K267" s="382">
        <v>2636.9603601682961</v>
      </c>
      <c r="L267" s="382">
        <v>1619.7230693294002</v>
      </c>
      <c r="M267" s="382">
        <v>4937.4365124053957</v>
      </c>
      <c r="N267" s="382">
        <v>2625.8933452000083</v>
      </c>
      <c r="O267" s="382">
        <v>1094.6308162376458</v>
      </c>
      <c r="P267" s="382">
        <v>2078.6458337914755</v>
      </c>
      <c r="Q267" s="382">
        <v>4505.2729878008977</v>
      </c>
      <c r="R267" s="382">
        <v>939.94763424996381</v>
      </c>
      <c r="S267" s="382">
        <v>460.54981094305242</v>
      </c>
      <c r="T267" s="382">
        <v>1573.754806076905</v>
      </c>
      <c r="U267" s="382">
        <v>281.90530617851255</v>
      </c>
      <c r="V267" s="382">
        <v>369.64384111167539</v>
      </c>
      <c r="W267" s="382">
        <v>33571.001314746267</v>
      </c>
      <c r="Z267" s="10"/>
      <c r="AU267" s="10"/>
      <c r="AV267" s="10"/>
      <c r="AW267" s="10"/>
      <c r="AX267" s="10"/>
      <c r="AY267" s="10"/>
      <c r="AZ267" s="10"/>
      <c r="BA267" s="10"/>
      <c r="BB267" s="10"/>
      <c r="BC267" s="10"/>
      <c r="BD267" s="10"/>
      <c r="BE267" s="10"/>
      <c r="BF267" s="10"/>
      <c r="BG267" s="10"/>
      <c r="BH267" s="10"/>
      <c r="BI267" s="10"/>
      <c r="BJ267" s="10"/>
      <c r="BK267" s="10"/>
      <c r="BL267" s="10"/>
      <c r="BM267" s="10"/>
    </row>
    <row r="268" spans="3:65">
      <c r="C268" s="382" t="s">
        <v>298</v>
      </c>
      <c r="D268" s="382" t="s">
        <v>778</v>
      </c>
      <c r="E268" s="382">
        <v>7616.1810668925946</v>
      </c>
      <c r="F268" s="382">
        <v>1324.1346974680532</v>
      </c>
      <c r="G268" s="382">
        <v>1126.6302851403364</v>
      </c>
      <c r="H268" s="382">
        <v>978.9216328929856</v>
      </c>
      <c r="I268" s="382">
        <v>1858.2521444338634</v>
      </c>
      <c r="J268" s="382">
        <v>583.6579892193314</v>
      </c>
      <c r="K268" s="382">
        <v>2637.7051899907656</v>
      </c>
      <c r="L268" s="382">
        <v>1958.8077994565633</v>
      </c>
      <c r="M268" s="382">
        <v>7085.5028898757246</v>
      </c>
      <c r="N268" s="382">
        <v>4723.6375456355026</v>
      </c>
      <c r="O268" s="382">
        <v>1072.5686467408696</v>
      </c>
      <c r="P268" s="382">
        <v>2883.9486696461572</v>
      </c>
      <c r="Q268" s="382">
        <v>5916.3084411991786</v>
      </c>
      <c r="R268" s="382">
        <v>1293.1213116126319</v>
      </c>
      <c r="S268" s="382">
        <v>615.67838502343363</v>
      </c>
      <c r="T268" s="382">
        <v>2205.9451724523897</v>
      </c>
      <c r="U268" s="382">
        <v>311.39295734977242</v>
      </c>
      <c r="V268" s="382">
        <v>136.77019496983777</v>
      </c>
      <c r="W268" s="382">
        <v>44329.165019999993</v>
      </c>
      <c r="Z268" s="10"/>
      <c r="AU268" s="10"/>
      <c r="AV268" s="10"/>
      <c r="AW268" s="10"/>
      <c r="AX268" s="10"/>
      <c r="AY268" s="10"/>
      <c r="AZ268" s="10"/>
      <c r="BA268" s="10"/>
      <c r="BB268" s="10"/>
      <c r="BC268" s="10"/>
      <c r="BD268" s="10"/>
      <c r="BE268" s="10"/>
      <c r="BF268" s="10"/>
      <c r="BG268" s="10"/>
      <c r="BH268" s="10"/>
      <c r="BI268" s="10"/>
      <c r="BJ268" s="10"/>
      <c r="BK268" s="10"/>
      <c r="BL268" s="10"/>
      <c r="BM268" s="10"/>
    </row>
    <row r="269" spans="3:65">
      <c r="C269" s="382" t="s">
        <v>299</v>
      </c>
      <c r="D269" s="382" t="s">
        <v>779</v>
      </c>
      <c r="E269" s="382">
        <v>2563.4066389069485</v>
      </c>
      <c r="F269" s="382">
        <v>470.72827839463724</v>
      </c>
      <c r="G269" s="382">
        <v>406.14468937565471</v>
      </c>
      <c r="H269" s="382">
        <v>338.38364370410915</v>
      </c>
      <c r="I269" s="382">
        <v>616.205471741172</v>
      </c>
      <c r="J269" s="382">
        <v>205.83608451856574</v>
      </c>
      <c r="K269" s="382">
        <v>921.96842917549236</v>
      </c>
      <c r="L269" s="382">
        <v>681.91530809880624</v>
      </c>
      <c r="M269" s="382">
        <v>3845.9242713888852</v>
      </c>
      <c r="N269" s="382">
        <v>1579.308236840006</v>
      </c>
      <c r="O269" s="382">
        <v>378.83757609044847</v>
      </c>
      <c r="P269" s="382">
        <v>1015.5082618062966</v>
      </c>
      <c r="Q269" s="382">
        <v>2069.8337830726573</v>
      </c>
      <c r="R269" s="382">
        <v>443.81160626219889</v>
      </c>
      <c r="S269" s="382">
        <v>211.49174427301671</v>
      </c>
      <c r="T269" s="382">
        <v>792.83895116487258</v>
      </c>
      <c r="U269" s="382">
        <v>110.79267644933201</v>
      </c>
      <c r="V269" s="382">
        <v>42.016188736897803</v>
      </c>
      <c r="W269" s="382">
        <v>16694.951840000002</v>
      </c>
      <c r="Z269" s="10"/>
      <c r="AU269" s="10"/>
      <c r="AV269" s="10"/>
      <c r="AW269" s="10"/>
      <c r="AX269" s="10"/>
      <c r="AY269" s="10"/>
      <c r="AZ269" s="10"/>
      <c r="BA269" s="10"/>
      <c r="BB269" s="10"/>
      <c r="BC269" s="10"/>
      <c r="BD269" s="10"/>
      <c r="BE269" s="10"/>
      <c r="BF269" s="10"/>
      <c r="BG269" s="10"/>
      <c r="BH269" s="10"/>
      <c r="BI269" s="10"/>
      <c r="BJ269" s="10"/>
      <c r="BK269" s="10"/>
      <c r="BL269" s="10"/>
      <c r="BM269" s="10"/>
    </row>
    <row r="270" spans="3:65">
      <c r="C270" s="382" t="s">
        <v>300</v>
      </c>
      <c r="D270" s="382" t="s">
        <v>301</v>
      </c>
      <c r="E270" s="382">
        <v>475479.10322252265</v>
      </c>
      <c r="F270" s="382">
        <v>71039.724921218323</v>
      </c>
      <c r="G270" s="382">
        <v>37635.28718967954</v>
      </c>
      <c r="H270" s="382">
        <v>32745.298226520863</v>
      </c>
      <c r="I270" s="382">
        <v>82172.551280819724</v>
      </c>
      <c r="J270" s="382">
        <v>23671.997033885251</v>
      </c>
      <c r="K270" s="382">
        <v>154515.2740202744</v>
      </c>
      <c r="L270" s="382">
        <v>94894.317358578497</v>
      </c>
      <c r="M270" s="382">
        <v>155353.71364799546</v>
      </c>
      <c r="N270" s="382">
        <v>180586.96113773866</v>
      </c>
      <c r="O270" s="382">
        <v>72324.830532887572</v>
      </c>
      <c r="P270" s="382">
        <v>137926.50742975555</v>
      </c>
      <c r="Q270" s="382">
        <v>337433.72662146564</v>
      </c>
      <c r="R270" s="382">
        <v>89494.6749664456</v>
      </c>
      <c r="S270" s="382">
        <v>14991.826231413712</v>
      </c>
      <c r="T270" s="382">
        <v>34338.401841347666</v>
      </c>
      <c r="U270" s="382">
        <v>12942.840158883162</v>
      </c>
      <c r="V270" s="382">
        <v>25477.074818568213</v>
      </c>
      <c r="W270" s="382">
        <v>2033024.1106400006</v>
      </c>
      <c r="Z270" s="10"/>
      <c r="AU270" s="10"/>
      <c r="AV270" s="10"/>
      <c r="AW270" s="10"/>
      <c r="AX270" s="10"/>
      <c r="AY270" s="10"/>
      <c r="AZ270" s="10"/>
      <c r="BA270" s="10"/>
      <c r="BB270" s="10"/>
      <c r="BC270" s="10"/>
      <c r="BD270" s="10"/>
      <c r="BE270" s="10"/>
      <c r="BF270" s="10"/>
      <c r="BG270" s="10"/>
      <c r="BH270" s="10"/>
      <c r="BI270" s="10"/>
      <c r="BJ270" s="10"/>
      <c r="BK270" s="10"/>
      <c r="BL270" s="10"/>
      <c r="BM270" s="10"/>
    </row>
    <row r="271" spans="3:65">
      <c r="C271" s="382" t="s">
        <v>302</v>
      </c>
      <c r="D271" s="382" t="s">
        <v>475</v>
      </c>
      <c r="E271" s="382">
        <v>11976.152951950302</v>
      </c>
      <c r="F271" s="382">
        <v>2189.2782884877524</v>
      </c>
      <c r="G271" s="382">
        <v>1739.5139418476983</v>
      </c>
      <c r="H271" s="382">
        <v>1622.8144268292256</v>
      </c>
      <c r="I271" s="382">
        <v>3011.9514356597779</v>
      </c>
      <c r="J271" s="382">
        <v>934.61819582336443</v>
      </c>
      <c r="K271" s="382">
        <v>4167.2950411354668</v>
      </c>
      <c r="L271" s="382">
        <v>3340.5476408934887</v>
      </c>
      <c r="M271" s="382">
        <v>11068.543409786025</v>
      </c>
      <c r="N271" s="382">
        <v>7473.0128335909012</v>
      </c>
      <c r="O271" s="382">
        <v>1758.6255909595893</v>
      </c>
      <c r="P271" s="382">
        <v>4354.8225297808331</v>
      </c>
      <c r="Q271" s="382">
        <v>9564.2741172607348</v>
      </c>
      <c r="R271" s="382">
        <v>2112.1644302457626</v>
      </c>
      <c r="S271" s="382">
        <v>1004.1609581079074</v>
      </c>
      <c r="T271" s="382">
        <v>3431.8799981637612</v>
      </c>
      <c r="U271" s="382">
        <v>536.95891651548709</v>
      </c>
      <c r="V271" s="382">
        <v>202.64904296190798</v>
      </c>
      <c r="W271" s="382">
        <v>70489.263749999984</v>
      </c>
      <c r="Z271" s="10"/>
      <c r="AU271" s="10"/>
      <c r="AV271" s="10"/>
      <c r="AW271" s="10"/>
      <c r="AX271" s="10"/>
      <c r="AY271" s="10"/>
      <c r="AZ271" s="10"/>
      <c r="BA271" s="10"/>
      <c r="BB271" s="10"/>
      <c r="BC271" s="10"/>
      <c r="BD271" s="10"/>
      <c r="BE271" s="10"/>
      <c r="BF271" s="10"/>
      <c r="BG271" s="10"/>
      <c r="BH271" s="10"/>
      <c r="BI271" s="10"/>
      <c r="BJ271" s="10"/>
      <c r="BK271" s="10"/>
      <c r="BL271" s="10"/>
      <c r="BM271" s="10"/>
    </row>
    <row r="272" spans="3:65">
      <c r="C272" s="382" t="s">
        <v>303</v>
      </c>
      <c r="D272" s="382" t="s">
        <v>780</v>
      </c>
      <c r="E272" s="382">
        <v>3241.9087744197486</v>
      </c>
      <c r="F272" s="382">
        <v>548.95473042057949</v>
      </c>
      <c r="G272" s="382">
        <v>437.72219719122199</v>
      </c>
      <c r="H272" s="382">
        <v>455.52903150376363</v>
      </c>
      <c r="I272" s="382">
        <v>832.08213384943042</v>
      </c>
      <c r="J272" s="382">
        <v>296.59083392393131</v>
      </c>
      <c r="K272" s="382">
        <v>976.05884798572788</v>
      </c>
      <c r="L272" s="382">
        <v>819.73294435391767</v>
      </c>
      <c r="M272" s="382">
        <v>3031.1972258137316</v>
      </c>
      <c r="N272" s="382">
        <v>1993.8290505595044</v>
      </c>
      <c r="O272" s="382">
        <v>452.6466935086155</v>
      </c>
      <c r="P272" s="382">
        <v>1084.7274656985969</v>
      </c>
      <c r="Q272" s="382">
        <v>2689.9276626312239</v>
      </c>
      <c r="R272" s="382">
        <v>617.3225490329736</v>
      </c>
      <c r="S272" s="382">
        <v>258.45225571704987</v>
      </c>
      <c r="T272" s="382">
        <v>883.16284126413086</v>
      </c>
      <c r="U272" s="382">
        <v>159.22960984920039</v>
      </c>
      <c r="V272" s="382">
        <v>60.366207978399402</v>
      </c>
      <c r="W272" s="382">
        <v>18839.441055701747</v>
      </c>
      <c r="Z272" s="10"/>
      <c r="AU272" s="10"/>
      <c r="AV272" s="10"/>
      <c r="AW272" s="10"/>
      <c r="AX272" s="10"/>
      <c r="AY272" s="10"/>
      <c r="AZ272" s="10"/>
      <c r="BA272" s="10"/>
      <c r="BB272" s="10"/>
      <c r="BC272" s="10"/>
      <c r="BD272" s="10"/>
      <c r="BE272" s="10"/>
      <c r="BF272" s="10"/>
      <c r="BG272" s="10"/>
      <c r="BH272" s="10"/>
      <c r="BI272" s="10"/>
      <c r="BJ272" s="10"/>
      <c r="BK272" s="10"/>
      <c r="BL272" s="10"/>
      <c r="BM272" s="10"/>
    </row>
    <row r="273" spans="3:65">
      <c r="C273" s="382" t="s">
        <v>304</v>
      </c>
      <c r="D273" s="382" t="s">
        <v>781</v>
      </c>
      <c r="E273" s="382">
        <v>2814.2822583367119</v>
      </c>
      <c r="F273" s="382">
        <v>442.75024374638656</v>
      </c>
      <c r="G273" s="382">
        <v>353.93208911758734</v>
      </c>
      <c r="H273" s="382">
        <v>369.83418819186721</v>
      </c>
      <c r="I273" s="382">
        <v>704.37190066291896</v>
      </c>
      <c r="J273" s="382">
        <v>196.62130768999455</v>
      </c>
      <c r="K273" s="382">
        <v>831.96272826213897</v>
      </c>
      <c r="L273" s="382">
        <v>693.09574190774242</v>
      </c>
      <c r="M273" s="382">
        <v>2517.0745123882975</v>
      </c>
      <c r="N273" s="382">
        <v>1672.6103382856998</v>
      </c>
      <c r="O273" s="382">
        <v>367.27272679635979</v>
      </c>
      <c r="P273" s="382">
        <v>918.09295645792042</v>
      </c>
      <c r="Q273" s="382">
        <v>2159.3588573537786</v>
      </c>
      <c r="R273" s="382">
        <v>491.47261635669338</v>
      </c>
      <c r="S273" s="382">
        <v>214.61636125923025</v>
      </c>
      <c r="T273" s="382">
        <v>733.37025001235872</v>
      </c>
      <c r="U273" s="382">
        <v>106.54135024322795</v>
      </c>
      <c r="V273" s="382">
        <v>56.837072931085935</v>
      </c>
      <c r="W273" s="382">
        <v>15644.0975</v>
      </c>
      <c r="Z273" s="10"/>
      <c r="AU273" s="10"/>
      <c r="AV273" s="10"/>
      <c r="AW273" s="10"/>
      <c r="AX273" s="10"/>
      <c r="AY273" s="10"/>
      <c r="AZ273" s="10"/>
      <c r="BA273" s="10"/>
      <c r="BB273" s="10"/>
      <c r="BC273" s="10"/>
      <c r="BD273" s="10"/>
      <c r="BE273" s="10"/>
      <c r="BF273" s="10"/>
      <c r="BG273" s="10"/>
      <c r="BH273" s="10"/>
      <c r="BI273" s="10"/>
      <c r="BJ273" s="10"/>
      <c r="BK273" s="10"/>
      <c r="BL273" s="10"/>
      <c r="BM273" s="10"/>
    </row>
    <row r="274" spans="3:65">
      <c r="C274" s="382" t="s">
        <v>305</v>
      </c>
      <c r="D274" s="382" t="s">
        <v>476</v>
      </c>
      <c r="E274" s="382">
        <v>629.15693897474671</v>
      </c>
      <c r="F274" s="382">
        <v>109.63448586621976</v>
      </c>
      <c r="G274" s="382">
        <v>93.404296122672733</v>
      </c>
      <c r="H274" s="382">
        <v>80.823042062278006</v>
      </c>
      <c r="I274" s="382">
        <v>153.41097424305374</v>
      </c>
      <c r="J274" s="382">
        <v>48.317298092011825</v>
      </c>
      <c r="K274" s="382">
        <v>218.66342388827221</v>
      </c>
      <c r="L274" s="382">
        <v>161.9783421960403</v>
      </c>
      <c r="M274" s="382">
        <v>585.86293179965321</v>
      </c>
      <c r="N274" s="382">
        <v>390.60193675822495</v>
      </c>
      <c r="O274" s="382">
        <v>88.75905773159225</v>
      </c>
      <c r="P274" s="382">
        <v>239.03124534058185</v>
      </c>
      <c r="Q274" s="382">
        <v>488.87821117793538</v>
      </c>
      <c r="R274" s="382">
        <v>106.74862345216575</v>
      </c>
      <c r="S274" s="382">
        <v>50.929265909995763</v>
      </c>
      <c r="T274" s="382">
        <v>182.66858722725809</v>
      </c>
      <c r="U274" s="382">
        <v>25.769396984544677</v>
      </c>
      <c r="V274" s="382">
        <v>11.264402172752169</v>
      </c>
      <c r="W274" s="382">
        <v>3665.9024599999993</v>
      </c>
      <c r="Z274" s="10"/>
      <c r="AU274" s="10"/>
      <c r="AV274" s="10"/>
      <c r="AW274" s="10"/>
      <c r="AX274" s="10"/>
      <c r="AY274" s="10"/>
      <c r="AZ274" s="10"/>
      <c r="BA274" s="10"/>
      <c r="BB274" s="10"/>
      <c r="BC274" s="10"/>
      <c r="BD274" s="10"/>
      <c r="BE274" s="10"/>
      <c r="BF274" s="10"/>
      <c r="BG274" s="10"/>
      <c r="BH274" s="10"/>
      <c r="BI274" s="10"/>
      <c r="BJ274" s="10"/>
      <c r="BK274" s="10"/>
      <c r="BL274" s="10"/>
      <c r="BM274" s="10"/>
    </row>
    <row r="275" spans="3:65">
      <c r="C275" s="382" t="s">
        <v>306</v>
      </c>
      <c r="D275" s="382" t="s">
        <v>782</v>
      </c>
      <c r="E275" s="382">
        <v>2849.1088202088827</v>
      </c>
      <c r="F275" s="382">
        <v>448.22924952559555</v>
      </c>
      <c r="G275" s="382">
        <v>358.31197594794577</v>
      </c>
      <c r="H275" s="382">
        <v>374.41086247510714</v>
      </c>
      <c r="I275" s="382">
        <v>713.08845761337705</v>
      </c>
      <c r="J275" s="382">
        <v>199.05448372177602</v>
      </c>
      <c r="K275" s="382">
        <v>842.25821349477008</v>
      </c>
      <c r="L275" s="382">
        <v>701.67275711912862</v>
      </c>
      <c r="M275" s="382">
        <v>2548.2231475271074</v>
      </c>
      <c r="N275" s="382">
        <v>1693.3087836039624</v>
      </c>
      <c r="O275" s="382">
        <v>371.81770315963831</v>
      </c>
      <c r="P275" s="382">
        <v>929.45429772273837</v>
      </c>
      <c r="Q275" s="382">
        <v>2186.0807842774475</v>
      </c>
      <c r="R275" s="382">
        <v>497.55455836209126</v>
      </c>
      <c r="S275" s="382">
        <v>217.27222492110479</v>
      </c>
      <c r="T275" s="382">
        <v>742.44565967022288</v>
      </c>
      <c r="U275" s="382">
        <v>107.85979259747259</v>
      </c>
      <c r="V275" s="382">
        <v>57.54042805163359</v>
      </c>
      <c r="W275" s="382">
        <v>15837.692200000001</v>
      </c>
      <c r="Z275" s="10"/>
      <c r="AU275" s="10"/>
      <c r="AV275" s="10"/>
      <c r="AW275" s="10"/>
      <c r="AX275" s="10"/>
      <c r="AY275" s="10"/>
      <c r="AZ275" s="10"/>
      <c r="BA275" s="10"/>
      <c r="BB275" s="10"/>
      <c r="BC275" s="10"/>
      <c r="BD275" s="10"/>
      <c r="BE275" s="10"/>
      <c r="BF275" s="10"/>
      <c r="BG275" s="10"/>
      <c r="BH275" s="10"/>
      <c r="BI275" s="10"/>
      <c r="BJ275" s="10"/>
      <c r="BK275" s="10"/>
      <c r="BL275" s="10"/>
      <c r="BM275" s="10"/>
    </row>
    <row r="276" spans="3:65">
      <c r="C276" s="382" t="s">
        <v>783</v>
      </c>
      <c r="D276" s="382" t="s">
        <v>307</v>
      </c>
      <c r="E276" s="382">
        <v>0</v>
      </c>
      <c r="F276" s="382">
        <v>0</v>
      </c>
      <c r="G276" s="382">
        <v>0</v>
      </c>
      <c r="H276" s="382">
        <v>0</v>
      </c>
      <c r="I276" s="382">
        <v>0</v>
      </c>
      <c r="J276" s="382">
        <v>0</v>
      </c>
      <c r="K276" s="382">
        <v>0</v>
      </c>
      <c r="L276" s="382">
        <v>0</v>
      </c>
      <c r="M276" s="382">
        <v>0</v>
      </c>
      <c r="N276" s="382">
        <v>0</v>
      </c>
      <c r="O276" s="382">
        <v>0</v>
      </c>
      <c r="P276" s="382">
        <v>0</v>
      </c>
      <c r="Q276" s="382">
        <v>1073.30701</v>
      </c>
      <c r="R276" s="382">
        <v>0</v>
      </c>
      <c r="S276" s="382">
        <v>0</v>
      </c>
      <c r="T276" s="382">
        <v>0</v>
      </c>
      <c r="U276" s="382">
        <v>0</v>
      </c>
      <c r="V276" s="382">
        <v>0</v>
      </c>
      <c r="W276" s="382">
        <v>1073.30701</v>
      </c>
      <c r="Z276" s="10"/>
      <c r="AU276" s="10"/>
      <c r="AV276" s="10"/>
      <c r="AW276" s="10"/>
      <c r="AX276" s="10"/>
      <c r="AY276" s="10"/>
      <c r="AZ276" s="10"/>
      <c r="BA276" s="10"/>
      <c r="BB276" s="10"/>
      <c r="BC276" s="10"/>
      <c r="BD276" s="10"/>
      <c r="BE276" s="10"/>
      <c r="BF276" s="10"/>
      <c r="BG276" s="10"/>
      <c r="BH276" s="10"/>
      <c r="BI276" s="10"/>
      <c r="BJ276" s="10"/>
      <c r="BK276" s="10"/>
      <c r="BL276" s="10"/>
      <c r="BM276" s="10"/>
    </row>
    <row r="277" spans="3:65">
      <c r="C277" s="382" t="s">
        <v>784</v>
      </c>
      <c r="D277" s="382" t="s">
        <v>785</v>
      </c>
      <c r="E277" s="382">
        <v>106439.46004343702</v>
      </c>
      <c r="F277" s="382">
        <v>20549.659544652059</v>
      </c>
      <c r="G277" s="382">
        <v>21835.72022799843</v>
      </c>
      <c r="H277" s="382">
        <v>22226.11764473276</v>
      </c>
      <c r="I277" s="382">
        <v>35088.161922023413</v>
      </c>
      <c r="J277" s="382">
        <v>11153.669625890408</v>
      </c>
      <c r="K277" s="382">
        <v>41621.048457054421</v>
      </c>
      <c r="L277" s="382">
        <v>36051.015189947248</v>
      </c>
      <c r="M277" s="382">
        <v>165604.30633447503</v>
      </c>
      <c r="N277" s="382">
        <v>90410.0494582393</v>
      </c>
      <c r="O277" s="382">
        <v>13548.292831609513</v>
      </c>
      <c r="P277" s="382">
        <v>46466.107143925059</v>
      </c>
      <c r="Q277" s="382">
        <v>99382.196023222161</v>
      </c>
      <c r="R277" s="382">
        <v>21795.615958410453</v>
      </c>
      <c r="S277" s="382">
        <v>15678.032188894604</v>
      </c>
      <c r="T277" s="382">
        <v>37832.153676495494</v>
      </c>
      <c r="U277" s="382">
        <v>9386.9154898662473</v>
      </c>
      <c r="V277" s="382">
        <v>1924.4650246793396</v>
      </c>
      <c r="W277" s="382">
        <v>796992.98678555293</v>
      </c>
      <c r="Z277" s="10"/>
      <c r="AU277" s="10"/>
      <c r="AV277" s="10"/>
      <c r="AW277" s="10"/>
      <c r="AX277" s="10"/>
      <c r="AY277" s="10"/>
      <c r="AZ277" s="10"/>
      <c r="BA277" s="10"/>
      <c r="BB277" s="10"/>
      <c r="BC277" s="10"/>
      <c r="BD277" s="10"/>
      <c r="BE277" s="10"/>
      <c r="BF277" s="10"/>
      <c r="BG277" s="10"/>
      <c r="BH277" s="10"/>
      <c r="BI277" s="10"/>
      <c r="BJ277" s="10"/>
      <c r="BK277" s="10"/>
      <c r="BL277" s="10"/>
      <c r="BM277" s="10"/>
    </row>
    <row r="278" spans="3:65">
      <c r="C278" s="382" t="s">
        <v>786</v>
      </c>
      <c r="D278" s="382" t="s">
        <v>787</v>
      </c>
      <c r="E278" s="382">
        <v>0</v>
      </c>
      <c r="F278" s="382">
        <v>124.3700655078221</v>
      </c>
      <c r="G278" s="382">
        <v>107.30657991393724</v>
      </c>
      <c r="H278" s="382">
        <v>89.40358560522597</v>
      </c>
      <c r="I278" s="382">
        <v>0</v>
      </c>
      <c r="J278" s="382">
        <v>54.383491475704112</v>
      </c>
      <c r="K278" s="382">
        <v>243.59121640992572</v>
      </c>
      <c r="L278" s="382">
        <v>180.16731824199965</v>
      </c>
      <c r="M278" s="382">
        <v>0</v>
      </c>
      <c r="N278" s="382">
        <v>0</v>
      </c>
      <c r="O278" s="382">
        <v>100.09182859350899</v>
      </c>
      <c r="P278" s="382">
        <v>0</v>
      </c>
      <c r="Q278" s="382">
        <v>546.86615401345375</v>
      </c>
      <c r="R278" s="382">
        <v>117.25847177102639</v>
      </c>
      <c r="S278" s="382">
        <v>0</v>
      </c>
      <c r="T278" s="382">
        <v>0</v>
      </c>
      <c r="U278" s="382">
        <v>29.272285223192874</v>
      </c>
      <c r="V278" s="382">
        <v>11.101003244203076</v>
      </c>
      <c r="W278" s="382">
        <v>1603.8120000000001</v>
      </c>
      <c r="Z278" s="10"/>
      <c r="AU278" s="10"/>
      <c r="AV278" s="10"/>
      <c r="AW278" s="10"/>
      <c r="AX278" s="10"/>
      <c r="AY278" s="10"/>
      <c r="AZ278" s="10"/>
      <c r="BA278" s="10"/>
      <c r="BB278" s="10"/>
      <c r="BC278" s="10"/>
      <c r="BD278" s="10"/>
      <c r="BE278" s="10"/>
      <c r="BF278" s="10"/>
      <c r="BG278" s="10"/>
      <c r="BH278" s="10"/>
      <c r="BI278" s="10"/>
      <c r="BJ278" s="10"/>
      <c r="BK278" s="10"/>
      <c r="BL278" s="10"/>
      <c r="BM278" s="10"/>
    </row>
    <row r="279" spans="3:65">
      <c r="C279" s="382" t="s">
        <v>788</v>
      </c>
      <c r="D279" s="382" t="s">
        <v>789</v>
      </c>
      <c r="E279" s="382">
        <v>531.34997243069665</v>
      </c>
      <c r="F279" s="382">
        <v>108.07126458877036</v>
      </c>
      <c r="G279" s="382">
        <v>93.243963027950471</v>
      </c>
      <c r="H279" s="382">
        <v>77.687171070272356</v>
      </c>
      <c r="I279" s="382">
        <v>127.72876353356497</v>
      </c>
      <c r="J279" s="382">
        <v>47.256489514048795</v>
      </c>
      <c r="K279" s="382">
        <v>211.66838412963455</v>
      </c>
      <c r="L279" s="382">
        <v>156.55624076804668</v>
      </c>
      <c r="M279" s="382">
        <v>511.55812490315265</v>
      </c>
      <c r="N279" s="382">
        <v>327.36335131843708</v>
      </c>
      <c r="O279" s="382">
        <v>86.974710891525874</v>
      </c>
      <c r="P279" s="382">
        <v>210.4973431542663</v>
      </c>
      <c r="Q279" s="382">
        <v>475.19888796162252</v>
      </c>
      <c r="R279" s="382">
        <v>101.89165114851889</v>
      </c>
      <c r="S279" s="382">
        <v>43.838589938545688</v>
      </c>
      <c r="T279" s="382">
        <v>164.3418365425907</v>
      </c>
      <c r="U279" s="382">
        <v>25.436127805807626</v>
      </c>
      <c r="V279" s="382">
        <v>9.6462075010293802</v>
      </c>
      <c r="W279" s="382">
        <v>3310.3090802284814</v>
      </c>
      <c r="Z279" s="10"/>
      <c r="AU279" s="10"/>
      <c r="AV279" s="10"/>
      <c r="AW279" s="10"/>
      <c r="AX279" s="10"/>
      <c r="AY279" s="10"/>
      <c r="AZ279" s="10"/>
      <c r="BA279" s="10"/>
      <c r="BB279" s="10"/>
      <c r="BC279" s="10"/>
      <c r="BD279" s="10"/>
      <c r="BE279" s="10"/>
      <c r="BF279" s="10"/>
      <c r="BG279" s="10"/>
      <c r="BH279" s="10"/>
      <c r="BI279" s="10"/>
      <c r="BJ279" s="10"/>
      <c r="BK279" s="10"/>
      <c r="BL279" s="10"/>
      <c r="BM279" s="10"/>
    </row>
    <row r="280" spans="3:65">
      <c r="C280" s="382" t="s">
        <v>790</v>
      </c>
      <c r="D280" s="382" t="s">
        <v>791</v>
      </c>
      <c r="E280" s="382">
        <v>0</v>
      </c>
      <c r="F280" s="382">
        <v>0</v>
      </c>
      <c r="G280" s="382">
        <v>0</v>
      </c>
      <c r="H280" s="382">
        <v>0</v>
      </c>
      <c r="I280" s="382">
        <v>0</v>
      </c>
      <c r="J280" s="382">
        <v>0</v>
      </c>
      <c r="K280" s="382">
        <v>0</v>
      </c>
      <c r="L280" s="382">
        <v>0</v>
      </c>
      <c r="M280" s="382">
        <v>0</v>
      </c>
      <c r="N280" s="382">
        <v>0</v>
      </c>
      <c r="O280" s="382">
        <v>0</v>
      </c>
      <c r="P280" s="382">
        <v>0</v>
      </c>
      <c r="Q280" s="382">
        <v>263.23218000000003</v>
      </c>
      <c r="R280" s="382">
        <v>0</v>
      </c>
      <c r="S280" s="382">
        <v>0</v>
      </c>
      <c r="T280" s="382">
        <v>11.2935</v>
      </c>
      <c r="U280" s="382">
        <v>0</v>
      </c>
      <c r="V280" s="382">
        <v>0</v>
      </c>
      <c r="W280" s="382">
        <v>274.52568000000002</v>
      </c>
      <c r="Z280" s="10"/>
      <c r="AU280" s="10"/>
      <c r="AV280" s="10"/>
      <c r="AW280" s="10"/>
      <c r="AX280" s="10"/>
      <c r="AY280" s="10"/>
      <c r="AZ280" s="10"/>
      <c r="BA280" s="10"/>
      <c r="BB280" s="10"/>
      <c r="BC280" s="10"/>
      <c r="BD280" s="10"/>
      <c r="BE280" s="10"/>
      <c r="BF280" s="10"/>
      <c r="BG280" s="10"/>
      <c r="BH280" s="10"/>
      <c r="BI280" s="10"/>
      <c r="BJ280" s="10"/>
      <c r="BK280" s="10"/>
      <c r="BL280" s="10"/>
      <c r="BM280" s="10"/>
    </row>
    <row r="281" spans="3:65">
      <c r="C281" s="382" t="s">
        <v>792</v>
      </c>
      <c r="D281" s="382" t="s">
        <v>793</v>
      </c>
      <c r="E281" s="382">
        <v>33797.220507827464</v>
      </c>
      <c r="F281" s="382">
        <v>28987.195073587256</v>
      </c>
      <c r="G281" s="382">
        <v>4951.599651572561</v>
      </c>
      <c r="H281" s="382">
        <v>8626.409791187587</v>
      </c>
      <c r="I281" s="382">
        <v>9392.1360275516272</v>
      </c>
      <c r="J281" s="382">
        <v>5851.502183329023</v>
      </c>
      <c r="K281" s="382">
        <v>6818.9375932791709</v>
      </c>
      <c r="L281" s="382">
        <v>5996.0071734283883</v>
      </c>
      <c r="M281" s="382">
        <v>84740.828437905584</v>
      </c>
      <c r="N281" s="382">
        <v>40937.388903760766</v>
      </c>
      <c r="O281" s="382">
        <v>2468.6479046768241</v>
      </c>
      <c r="P281" s="382">
        <v>21717.416061981847</v>
      </c>
      <c r="Q281" s="382">
        <v>79031.892964457424</v>
      </c>
      <c r="R281" s="382">
        <v>9605.0612663296906</v>
      </c>
      <c r="S281" s="382">
        <v>4148.1065718886048</v>
      </c>
      <c r="T281" s="382">
        <v>38135.706052930807</v>
      </c>
      <c r="U281" s="382">
        <v>1408.602824546746</v>
      </c>
      <c r="V281" s="382">
        <v>205.13342075860979</v>
      </c>
      <c r="W281" s="382">
        <v>386819.79241099994</v>
      </c>
      <c r="Z281" s="10"/>
      <c r="AU281" s="10"/>
      <c r="AV281" s="10"/>
      <c r="AW281" s="10"/>
      <c r="AX281" s="10"/>
      <c r="AY281" s="10"/>
      <c r="AZ281" s="10"/>
      <c r="BA281" s="10"/>
      <c r="BB281" s="10"/>
      <c r="BC281" s="10"/>
      <c r="BD281" s="10"/>
      <c r="BE281" s="10"/>
      <c r="BF281" s="10"/>
      <c r="BG281" s="10"/>
      <c r="BH281" s="10"/>
      <c r="BI281" s="10"/>
      <c r="BJ281" s="10"/>
      <c r="BK281" s="10"/>
      <c r="BL281" s="10"/>
      <c r="BM281" s="10"/>
    </row>
    <row r="282" spans="3:65">
      <c r="C282" s="382" t="s">
        <v>622</v>
      </c>
      <c r="D282" s="382" t="s">
        <v>308</v>
      </c>
      <c r="E282" s="382">
        <v>2410.0570409154052</v>
      </c>
      <c r="F282" s="382">
        <v>0</v>
      </c>
      <c r="G282" s="382">
        <v>567.98385042639916</v>
      </c>
      <c r="H282" s="382">
        <v>402.86931959032376</v>
      </c>
      <c r="I282" s="382">
        <v>6010.8721446338604</v>
      </c>
      <c r="J282" s="382">
        <v>4631.4353818280761</v>
      </c>
      <c r="K282" s="382">
        <v>0</v>
      </c>
      <c r="L282" s="382">
        <v>0</v>
      </c>
      <c r="M282" s="382">
        <v>1267.2388791199214</v>
      </c>
      <c r="N282" s="382">
        <v>794.57697362419958</v>
      </c>
      <c r="O282" s="382">
        <v>0</v>
      </c>
      <c r="P282" s="382">
        <v>4458.6860252484548</v>
      </c>
      <c r="Q282" s="382">
        <v>98.828037823074595</v>
      </c>
      <c r="R282" s="382">
        <v>350.29610367753901</v>
      </c>
      <c r="S282" s="382">
        <v>0</v>
      </c>
      <c r="T282" s="382">
        <v>1000.9957120540059</v>
      </c>
      <c r="U282" s="382">
        <v>0</v>
      </c>
      <c r="V282" s="382">
        <v>432.87132105874002</v>
      </c>
      <c r="W282" s="382">
        <v>22426.710789999997</v>
      </c>
      <c r="Z282" s="10"/>
      <c r="AU282" s="10"/>
      <c r="AV282" s="10"/>
      <c r="AW282" s="10"/>
      <c r="AX282" s="10"/>
      <c r="AY282" s="10"/>
      <c r="AZ282" s="10"/>
      <c r="BA282" s="10"/>
      <c r="BB282" s="10"/>
      <c r="BC282" s="10"/>
      <c r="BD282" s="10"/>
      <c r="BE282" s="10"/>
      <c r="BF282" s="10"/>
      <c r="BG282" s="10"/>
      <c r="BH282" s="10"/>
      <c r="BI282" s="10"/>
      <c r="BJ282" s="10"/>
      <c r="BK282" s="10"/>
      <c r="BL282" s="10"/>
      <c r="BM282" s="10"/>
    </row>
    <row r="283" spans="3:65">
      <c r="C283" s="382" t="s">
        <v>794</v>
      </c>
      <c r="D283" s="382" t="s">
        <v>795</v>
      </c>
      <c r="E283" s="382">
        <v>28.138359699631934</v>
      </c>
      <c r="F283" s="382">
        <v>13.400100723998618</v>
      </c>
      <c r="G283" s="382">
        <v>11.56161632080293</v>
      </c>
      <c r="H283" s="382">
        <v>9.6326800770343954</v>
      </c>
      <c r="I283" s="382">
        <v>6.7640502094228552</v>
      </c>
      <c r="J283" s="382">
        <v>5.8594828307083402</v>
      </c>
      <c r="K283" s="382">
        <v>26.245437935940096</v>
      </c>
      <c r="L283" s="382">
        <v>19.411907533840335</v>
      </c>
      <c r="M283" s="382">
        <v>27.090255523955253</v>
      </c>
      <c r="N283" s="382">
        <v>17.335971035693621</v>
      </c>
      <c r="O283" s="382">
        <v>10.784271756436997</v>
      </c>
      <c r="P283" s="382">
        <v>11.147172795354079</v>
      </c>
      <c r="Q283" s="382">
        <v>58.921425476495635</v>
      </c>
      <c r="R283" s="382">
        <v>12.633870747419348</v>
      </c>
      <c r="S283" s="382">
        <v>2.3215320907471284</v>
      </c>
      <c r="T283" s="382">
        <v>8.7029452343420921</v>
      </c>
      <c r="U283" s="382">
        <v>3.1539065997173616</v>
      </c>
      <c r="V283" s="382">
        <v>1.1960640287706603</v>
      </c>
      <c r="W283" s="382">
        <v>274.30105062031168</v>
      </c>
      <c r="Z283" s="10"/>
      <c r="AU283" s="10"/>
      <c r="AV283" s="10"/>
      <c r="AW283" s="10"/>
      <c r="AX283" s="10"/>
      <c r="AY283" s="10"/>
      <c r="AZ283" s="10"/>
      <c r="BA283" s="10"/>
      <c r="BB283" s="10"/>
      <c r="BC283" s="10"/>
      <c r="BD283" s="10"/>
      <c r="BE283" s="10"/>
      <c r="BF283" s="10"/>
      <c r="BG283" s="10"/>
      <c r="BH283" s="10"/>
      <c r="BI283" s="10"/>
      <c r="BJ283" s="10"/>
      <c r="BK283" s="10"/>
      <c r="BL283" s="10"/>
      <c r="BM283" s="10"/>
    </row>
    <row r="284" spans="3:65">
      <c r="C284" s="382" t="s">
        <v>796</v>
      </c>
      <c r="D284" s="382" t="s">
        <v>797</v>
      </c>
      <c r="E284" s="382">
        <v>1.0988692898484054</v>
      </c>
      <c r="F284" s="382">
        <v>0.20178961899374809</v>
      </c>
      <c r="G284" s="382">
        <v>0.17410422506365661</v>
      </c>
      <c r="H284" s="382">
        <v>0.14505673372680533</v>
      </c>
      <c r="I284" s="382">
        <v>0.26415210870392969</v>
      </c>
      <c r="J284" s="382">
        <v>8.823685972684385E-2</v>
      </c>
      <c r="K284" s="382">
        <v>0.39522515766859551</v>
      </c>
      <c r="L284" s="382">
        <v>0.29232029712882884</v>
      </c>
      <c r="M284" s="382">
        <v>1.057938350607194</v>
      </c>
      <c r="N284" s="382">
        <v>0.67701054305146136</v>
      </c>
      <c r="O284" s="382">
        <v>0.16239833816764712</v>
      </c>
      <c r="P284" s="382">
        <v>0.43532338004792892</v>
      </c>
      <c r="Q284" s="382">
        <v>0.88728676316416955</v>
      </c>
      <c r="R284" s="382">
        <v>0.19025110460343383</v>
      </c>
      <c r="S284" s="382">
        <v>9.0661301765680019E-2</v>
      </c>
      <c r="T284" s="382">
        <v>0.33987053088159047</v>
      </c>
      <c r="U284" s="382">
        <v>4.7494091589852128E-2</v>
      </c>
      <c r="V284" s="382">
        <v>1.8011305260229309E-2</v>
      </c>
      <c r="W284" s="382">
        <v>6.5659999999999998</v>
      </c>
      <c r="Z284" s="10"/>
      <c r="AU284" s="10"/>
      <c r="AV284" s="10"/>
      <c r="AW284" s="10"/>
      <c r="AX284" s="10"/>
      <c r="AY284" s="10"/>
      <c r="AZ284" s="10"/>
      <c r="BA284" s="10"/>
      <c r="BB284" s="10"/>
      <c r="BC284" s="10"/>
      <c r="BD284" s="10"/>
      <c r="BE284" s="10"/>
      <c r="BF284" s="10"/>
      <c r="BG284" s="10"/>
      <c r="BH284" s="10"/>
      <c r="BI284" s="10"/>
      <c r="BJ284" s="10"/>
      <c r="BK284" s="10"/>
      <c r="BL284" s="10"/>
      <c r="BM284" s="10"/>
    </row>
    <row r="285" spans="3:65">
      <c r="C285" s="382" t="s">
        <v>309</v>
      </c>
      <c r="D285" s="382" t="s">
        <v>310</v>
      </c>
      <c r="E285" s="382">
        <v>25718.071078715555</v>
      </c>
      <c r="F285" s="382">
        <v>0</v>
      </c>
      <c r="G285" s="382">
        <v>4472.9912721565715</v>
      </c>
      <c r="H285" s="382">
        <v>1098.0037289002764</v>
      </c>
      <c r="I285" s="382">
        <v>0</v>
      </c>
      <c r="J285" s="382">
        <v>1726.85788323935</v>
      </c>
      <c r="K285" s="382">
        <v>0</v>
      </c>
      <c r="L285" s="382">
        <v>0</v>
      </c>
      <c r="M285" s="382">
        <v>0</v>
      </c>
      <c r="N285" s="382">
        <v>0</v>
      </c>
      <c r="O285" s="382">
        <v>0</v>
      </c>
      <c r="P285" s="382">
        <v>0</v>
      </c>
      <c r="Q285" s="382">
        <v>0</v>
      </c>
      <c r="R285" s="382">
        <v>1721.3501650160956</v>
      </c>
      <c r="S285" s="382">
        <v>0</v>
      </c>
      <c r="T285" s="382">
        <v>0</v>
      </c>
      <c r="U285" s="382">
        <v>0</v>
      </c>
      <c r="V285" s="382">
        <v>0</v>
      </c>
      <c r="W285" s="382">
        <v>34737.27412802785</v>
      </c>
      <c r="Z285" s="10"/>
      <c r="AU285" s="10"/>
      <c r="AV285" s="10"/>
      <c r="AW285" s="10"/>
      <c r="AX285" s="10"/>
      <c r="AY285" s="10"/>
      <c r="AZ285" s="10"/>
      <c r="BA285" s="10"/>
      <c r="BB285" s="10"/>
      <c r="BC285" s="10"/>
      <c r="BD285" s="10"/>
      <c r="BE285" s="10"/>
      <c r="BF285" s="10"/>
      <c r="BG285" s="10"/>
      <c r="BH285" s="10"/>
      <c r="BI285" s="10"/>
      <c r="BJ285" s="10"/>
      <c r="BK285" s="10"/>
      <c r="BL285" s="10"/>
      <c r="BM285" s="10"/>
    </row>
    <row r="286" spans="3:65">
      <c r="C286" s="382" t="s">
        <v>798</v>
      </c>
      <c r="D286" s="382" t="s">
        <v>799</v>
      </c>
      <c r="E286" s="382">
        <v>0</v>
      </c>
      <c r="F286" s="382">
        <v>0</v>
      </c>
      <c r="G286" s="382">
        <v>0</v>
      </c>
      <c r="H286" s="382">
        <v>0</v>
      </c>
      <c r="I286" s="382">
        <v>8775.6550609471578</v>
      </c>
      <c r="J286" s="382">
        <v>0</v>
      </c>
      <c r="K286" s="382">
        <v>0</v>
      </c>
      <c r="L286" s="382">
        <v>0</v>
      </c>
      <c r="M286" s="382">
        <v>2348.9075944358196</v>
      </c>
      <c r="N286" s="382">
        <v>8178.2610195544366</v>
      </c>
      <c r="O286" s="382">
        <v>0</v>
      </c>
      <c r="P286" s="382">
        <v>58466.92506447585</v>
      </c>
      <c r="Q286" s="382">
        <v>0</v>
      </c>
      <c r="R286" s="382">
        <v>0</v>
      </c>
      <c r="S286" s="382">
        <v>0</v>
      </c>
      <c r="T286" s="382">
        <v>0</v>
      </c>
      <c r="U286" s="382">
        <v>0</v>
      </c>
      <c r="V286" s="382">
        <v>0</v>
      </c>
      <c r="W286" s="382">
        <v>77769.748739413262</v>
      </c>
      <c r="Z286" s="10"/>
      <c r="AU286" s="10"/>
      <c r="AV286" s="10"/>
      <c r="AW286" s="10"/>
      <c r="AX286" s="10"/>
      <c r="AY286" s="10"/>
      <c r="AZ286" s="10"/>
      <c r="BA286" s="10"/>
      <c r="BB286" s="10"/>
      <c r="BC286" s="10"/>
      <c r="BD286" s="10"/>
      <c r="BE286" s="10"/>
      <c r="BF286" s="10"/>
      <c r="BG286" s="10"/>
      <c r="BH286" s="10"/>
      <c r="BI286" s="10"/>
      <c r="BJ286" s="10"/>
      <c r="BK286" s="10"/>
      <c r="BL286" s="10"/>
      <c r="BM286" s="10"/>
    </row>
    <row r="287" spans="3:65">
      <c r="C287" s="382" t="s">
        <v>623</v>
      </c>
      <c r="D287" s="382" t="s">
        <v>634</v>
      </c>
      <c r="E287" s="382">
        <v>9606.5300117278475</v>
      </c>
      <c r="F287" s="382">
        <v>1511.3244208714339</v>
      </c>
      <c r="G287" s="382">
        <v>1208.1443594187065</v>
      </c>
      <c r="H287" s="382">
        <v>1262.4260476019044</v>
      </c>
      <c r="I287" s="382">
        <v>2404.3678572366348</v>
      </c>
      <c r="J287" s="382">
        <v>671.16526342508689</v>
      </c>
      <c r="K287" s="382">
        <v>2839.8981282043778</v>
      </c>
      <c r="L287" s="382">
        <v>2365.8767793862439</v>
      </c>
      <c r="M287" s="382">
        <v>8592.0137446712288</v>
      </c>
      <c r="N287" s="382">
        <v>5709.4420309369707</v>
      </c>
      <c r="O287" s="382">
        <v>1253.6825195862152</v>
      </c>
      <c r="P287" s="382">
        <v>3133.9029742459247</v>
      </c>
      <c r="Q287" s="382">
        <v>7370.9542132136539</v>
      </c>
      <c r="R287" s="382">
        <v>1677.6378506409574</v>
      </c>
      <c r="S287" s="382">
        <v>732.5912350608113</v>
      </c>
      <c r="T287" s="382">
        <v>2503.353491136982</v>
      </c>
      <c r="U287" s="382">
        <v>363.67804813099258</v>
      </c>
      <c r="V287" s="382">
        <v>194.01289450402916</v>
      </c>
      <c r="W287" s="382">
        <v>53401.00187</v>
      </c>
      <c r="Z287" s="10"/>
      <c r="AU287" s="10"/>
      <c r="AV287" s="10"/>
      <c r="AW287" s="10"/>
      <c r="AX287" s="10"/>
      <c r="AY287" s="10"/>
      <c r="AZ287" s="10"/>
      <c r="BA287" s="10"/>
      <c r="BB287" s="10"/>
      <c r="BC287" s="10"/>
      <c r="BD287" s="10"/>
      <c r="BE287" s="10"/>
      <c r="BF287" s="10"/>
      <c r="BG287" s="10"/>
      <c r="BH287" s="10"/>
      <c r="BI287" s="10"/>
      <c r="BJ287" s="10"/>
      <c r="BK287" s="10"/>
      <c r="BL287" s="10"/>
      <c r="BM287" s="10"/>
    </row>
    <row r="288" spans="3:65">
      <c r="C288" s="382" t="s">
        <v>1214</v>
      </c>
      <c r="D288" s="382" t="s">
        <v>1215</v>
      </c>
      <c r="E288" s="382">
        <v>2398.5341600000002</v>
      </c>
      <c r="F288" s="382">
        <v>0</v>
      </c>
      <c r="G288" s="382">
        <v>0</v>
      </c>
      <c r="H288" s="382">
        <v>0</v>
      </c>
      <c r="I288" s="382">
        <v>0</v>
      </c>
      <c r="J288" s="382">
        <v>0</v>
      </c>
      <c r="K288" s="382">
        <v>0</v>
      </c>
      <c r="L288" s="382">
        <v>0</v>
      </c>
      <c r="M288" s="382">
        <v>0</v>
      </c>
      <c r="N288" s="382">
        <v>0</v>
      </c>
      <c r="O288" s="382">
        <v>0</v>
      </c>
      <c r="P288" s="382">
        <v>0</v>
      </c>
      <c r="Q288" s="382">
        <v>0</v>
      </c>
      <c r="R288" s="382">
        <v>0</v>
      </c>
      <c r="S288" s="382">
        <v>0</v>
      </c>
      <c r="T288" s="382">
        <v>0</v>
      </c>
      <c r="U288" s="382">
        <v>0</v>
      </c>
      <c r="V288" s="382">
        <v>0</v>
      </c>
      <c r="W288" s="382">
        <v>2398.5341600000002</v>
      </c>
      <c r="Z288" s="10"/>
      <c r="AU288" s="10"/>
      <c r="AV288" s="10"/>
      <c r="AW288" s="10"/>
      <c r="AX288" s="10"/>
      <c r="AY288" s="10"/>
      <c r="AZ288" s="10"/>
      <c r="BA288" s="10"/>
      <c r="BB288" s="10"/>
      <c r="BC288" s="10"/>
      <c r="BD288" s="10"/>
      <c r="BE288" s="10"/>
      <c r="BF288" s="10"/>
      <c r="BG288" s="10"/>
      <c r="BH288" s="10"/>
      <c r="BI288" s="10"/>
      <c r="BJ288" s="10"/>
      <c r="BK288" s="10"/>
      <c r="BL288" s="10"/>
      <c r="BM288" s="10"/>
    </row>
    <row r="289" spans="3:65">
      <c r="C289" s="382" t="s">
        <v>1216</v>
      </c>
      <c r="D289" s="382" t="s">
        <v>1217</v>
      </c>
      <c r="E289" s="382">
        <v>0</v>
      </c>
      <c r="F289" s="382">
        <v>0</v>
      </c>
      <c r="G289" s="382">
        <v>0</v>
      </c>
      <c r="H289" s="382">
        <v>65.118819999999999</v>
      </c>
      <c r="I289" s="382">
        <v>0</v>
      </c>
      <c r="J289" s="382">
        <v>0</v>
      </c>
      <c r="K289" s="382">
        <v>0</v>
      </c>
      <c r="L289" s="382">
        <v>0</v>
      </c>
      <c r="M289" s="382">
        <v>0</v>
      </c>
      <c r="N289" s="382">
        <v>0</v>
      </c>
      <c r="O289" s="382">
        <v>0</v>
      </c>
      <c r="P289" s="382">
        <v>0</v>
      </c>
      <c r="Q289" s="382">
        <v>0</v>
      </c>
      <c r="R289" s="382">
        <v>0</v>
      </c>
      <c r="S289" s="382">
        <v>0</v>
      </c>
      <c r="T289" s="382">
        <v>0</v>
      </c>
      <c r="U289" s="382">
        <v>0</v>
      </c>
      <c r="V289" s="382">
        <v>0</v>
      </c>
      <c r="W289" s="382">
        <v>65.118819999999999</v>
      </c>
      <c r="Z289" s="10"/>
      <c r="AU289" s="10"/>
      <c r="AV289" s="10"/>
      <c r="AW289" s="10"/>
      <c r="AX289" s="10"/>
      <c r="AY289" s="10"/>
      <c r="AZ289" s="10"/>
      <c r="BA289" s="10"/>
      <c r="BB289" s="10"/>
      <c r="BC289" s="10"/>
      <c r="BD289" s="10"/>
      <c r="BE289" s="10"/>
      <c r="BF289" s="10"/>
      <c r="BG289" s="10"/>
      <c r="BH289" s="10"/>
      <c r="BI289" s="10"/>
      <c r="BJ289" s="10"/>
      <c r="BK289" s="10"/>
      <c r="BL289" s="10"/>
      <c r="BM289" s="10"/>
    </row>
    <row r="290" spans="3:65">
      <c r="C290" s="382"/>
      <c r="D290" s="382" t="s">
        <v>668</v>
      </c>
      <c r="E290" s="382">
        <v>693591.11970113672</v>
      </c>
      <c r="F290" s="382">
        <v>128840.94798902985</v>
      </c>
      <c r="G290" s="382">
        <v>76447.119264440043</v>
      </c>
      <c r="H290" s="382">
        <v>71684.094372007356</v>
      </c>
      <c r="I290" s="382">
        <v>153224.46947983347</v>
      </c>
      <c r="J290" s="382">
        <v>50996.58028743606</v>
      </c>
      <c r="K290" s="382">
        <v>219509.93069654645</v>
      </c>
      <c r="L290" s="382">
        <v>149641.11789153653</v>
      </c>
      <c r="M290" s="382">
        <v>454066.47985836561</v>
      </c>
      <c r="N290" s="382">
        <v>349114.25792722532</v>
      </c>
      <c r="O290" s="382">
        <v>95378.625809564546</v>
      </c>
      <c r="P290" s="382">
        <v>285895.855799207</v>
      </c>
      <c r="Q290" s="382">
        <v>555315.94564917055</v>
      </c>
      <c r="R290" s="382">
        <v>131378.75388486637</v>
      </c>
      <c r="S290" s="382">
        <v>38629.958016743578</v>
      </c>
      <c r="T290" s="382">
        <v>124541.35519230466</v>
      </c>
      <c r="U290" s="382">
        <v>25800.396341315001</v>
      </c>
      <c r="V290" s="382">
        <v>29192.606144562385</v>
      </c>
      <c r="W290" s="382">
        <v>3633249.6143052909</v>
      </c>
      <c r="Z290" s="10"/>
      <c r="AU290" s="10"/>
      <c r="AV290" s="10"/>
      <c r="AW290" s="10"/>
      <c r="AX290" s="10"/>
      <c r="AY290" s="10"/>
      <c r="AZ290" s="10"/>
      <c r="BA290" s="10"/>
      <c r="BB290" s="10"/>
      <c r="BC290" s="10"/>
      <c r="BD290" s="10"/>
      <c r="BE290" s="10"/>
      <c r="BF290" s="10"/>
      <c r="BG290" s="10"/>
      <c r="BH290" s="10"/>
      <c r="BI290" s="10"/>
      <c r="BJ290" s="10"/>
      <c r="BK290" s="10"/>
      <c r="BL290" s="10"/>
      <c r="BM290" s="10"/>
    </row>
    <row r="291" spans="3:65">
      <c r="C291" s="382" t="s">
        <v>655</v>
      </c>
      <c r="D291" s="382" t="s">
        <v>800</v>
      </c>
      <c r="E291" s="382" t="s">
        <v>9</v>
      </c>
      <c r="F291" s="382" t="s">
        <v>10</v>
      </c>
      <c r="G291" s="382" t="s">
        <v>11</v>
      </c>
      <c r="H291" s="382" t="s">
        <v>31</v>
      </c>
      <c r="I291" s="382" t="s">
        <v>12</v>
      </c>
      <c r="J291" s="382" t="s">
        <v>13</v>
      </c>
      <c r="K291" s="382" t="s">
        <v>14</v>
      </c>
      <c r="L291" s="382" t="s">
        <v>15</v>
      </c>
      <c r="M291" s="382" t="s">
        <v>16</v>
      </c>
      <c r="N291" s="382" t="s">
        <v>17</v>
      </c>
      <c r="O291" s="382" t="s">
        <v>18</v>
      </c>
      <c r="P291" s="382" t="s">
        <v>19</v>
      </c>
      <c r="Q291" s="382" t="s">
        <v>20</v>
      </c>
      <c r="R291" s="382" t="s">
        <v>60</v>
      </c>
      <c r="S291" s="382" t="s">
        <v>61</v>
      </c>
      <c r="T291" s="382" t="s">
        <v>62</v>
      </c>
      <c r="U291" s="382" t="s">
        <v>63</v>
      </c>
      <c r="V291" s="382" t="s">
        <v>64</v>
      </c>
      <c r="W291" s="382" t="s">
        <v>656</v>
      </c>
      <c r="Z291" s="10"/>
      <c r="AU291" s="10"/>
      <c r="AV291" s="10"/>
      <c r="AW291" s="10"/>
      <c r="AX291" s="10"/>
      <c r="AY291" s="10"/>
      <c r="AZ291" s="10"/>
      <c r="BA291" s="10"/>
      <c r="BB291" s="10"/>
      <c r="BC291" s="10"/>
      <c r="BD291" s="10"/>
      <c r="BE291" s="10"/>
      <c r="BF291" s="10"/>
      <c r="BG291" s="10"/>
      <c r="BH291" s="10"/>
      <c r="BI291" s="10"/>
      <c r="BJ291" s="10"/>
      <c r="BK291" s="10"/>
      <c r="BL291" s="10"/>
      <c r="BM291" s="10"/>
    </row>
    <row r="292" spans="3:65">
      <c r="C292" s="382" t="s">
        <v>637</v>
      </c>
      <c r="D292" s="382" t="s">
        <v>801</v>
      </c>
      <c r="E292" s="382">
        <v>11274.972210091482</v>
      </c>
      <c r="F292" s="382">
        <v>1542.9943229966063</v>
      </c>
      <c r="G292" s="382">
        <v>1013.0501107971105</v>
      </c>
      <c r="H292" s="382">
        <v>1226.7558901022499</v>
      </c>
      <c r="I292" s="382">
        <v>2521.2446221899754</v>
      </c>
      <c r="J292" s="382">
        <v>662.36570064828175</v>
      </c>
      <c r="K292" s="382">
        <v>2680.5676888369671</v>
      </c>
      <c r="L292" s="382">
        <v>2662.1866044516328</v>
      </c>
      <c r="M292" s="382">
        <v>9244.3250137560717</v>
      </c>
      <c r="N292" s="382">
        <v>6122.6377355707418</v>
      </c>
      <c r="O292" s="382">
        <v>1357.9999642508799</v>
      </c>
      <c r="P292" s="382">
        <v>2944.0705689749489</v>
      </c>
      <c r="Q292" s="382">
        <v>8462.6360943907493</v>
      </c>
      <c r="R292" s="382">
        <v>2043.3954005628318</v>
      </c>
      <c r="S292" s="382">
        <v>777.93328629967311</v>
      </c>
      <c r="T292" s="382">
        <v>2615.9400482959445</v>
      </c>
      <c r="U292" s="382">
        <v>380.31702013478849</v>
      </c>
      <c r="V292" s="382">
        <v>271.38687882831709</v>
      </c>
      <c r="W292" s="382">
        <v>57804.779161179264</v>
      </c>
      <c r="Z292" s="10"/>
      <c r="AU292" s="10"/>
      <c r="AV292" s="10"/>
      <c r="AW292" s="10"/>
      <c r="AX292" s="10"/>
      <c r="AY292" s="10"/>
      <c r="AZ292" s="10"/>
      <c r="BA292" s="10"/>
      <c r="BB292" s="10"/>
      <c r="BC292" s="10"/>
      <c r="BD292" s="10"/>
      <c r="BE292" s="10"/>
      <c r="BF292" s="10"/>
      <c r="BG292" s="10"/>
      <c r="BH292" s="10"/>
      <c r="BI292" s="10"/>
      <c r="BJ292" s="10"/>
      <c r="BK292" s="10"/>
      <c r="BL292" s="10"/>
      <c r="BM292" s="10"/>
    </row>
    <row r="293" spans="3:65">
      <c r="C293" s="382" t="s">
        <v>638</v>
      </c>
      <c r="D293" s="382" t="s">
        <v>802</v>
      </c>
      <c r="E293" s="382">
        <v>432.56818798025455</v>
      </c>
      <c r="F293" s="382">
        <v>65.049100656521503</v>
      </c>
      <c r="G293" s="382">
        <v>50.369733220081073</v>
      </c>
      <c r="H293" s="382">
        <v>41.393035515627751</v>
      </c>
      <c r="I293" s="382">
        <v>109.3826852450659</v>
      </c>
      <c r="J293" s="382">
        <v>29.075771849802578</v>
      </c>
      <c r="K293" s="382">
        <v>128.07172240125078</v>
      </c>
      <c r="L293" s="382">
        <v>105.82131013823535</v>
      </c>
      <c r="M293" s="382">
        <v>300.83245774329259</v>
      </c>
      <c r="N293" s="382">
        <v>198.11516177534239</v>
      </c>
      <c r="O293" s="382">
        <v>63.075282737724812</v>
      </c>
      <c r="P293" s="382">
        <v>114.15497189565787</v>
      </c>
      <c r="Q293" s="382">
        <v>236.55316179449807</v>
      </c>
      <c r="R293" s="382">
        <v>83.514590906910598</v>
      </c>
      <c r="S293" s="382">
        <v>31.028798391407722</v>
      </c>
      <c r="T293" s="382">
        <v>82.325797060238855</v>
      </c>
      <c r="U293" s="382">
        <v>15.514880222505152</v>
      </c>
      <c r="V293" s="382">
        <v>9.3354804655821191</v>
      </c>
      <c r="W293" s="382">
        <v>2096.1821299999992</v>
      </c>
      <c r="Z293" s="10"/>
      <c r="AU293" s="10"/>
      <c r="AV293" s="10"/>
      <c r="AW293" s="10"/>
      <c r="AX293" s="10"/>
      <c r="AY293" s="10"/>
      <c r="AZ293" s="10"/>
      <c r="BA293" s="10"/>
      <c r="BB293" s="10"/>
      <c r="BC293" s="10"/>
      <c r="BD293" s="10"/>
      <c r="BE293" s="10"/>
      <c r="BF293" s="10"/>
      <c r="BG293" s="10"/>
      <c r="BH293" s="10"/>
      <c r="BI293" s="10"/>
      <c r="BJ293" s="10"/>
      <c r="BK293" s="10"/>
      <c r="BL293" s="10"/>
      <c r="BM293" s="10"/>
    </row>
    <row r="294" spans="3:65">
      <c r="C294" s="382" t="s">
        <v>639</v>
      </c>
      <c r="D294" s="382" t="s">
        <v>803</v>
      </c>
      <c r="E294" s="382">
        <v>69231.792644223198</v>
      </c>
      <c r="F294" s="382">
        <v>7560.7163005169195</v>
      </c>
      <c r="G294" s="382">
        <v>78.626406790238349</v>
      </c>
      <c r="H294" s="382">
        <v>113.2034079266989</v>
      </c>
      <c r="I294" s="382">
        <v>16545.938814236357</v>
      </c>
      <c r="J294" s="382">
        <v>3426.2062572622158</v>
      </c>
      <c r="K294" s="382">
        <v>204.63600859297469</v>
      </c>
      <c r="L294" s="382">
        <v>223.83488673854961</v>
      </c>
      <c r="M294" s="382">
        <v>830.48077042975876</v>
      </c>
      <c r="N294" s="382">
        <v>523.31711581487593</v>
      </c>
      <c r="O294" s="382">
        <v>106.16826201187337</v>
      </c>
      <c r="P294" s="382">
        <v>234.96429390016988</v>
      </c>
      <c r="Q294" s="382">
        <v>730.13839643309802</v>
      </c>
      <c r="R294" s="382">
        <v>174.39449552312254</v>
      </c>
      <c r="S294" s="382">
        <v>3206.8441388633073</v>
      </c>
      <c r="T294" s="382">
        <v>10956.392778136678</v>
      </c>
      <c r="U294" s="382">
        <v>32.983168680943315</v>
      </c>
      <c r="V294" s="382">
        <v>24.212230930307314</v>
      </c>
      <c r="W294" s="382">
        <v>114204.85037701129</v>
      </c>
      <c r="Z294" s="10"/>
      <c r="AU294" s="10"/>
      <c r="AV294" s="10"/>
      <c r="AW294" s="10"/>
      <c r="AX294" s="10"/>
      <c r="AY294" s="10"/>
      <c r="AZ294" s="10"/>
      <c r="BA294" s="10"/>
      <c r="BB294" s="10"/>
      <c r="BC294" s="10"/>
      <c r="BD294" s="10"/>
      <c r="BE294" s="10"/>
      <c r="BF294" s="10"/>
      <c r="BG294" s="10"/>
      <c r="BH294" s="10"/>
      <c r="BI294" s="10"/>
      <c r="BJ294" s="10"/>
      <c r="BK294" s="10"/>
      <c r="BL294" s="10"/>
      <c r="BM294" s="10"/>
    </row>
    <row r="295" spans="3:65">
      <c r="C295" s="382" t="s">
        <v>640</v>
      </c>
      <c r="D295" s="382" t="s">
        <v>804</v>
      </c>
      <c r="E295" s="382">
        <v>4922.6226078164727</v>
      </c>
      <c r="F295" s="382">
        <v>1164.3205915949743</v>
      </c>
      <c r="G295" s="382">
        <v>479.76698013197029</v>
      </c>
      <c r="H295" s="382">
        <v>861.13308504918746</v>
      </c>
      <c r="I295" s="382">
        <v>1285.6013715929189</v>
      </c>
      <c r="J295" s="382">
        <v>511.43491429622202</v>
      </c>
      <c r="K295" s="382">
        <v>2413.5740586794018</v>
      </c>
      <c r="L295" s="382">
        <v>1614.691170710496</v>
      </c>
      <c r="M295" s="382">
        <v>2506.0061160915866</v>
      </c>
      <c r="N295" s="382">
        <v>4562.3909802885173</v>
      </c>
      <c r="O295" s="382">
        <v>879.46764064989748</v>
      </c>
      <c r="P295" s="382">
        <v>1421.6472799967453</v>
      </c>
      <c r="Q295" s="382">
        <v>4440.9999507350412</v>
      </c>
      <c r="R295" s="382">
        <v>1022.3019752828725</v>
      </c>
      <c r="S295" s="382">
        <v>529.1061509326139</v>
      </c>
      <c r="T295" s="382">
        <v>730.37694010222356</v>
      </c>
      <c r="U295" s="382">
        <v>441.59880260127318</v>
      </c>
      <c r="V295" s="382">
        <v>61.539093447584037</v>
      </c>
      <c r="W295" s="382">
        <v>29848.579709999998</v>
      </c>
      <c r="Z295" s="10"/>
      <c r="AU295" s="10"/>
      <c r="AV295" s="10"/>
      <c r="AW295" s="10"/>
      <c r="AX295" s="10"/>
      <c r="AY295" s="10"/>
      <c r="AZ295" s="10"/>
      <c r="BA295" s="10"/>
      <c r="BB295" s="10"/>
      <c r="BC295" s="10"/>
      <c r="BD295" s="10"/>
      <c r="BE295" s="10"/>
      <c r="BF295" s="10"/>
      <c r="BG295" s="10"/>
      <c r="BH295" s="10"/>
      <c r="BI295" s="10"/>
      <c r="BJ295" s="10"/>
      <c r="BK295" s="10"/>
      <c r="BL295" s="10"/>
      <c r="BM295" s="10"/>
    </row>
    <row r="296" spans="3:65">
      <c r="C296" s="382" t="s">
        <v>641</v>
      </c>
      <c r="D296" s="382" t="s">
        <v>805</v>
      </c>
      <c r="E296" s="382">
        <v>18128.796555276745</v>
      </c>
      <c r="F296" s="382">
        <v>3903.0769876540535</v>
      </c>
      <c r="G296" s="382">
        <v>2622.7577866887245</v>
      </c>
      <c r="H296" s="382">
        <v>2398.6733595310602</v>
      </c>
      <c r="I296" s="382">
        <v>5032.8504360972547</v>
      </c>
      <c r="J296" s="382">
        <v>1669.9722320529947</v>
      </c>
      <c r="K296" s="382">
        <v>6320.8466282618356</v>
      </c>
      <c r="L296" s="382">
        <v>5624.8783377673499</v>
      </c>
      <c r="M296" s="382">
        <v>10740.409511011445</v>
      </c>
      <c r="N296" s="382">
        <v>10445.571840740176</v>
      </c>
      <c r="O296" s="382">
        <v>2698.9416990401069</v>
      </c>
      <c r="P296" s="382">
        <v>7167.0555097091265</v>
      </c>
      <c r="Q296" s="382">
        <v>23826.291690585716</v>
      </c>
      <c r="R296" s="382">
        <v>3570.4077923228342</v>
      </c>
      <c r="S296" s="382">
        <v>2208.5783332663109</v>
      </c>
      <c r="T296" s="382">
        <v>4516.4809143686716</v>
      </c>
      <c r="U296" s="382">
        <v>762.64695883908598</v>
      </c>
      <c r="V296" s="382">
        <v>592.85650678651541</v>
      </c>
      <c r="W296" s="382">
        <v>112231.09308000001</v>
      </c>
      <c r="Z296" s="10"/>
      <c r="AU296" s="10"/>
      <c r="AV296" s="10"/>
      <c r="AW296" s="10"/>
      <c r="AX296" s="10"/>
      <c r="AY296" s="10"/>
      <c r="AZ296" s="10"/>
      <c r="BA296" s="10"/>
      <c r="BB296" s="10"/>
      <c r="BC296" s="10"/>
      <c r="BD296" s="10"/>
      <c r="BE296" s="10"/>
      <c r="BF296" s="10"/>
      <c r="BG296" s="10"/>
      <c r="BH296" s="10"/>
      <c r="BI296" s="10"/>
      <c r="BJ296" s="10"/>
      <c r="BK296" s="10"/>
      <c r="BL296" s="10"/>
      <c r="BM296" s="10"/>
    </row>
    <row r="297" spans="3:65">
      <c r="C297" s="382" t="s">
        <v>642</v>
      </c>
      <c r="D297" s="382" t="s">
        <v>806</v>
      </c>
      <c r="E297" s="382">
        <v>0.44147207112789361</v>
      </c>
      <c r="F297" s="382">
        <v>0.10100133241272419</v>
      </c>
      <c r="G297" s="382">
        <v>2.4089923247895259E-2</v>
      </c>
      <c r="H297" s="382">
        <v>1.7398866307091639E-2</v>
      </c>
      <c r="I297" s="382">
        <v>0.19046873366828945</v>
      </c>
      <c r="J297" s="382">
        <v>1.8203805487940192E-2</v>
      </c>
      <c r="K297" s="382">
        <v>0.17559059795385512</v>
      </c>
      <c r="L297" s="382">
        <v>0.13855545215606319</v>
      </c>
      <c r="M297" s="382">
        <v>0.6116266817847682</v>
      </c>
      <c r="N297" s="382">
        <v>0.18978294666881648</v>
      </c>
      <c r="O297" s="382">
        <v>2.0740423038114263E-2</v>
      </c>
      <c r="P297" s="382">
        <v>0.19829041241903494</v>
      </c>
      <c r="Q297" s="382">
        <v>0.43316848799914009</v>
      </c>
      <c r="R297" s="382">
        <v>3.9868319888278624E-2</v>
      </c>
      <c r="S297" s="382">
        <v>0.11585298986463058</v>
      </c>
      <c r="T297" s="382">
        <v>0.30486806692013763</v>
      </c>
      <c r="U297" s="382">
        <v>2.8051071322071044E-2</v>
      </c>
      <c r="V297" s="382">
        <v>5.4598177332556624E-3</v>
      </c>
      <c r="W297" s="382">
        <v>3.0544900000000004</v>
      </c>
      <c r="Z297" s="10"/>
      <c r="AU297" s="10"/>
      <c r="AV297" s="10"/>
      <c r="AW297" s="10"/>
      <c r="AX297" s="10"/>
      <c r="AY297" s="10"/>
      <c r="AZ297" s="10"/>
      <c r="BA297" s="10"/>
      <c r="BB297" s="10"/>
      <c r="BC297" s="10"/>
      <c r="BD297" s="10"/>
      <c r="BE297" s="10"/>
      <c r="BF297" s="10"/>
      <c r="BG297" s="10"/>
      <c r="BH297" s="10"/>
      <c r="BI297" s="10"/>
      <c r="BJ297" s="10"/>
      <c r="BK297" s="10"/>
      <c r="BL297" s="10"/>
      <c r="BM297" s="10"/>
    </row>
    <row r="298" spans="3:65">
      <c r="C298" s="382" t="s">
        <v>643</v>
      </c>
      <c r="D298" s="382" t="s">
        <v>807</v>
      </c>
      <c r="E298" s="382">
        <v>143.68880092888776</v>
      </c>
      <c r="F298" s="382">
        <v>17.481050378486646</v>
      </c>
      <c r="G298" s="382">
        <v>11.946942451179645</v>
      </c>
      <c r="H298" s="382">
        <v>11.99679927935358</v>
      </c>
      <c r="I298" s="382">
        <v>31.908370031319656</v>
      </c>
      <c r="J298" s="382">
        <v>19.670919149264137</v>
      </c>
      <c r="K298" s="382">
        <v>49.38943697279413</v>
      </c>
      <c r="L298" s="382">
        <v>25.707427027186245</v>
      </c>
      <c r="M298" s="382">
        <v>158.24729988188864</v>
      </c>
      <c r="N298" s="382">
        <v>60.611923161026205</v>
      </c>
      <c r="O298" s="382">
        <v>13.187131052006325</v>
      </c>
      <c r="P298" s="382">
        <v>29.476333966402567</v>
      </c>
      <c r="Q298" s="382">
        <v>398.37977490834834</v>
      </c>
      <c r="R298" s="382">
        <v>66.584907017662715</v>
      </c>
      <c r="S298" s="382">
        <v>17.405017415355061</v>
      </c>
      <c r="T298" s="382">
        <v>45.206410712797826</v>
      </c>
      <c r="U298" s="382">
        <v>9.676941077827852</v>
      </c>
      <c r="V298" s="382">
        <v>3.8202794588279199</v>
      </c>
      <c r="W298" s="382">
        <v>1114.3857648706153</v>
      </c>
      <c r="Z298" s="10"/>
      <c r="AU298" s="10"/>
      <c r="AV298" s="10"/>
      <c r="AW298" s="10"/>
      <c r="AX298" s="10"/>
      <c r="AY298" s="10"/>
      <c r="AZ298" s="10"/>
      <c r="BA298" s="10"/>
      <c r="BB298" s="10"/>
      <c r="BC298" s="10"/>
      <c r="BD298" s="10"/>
      <c r="BE298" s="10"/>
      <c r="BF298" s="10"/>
      <c r="BG298" s="10"/>
      <c r="BH298" s="10"/>
      <c r="BI298" s="10"/>
      <c r="BJ298" s="10"/>
      <c r="BK298" s="10"/>
      <c r="BL298" s="10"/>
      <c r="BM298" s="10"/>
    </row>
    <row r="299" spans="3:65">
      <c r="C299" s="382" t="s">
        <v>644</v>
      </c>
      <c r="D299" s="382" t="s">
        <v>635</v>
      </c>
      <c r="E299" s="382">
        <v>362.33507910284067</v>
      </c>
      <c r="F299" s="382">
        <v>99.055034765676623</v>
      </c>
      <c r="G299" s="382">
        <v>145.36737139593427</v>
      </c>
      <c r="H299" s="382">
        <v>31.009318645925998</v>
      </c>
      <c r="I299" s="382">
        <v>66.967754019285593</v>
      </c>
      <c r="J299" s="382">
        <v>47.533947180651111</v>
      </c>
      <c r="K299" s="382">
        <v>181.57104239928344</v>
      </c>
      <c r="L299" s="382">
        <v>69.795414589169553</v>
      </c>
      <c r="M299" s="382">
        <v>265.74740016942832</v>
      </c>
      <c r="N299" s="382">
        <v>200.63895856079341</v>
      </c>
      <c r="O299" s="382">
        <v>122.07684037009329</v>
      </c>
      <c r="P299" s="382">
        <v>99.165735728937506</v>
      </c>
      <c r="Q299" s="382">
        <v>320.87333402069419</v>
      </c>
      <c r="R299" s="382">
        <v>130.47692163079083</v>
      </c>
      <c r="S299" s="382">
        <v>19.664206509844657</v>
      </c>
      <c r="T299" s="382">
        <v>78.044417392841524</v>
      </c>
      <c r="U299" s="382">
        <v>9.6134624328934226</v>
      </c>
      <c r="V299" s="382">
        <v>6.8599810849158915</v>
      </c>
      <c r="W299" s="382">
        <v>2256.7962200000006</v>
      </c>
      <c r="Z299" s="10"/>
      <c r="AU299" s="10"/>
      <c r="AV299" s="10"/>
      <c r="AW299" s="10"/>
      <c r="AX299" s="10"/>
      <c r="AY299" s="10"/>
      <c r="AZ299" s="10"/>
      <c r="BA299" s="10"/>
      <c r="BB299" s="10"/>
      <c r="BC299" s="10"/>
      <c r="BD299" s="10"/>
      <c r="BE299" s="10"/>
      <c r="BF299" s="10"/>
      <c r="BG299" s="10"/>
      <c r="BH299" s="10"/>
      <c r="BI299" s="10"/>
      <c r="BJ299" s="10"/>
      <c r="BK299" s="10"/>
      <c r="BL299" s="10"/>
      <c r="BM299" s="10"/>
    </row>
    <row r="300" spans="3:65">
      <c r="C300" s="382" t="s">
        <v>645</v>
      </c>
      <c r="D300" s="382" t="s">
        <v>636</v>
      </c>
      <c r="E300" s="382">
        <v>2785.1284769382119</v>
      </c>
      <c r="F300" s="382">
        <v>531.94104177911504</v>
      </c>
      <c r="G300" s="382">
        <v>214.23980208453327</v>
      </c>
      <c r="H300" s="382">
        <v>362.35259236104184</v>
      </c>
      <c r="I300" s="382">
        <v>3312.0073456723976</v>
      </c>
      <c r="J300" s="382">
        <v>186.02689530546328</v>
      </c>
      <c r="K300" s="382">
        <v>927.19290719832566</v>
      </c>
      <c r="L300" s="382">
        <v>661.90729589470379</v>
      </c>
      <c r="M300" s="382">
        <v>2160.3622348156255</v>
      </c>
      <c r="N300" s="382">
        <v>1495.6198903395766</v>
      </c>
      <c r="O300" s="382">
        <v>293.59091576491528</v>
      </c>
      <c r="P300" s="382">
        <v>674.03358279607994</v>
      </c>
      <c r="Q300" s="382">
        <v>3609.4934924539662</v>
      </c>
      <c r="R300" s="382">
        <v>415.20318628308371</v>
      </c>
      <c r="S300" s="382">
        <v>150.2423781963175</v>
      </c>
      <c r="T300" s="382">
        <v>1281.6857648470734</v>
      </c>
      <c r="U300" s="382">
        <v>119.99987106985803</v>
      </c>
      <c r="V300" s="382">
        <v>47.805046199707313</v>
      </c>
      <c r="W300" s="382">
        <v>19228.832719999995</v>
      </c>
      <c r="Z300" s="10"/>
      <c r="AU300" s="10"/>
      <c r="AV300" s="10"/>
      <c r="AW300" s="10"/>
      <c r="AX300" s="10"/>
      <c r="AY300" s="10"/>
      <c r="AZ300" s="10"/>
      <c r="BA300" s="10"/>
      <c r="BB300" s="10"/>
      <c r="BC300" s="10"/>
      <c r="BD300" s="10"/>
      <c r="BE300" s="10"/>
      <c r="BF300" s="10"/>
      <c r="BG300" s="10"/>
      <c r="BH300" s="10"/>
      <c r="BI300" s="10"/>
      <c r="BJ300" s="10"/>
      <c r="BK300" s="10"/>
      <c r="BL300" s="10"/>
      <c r="BM300" s="10"/>
    </row>
    <row r="301" spans="3:65">
      <c r="C301" s="382" t="s">
        <v>646</v>
      </c>
      <c r="D301" s="382" t="s">
        <v>808</v>
      </c>
      <c r="E301" s="382">
        <v>1160.6612819051893</v>
      </c>
      <c r="F301" s="382">
        <v>165.91119972456704</v>
      </c>
      <c r="G301" s="382">
        <v>119.57795399554379</v>
      </c>
      <c r="H301" s="382">
        <v>122.35009325107703</v>
      </c>
      <c r="I301" s="382">
        <v>291.53830476275022</v>
      </c>
      <c r="J301" s="382">
        <v>72.957096629372501</v>
      </c>
      <c r="K301" s="382">
        <v>315.86921206368254</v>
      </c>
      <c r="L301" s="382">
        <v>285.25951256714717</v>
      </c>
      <c r="M301" s="382">
        <v>935.90699926377954</v>
      </c>
      <c r="N301" s="382">
        <v>649.82307621747805</v>
      </c>
      <c r="O301" s="382">
        <v>154.9955219348243</v>
      </c>
      <c r="P301" s="382">
        <v>335.73723823354754</v>
      </c>
      <c r="Q301" s="382">
        <v>851.50040266646829</v>
      </c>
      <c r="R301" s="382">
        <v>214.39589458885078</v>
      </c>
      <c r="S301" s="382">
        <v>81.355783211786274</v>
      </c>
      <c r="T301" s="382">
        <v>271.94479916707161</v>
      </c>
      <c r="U301" s="382">
        <v>39.944212659452631</v>
      </c>
      <c r="V301" s="382">
        <v>26.955577157410858</v>
      </c>
      <c r="W301" s="382">
        <v>6096.684159999998</v>
      </c>
      <c r="Z301" s="10"/>
      <c r="AU301" s="10"/>
      <c r="AV301" s="10"/>
      <c r="AW301" s="10"/>
      <c r="AX301" s="10"/>
      <c r="AY301" s="10"/>
      <c r="AZ301" s="10"/>
      <c r="BA301" s="10"/>
      <c r="BB301" s="10"/>
      <c r="BC301" s="10"/>
      <c r="BD301" s="10"/>
      <c r="BE301" s="10"/>
      <c r="BF301" s="10"/>
      <c r="BG301" s="10"/>
      <c r="BH301" s="10"/>
      <c r="BI301" s="10"/>
      <c r="BJ301" s="10"/>
      <c r="BK301" s="10"/>
      <c r="BL301" s="10"/>
      <c r="BM301" s="10"/>
    </row>
    <row r="302" spans="3:65">
      <c r="C302" s="382" t="s">
        <v>647</v>
      </c>
      <c r="D302" s="382" t="s">
        <v>809</v>
      </c>
      <c r="E302" s="382">
        <v>7957.8610694339986</v>
      </c>
      <c r="F302" s="382">
        <v>1337.4114369891136</v>
      </c>
      <c r="G302" s="382">
        <v>1003.8664584062701</v>
      </c>
      <c r="H302" s="382">
        <v>947.21991672635636</v>
      </c>
      <c r="I302" s="382">
        <v>2018.9095335721943</v>
      </c>
      <c r="J302" s="382">
        <v>561.96300938325351</v>
      </c>
      <c r="K302" s="382">
        <v>2550.4216083786373</v>
      </c>
      <c r="L302" s="382">
        <v>2103.9885697496202</v>
      </c>
      <c r="M302" s="382">
        <v>6120.0628184352872</v>
      </c>
      <c r="N302" s="382">
        <v>4358.5970647393697</v>
      </c>
      <c r="O302" s="382">
        <v>1425.1919192995556</v>
      </c>
      <c r="P302" s="382">
        <v>2788.9962593530663</v>
      </c>
      <c r="Q302" s="382">
        <v>5275.9198184100942</v>
      </c>
      <c r="R302" s="382">
        <v>1371.0634033952904</v>
      </c>
      <c r="S302" s="382">
        <v>606.31171011295771</v>
      </c>
      <c r="T302" s="382">
        <v>2006.5944961636064</v>
      </c>
      <c r="U302" s="382">
        <v>279.42051551816513</v>
      </c>
      <c r="V302" s="382">
        <v>90.445506072758263</v>
      </c>
      <c r="W302" s="382">
        <v>42804.245114139594</v>
      </c>
      <c r="Z302" s="10"/>
      <c r="AU302" s="10"/>
      <c r="AV302" s="10"/>
      <c r="AW302" s="10"/>
      <c r="AX302" s="10"/>
      <c r="AY302" s="10"/>
      <c r="AZ302" s="10"/>
      <c r="BA302" s="10"/>
      <c r="BB302" s="10"/>
      <c r="BC302" s="10"/>
      <c r="BD302" s="10"/>
      <c r="BE302" s="10"/>
      <c r="BF302" s="10"/>
      <c r="BG302" s="10"/>
      <c r="BH302" s="10"/>
      <c r="BI302" s="10"/>
      <c r="BJ302" s="10"/>
      <c r="BK302" s="10"/>
      <c r="BL302" s="10"/>
      <c r="BM302" s="10"/>
    </row>
    <row r="303" spans="3:65">
      <c r="C303" s="382" t="s">
        <v>311</v>
      </c>
      <c r="D303" s="382" t="s">
        <v>312</v>
      </c>
      <c r="E303" s="382">
        <v>0</v>
      </c>
      <c r="F303" s="382">
        <v>0</v>
      </c>
      <c r="G303" s="382">
        <v>7356.6802117121142</v>
      </c>
      <c r="H303" s="382">
        <v>3684.2141138482893</v>
      </c>
      <c r="I303" s="382">
        <v>0</v>
      </c>
      <c r="J303" s="382">
        <v>0</v>
      </c>
      <c r="K303" s="382">
        <v>12222.661028389603</v>
      </c>
      <c r="L303" s="382">
        <v>11549.118572377529</v>
      </c>
      <c r="M303" s="382">
        <v>17439.074670059901</v>
      </c>
      <c r="N303" s="382">
        <v>28351.86362032621</v>
      </c>
      <c r="O303" s="382">
        <v>7307.8716012882742</v>
      </c>
      <c r="P303" s="382">
        <v>15070.502541349415</v>
      </c>
      <c r="Q303" s="382">
        <v>33973.501063287411</v>
      </c>
      <c r="R303" s="382">
        <v>14932.675940955798</v>
      </c>
      <c r="S303" s="382">
        <v>0</v>
      </c>
      <c r="T303" s="382">
        <v>0</v>
      </c>
      <c r="U303" s="382">
        <v>1420.7239020001659</v>
      </c>
      <c r="V303" s="382">
        <v>0</v>
      </c>
      <c r="W303" s="382">
        <v>153308.88726559471</v>
      </c>
      <c r="Z303" s="10"/>
      <c r="AU303" s="10"/>
      <c r="AV303" s="10"/>
      <c r="AW303" s="10"/>
      <c r="AX303" s="10"/>
      <c r="AY303" s="10"/>
      <c r="AZ303" s="10"/>
      <c r="BA303" s="10"/>
      <c r="BB303" s="10"/>
      <c r="BC303" s="10"/>
      <c r="BD303" s="10"/>
      <c r="BE303" s="10"/>
      <c r="BF303" s="10"/>
      <c r="BG303" s="10"/>
      <c r="BH303" s="10"/>
      <c r="BI303" s="10"/>
      <c r="BJ303" s="10"/>
      <c r="BK303" s="10"/>
      <c r="BL303" s="10"/>
      <c r="BM303" s="10"/>
    </row>
    <row r="304" spans="3:65">
      <c r="C304" s="382"/>
      <c r="D304" s="382" t="s">
        <v>668</v>
      </c>
      <c r="E304" s="382">
        <v>116400.86838576841</v>
      </c>
      <c r="F304" s="382">
        <v>16388.058068388447</v>
      </c>
      <c r="G304" s="382">
        <v>13096.273847596947</v>
      </c>
      <c r="H304" s="382">
        <v>9800.3190111031745</v>
      </c>
      <c r="I304" s="382">
        <v>31216.539706153191</v>
      </c>
      <c r="J304" s="382">
        <v>7187.2249475630088</v>
      </c>
      <c r="K304" s="382">
        <v>27994.976932772712</v>
      </c>
      <c r="L304" s="382">
        <v>24927.327657463771</v>
      </c>
      <c r="M304" s="382">
        <v>50702.066918339842</v>
      </c>
      <c r="N304" s="382">
        <v>56969.377150480781</v>
      </c>
      <c r="O304" s="382">
        <v>14422.587518823188</v>
      </c>
      <c r="P304" s="382">
        <v>30880.002606316517</v>
      </c>
      <c r="Q304" s="382">
        <v>82126.720348174087</v>
      </c>
      <c r="R304" s="382">
        <v>24024.454376789938</v>
      </c>
      <c r="S304" s="382">
        <v>7628.5856561894398</v>
      </c>
      <c r="T304" s="382">
        <v>22585.297234314065</v>
      </c>
      <c r="U304" s="382">
        <v>3512.4677863082816</v>
      </c>
      <c r="V304" s="382">
        <v>1135.2220402496596</v>
      </c>
      <c r="W304" s="382">
        <v>540998.37019279553</v>
      </c>
      <c r="Z304" s="10"/>
      <c r="AU304" s="10"/>
      <c r="AV304" s="10"/>
      <c r="AW304" s="10"/>
      <c r="AX304" s="10"/>
      <c r="AY304" s="10"/>
      <c r="AZ304" s="10"/>
      <c r="BA304" s="10"/>
      <c r="BB304" s="10"/>
      <c r="BC304" s="10"/>
      <c r="BD304" s="10"/>
      <c r="BE304" s="10"/>
      <c r="BF304" s="10"/>
      <c r="BG304" s="10"/>
      <c r="BH304" s="10"/>
      <c r="BI304" s="10"/>
      <c r="BJ304" s="10"/>
      <c r="BK304" s="10"/>
      <c r="BL304" s="10"/>
      <c r="BM304" s="10"/>
    </row>
    <row r="305" spans="3:65">
      <c r="C305" s="382" t="s">
        <v>655</v>
      </c>
      <c r="D305" s="382" t="s">
        <v>76</v>
      </c>
      <c r="E305" s="382" t="s">
        <v>9</v>
      </c>
      <c r="F305" s="382" t="s">
        <v>10</v>
      </c>
      <c r="G305" s="382" t="s">
        <v>11</v>
      </c>
      <c r="H305" s="382" t="s">
        <v>31</v>
      </c>
      <c r="I305" s="382" t="s">
        <v>12</v>
      </c>
      <c r="J305" s="382" t="s">
        <v>13</v>
      </c>
      <c r="K305" s="382" t="s">
        <v>14</v>
      </c>
      <c r="L305" s="382" t="s">
        <v>15</v>
      </c>
      <c r="M305" s="382" t="s">
        <v>16</v>
      </c>
      <c r="N305" s="382" t="s">
        <v>17</v>
      </c>
      <c r="O305" s="382" t="s">
        <v>18</v>
      </c>
      <c r="P305" s="382" t="s">
        <v>19</v>
      </c>
      <c r="Q305" s="382" t="s">
        <v>20</v>
      </c>
      <c r="R305" s="382" t="s">
        <v>60</v>
      </c>
      <c r="S305" s="382" t="s">
        <v>61</v>
      </c>
      <c r="T305" s="382" t="s">
        <v>62</v>
      </c>
      <c r="U305" s="382" t="s">
        <v>63</v>
      </c>
      <c r="V305" s="382" t="s">
        <v>64</v>
      </c>
      <c r="W305" s="382" t="s">
        <v>656</v>
      </c>
      <c r="Z305" s="10"/>
      <c r="AU305" s="10"/>
      <c r="AV305" s="10"/>
      <c r="AW305" s="10"/>
      <c r="AX305" s="10"/>
      <c r="AY305" s="10"/>
      <c r="AZ305" s="10"/>
      <c r="BA305" s="10"/>
      <c r="BB305" s="10"/>
      <c r="BC305" s="10"/>
      <c r="BD305" s="10"/>
      <c r="BE305" s="10"/>
      <c r="BF305" s="10"/>
      <c r="BG305" s="10"/>
      <c r="BH305" s="10"/>
      <c r="BI305" s="10"/>
      <c r="BJ305" s="10"/>
      <c r="BK305" s="10"/>
      <c r="BL305" s="10"/>
      <c r="BM305" s="10"/>
    </row>
    <row r="306" spans="3:65">
      <c r="C306" s="382" t="s">
        <v>313</v>
      </c>
      <c r="D306" s="382" t="s">
        <v>810</v>
      </c>
      <c r="E306" s="382">
        <v>8487.0750108493812</v>
      </c>
      <c r="F306" s="382">
        <v>1371.9868792059572</v>
      </c>
      <c r="G306" s="382">
        <v>1135.6857197061963</v>
      </c>
      <c r="H306" s="382">
        <v>1985.3722272098432</v>
      </c>
      <c r="I306" s="382">
        <v>2258.5460861725333</v>
      </c>
      <c r="J306" s="382">
        <v>619.72957507749925</v>
      </c>
      <c r="K306" s="382">
        <v>4424.372564230006</v>
      </c>
      <c r="L306" s="382">
        <v>3188.2047283155675</v>
      </c>
      <c r="M306" s="382">
        <v>7852.3579782073557</v>
      </c>
      <c r="N306" s="382">
        <v>5078.818569834486</v>
      </c>
      <c r="O306" s="382">
        <v>1771.2698842234986</v>
      </c>
      <c r="P306" s="382">
        <v>2879.2968082554121</v>
      </c>
      <c r="Q306" s="382">
        <v>7001.0838745897972</v>
      </c>
      <c r="R306" s="382">
        <v>2389.0592864490527</v>
      </c>
      <c r="S306" s="382">
        <v>647.10756908870235</v>
      </c>
      <c r="T306" s="382">
        <v>2280.4260324150846</v>
      </c>
      <c r="U306" s="382">
        <v>565.71241897028949</v>
      </c>
      <c r="V306" s="382">
        <v>252.32512719934397</v>
      </c>
      <c r="W306" s="382">
        <v>54188.430340000006</v>
      </c>
      <c r="Z306" s="10"/>
      <c r="AU306" s="10"/>
      <c r="AV306" s="10"/>
      <c r="AW306" s="10"/>
      <c r="AX306" s="10"/>
      <c r="AY306" s="10"/>
      <c r="AZ306" s="10"/>
      <c r="BA306" s="10"/>
      <c r="BB306" s="10"/>
      <c r="BC306" s="10"/>
      <c r="BD306" s="10"/>
      <c r="BE306" s="10"/>
      <c r="BF306" s="10"/>
      <c r="BG306" s="10"/>
      <c r="BH306" s="10"/>
      <c r="BI306" s="10"/>
      <c r="BJ306" s="10"/>
      <c r="BK306" s="10"/>
      <c r="BL306" s="10"/>
      <c r="BM306" s="10"/>
    </row>
    <row r="307" spans="3:65">
      <c r="C307" s="382" t="s">
        <v>314</v>
      </c>
      <c r="D307" s="382" t="s">
        <v>811</v>
      </c>
      <c r="E307" s="382">
        <v>783.01694467847096</v>
      </c>
      <c r="F307" s="382">
        <v>138.440145537831</v>
      </c>
      <c r="G307" s="382">
        <v>124.62157443158927</v>
      </c>
      <c r="H307" s="382">
        <v>123.61022996197075</v>
      </c>
      <c r="I307" s="382">
        <v>232.94684131509933</v>
      </c>
      <c r="J307" s="382">
        <v>66.58836851220876</v>
      </c>
      <c r="K307" s="382">
        <v>277.62781337793592</v>
      </c>
      <c r="L307" s="382">
        <v>187.34641783439864</v>
      </c>
      <c r="M307" s="382">
        <v>783.10911894152059</v>
      </c>
      <c r="N307" s="382">
        <v>491.36160796759339</v>
      </c>
      <c r="O307" s="382">
        <v>104.84590707288287</v>
      </c>
      <c r="P307" s="382">
        <v>296.39206258093611</v>
      </c>
      <c r="Q307" s="382">
        <v>708.66106826995144</v>
      </c>
      <c r="R307" s="382">
        <v>146.36960038936965</v>
      </c>
      <c r="S307" s="382">
        <v>63.180776924247809</v>
      </c>
      <c r="T307" s="382">
        <v>229.9504068989242</v>
      </c>
      <c r="U307" s="382">
        <v>35.156180120372412</v>
      </c>
      <c r="V307" s="382">
        <v>42.240875184697074</v>
      </c>
      <c r="W307" s="382">
        <v>4835.4659399999991</v>
      </c>
      <c r="Z307" s="10"/>
      <c r="AU307" s="10"/>
      <c r="AV307" s="10"/>
      <c r="AW307" s="10"/>
      <c r="AX307" s="10"/>
      <c r="AY307" s="10"/>
      <c r="AZ307" s="10"/>
      <c r="BA307" s="10"/>
      <c r="BB307" s="10"/>
      <c r="BC307" s="10"/>
      <c r="BD307" s="10"/>
      <c r="BE307" s="10"/>
      <c r="BF307" s="10"/>
      <c r="BG307" s="10"/>
      <c r="BH307" s="10"/>
      <c r="BI307" s="10"/>
      <c r="BJ307" s="10"/>
      <c r="BK307" s="10"/>
      <c r="BL307" s="10"/>
      <c r="BM307" s="10"/>
    </row>
    <row r="308" spans="3:65">
      <c r="C308" s="382" t="s">
        <v>315</v>
      </c>
      <c r="D308" s="382" t="s">
        <v>316</v>
      </c>
      <c r="E308" s="382">
        <v>247.50887123764005</v>
      </c>
      <c r="F308" s="382">
        <v>38.227056124839557</v>
      </c>
      <c r="G308" s="382">
        <v>30.318122642602052</v>
      </c>
      <c r="H308" s="382">
        <v>35.112166050553547</v>
      </c>
      <c r="I308" s="382">
        <v>68.502965628874179</v>
      </c>
      <c r="J308" s="382">
        <v>17.041523468226785</v>
      </c>
      <c r="K308" s="382">
        <v>76.055816342574502</v>
      </c>
      <c r="L308" s="382">
        <v>51.603047283747053</v>
      </c>
      <c r="M308" s="382">
        <v>234.04418038057068</v>
      </c>
      <c r="N308" s="382">
        <v>147.47815648417722</v>
      </c>
      <c r="O308" s="382">
        <v>32.301063944675597</v>
      </c>
      <c r="P308" s="382">
        <v>84.913727565623091</v>
      </c>
      <c r="Q308" s="382">
        <v>192.85229608250714</v>
      </c>
      <c r="R308" s="382">
        <v>37.207971230991724</v>
      </c>
      <c r="S308" s="382">
        <v>15.437441465110259</v>
      </c>
      <c r="T308" s="382">
        <v>62.928357325488534</v>
      </c>
      <c r="U308" s="382">
        <v>8.5307025322831578</v>
      </c>
      <c r="V308" s="382">
        <v>3.0617642095148554</v>
      </c>
      <c r="W308" s="382">
        <v>1383.1252299999999</v>
      </c>
      <c r="Z308" s="10"/>
      <c r="AU308" s="10"/>
      <c r="AV308" s="10"/>
      <c r="AW308" s="10"/>
      <c r="AX308" s="10"/>
      <c r="AY308" s="10"/>
      <c r="AZ308" s="10"/>
      <c r="BA308" s="10"/>
      <c r="BB308" s="10"/>
      <c r="BC308" s="10"/>
      <c r="BD308" s="10"/>
      <c r="BE308" s="10"/>
      <c r="BF308" s="10"/>
      <c r="BG308" s="10"/>
      <c r="BH308" s="10"/>
      <c r="BI308" s="10"/>
      <c r="BJ308" s="10"/>
      <c r="BK308" s="10"/>
      <c r="BL308" s="10"/>
      <c r="BM308" s="10"/>
    </row>
    <row r="309" spans="3:65">
      <c r="C309" s="382" t="s">
        <v>317</v>
      </c>
      <c r="D309" s="382" t="s">
        <v>812</v>
      </c>
      <c r="E309" s="382">
        <v>186206.15940712171</v>
      </c>
      <c r="F309" s="382">
        <v>31280.335256438866</v>
      </c>
      <c r="G309" s="382">
        <v>27108.938376061058</v>
      </c>
      <c r="H309" s="382">
        <v>71770.982780993567</v>
      </c>
      <c r="I309" s="382">
        <v>53869.20613681239</v>
      </c>
      <c r="J309" s="382">
        <v>14454.143533857805</v>
      </c>
      <c r="K309" s="382">
        <v>159180.80368682419</v>
      </c>
      <c r="L309" s="382">
        <v>105597.28259057876</v>
      </c>
      <c r="M309" s="382">
        <v>180673.77799651644</v>
      </c>
      <c r="N309" s="382">
        <v>112528.88921318097</v>
      </c>
      <c r="O309" s="382">
        <v>60396.811872921491</v>
      </c>
      <c r="P309" s="382">
        <v>66715.433390496051</v>
      </c>
      <c r="Q309" s="382">
        <v>169364.20256376133</v>
      </c>
      <c r="R309" s="382">
        <v>81843.743024294308</v>
      </c>
      <c r="S309" s="382">
        <v>14193.778323365303</v>
      </c>
      <c r="T309" s="382">
        <v>52240.523639967418</v>
      </c>
      <c r="U309" s="382">
        <v>20338.809983830852</v>
      </c>
      <c r="V309" s="382">
        <v>8137.568862977485</v>
      </c>
      <c r="W309" s="382">
        <v>1415901.3906400001</v>
      </c>
      <c r="Z309" s="10"/>
      <c r="AU309" s="10"/>
      <c r="AV309" s="10"/>
      <c r="AW309" s="10"/>
      <c r="AX309" s="10"/>
      <c r="AY309" s="10"/>
      <c r="AZ309" s="10"/>
      <c r="BA309" s="10"/>
      <c r="BB309" s="10"/>
      <c r="BC309" s="10"/>
      <c r="BD309" s="10"/>
      <c r="BE309" s="10"/>
      <c r="BF309" s="10"/>
      <c r="BG309" s="10"/>
      <c r="BH309" s="10"/>
      <c r="BI309" s="10"/>
      <c r="BJ309" s="10"/>
      <c r="BK309" s="10"/>
      <c r="BL309" s="10"/>
      <c r="BM309" s="10"/>
    </row>
    <row r="310" spans="3:65">
      <c r="C310" s="382" t="s">
        <v>318</v>
      </c>
      <c r="D310" s="382" t="s">
        <v>813</v>
      </c>
      <c r="E310" s="382">
        <v>21097.271041000688</v>
      </c>
      <c r="F310" s="382">
        <v>3409.4964258039136</v>
      </c>
      <c r="G310" s="382">
        <v>2648.0783266204903</v>
      </c>
      <c r="H310" s="382">
        <v>2776.8601455726271</v>
      </c>
      <c r="I310" s="382">
        <v>5308.7620873383385</v>
      </c>
      <c r="J310" s="382">
        <v>1452.5923187970784</v>
      </c>
      <c r="K310" s="382">
        <v>6479.9547349209452</v>
      </c>
      <c r="L310" s="382">
        <v>5108.6168569995616</v>
      </c>
      <c r="M310" s="382">
        <v>16977.173353159975</v>
      </c>
      <c r="N310" s="382">
        <v>12224.051405578251</v>
      </c>
      <c r="O310" s="382">
        <v>2787.3426110265691</v>
      </c>
      <c r="P310" s="382">
        <v>6835.3593395485714</v>
      </c>
      <c r="Q310" s="382">
        <v>16437.871308468646</v>
      </c>
      <c r="R310" s="382">
        <v>3544.0935420444439</v>
      </c>
      <c r="S310" s="382">
        <v>2932.933734125153</v>
      </c>
      <c r="T310" s="382">
        <v>5205.3722220556501</v>
      </c>
      <c r="U310" s="382">
        <v>848.58520935706201</v>
      </c>
      <c r="V310" s="382">
        <v>614.61640758203362</v>
      </c>
      <c r="W310" s="382">
        <v>116689.03106999998</v>
      </c>
      <c r="Z310" s="10"/>
      <c r="AU310" s="10"/>
      <c r="AV310" s="10"/>
      <c r="AW310" s="10"/>
      <c r="AX310" s="10"/>
      <c r="AY310" s="10"/>
      <c r="AZ310" s="10"/>
      <c r="BA310" s="10"/>
      <c r="BB310" s="10"/>
      <c r="BC310" s="10"/>
      <c r="BD310" s="10"/>
      <c r="BE310" s="10"/>
      <c r="BF310" s="10"/>
      <c r="BG310" s="10"/>
      <c r="BH310" s="10"/>
      <c r="BI310" s="10"/>
      <c r="BJ310" s="10"/>
      <c r="BK310" s="10"/>
      <c r="BL310" s="10"/>
      <c r="BM310" s="10"/>
    </row>
    <row r="311" spans="3:65">
      <c r="C311" s="382" t="s">
        <v>319</v>
      </c>
      <c r="D311" s="382" t="s">
        <v>814</v>
      </c>
      <c r="E311" s="382">
        <v>13288.663133712593</v>
      </c>
      <c r="F311" s="382">
        <v>2510.1619782897487</v>
      </c>
      <c r="G311" s="382">
        <v>1748.8018925555443</v>
      </c>
      <c r="H311" s="382">
        <v>1907.4775096347164</v>
      </c>
      <c r="I311" s="382">
        <v>3623.4658514970884</v>
      </c>
      <c r="J311" s="382">
        <v>894.44551543069997</v>
      </c>
      <c r="K311" s="382">
        <v>4722.2391825656632</v>
      </c>
      <c r="L311" s="382">
        <v>3312.9704106437071</v>
      </c>
      <c r="M311" s="382">
        <v>6635.0924728889777</v>
      </c>
      <c r="N311" s="382">
        <v>7306.3772048142664</v>
      </c>
      <c r="O311" s="382">
        <v>1877.1130827672159</v>
      </c>
      <c r="P311" s="382">
        <v>4329.3049925786281</v>
      </c>
      <c r="Q311" s="382">
        <v>11151.704505738742</v>
      </c>
      <c r="R311" s="382">
        <v>1937.5325872708349</v>
      </c>
      <c r="S311" s="382">
        <v>1199.4281021921129</v>
      </c>
      <c r="T311" s="382">
        <v>2801.781042629716</v>
      </c>
      <c r="U311" s="382">
        <v>741.78561760938214</v>
      </c>
      <c r="V311" s="382">
        <v>865.50441718035654</v>
      </c>
      <c r="W311" s="382">
        <v>70853.849499999997</v>
      </c>
      <c r="Z311" s="10"/>
      <c r="AU311" s="10"/>
      <c r="AV311" s="10"/>
      <c r="AW311" s="10"/>
      <c r="AX311" s="10"/>
      <c r="AY311" s="10"/>
      <c r="AZ311" s="10"/>
      <c r="BA311" s="10"/>
      <c r="BB311" s="10"/>
      <c r="BC311" s="10"/>
      <c r="BD311" s="10"/>
      <c r="BE311" s="10"/>
      <c r="BF311" s="10"/>
      <c r="BG311" s="10"/>
      <c r="BH311" s="10"/>
      <c r="BI311" s="10"/>
      <c r="BJ311" s="10"/>
      <c r="BK311" s="10"/>
      <c r="BL311" s="10"/>
      <c r="BM311" s="10"/>
    </row>
    <row r="312" spans="3:65">
      <c r="C312" s="382" t="s">
        <v>320</v>
      </c>
      <c r="D312" s="382" t="s">
        <v>815</v>
      </c>
      <c r="E312" s="382">
        <v>139485.63037140507</v>
      </c>
      <c r="F312" s="382">
        <v>15034.815224053862</v>
      </c>
      <c r="G312" s="382">
        <v>13491.612653699352</v>
      </c>
      <c r="H312" s="382">
        <v>8975.1751055954101</v>
      </c>
      <c r="I312" s="382">
        <v>24662.353239376407</v>
      </c>
      <c r="J312" s="382">
        <v>7080.0383674536706</v>
      </c>
      <c r="K312" s="382">
        <v>31076.076080676208</v>
      </c>
      <c r="L312" s="382">
        <v>17951.149161143683</v>
      </c>
      <c r="M312" s="382">
        <v>45990.936474148883</v>
      </c>
      <c r="N312" s="382">
        <v>54246.271201334886</v>
      </c>
      <c r="O312" s="382">
        <v>11625.355646765945</v>
      </c>
      <c r="P312" s="382">
        <v>35605.798360980785</v>
      </c>
      <c r="Q312" s="382">
        <v>64788.845794602355</v>
      </c>
      <c r="R312" s="382">
        <v>14898.127896165191</v>
      </c>
      <c r="S312" s="382">
        <v>6335.8521438381686</v>
      </c>
      <c r="T312" s="382">
        <v>18071.826518833397</v>
      </c>
      <c r="U312" s="382">
        <v>6090.7655440859317</v>
      </c>
      <c r="V312" s="382">
        <v>11030.613545840741</v>
      </c>
      <c r="W312" s="382">
        <v>526441.24333000008</v>
      </c>
      <c r="Z312" s="10"/>
      <c r="AU312" s="10"/>
      <c r="AV312" s="10"/>
      <c r="AW312" s="10"/>
      <c r="AX312" s="10"/>
      <c r="AY312" s="10"/>
      <c r="AZ312" s="10"/>
      <c r="BA312" s="10"/>
      <c r="BB312" s="10"/>
      <c r="BC312" s="10"/>
      <c r="BD312" s="10"/>
      <c r="BE312" s="10"/>
      <c r="BF312" s="10"/>
      <c r="BG312" s="10"/>
      <c r="BH312" s="10"/>
      <c r="BI312" s="10"/>
      <c r="BJ312" s="10"/>
      <c r="BK312" s="10"/>
      <c r="BL312" s="10"/>
      <c r="BM312" s="10"/>
    </row>
    <row r="313" spans="3:65">
      <c r="C313" s="382" t="s">
        <v>321</v>
      </c>
      <c r="D313" s="382" t="s">
        <v>322</v>
      </c>
      <c r="E313" s="382">
        <v>1003344.0251537875</v>
      </c>
      <c r="F313" s="382">
        <v>181629.44144345529</v>
      </c>
      <c r="G313" s="382">
        <v>131230.33337126242</v>
      </c>
      <c r="H313" s="382">
        <v>144182.61731604533</v>
      </c>
      <c r="I313" s="382">
        <v>274014.26841196441</v>
      </c>
      <c r="J313" s="382">
        <v>66425.374828040556</v>
      </c>
      <c r="K313" s="382">
        <v>336008.86608938756</v>
      </c>
      <c r="L313" s="382">
        <v>240915.63326467358</v>
      </c>
      <c r="M313" s="382">
        <v>524631.05289254035</v>
      </c>
      <c r="N313" s="382">
        <v>550544.80144669546</v>
      </c>
      <c r="O313" s="382">
        <v>136629.12566328925</v>
      </c>
      <c r="P313" s="382">
        <v>316692.16343717312</v>
      </c>
      <c r="Q313" s="382">
        <v>860310.90332365618</v>
      </c>
      <c r="R313" s="382">
        <v>146089.78936770756</v>
      </c>
      <c r="S313" s="382">
        <v>90112.131853867118</v>
      </c>
      <c r="T313" s="382">
        <v>221659.69013498316</v>
      </c>
      <c r="U313" s="382">
        <v>55084.791129448</v>
      </c>
      <c r="V313" s="382">
        <v>74037.318912023969</v>
      </c>
      <c r="W313" s="382">
        <v>5353542.3280400019</v>
      </c>
      <c r="Z313" s="10"/>
      <c r="AU313" s="10"/>
      <c r="AV313" s="10"/>
      <c r="AW313" s="10"/>
      <c r="AX313" s="10"/>
      <c r="AY313" s="10"/>
      <c r="AZ313" s="10"/>
      <c r="BA313" s="10"/>
      <c r="BB313" s="10"/>
      <c r="BC313" s="10"/>
      <c r="BD313" s="10"/>
      <c r="BE313" s="10"/>
      <c r="BF313" s="10"/>
      <c r="BG313" s="10"/>
      <c r="BH313" s="10"/>
      <c r="BI313" s="10"/>
      <c r="BJ313" s="10"/>
      <c r="BK313" s="10"/>
      <c r="BL313" s="10"/>
      <c r="BM313" s="10"/>
    </row>
    <row r="314" spans="3:65">
      <c r="C314" s="382" t="s">
        <v>323</v>
      </c>
      <c r="D314" s="382" t="s">
        <v>816</v>
      </c>
      <c r="E314" s="382">
        <v>115144.70910068667</v>
      </c>
      <c r="F314" s="382">
        <v>33333.481197955203</v>
      </c>
      <c r="G314" s="382">
        <v>19763.062963290202</v>
      </c>
      <c r="H314" s="382">
        <v>17542.216418688804</v>
      </c>
      <c r="I314" s="382">
        <v>31230.879553842973</v>
      </c>
      <c r="J314" s="382">
        <v>10928.04896621338</v>
      </c>
      <c r="K314" s="382">
        <v>72000.466427959953</v>
      </c>
      <c r="L314" s="382">
        <v>44754.862579849767</v>
      </c>
      <c r="M314" s="382">
        <v>43643.303498219189</v>
      </c>
      <c r="N314" s="382">
        <v>65575.371633866089</v>
      </c>
      <c r="O314" s="382">
        <v>25333.216215618315</v>
      </c>
      <c r="P314" s="382">
        <v>57435.500467661834</v>
      </c>
      <c r="Q314" s="382">
        <v>79793.56582206556</v>
      </c>
      <c r="R314" s="382">
        <v>18224.100064608683</v>
      </c>
      <c r="S314" s="382">
        <v>11192.925705267833</v>
      </c>
      <c r="T314" s="382">
        <v>13546.36346597195</v>
      </c>
      <c r="U314" s="382">
        <v>7482.967279550373</v>
      </c>
      <c r="V314" s="382">
        <v>1555.7497386833184</v>
      </c>
      <c r="W314" s="382">
        <v>668480.79110000015</v>
      </c>
      <c r="Z314" s="10"/>
      <c r="AU314" s="10"/>
      <c r="AV314" s="10"/>
      <c r="AW314" s="10"/>
      <c r="AX314" s="10"/>
      <c r="AY314" s="10"/>
      <c r="AZ314" s="10"/>
      <c r="BA314" s="10"/>
      <c r="BB314" s="10"/>
      <c r="BC314" s="10"/>
      <c r="BD314" s="10"/>
      <c r="BE314" s="10"/>
      <c r="BF314" s="10"/>
      <c r="BG314" s="10"/>
      <c r="BH314" s="10"/>
      <c r="BI314" s="10"/>
      <c r="BJ314" s="10"/>
      <c r="BK314" s="10"/>
      <c r="BL314" s="10"/>
      <c r="BM314" s="10"/>
    </row>
    <row r="315" spans="3:65">
      <c r="C315" s="382" t="s">
        <v>324</v>
      </c>
      <c r="D315" s="382" t="s">
        <v>325</v>
      </c>
      <c r="E315" s="382">
        <v>15760.692748421678</v>
      </c>
      <c r="F315" s="382">
        <v>2646.039561801344</v>
      </c>
      <c r="G315" s="382">
        <v>1979.6986754347524</v>
      </c>
      <c r="H315" s="382">
        <v>2131.658269367821</v>
      </c>
      <c r="I315" s="382">
        <v>4167.1733509257519</v>
      </c>
      <c r="J315" s="382">
        <v>1016.8195837205484</v>
      </c>
      <c r="K315" s="382">
        <v>4985.2918270400487</v>
      </c>
      <c r="L315" s="382">
        <v>3766.64432379859</v>
      </c>
      <c r="M315" s="382">
        <v>8915.6476381523335</v>
      </c>
      <c r="N315" s="382">
        <v>8697.6250720152166</v>
      </c>
      <c r="O315" s="382">
        <v>2140.6234026065436</v>
      </c>
      <c r="P315" s="382">
        <v>4915.3968839604158</v>
      </c>
      <c r="Q315" s="382">
        <v>12227.130468997975</v>
      </c>
      <c r="R315" s="382">
        <v>2386.7640930387802</v>
      </c>
      <c r="S315" s="382">
        <v>1280.5770294966007</v>
      </c>
      <c r="T315" s="382">
        <v>3339.9718241579471</v>
      </c>
      <c r="U315" s="382">
        <v>772.76151384992284</v>
      </c>
      <c r="V315" s="382">
        <v>887.14009321372089</v>
      </c>
      <c r="W315" s="382">
        <v>82017.656359999994</v>
      </c>
      <c r="Z315" s="10"/>
      <c r="AU315" s="10"/>
      <c r="AV315" s="10"/>
      <c r="AW315" s="10"/>
      <c r="AX315" s="10"/>
      <c r="AY315" s="10"/>
      <c r="AZ315" s="10"/>
      <c r="BA315" s="10"/>
      <c r="BB315" s="10"/>
      <c r="BC315" s="10"/>
      <c r="BD315" s="10"/>
      <c r="BE315" s="10"/>
      <c r="BF315" s="10"/>
      <c r="BG315" s="10"/>
      <c r="BH315" s="10"/>
      <c r="BI315" s="10"/>
      <c r="BJ315" s="10"/>
      <c r="BK315" s="10"/>
      <c r="BL315" s="10"/>
      <c r="BM315" s="10"/>
    </row>
    <row r="316" spans="3:65">
      <c r="C316" s="382" t="s">
        <v>326</v>
      </c>
      <c r="D316" s="382" t="s">
        <v>817</v>
      </c>
      <c r="E316" s="382">
        <v>245225.70518752225</v>
      </c>
      <c r="F316" s="382">
        <v>38195.758738900746</v>
      </c>
      <c r="G316" s="382">
        <v>22248.518124798404</v>
      </c>
      <c r="H316" s="382">
        <v>31644.169292659062</v>
      </c>
      <c r="I316" s="382">
        <v>62201.472315789324</v>
      </c>
      <c r="J316" s="382">
        <v>14171.545840281007</v>
      </c>
      <c r="K316" s="382">
        <v>100973.93876642549</v>
      </c>
      <c r="L316" s="382">
        <v>41544.991527210164</v>
      </c>
      <c r="M316" s="382">
        <v>50299.333344000988</v>
      </c>
      <c r="N316" s="382">
        <v>123215.84065746854</v>
      </c>
      <c r="O316" s="382">
        <v>23089.526537413389</v>
      </c>
      <c r="P316" s="382">
        <v>72122.666960214861</v>
      </c>
      <c r="Q316" s="382">
        <v>174361.51568711264</v>
      </c>
      <c r="R316" s="382">
        <v>31126.027707530888</v>
      </c>
      <c r="S316" s="382">
        <v>11904.50517605954</v>
      </c>
      <c r="T316" s="382">
        <v>36178.129413615723</v>
      </c>
      <c r="U316" s="382">
        <v>7852.7229469090744</v>
      </c>
      <c r="V316" s="382">
        <v>14147.418996087952</v>
      </c>
      <c r="W316" s="382">
        <v>1100503.7872200001</v>
      </c>
      <c r="Z316" s="10"/>
      <c r="AU316" s="10"/>
      <c r="AV316" s="10"/>
      <c r="AW316" s="10"/>
      <c r="AX316" s="10"/>
      <c r="AY316" s="10"/>
      <c r="AZ316" s="10"/>
      <c r="BA316" s="10"/>
      <c r="BB316" s="10"/>
      <c r="BC316" s="10"/>
      <c r="BD316" s="10"/>
      <c r="BE316" s="10"/>
      <c r="BF316" s="10"/>
      <c r="BG316" s="10"/>
      <c r="BH316" s="10"/>
      <c r="BI316" s="10"/>
      <c r="BJ316" s="10"/>
      <c r="BK316" s="10"/>
      <c r="BL316" s="10"/>
      <c r="BM316" s="10"/>
    </row>
    <row r="317" spans="3:65">
      <c r="C317" s="382" t="s">
        <v>327</v>
      </c>
      <c r="D317" s="382" t="s">
        <v>818</v>
      </c>
      <c r="E317" s="382">
        <v>3238.550271836566</v>
      </c>
      <c r="F317" s="382">
        <v>372.63082529595778</v>
      </c>
      <c r="G317" s="382">
        <v>357.57594049716766</v>
      </c>
      <c r="H317" s="382">
        <v>295.1288456518181</v>
      </c>
      <c r="I317" s="382">
        <v>566.86943084508403</v>
      </c>
      <c r="J317" s="382">
        <v>342.12215717714173</v>
      </c>
      <c r="K317" s="382">
        <v>1136.117638501458</v>
      </c>
      <c r="L317" s="382">
        <v>718.99492723016544</v>
      </c>
      <c r="M317" s="382">
        <v>2277.5793875983704</v>
      </c>
      <c r="N317" s="382">
        <v>1476.3160106605744</v>
      </c>
      <c r="O317" s="382">
        <v>540.38624902309016</v>
      </c>
      <c r="P317" s="382">
        <v>838.43339811510566</v>
      </c>
      <c r="Q317" s="382">
        <v>1744.5034738362658</v>
      </c>
      <c r="R317" s="382">
        <v>444.59000610190918</v>
      </c>
      <c r="S317" s="382">
        <v>167.51297075880993</v>
      </c>
      <c r="T317" s="382">
        <v>1083.6173724676323</v>
      </c>
      <c r="U317" s="382">
        <v>81.877175165808538</v>
      </c>
      <c r="V317" s="382">
        <v>43.679369237073821</v>
      </c>
      <c r="W317" s="382">
        <v>15726.485449999996</v>
      </c>
      <c r="Z317" s="10"/>
      <c r="AU317" s="10"/>
      <c r="AV317" s="10"/>
      <c r="AW317" s="10"/>
      <c r="AX317" s="10"/>
      <c r="AY317" s="10"/>
      <c r="AZ317" s="10"/>
      <c r="BA317" s="10"/>
      <c r="BB317" s="10"/>
      <c r="BC317" s="10"/>
      <c r="BD317" s="10"/>
      <c r="BE317" s="10"/>
      <c r="BF317" s="10"/>
      <c r="BG317" s="10"/>
      <c r="BH317" s="10"/>
      <c r="BI317" s="10"/>
      <c r="BJ317" s="10"/>
      <c r="BK317" s="10"/>
      <c r="BL317" s="10"/>
      <c r="BM317" s="10"/>
    </row>
    <row r="318" spans="3:65">
      <c r="C318" s="382" t="s">
        <v>819</v>
      </c>
      <c r="D318" s="382" t="s">
        <v>328</v>
      </c>
      <c r="E318" s="382">
        <v>511.69104608797022</v>
      </c>
      <c r="F318" s="382">
        <v>97.703989035890942</v>
      </c>
      <c r="G318" s="382">
        <v>69.272968215177784</v>
      </c>
      <c r="H318" s="382">
        <v>79.907525666697808</v>
      </c>
      <c r="I318" s="382">
        <v>136.00474810908207</v>
      </c>
      <c r="J318" s="382">
        <v>39.29347104744086</v>
      </c>
      <c r="K318" s="382">
        <v>168.43162045101047</v>
      </c>
      <c r="L318" s="382">
        <v>128.46860135828021</v>
      </c>
      <c r="M318" s="382">
        <v>572.14205881715543</v>
      </c>
      <c r="N318" s="382">
        <v>327.49703268543431</v>
      </c>
      <c r="O318" s="382">
        <v>64.510738075392652</v>
      </c>
      <c r="P318" s="382">
        <v>180.52864041060946</v>
      </c>
      <c r="Q318" s="382">
        <v>532.72171894342409</v>
      </c>
      <c r="R318" s="382">
        <v>93.058360910334656</v>
      </c>
      <c r="S318" s="382">
        <v>50.452685565028986</v>
      </c>
      <c r="T318" s="382">
        <v>9964.459238996591</v>
      </c>
      <c r="U318" s="382">
        <v>23.129566339112486</v>
      </c>
      <c r="V318" s="382">
        <v>10.568199285365807</v>
      </c>
      <c r="W318" s="382">
        <v>13049.842209999999</v>
      </c>
      <c r="Z318" s="10"/>
      <c r="AU318" s="10"/>
      <c r="AV318" s="10"/>
      <c r="AW318" s="10"/>
      <c r="AX318" s="10"/>
      <c r="AY318" s="10"/>
      <c r="AZ318" s="10"/>
      <c r="BA318" s="10"/>
      <c r="BB318" s="10"/>
      <c r="BC318" s="10"/>
      <c r="BD318" s="10"/>
      <c r="BE318" s="10"/>
      <c r="BF318" s="10"/>
      <c r="BG318" s="10"/>
      <c r="BH318" s="10"/>
      <c r="BI318" s="10"/>
      <c r="BJ318" s="10"/>
      <c r="BK318" s="10"/>
      <c r="BL318" s="10"/>
      <c r="BM318" s="10"/>
    </row>
    <row r="319" spans="3:65">
      <c r="C319" s="382" t="s">
        <v>329</v>
      </c>
      <c r="D319" s="382" t="s">
        <v>330</v>
      </c>
      <c r="E319" s="382">
        <v>260772.27682463865</v>
      </c>
      <c r="F319" s="382">
        <v>46784.295118245762</v>
      </c>
      <c r="G319" s="382">
        <v>49717.79240971792</v>
      </c>
      <c r="H319" s="382">
        <v>7972.9305663381419</v>
      </c>
      <c r="I319" s="382">
        <v>67469.8108482635</v>
      </c>
      <c r="J319" s="382">
        <v>24317.200443129761</v>
      </c>
      <c r="K319" s="382">
        <v>16805.596266778022</v>
      </c>
      <c r="L319" s="382">
        <v>12818.207422120395</v>
      </c>
      <c r="M319" s="382">
        <v>261768.15915535472</v>
      </c>
      <c r="N319" s="382">
        <v>133735.45477455395</v>
      </c>
      <c r="O319" s="382">
        <v>6436.6857960749949</v>
      </c>
      <c r="P319" s="382">
        <v>67900.290180093172</v>
      </c>
      <c r="Q319" s="382">
        <v>226033.49546438319</v>
      </c>
      <c r="R319" s="382">
        <v>9285.0810229072977</v>
      </c>
      <c r="S319" s="382">
        <v>21301.258619029901</v>
      </c>
      <c r="T319" s="382">
        <v>73002.491806580612</v>
      </c>
      <c r="U319" s="382">
        <v>14898.188374468416</v>
      </c>
      <c r="V319" s="382">
        <v>1054.4628733080876</v>
      </c>
      <c r="W319" s="382">
        <v>1302073.6779659863</v>
      </c>
      <c r="Z319" s="10"/>
      <c r="AU319" s="10"/>
      <c r="AV319" s="10"/>
      <c r="AW319" s="10"/>
      <c r="AX319" s="10"/>
      <c r="AY319" s="10"/>
      <c r="AZ319" s="10"/>
      <c r="BA319" s="10"/>
      <c r="BB319" s="10"/>
      <c r="BC319" s="10"/>
      <c r="BD319" s="10"/>
      <c r="BE319" s="10"/>
      <c r="BF319" s="10"/>
      <c r="BG319" s="10"/>
      <c r="BH319" s="10"/>
      <c r="BI319" s="10"/>
      <c r="BJ319" s="10"/>
      <c r="BK319" s="10"/>
      <c r="BL319" s="10"/>
      <c r="BM319" s="10"/>
    </row>
    <row r="320" spans="3:65">
      <c r="C320" s="382" t="s">
        <v>331</v>
      </c>
      <c r="D320" s="382" t="s">
        <v>820</v>
      </c>
      <c r="E320" s="382">
        <v>15978.441952517693</v>
      </c>
      <c r="F320" s="382">
        <v>3050.9768135966433</v>
      </c>
      <c r="G320" s="382">
        <v>2163.1687909475886</v>
      </c>
      <c r="H320" s="382">
        <v>2495.2513244000384</v>
      </c>
      <c r="I320" s="382">
        <v>4246.9845613717271</v>
      </c>
      <c r="J320" s="382">
        <v>1227.006903960028</v>
      </c>
      <c r="K320" s="382">
        <v>5259.5699903692994</v>
      </c>
      <c r="L320" s="382">
        <v>4011.6552853877956</v>
      </c>
      <c r="M320" s="382">
        <v>323494.12721293973</v>
      </c>
      <c r="N320" s="382">
        <v>10226.663855842338</v>
      </c>
      <c r="O320" s="382">
        <v>2014.4598806884769</v>
      </c>
      <c r="P320" s="382">
        <v>5637.3204565943215</v>
      </c>
      <c r="Q320" s="382">
        <v>16635.161252205198</v>
      </c>
      <c r="R320" s="382">
        <v>2905.9090038221821</v>
      </c>
      <c r="S320" s="382">
        <v>1575.4727658667066</v>
      </c>
      <c r="T320" s="382">
        <v>5529.5551459563376</v>
      </c>
      <c r="U320" s="382">
        <v>722.26089544056344</v>
      </c>
      <c r="V320" s="382">
        <v>330.01038442018273</v>
      </c>
      <c r="W320" s="382">
        <v>407503.99647632689</v>
      </c>
      <c r="Z320" s="10"/>
      <c r="AU320" s="10"/>
      <c r="AV320" s="10"/>
      <c r="AW320" s="10"/>
      <c r="AX320" s="10"/>
      <c r="AY320" s="10"/>
      <c r="AZ320" s="10"/>
      <c r="BA320" s="10"/>
      <c r="BB320" s="10"/>
      <c r="BC320" s="10"/>
      <c r="BD320" s="10"/>
      <c r="BE320" s="10"/>
      <c r="BF320" s="10"/>
      <c r="BG320" s="10"/>
      <c r="BH320" s="10"/>
      <c r="BI320" s="10"/>
      <c r="BJ320" s="10"/>
      <c r="BK320" s="10"/>
      <c r="BL320" s="10"/>
      <c r="BM320" s="10"/>
    </row>
    <row r="321" spans="3:65">
      <c r="C321" s="382" t="s">
        <v>332</v>
      </c>
      <c r="D321" s="382" t="s">
        <v>821</v>
      </c>
      <c r="E321" s="382">
        <v>45207.622051207349</v>
      </c>
      <c r="F321" s="382">
        <v>8632.0936099993778</v>
      </c>
      <c r="G321" s="382">
        <v>6120.2285820312354</v>
      </c>
      <c r="H321" s="382">
        <v>7059.7858747095888</v>
      </c>
      <c r="I321" s="382">
        <v>12015.944575719614</v>
      </c>
      <c r="J321" s="382">
        <v>3471.5565217988428</v>
      </c>
      <c r="K321" s="382">
        <v>14880.840884428173</v>
      </c>
      <c r="L321" s="382">
        <v>11350.130161655949</v>
      </c>
      <c r="M321" s="382">
        <v>915258.21367855149</v>
      </c>
      <c r="N321" s="382">
        <v>28934.182432400172</v>
      </c>
      <c r="O321" s="382">
        <v>5699.4881725082942</v>
      </c>
      <c r="P321" s="382">
        <v>15949.605934081676</v>
      </c>
      <c r="Q321" s="382">
        <v>47065.670413008251</v>
      </c>
      <c r="R321" s="382">
        <v>8221.6549242020483</v>
      </c>
      <c r="S321" s="382">
        <v>4457.4669772511725</v>
      </c>
      <c r="T321" s="382">
        <v>15644.706780082164</v>
      </c>
      <c r="U321" s="382">
        <v>2043.4844448834838</v>
      </c>
      <c r="V321" s="382">
        <v>933.69458525275763</v>
      </c>
      <c r="W321" s="382">
        <v>1152946.3706037714</v>
      </c>
      <c r="Z321" s="10"/>
      <c r="AU321" s="10"/>
      <c r="AV321" s="10"/>
      <c r="AW321" s="10"/>
      <c r="AX321" s="10"/>
      <c r="AY321" s="10"/>
      <c r="AZ321" s="10"/>
      <c r="BA321" s="10"/>
      <c r="BB321" s="10"/>
      <c r="BC321" s="10"/>
      <c r="BD321" s="10"/>
      <c r="BE321" s="10"/>
      <c r="BF321" s="10"/>
      <c r="BG321" s="10"/>
      <c r="BH321" s="10"/>
      <c r="BI321" s="10"/>
      <c r="BJ321" s="10"/>
      <c r="BK321" s="10"/>
      <c r="BL321" s="10"/>
      <c r="BM321" s="10"/>
    </row>
    <row r="322" spans="3:65">
      <c r="C322" s="382" t="s">
        <v>225</v>
      </c>
      <c r="D322" s="382" t="s">
        <v>822</v>
      </c>
      <c r="E322" s="382">
        <v>23407.391386254094</v>
      </c>
      <c r="F322" s="382">
        <v>4469.4851099039879</v>
      </c>
      <c r="G322" s="382">
        <v>3168.903368345118</v>
      </c>
      <c r="H322" s="382">
        <v>3655.3829547878686</v>
      </c>
      <c r="I322" s="382">
        <v>6221.5596573696403</v>
      </c>
      <c r="J322" s="382">
        <v>1797.4863206298251</v>
      </c>
      <c r="K322" s="382">
        <v>7704.9322865032036</v>
      </c>
      <c r="L322" s="382">
        <v>5876.8173799956112</v>
      </c>
      <c r="M322" s="382">
        <v>26172.732944339899</v>
      </c>
      <c r="N322" s="382">
        <v>14981.405831727006</v>
      </c>
      <c r="O322" s="382">
        <v>2951.0543643306883</v>
      </c>
      <c r="P322" s="382">
        <v>8258.3124618384973</v>
      </c>
      <c r="Q322" s="382">
        <v>24369.442988304687</v>
      </c>
      <c r="R322" s="382">
        <v>4256.9700842820794</v>
      </c>
      <c r="S322" s="382">
        <v>56267.702038516625</v>
      </c>
      <c r="T322" s="382">
        <v>401866.09746669285</v>
      </c>
      <c r="U322" s="382">
        <v>1058.0658309992314</v>
      </c>
      <c r="V322" s="382">
        <v>483.44402117593347</v>
      </c>
      <c r="W322" s="382">
        <v>596967.1864959969</v>
      </c>
      <c r="Z322" s="10"/>
      <c r="AU322" s="10"/>
      <c r="AV322" s="10"/>
      <c r="AW322" s="10"/>
      <c r="AX322" s="10"/>
      <c r="AY322" s="10"/>
      <c r="AZ322" s="10"/>
      <c r="BA322" s="10"/>
      <c r="BB322" s="10"/>
      <c r="BC322" s="10"/>
      <c r="BD322" s="10"/>
      <c r="BE322" s="10"/>
      <c r="BF322" s="10"/>
      <c r="BG322" s="10"/>
      <c r="BH322" s="10"/>
      <c r="BI322" s="10"/>
      <c r="BJ322" s="10"/>
      <c r="BK322" s="10"/>
      <c r="BL322" s="10"/>
      <c r="BM322" s="10"/>
    </row>
    <row r="323" spans="3:65">
      <c r="C323" s="382" t="s">
        <v>1218</v>
      </c>
      <c r="D323" s="382" t="s">
        <v>1219</v>
      </c>
      <c r="E323" s="382">
        <v>13.667542885953821</v>
      </c>
      <c r="F323" s="382">
        <v>2.6097260651444412</v>
      </c>
      <c r="G323" s="382">
        <v>1.8503182167379286</v>
      </c>
      <c r="H323" s="382">
        <v>2.1343729625714163</v>
      </c>
      <c r="I323" s="382">
        <v>3.6327599274712572</v>
      </c>
      <c r="J323" s="382">
        <v>1.0495497327630661</v>
      </c>
      <c r="K323" s="382">
        <v>4.4988991178655748</v>
      </c>
      <c r="L323" s="382">
        <v>3.4314653969163524</v>
      </c>
      <c r="M323" s="382">
        <v>15.282221929670047</v>
      </c>
      <c r="N323" s="382">
        <v>8.74762177972773</v>
      </c>
      <c r="O323" s="382">
        <v>1.7231164899031286</v>
      </c>
      <c r="P323" s="382">
        <v>4.822017023394908</v>
      </c>
      <c r="Q323" s="382">
        <v>275.65550846236204</v>
      </c>
      <c r="R323" s="382">
        <v>2.4856388407857843</v>
      </c>
      <c r="S323" s="382">
        <v>1.3476183508456909</v>
      </c>
      <c r="T323" s="382">
        <v>4.729837384783103</v>
      </c>
      <c r="U323" s="382">
        <v>0.61780314955713633</v>
      </c>
      <c r="V323" s="382">
        <v>0.28228228354656659</v>
      </c>
      <c r="W323" s="382">
        <v>348.56829999999991</v>
      </c>
      <c r="Z323" s="10"/>
      <c r="AU323" s="10"/>
      <c r="AV323" s="10"/>
      <c r="AW323" s="10"/>
      <c r="AX323" s="10"/>
      <c r="AY323" s="10"/>
      <c r="AZ323" s="10"/>
      <c r="BA323" s="10"/>
      <c r="BB323" s="10"/>
      <c r="BC323" s="10"/>
      <c r="BD323" s="10"/>
      <c r="BE323" s="10"/>
      <c r="BF323" s="10"/>
      <c r="BG323" s="10"/>
      <c r="BH323" s="10"/>
      <c r="BI323" s="10"/>
      <c r="BJ323" s="10"/>
      <c r="BK323" s="10"/>
      <c r="BL323" s="10"/>
      <c r="BM323" s="10"/>
    </row>
    <row r="324" spans="3:65">
      <c r="C324" s="382"/>
      <c r="D324" s="382" t="s">
        <v>668</v>
      </c>
      <c r="E324" s="382">
        <v>2098200.098045852</v>
      </c>
      <c r="F324" s="382">
        <v>372997.97909971041</v>
      </c>
      <c r="G324" s="382">
        <v>283108.46217847348</v>
      </c>
      <c r="H324" s="382">
        <v>304635.7729262964</v>
      </c>
      <c r="I324" s="382">
        <v>552298.38342226925</v>
      </c>
      <c r="J324" s="382">
        <v>148322.08378832845</v>
      </c>
      <c r="K324" s="382">
        <v>766165.68057589955</v>
      </c>
      <c r="L324" s="382">
        <v>501287.01015147666</v>
      </c>
      <c r="M324" s="382">
        <v>2416194.0656066877</v>
      </c>
      <c r="N324" s="382">
        <v>1129747.1537288891</v>
      </c>
      <c r="O324" s="382">
        <v>283495.84020484058</v>
      </c>
      <c r="P324" s="382">
        <v>666681.53951917298</v>
      </c>
      <c r="Q324" s="382">
        <v>1712994.987532489</v>
      </c>
      <c r="R324" s="382">
        <v>327832.5641817968</v>
      </c>
      <c r="S324" s="382">
        <v>223699.07153102892</v>
      </c>
      <c r="T324" s="382">
        <v>862712.62070701551</v>
      </c>
      <c r="U324" s="382">
        <v>118650.21261670969</v>
      </c>
      <c r="V324" s="382">
        <v>114429.70045514607</v>
      </c>
      <c r="W324" s="382">
        <v>12883453.226272082</v>
      </c>
      <c r="Z324" s="10"/>
      <c r="AU324" s="10"/>
      <c r="AV324" s="10"/>
      <c r="AW324" s="10"/>
      <c r="AX324" s="10"/>
      <c r="AY324" s="10"/>
      <c r="AZ324" s="10"/>
      <c r="BA324" s="10"/>
      <c r="BB324" s="10"/>
      <c r="BC324" s="10"/>
      <c r="BD324" s="10"/>
      <c r="BE324" s="10"/>
      <c r="BF324" s="10"/>
      <c r="BG324" s="10"/>
      <c r="BH324" s="10"/>
      <c r="BI324" s="10"/>
      <c r="BJ324" s="10"/>
      <c r="BK324" s="10"/>
      <c r="BL324" s="10"/>
      <c r="BM324" s="10"/>
    </row>
    <row r="325" spans="3:65">
      <c r="C325" s="382" t="s">
        <v>655</v>
      </c>
      <c r="D325" s="382" t="s">
        <v>823</v>
      </c>
      <c r="E325" s="382" t="s">
        <v>9</v>
      </c>
      <c r="F325" s="382" t="s">
        <v>10</v>
      </c>
      <c r="G325" s="382" t="s">
        <v>11</v>
      </c>
      <c r="H325" s="382" t="s">
        <v>31</v>
      </c>
      <c r="I325" s="382" t="s">
        <v>12</v>
      </c>
      <c r="J325" s="382" t="s">
        <v>13</v>
      </c>
      <c r="K325" s="382" t="s">
        <v>14</v>
      </c>
      <c r="L325" s="382" t="s">
        <v>15</v>
      </c>
      <c r="M325" s="382" t="s">
        <v>16</v>
      </c>
      <c r="N325" s="382" t="s">
        <v>17</v>
      </c>
      <c r="O325" s="382" t="s">
        <v>18</v>
      </c>
      <c r="P325" s="382" t="s">
        <v>19</v>
      </c>
      <c r="Q325" s="382" t="s">
        <v>20</v>
      </c>
      <c r="R325" s="382" t="s">
        <v>60</v>
      </c>
      <c r="S325" s="382" t="s">
        <v>61</v>
      </c>
      <c r="T325" s="382" t="s">
        <v>62</v>
      </c>
      <c r="U325" s="382" t="s">
        <v>63</v>
      </c>
      <c r="V325" s="382" t="s">
        <v>64</v>
      </c>
      <c r="W325" s="382" t="s">
        <v>656</v>
      </c>
      <c r="Z325" s="10"/>
      <c r="AU325" s="10"/>
      <c r="AV325" s="10"/>
      <c r="AW325" s="10"/>
      <c r="AX325" s="10"/>
      <c r="AY325" s="10"/>
      <c r="AZ325" s="10"/>
      <c r="BA325" s="10"/>
      <c r="BB325" s="10"/>
      <c r="BC325" s="10"/>
      <c r="BD325" s="10"/>
      <c r="BE325" s="10"/>
      <c r="BF325" s="10"/>
      <c r="BG325" s="10"/>
      <c r="BH325" s="10"/>
      <c r="BI325" s="10"/>
      <c r="BJ325" s="10"/>
      <c r="BK325" s="10"/>
      <c r="BL325" s="10"/>
      <c r="BM325" s="10"/>
    </row>
    <row r="326" spans="3:65">
      <c r="C326" s="382" t="s">
        <v>333</v>
      </c>
      <c r="D326" s="382" t="s">
        <v>1160</v>
      </c>
      <c r="E326" s="382">
        <v>171779.4799959721</v>
      </c>
      <c r="F326" s="382">
        <v>61358.970856982603</v>
      </c>
      <c r="G326" s="382">
        <v>29888.333350392586</v>
      </c>
      <c r="H326" s="382">
        <v>6929.3474168443354</v>
      </c>
      <c r="I326" s="382">
        <v>25705.274301885605</v>
      </c>
      <c r="J326" s="382">
        <v>9867.5986319765925</v>
      </c>
      <c r="K326" s="382">
        <v>36464.368918753913</v>
      </c>
      <c r="L326" s="382">
        <v>32968.637221370955</v>
      </c>
      <c r="M326" s="382">
        <v>179801.26365018968</v>
      </c>
      <c r="N326" s="382">
        <v>84084.583384151425</v>
      </c>
      <c r="O326" s="382">
        <v>16113.852288243104</v>
      </c>
      <c r="P326" s="382">
        <v>27646.592738862029</v>
      </c>
      <c r="Q326" s="382">
        <v>58176.66401031422</v>
      </c>
      <c r="R326" s="382">
        <v>23523.530312490311</v>
      </c>
      <c r="S326" s="382">
        <v>11318.278376930373</v>
      </c>
      <c r="T326" s="382">
        <v>38675.935955194625</v>
      </c>
      <c r="U326" s="382">
        <v>10315.259943560022</v>
      </c>
      <c r="V326" s="382">
        <v>408.83192379868325</v>
      </c>
      <c r="W326" s="382">
        <v>825026.80327791325</v>
      </c>
      <c r="Z326" s="10"/>
      <c r="AU326" s="10"/>
      <c r="AV326" s="10"/>
      <c r="AW326" s="10"/>
      <c r="AX326" s="10"/>
      <c r="AY326" s="10"/>
      <c r="AZ326" s="10"/>
      <c r="BA326" s="10"/>
      <c r="BB326" s="10"/>
      <c r="BC326" s="10"/>
      <c r="BD326" s="10"/>
      <c r="BE326" s="10"/>
      <c r="BF326" s="10"/>
      <c r="BG326" s="10"/>
      <c r="BH326" s="10"/>
      <c r="BI326" s="10"/>
      <c r="BJ326" s="10"/>
      <c r="BK326" s="10"/>
      <c r="BL326" s="10"/>
      <c r="BM326" s="10"/>
    </row>
    <row r="327" spans="3:65">
      <c r="C327" s="382" t="s">
        <v>824</v>
      </c>
      <c r="D327" s="382" t="s">
        <v>825</v>
      </c>
      <c r="E327" s="382">
        <v>6317.0908262460634</v>
      </c>
      <c r="F327" s="382">
        <v>712.67519935375151</v>
      </c>
      <c r="G327" s="382">
        <v>77.852441747616766</v>
      </c>
      <c r="H327" s="382">
        <v>2031.1256766260715</v>
      </c>
      <c r="I327" s="382">
        <v>1360.8931769308017</v>
      </c>
      <c r="J327" s="382">
        <v>44.702088042586062</v>
      </c>
      <c r="K327" s="382">
        <v>6372.8329903249987</v>
      </c>
      <c r="L327" s="382">
        <v>921.1741340054341</v>
      </c>
      <c r="M327" s="382">
        <v>1241.8716077440979</v>
      </c>
      <c r="N327" s="382">
        <v>666.39422501707531</v>
      </c>
      <c r="O327" s="382">
        <v>474.30119643645617</v>
      </c>
      <c r="P327" s="382">
        <v>2461.937689941808</v>
      </c>
      <c r="Q327" s="382">
        <v>716.47020638079755</v>
      </c>
      <c r="R327" s="382">
        <v>108.10645435075631</v>
      </c>
      <c r="S327" s="382">
        <v>363.8841682950432</v>
      </c>
      <c r="T327" s="382">
        <v>1248.2344599818357</v>
      </c>
      <c r="U327" s="382">
        <v>145.52248880040813</v>
      </c>
      <c r="V327" s="382">
        <v>12.502129774399521</v>
      </c>
      <c r="W327" s="382">
        <v>25277.571160000007</v>
      </c>
      <c r="Z327" s="10"/>
      <c r="AU327" s="10"/>
      <c r="AV327" s="10"/>
      <c r="AW327" s="10"/>
      <c r="AX327" s="10"/>
      <c r="AY327" s="10"/>
      <c r="AZ327" s="10"/>
      <c r="BA327" s="10"/>
      <c r="BB327" s="10"/>
      <c r="BC327" s="10"/>
      <c r="BD327" s="10"/>
      <c r="BE327" s="10"/>
      <c r="BF327" s="10"/>
      <c r="BG327" s="10"/>
      <c r="BH327" s="10"/>
      <c r="BI327" s="10"/>
      <c r="BJ327" s="10"/>
      <c r="BK327" s="10"/>
      <c r="BL327" s="10"/>
      <c r="BM327" s="10"/>
    </row>
    <row r="328" spans="3:65">
      <c r="C328" s="382" t="s">
        <v>334</v>
      </c>
      <c r="D328" s="382" t="s">
        <v>826</v>
      </c>
      <c r="E328" s="382">
        <v>246.07512625803818</v>
      </c>
      <c r="F328" s="382">
        <v>38.713182307115289</v>
      </c>
      <c r="G328" s="382">
        <v>30.947103211976852</v>
      </c>
      <c r="H328" s="382">
        <v>32.337550465758696</v>
      </c>
      <c r="I328" s="382">
        <v>61.58884876411868</v>
      </c>
      <c r="J328" s="382">
        <v>17.192167904093427</v>
      </c>
      <c r="K328" s="382">
        <v>72.745131655729466</v>
      </c>
      <c r="L328" s="382">
        <v>60.602884338849655</v>
      </c>
      <c r="M328" s="382">
        <v>220.08788443377736</v>
      </c>
      <c r="N328" s="382">
        <v>146.24965173799191</v>
      </c>
      <c r="O328" s="382">
        <v>32.113581482392725</v>
      </c>
      <c r="P328" s="382">
        <v>80.276183921409768</v>
      </c>
      <c r="Q328" s="382">
        <v>188.8099539005691</v>
      </c>
      <c r="R328" s="382">
        <v>42.973367637195985</v>
      </c>
      <c r="S328" s="382">
        <v>18.765618849162077</v>
      </c>
      <c r="T328" s="382">
        <v>64.124405549974071</v>
      </c>
      <c r="U328" s="382">
        <v>9.3157593326473851</v>
      </c>
      <c r="V328" s="382">
        <v>4.9697182491994845</v>
      </c>
      <c r="W328" s="382">
        <v>1367.8881200000001</v>
      </c>
      <c r="Z328" s="10"/>
      <c r="AU328" s="10"/>
      <c r="AV328" s="10"/>
      <c r="AW328" s="10"/>
      <c r="AX328" s="10"/>
      <c r="AY328" s="10"/>
      <c r="AZ328" s="10"/>
      <c r="BA328" s="10"/>
      <c r="BB328" s="10"/>
      <c r="BC328" s="10"/>
      <c r="BD328" s="10"/>
      <c r="BE328" s="10"/>
      <c r="BF328" s="10"/>
      <c r="BG328" s="10"/>
      <c r="BH328" s="10"/>
      <c r="BI328" s="10"/>
      <c r="BJ328" s="10"/>
      <c r="BK328" s="10"/>
      <c r="BL328" s="10"/>
      <c r="BM328" s="10"/>
    </row>
    <row r="329" spans="3:65">
      <c r="C329" s="382"/>
      <c r="D329" s="382" t="s">
        <v>668</v>
      </c>
      <c r="E329" s="382">
        <v>178342.64594847622</v>
      </c>
      <c r="F329" s="382">
        <v>62110.359238643476</v>
      </c>
      <c r="G329" s="382">
        <v>29997.132895352181</v>
      </c>
      <c r="H329" s="382">
        <v>8992.8106439361654</v>
      </c>
      <c r="I329" s="382">
        <v>27127.756327580526</v>
      </c>
      <c r="J329" s="382">
        <v>9929.4928879232721</v>
      </c>
      <c r="K329" s="382">
        <v>42909.947040734638</v>
      </c>
      <c r="L329" s="382">
        <v>33950.414239715239</v>
      </c>
      <c r="M329" s="382">
        <v>181263.22314236755</v>
      </c>
      <c r="N329" s="382">
        <v>84897.227260906497</v>
      </c>
      <c r="O329" s="382">
        <v>16620.267066161956</v>
      </c>
      <c r="P329" s="382">
        <v>30188.80661272525</v>
      </c>
      <c r="Q329" s="382">
        <v>59081.944170595591</v>
      </c>
      <c r="R329" s="382">
        <v>23674.610134478262</v>
      </c>
      <c r="S329" s="382">
        <v>11700.928164074578</v>
      </c>
      <c r="T329" s="382">
        <v>39988.294820726442</v>
      </c>
      <c r="U329" s="382">
        <v>10470.098191693078</v>
      </c>
      <c r="V329" s="382">
        <v>426.30377182228227</v>
      </c>
      <c r="W329" s="382">
        <v>851672.26255791332</v>
      </c>
      <c r="Z329" s="10"/>
      <c r="AU329" s="10"/>
      <c r="AV329" s="10"/>
      <c r="AW329" s="10"/>
      <c r="AX329" s="10"/>
      <c r="AY329" s="10"/>
      <c r="AZ329" s="10"/>
      <c r="BA329" s="10"/>
      <c r="BB329" s="10"/>
      <c r="BC329" s="10"/>
      <c r="BD329" s="10"/>
      <c r="BE329" s="10"/>
      <c r="BF329" s="10"/>
      <c r="BG329" s="10"/>
      <c r="BH329" s="10"/>
      <c r="BI329" s="10"/>
      <c r="BJ329" s="10"/>
      <c r="BK329" s="10"/>
      <c r="BL329" s="10"/>
      <c r="BM329" s="10"/>
    </row>
    <row r="330" spans="3:65">
      <c r="C330" s="382" t="s">
        <v>655</v>
      </c>
      <c r="D330" s="382" t="s">
        <v>827</v>
      </c>
      <c r="E330" s="382" t="s">
        <v>9</v>
      </c>
      <c r="F330" s="382" t="s">
        <v>10</v>
      </c>
      <c r="G330" s="382" t="s">
        <v>11</v>
      </c>
      <c r="H330" s="382" t="s">
        <v>31</v>
      </c>
      <c r="I330" s="382" t="s">
        <v>12</v>
      </c>
      <c r="J330" s="382" t="s">
        <v>13</v>
      </c>
      <c r="K330" s="382" t="s">
        <v>14</v>
      </c>
      <c r="L330" s="382" t="s">
        <v>15</v>
      </c>
      <c r="M330" s="382" t="s">
        <v>16</v>
      </c>
      <c r="N330" s="382" t="s">
        <v>17</v>
      </c>
      <c r="O330" s="382" t="s">
        <v>18</v>
      </c>
      <c r="P330" s="382" t="s">
        <v>19</v>
      </c>
      <c r="Q330" s="382" t="s">
        <v>20</v>
      </c>
      <c r="R330" s="382" t="s">
        <v>60</v>
      </c>
      <c r="S330" s="382" t="s">
        <v>61</v>
      </c>
      <c r="T330" s="382" t="s">
        <v>62</v>
      </c>
      <c r="U330" s="382" t="s">
        <v>63</v>
      </c>
      <c r="V330" s="382" t="s">
        <v>64</v>
      </c>
      <c r="W330" s="382" t="s">
        <v>656</v>
      </c>
      <c r="Z330" s="10"/>
      <c r="AU330" s="10"/>
      <c r="AV330" s="10"/>
      <c r="AW330" s="10"/>
      <c r="AX330" s="10"/>
      <c r="AY330" s="10"/>
      <c r="AZ330" s="10"/>
      <c r="BA330" s="10"/>
      <c r="BB330" s="10"/>
      <c r="BC330" s="10"/>
      <c r="BD330" s="10"/>
      <c r="BE330" s="10"/>
      <c r="BF330" s="10"/>
      <c r="BG330" s="10"/>
      <c r="BH330" s="10"/>
      <c r="BI330" s="10"/>
      <c r="BJ330" s="10"/>
      <c r="BK330" s="10"/>
      <c r="BL330" s="10"/>
      <c r="BM330" s="10"/>
    </row>
    <row r="331" spans="3:65">
      <c r="C331" s="382" t="s">
        <v>648</v>
      </c>
      <c r="D331" s="382" t="s">
        <v>649</v>
      </c>
      <c r="E331" s="382">
        <v>3284.3364306915619</v>
      </c>
      <c r="F331" s="382">
        <v>572.52175204294338</v>
      </c>
      <c r="G331" s="382">
        <v>426.29409368493123</v>
      </c>
      <c r="H331" s="382">
        <v>471.82910297101569</v>
      </c>
      <c r="I331" s="382">
        <v>822.28223163621328</v>
      </c>
      <c r="J331" s="382">
        <v>331.25191248655204</v>
      </c>
      <c r="K331" s="382">
        <v>1288.032129706522</v>
      </c>
      <c r="L331" s="382">
        <v>940.42822018695176</v>
      </c>
      <c r="M331" s="382">
        <v>3310.0394719810884</v>
      </c>
      <c r="N331" s="382">
        <v>2061.6232438534412</v>
      </c>
      <c r="O331" s="382">
        <v>474.58990123257149</v>
      </c>
      <c r="P331" s="382">
        <v>1201.5764637437653</v>
      </c>
      <c r="Q331" s="382">
        <v>7261.9486702438571</v>
      </c>
      <c r="R331" s="382">
        <v>615.47394202213854</v>
      </c>
      <c r="S331" s="382">
        <v>281.16557216753137</v>
      </c>
      <c r="T331" s="382">
        <v>992.05000845501206</v>
      </c>
      <c r="U331" s="382">
        <v>141.7021242484104</v>
      </c>
      <c r="V331" s="382">
        <v>65.749548575793455</v>
      </c>
      <c r="W331" s="382">
        <v>24542.894819930301</v>
      </c>
      <c r="Z331" s="10"/>
      <c r="AU331" s="10"/>
      <c r="AV331" s="10"/>
      <c r="AW331" s="10"/>
      <c r="AX331" s="10"/>
      <c r="AY331" s="10"/>
      <c r="AZ331" s="10"/>
      <c r="BA331" s="10"/>
      <c r="BB331" s="10"/>
      <c r="BC331" s="10"/>
      <c r="BD331" s="10"/>
      <c r="BE331" s="10"/>
      <c r="BF331" s="10"/>
      <c r="BG331" s="10"/>
      <c r="BH331" s="10"/>
      <c r="BI331" s="10"/>
      <c r="BJ331" s="10"/>
      <c r="BK331" s="10"/>
      <c r="BL331" s="10"/>
      <c r="BM331" s="10"/>
    </row>
    <row r="332" spans="3:65">
      <c r="C332" s="382" t="s">
        <v>335</v>
      </c>
      <c r="D332" s="382" t="s">
        <v>336</v>
      </c>
      <c r="E332" s="382">
        <v>3170.8493750445505</v>
      </c>
      <c r="F332" s="382">
        <v>389.68978363802887</v>
      </c>
      <c r="G332" s="382">
        <v>270.88902225785762</v>
      </c>
      <c r="H332" s="382">
        <v>909.94845987952635</v>
      </c>
      <c r="I332" s="382">
        <v>580.6413590268287</v>
      </c>
      <c r="J332" s="382">
        <v>182.44865515039044</v>
      </c>
      <c r="K332" s="382">
        <v>3773.5891271122614</v>
      </c>
      <c r="L332" s="382">
        <v>819.91118256739878</v>
      </c>
      <c r="M332" s="382">
        <v>3088.260750863979</v>
      </c>
      <c r="N332" s="382">
        <v>1350.490273413734</v>
      </c>
      <c r="O332" s="382">
        <v>307.67351772816346</v>
      </c>
      <c r="P332" s="382">
        <v>2004.1029117982637</v>
      </c>
      <c r="Q332" s="382">
        <v>7015.8275255650215</v>
      </c>
      <c r="R332" s="382">
        <v>361.18103827539744</v>
      </c>
      <c r="S332" s="382">
        <v>195.70809382401947</v>
      </c>
      <c r="T332" s="382">
        <v>699.33666398922219</v>
      </c>
      <c r="U332" s="382">
        <v>89.737932942879681</v>
      </c>
      <c r="V332" s="382">
        <v>41.019806922476356</v>
      </c>
      <c r="W332" s="382">
        <v>25251.305480000003</v>
      </c>
      <c r="Z332" s="10"/>
      <c r="AU332" s="10"/>
      <c r="AV332" s="10"/>
      <c r="AW332" s="10"/>
      <c r="AX332" s="10"/>
      <c r="AY332" s="10"/>
      <c r="AZ332" s="10"/>
      <c r="BA332" s="10"/>
      <c r="BB332" s="10"/>
      <c r="BC332" s="10"/>
      <c r="BD332" s="10"/>
      <c r="BE332" s="10"/>
      <c r="BF332" s="10"/>
      <c r="BG332" s="10"/>
      <c r="BH332" s="10"/>
      <c r="BI332" s="10"/>
      <c r="BJ332" s="10"/>
      <c r="BK332" s="10"/>
      <c r="BL332" s="10"/>
      <c r="BM332" s="10"/>
    </row>
    <row r="333" spans="3:65">
      <c r="C333" s="382" t="s">
        <v>337</v>
      </c>
      <c r="D333" s="382" t="s">
        <v>828</v>
      </c>
      <c r="E333" s="382">
        <v>2341.3810815597694</v>
      </c>
      <c r="F333" s="382">
        <v>321.32069641785154</v>
      </c>
      <c r="G333" s="382">
        <v>285.31932821826632</v>
      </c>
      <c r="H333" s="382">
        <v>509.56148215919609</v>
      </c>
      <c r="I333" s="382">
        <v>498.30802040395275</v>
      </c>
      <c r="J333" s="382">
        <v>105.3205334269754</v>
      </c>
      <c r="K333" s="382">
        <v>5368.4510724384954</v>
      </c>
      <c r="L333" s="382">
        <v>619.03062957647398</v>
      </c>
      <c r="M333" s="382">
        <v>2245.1425374166975</v>
      </c>
      <c r="N333" s="382">
        <v>974.69769882320998</v>
      </c>
      <c r="O333" s="382">
        <v>614.83511905257114</v>
      </c>
      <c r="P333" s="382">
        <v>2953.7876346810212</v>
      </c>
      <c r="Q333" s="382">
        <v>21912.127834607461</v>
      </c>
      <c r="R333" s="382">
        <v>391.97434633764226</v>
      </c>
      <c r="S333" s="382">
        <v>121.69259941482105</v>
      </c>
      <c r="T333" s="382">
        <v>461.98939500084481</v>
      </c>
      <c r="U333" s="382">
        <v>314.66936218824645</v>
      </c>
      <c r="V333" s="382">
        <v>157.72915827650121</v>
      </c>
      <c r="W333" s="382">
        <v>40197.338530000001</v>
      </c>
      <c r="Z333" s="10"/>
      <c r="AU333" s="10"/>
      <c r="AV333" s="10"/>
      <c r="AW333" s="10"/>
      <c r="AX333" s="10"/>
      <c r="AY333" s="10"/>
      <c r="AZ333" s="10"/>
      <c r="BA333" s="10"/>
      <c r="BB333" s="10"/>
      <c r="BC333" s="10"/>
      <c r="BD333" s="10"/>
      <c r="BE333" s="10"/>
      <c r="BF333" s="10"/>
      <c r="BG333" s="10"/>
      <c r="BH333" s="10"/>
      <c r="BI333" s="10"/>
      <c r="BJ333" s="10"/>
      <c r="BK333" s="10"/>
      <c r="BL333" s="10"/>
      <c r="BM333" s="10"/>
    </row>
    <row r="334" spans="3:65">
      <c r="C334" s="382" t="s">
        <v>338</v>
      </c>
      <c r="D334" s="382" t="s">
        <v>339</v>
      </c>
      <c r="E334" s="382">
        <v>6468.6831821709857</v>
      </c>
      <c r="F334" s="382">
        <v>1079.258680280419</v>
      </c>
      <c r="G334" s="382">
        <v>724.67618773971151</v>
      </c>
      <c r="H334" s="382">
        <v>1210.9457310189655</v>
      </c>
      <c r="I334" s="382">
        <v>1369.453116196054</v>
      </c>
      <c r="J334" s="382">
        <v>4313.7178416726247</v>
      </c>
      <c r="K334" s="382">
        <v>5447.8081898364171</v>
      </c>
      <c r="L334" s="382">
        <v>6136.5333086083492</v>
      </c>
      <c r="M334" s="382">
        <v>8758.5094050945663</v>
      </c>
      <c r="N334" s="382">
        <v>8939.9146635293946</v>
      </c>
      <c r="O334" s="382">
        <v>3207.3948723015528</v>
      </c>
      <c r="P334" s="382">
        <v>1920.5526370331486</v>
      </c>
      <c r="Q334" s="382">
        <v>69684.397818684054</v>
      </c>
      <c r="R334" s="382">
        <v>3575.8441122680661</v>
      </c>
      <c r="S334" s="382">
        <v>503.56584159323654</v>
      </c>
      <c r="T334" s="382">
        <v>2153.7618424988541</v>
      </c>
      <c r="U334" s="382">
        <v>443.56087687616497</v>
      </c>
      <c r="V334" s="382">
        <v>106.38072259744618</v>
      </c>
      <c r="W334" s="382">
        <v>126044.95903000001</v>
      </c>
      <c r="Z334" s="10"/>
      <c r="AU334" s="10"/>
      <c r="AV334" s="10"/>
      <c r="AW334" s="10"/>
      <c r="AX334" s="10"/>
      <c r="AY334" s="10"/>
      <c r="AZ334" s="10"/>
      <c r="BA334" s="10"/>
      <c r="BB334" s="10"/>
      <c r="BC334" s="10"/>
      <c r="BD334" s="10"/>
      <c r="BE334" s="10"/>
      <c r="BF334" s="10"/>
      <c r="BG334" s="10"/>
      <c r="BH334" s="10"/>
      <c r="BI334" s="10"/>
      <c r="BJ334" s="10"/>
      <c r="BK334" s="10"/>
      <c r="BL334" s="10"/>
      <c r="BM334" s="10"/>
    </row>
    <row r="335" spans="3:65">
      <c r="C335" s="382" t="s">
        <v>340</v>
      </c>
      <c r="D335" s="382" t="s">
        <v>829</v>
      </c>
      <c r="E335" s="382">
        <v>30.556865518307777</v>
      </c>
      <c r="F335" s="382">
        <v>18.817944307366947</v>
      </c>
      <c r="G335" s="382">
        <v>3.8429177520280855</v>
      </c>
      <c r="H335" s="382">
        <v>4.0155792899502849</v>
      </c>
      <c r="I335" s="382">
        <v>7.6479171126752412</v>
      </c>
      <c r="J335" s="382">
        <v>2.1348714541049216</v>
      </c>
      <c r="K335" s="382">
        <v>316.35391609508525</v>
      </c>
      <c r="L335" s="382">
        <v>96.717026771296986</v>
      </c>
      <c r="M335" s="382">
        <v>826.96833791893869</v>
      </c>
      <c r="N335" s="382">
        <v>126.32916771101353</v>
      </c>
      <c r="O335" s="382">
        <v>3.9877674984496285</v>
      </c>
      <c r="P335" s="382">
        <v>9.9684539177568787</v>
      </c>
      <c r="Q335" s="382">
        <v>508.23085197468743</v>
      </c>
      <c r="R335" s="382">
        <v>5.3363029239356257</v>
      </c>
      <c r="S335" s="382">
        <v>2.330257837358058</v>
      </c>
      <c r="T335" s="382">
        <v>31.853954482885285</v>
      </c>
      <c r="U335" s="382">
        <v>1.1568028408939126</v>
      </c>
      <c r="V335" s="382">
        <v>0.6171245932651761</v>
      </c>
      <c r="W335" s="382">
        <v>1996.8660599999994</v>
      </c>
      <c r="Z335" s="10"/>
      <c r="AU335" s="10"/>
      <c r="AV335" s="10"/>
      <c r="AW335" s="10"/>
      <c r="AX335" s="10"/>
      <c r="AY335" s="10"/>
      <c r="AZ335" s="10"/>
      <c r="BA335" s="10"/>
      <c r="BB335" s="10"/>
      <c r="BC335" s="10"/>
      <c r="BD335" s="10"/>
      <c r="BE335" s="10"/>
      <c r="BF335" s="10"/>
      <c r="BG335" s="10"/>
      <c r="BH335" s="10"/>
      <c r="BI335" s="10"/>
      <c r="BJ335" s="10"/>
      <c r="BK335" s="10"/>
      <c r="BL335" s="10"/>
      <c r="BM335" s="10"/>
    </row>
    <row r="336" spans="3:65">
      <c r="C336" s="382" t="s">
        <v>341</v>
      </c>
      <c r="D336" s="382" t="s">
        <v>342</v>
      </c>
      <c r="E336" s="382">
        <v>998.66128644341052</v>
      </c>
      <c r="F336" s="382">
        <v>217.04693665438953</v>
      </c>
      <c r="G336" s="382">
        <v>279.78846851211398</v>
      </c>
      <c r="H336" s="382">
        <v>131.36640093917077</v>
      </c>
      <c r="I336" s="382">
        <v>149.34075859325242</v>
      </c>
      <c r="J336" s="382">
        <v>445.31064228956041</v>
      </c>
      <c r="K336" s="382">
        <v>412.87188664960019</v>
      </c>
      <c r="L336" s="382">
        <v>155.03431551872222</v>
      </c>
      <c r="M336" s="382">
        <v>884.16773932708293</v>
      </c>
      <c r="N336" s="382">
        <v>370.14773829810508</v>
      </c>
      <c r="O336" s="382">
        <v>143.13074708622986</v>
      </c>
      <c r="P336" s="382">
        <v>350.36794600652939</v>
      </c>
      <c r="Q336" s="382">
        <v>2340.5259434626942</v>
      </c>
      <c r="R336" s="382">
        <v>93.876080812545098</v>
      </c>
      <c r="S336" s="382">
        <v>100.94503709767417</v>
      </c>
      <c r="T336" s="382">
        <v>2067.405159764462</v>
      </c>
      <c r="U336" s="382">
        <v>16.412272307042187</v>
      </c>
      <c r="V336" s="382">
        <v>20.020370237414461</v>
      </c>
      <c r="W336" s="382">
        <v>9176.4197299999978</v>
      </c>
      <c r="Z336" s="10"/>
      <c r="AU336" s="10"/>
      <c r="AV336" s="10"/>
      <c r="AW336" s="10"/>
      <c r="AX336" s="10"/>
      <c r="AY336" s="10"/>
      <c r="AZ336" s="10"/>
      <c r="BA336" s="10"/>
      <c r="BB336" s="10"/>
      <c r="BC336" s="10"/>
      <c r="BD336" s="10"/>
      <c r="BE336" s="10"/>
      <c r="BF336" s="10"/>
      <c r="BG336" s="10"/>
      <c r="BH336" s="10"/>
      <c r="BI336" s="10"/>
      <c r="BJ336" s="10"/>
      <c r="BK336" s="10"/>
      <c r="BL336" s="10"/>
      <c r="BM336" s="10"/>
    </row>
    <row r="337" spans="3:65">
      <c r="C337" s="382" t="s">
        <v>343</v>
      </c>
      <c r="D337" s="382" t="s">
        <v>344</v>
      </c>
      <c r="E337" s="382">
        <v>1119.1977527861275</v>
      </c>
      <c r="F337" s="382">
        <v>176.07511697825564</v>
      </c>
      <c r="G337" s="382">
        <v>140.75347190420646</v>
      </c>
      <c r="H337" s="382">
        <v>147.07749768228712</v>
      </c>
      <c r="I337" s="382">
        <v>280.11811751019934</v>
      </c>
      <c r="J337" s="382">
        <v>78.193338661975446</v>
      </c>
      <c r="K337" s="382">
        <v>330.85907183422154</v>
      </c>
      <c r="L337" s="382">
        <v>275.63375866471807</v>
      </c>
      <c r="M337" s="382">
        <v>1001.0026995391628</v>
      </c>
      <c r="N337" s="382">
        <v>665.1719906028801</v>
      </c>
      <c r="O337" s="382">
        <v>146.05884298650881</v>
      </c>
      <c r="P337" s="382">
        <v>365.11176896796502</v>
      </c>
      <c r="Q337" s="382">
        <v>858.74456034040747</v>
      </c>
      <c r="R337" s="382">
        <v>195.45127222150825</v>
      </c>
      <c r="S337" s="382">
        <v>85.34970098359193</v>
      </c>
      <c r="T337" s="382">
        <v>291.65032517354206</v>
      </c>
      <c r="U337" s="382">
        <v>42.369893573324013</v>
      </c>
      <c r="V337" s="382">
        <v>22.603249589118445</v>
      </c>
      <c r="W337" s="382">
        <v>6221.4224299999996</v>
      </c>
      <c r="Z337" s="10"/>
      <c r="AU337" s="10"/>
      <c r="AV337" s="10"/>
      <c r="AW337" s="10"/>
      <c r="AX337" s="10"/>
      <c r="AY337" s="10"/>
      <c r="AZ337" s="10"/>
      <c r="BA337" s="10"/>
      <c r="BB337" s="10"/>
      <c r="BC337" s="10"/>
      <c r="BD337" s="10"/>
      <c r="BE337" s="10"/>
      <c r="BF337" s="10"/>
      <c r="BG337" s="10"/>
      <c r="BH337" s="10"/>
      <c r="BI337" s="10"/>
      <c r="BJ337" s="10"/>
      <c r="BK337" s="10"/>
      <c r="BL337" s="10"/>
      <c r="BM337" s="10"/>
    </row>
    <row r="338" spans="3:65">
      <c r="C338" s="382" t="s">
        <v>345</v>
      </c>
      <c r="D338" s="382" t="s">
        <v>346</v>
      </c>
      <c r="E338" s="382">
        <v>241.62965532528133</v>
      </c>
      <c r="F338" s="382">
        <v>81.458313269622664</v>
      </c>
      <c r="G338" s="382">
        <v>42.531514976311314</v>
      </c>
      <c r="H338" s="382">
        <v>33.274448695954099</v>
      </c>
      <c r="I338" s="382">
        <v>145.42949427395803</v>
      </c>
      <c r="J338" s="382">
        <v>7.2693163498656563</v>
      </c>
      <c r="K338" s="382">
        <v>80.906249012928185</v>
      </c>
      <c r="L338" s="382">
        <v>28.846732541244272</v>
      </c>
      <c r="M338" s="382">
        <v>499.73334742013986</v>
      </c>
      <c r="N338" s="382">
        <v>240.70681557566749</v>
      </c>
      <c r="O338" s="382">
        <v>33.629011049765708</v>
      </c>
      <c r="P338" s="382">
        <v>85.052152395023427</v>
      </c>
      <c r="Q338" s="382">
        <v>1256.4076564843394</v>
      </c>
      <c r="R338" s="382">
        <v>14.759291725315091</v>
      </c>
      <c r="S338" s="382">
        <v>31.841185669448734</v>
      </c>
      <c r="T338" s="382">
        <v>144.25463098428111</v>
      </c>
      <c r="U338" s="382">
        <v>4.1459033820952484</v>
      </c>
      <c r="V338" s="382">
        <v>0.56874086875819363</v>
      </c>
      <c r="W338" s="382">
        <v>2972.4444599999997</v>
      </c>
      <c r="Z338" s="10"/>
      <c r="AU338" s="10"/>
      <c r="AV338" s="10"/>
      <c r="AW338" s="10"/>
      <c r="AX338" s="10"/>
      <c r="AY338" s="10"/>
      <c r="AZ338" s="10"/>
      <c r="BA338" s="10"/>
      <c r="BB338" s="10"/>
      <c r="BC338" s="10"/>
      <c r="BD338" s="10"/>
      <c r="BE338" s="10"/>
      <c r="BF338" s="10"/>
      <c r="BG338" s="10"/>
      <c r="BH338" s="10"/>
      <c r="BI338" s="10"/>
      <c r="BJ338" s="10"/>
      <c r="BK338" s="10"/>
      <c r="BL338" s="10"/>
      <c r="BM338" s="10"/>
    </row>
    <row r="339" spans="3:65">
      <c r="C339" s="382" t="s">
        <v>347</v>
      </c>
      <c r="D339" s="382" t="s">
        <v>830</v>
      </c>
      <c r="E339" s="382">
        <v>5614.4756640799096</v>
      </c>
      <c r="F339" s="382">
        <v>851.83060962792729</v>
      </c>
      <c r="G339" s="382">
        <v>728.5085762768565</v>
      </c>
      <c r="H339" s="382">
        <v>618.19160314275882</v>
      </c>
      <c r="I339" s="382">
        <v>1150.9157837039461</v>
      </c>
      <c r="J339" s="382">
        <v>377.2701512951179</v>
      </c>
      <c r="K339" s="382">
        <v>1330.6709700131614</v>
      </c>
      <c r="L339" s="382">
        <v>1081.0384465549346</v>
      </c>
      <c r="M339" s="382">
        <v>13139.905419500881</v>
      </c>
      <c r="N339" s="382">
        <v>2855.2841540483787</v>
      </c>
      <c r="O339" s="382">
        <v>532.81850185948315</v>
      </c>
      <c r="P339" s="382">
        <v>1405.4362005362664</v>
      </c>
      <c r="Q339" s="382">
        <v>55160.693051963899</v>
      </c>
      <c r="R339" s="382">
        <v>745.81376842803911</v>
      </c>
      <c r="S339" s="382">
        <v>446.85984789121665</v>
      </c>
      <c r="T339" s="382">
        <v>1851.0874547608773</v>
      </c>
      <c r="U339" s="382">
        <v>168.72752378133066</v>
      </c>
      <c r="V339" s="382">
        <v>74.451292535017046</v>
      </c>
      <c r="W339" s="382">
        <v>88133.979019999999</v>
      </c>
      <c r="Z339" s="10"/>
      <c r="AU339" s="432"/>
      <c r="AV339" s="432"/>
      <c r="AW339" s="432"/>
      <c r="AX339" s="432"/>
      <c r="AY339" s="432"/>
      <c r="AZ339" s="432"/>
      <c r="BA339" s="432"/>
      <c r="BB339" s="432"/>
      <c r="BC339" s="432"/>
      <c r="BD339" s="432"/>
      <c r="BE339" s="432"/>
      <c r="BF339" s="432"/>
      <c r="BG339" s="432"/>
      <c r="BH339" s="432"/>
      <c r="BI339" s="432"/>
      <c r="BJ339" s="432"/>
      <c r="BK339" s="432"/>
      <c r="BL339" s="432"/>
      <c r="BM339" s="432"/>
    </row>
    <row r="340" spans="3:65">
      <c r="C340" s="382" t="s">
        <v>348</v>
      </c>
      <c r="D340" s="382" t="s">
        <v>349</v>
      </c>
      <c r="E340" s="382">
        <v>3040.4550395298374</v>
      </c>
      <c r="F340" s="382">
        <v>676.11864946859009</v>
      </c>
      <c r="G340" s="382">
        <v>404.37629023400012</v>
      </c>
      <c r="H340" s="382">
        <v>534.71145201636102</v>
      </c>
      <c r="I340" s="382">
        <v>649.85663300091369</v>
      </c>
      <c r="J340" s="382">
        <v>221.07260124798449</v>
      </c>
      <c r="K340" s="382">
        <v>1114.5349199342238</v>
      </c>
      <c r="L340" s="382">
        <v>776.24112702070136</v>
      </c>
      <c r="M340" s="382">
        <v>4466.3842265163794</v>
      </c>
      <c r="N340" s="382">
        <v>2272.6262894852407</v>
      </c>
      <c r="O340" s="382">
        <v>553.68229593815386</v>
      </c>
      <c r="P340" s="382">
        <v>1034.4675571627199</v>
      </c>
      <c r="Q340" s="382">
        <v>25903.755819953523</v>
      </c>
      <c r="R340" s="382">
        <v>593.83379092376572</v>
      </c>
      <c r="S340" s="382">
        <v>220.29864686394092</v>
      </c>
      <c r="T340" s="382">
        <v>1287.9081839387877</v>
      </c>
      <c r="U340" s="382">
        <v>138.99387396313537</v>
      </c>
      <c r="V340" s="382">
        <v>46.145412801738082</v>
      </c>
      <c r="W340" s="382">
        <v>43935.462809999997</v>
      </c>
      <c r="Z340" s="10"/>
      <c r="AU340" s="10"/>
      <c r="AV340" s="10"/>
      <c r="AW340" s="10"/>
      <c r="AX340" s="10"/>
      <c r="AY340" s="10"/>
      <c r="AZ340" s="10"/>
      <c r="BA340" s="10"/>
      <c r="BB340" s="10"/>
      <c r="BC340" s="10"/>
      <c r="BD340" s="10"/>
      <c r="BE340" s="10"/>
      <c r="BF340" s="10"/>
      <c r="BG340" s="10"/>
      <c r="BH340" s="10"/>
      <c r="BI340" s="10"/>
      <c r="BJ340" s="10"/>
      <c r="BK340" s="10"/>
      <c r="BL340" s="10"/>
      <c r="BM340" s="10"/>
    </row>
    <row r="341" spans="3:65">
      <c r="C341" s="382" t="s">
        <v>350</v>
      </c>
      <c r="D341" s="382" t="s">
        <v>351</v>
      </c>
      <c r="E341" s="382">
        <v>12830.942594618837</v>
      </c>
      <c r="F341" s="382">
        <v>2080.6933937219733</v>
      </c>
      <c r="G341" s="382">
        <v>1387.1289291479823</v>
      </c>
      <c r="H341" s="382">
        <v>1733.9111614349779</v>
      </c>
      <c r="I341" s="382">
        <v>2774.2578582959645</v>
      </c>
      <c r="J341" s="382">
        <v>1040.3466968609866</v>
      </c>
      <c r="K341" s="382">
        <v>4161.3867874439466</v>
      </c>
      <c r="L341" s="382">
        <v>2427.4756260089689</v>
      </c>
      <c r="M341" s="382">
        <v>12484.160362331841</v>
      </c>
      <c r="N341" s="382">
        <v>7975.991342600898</v>
      </c>
      <c r="O341" s="382">
        <v>1040.3466968609866</v>
      </c>
      <c r="P341" s="382">
        <v>3121.0400905829601</v>
      </c>
      <c r="Q341" s="382">
        <v>14564.853756053813</v>
      </c>
      <c r="R341" s="382">
        <v>2080.6933937219733</v>
      </c>
      <c r="S341" s="382">
        <v>1733.9111614349779</v>
      </c>
      <c r="T341" s="382">
        <v>5201.7334843049339</v>
      </c>
      <c r="U341" s="382">
        <v>693.56446457399113</v>
      </c>
      <c r="V341" s="382">
        <v>0</v>
      </c>
      <c r="W341" s="382">
        <v>77332.437800000014</v>
      </c>
      <c r="Z341" s="10"/>
      <c r="AU341" s="10"/>
      <c r="AV341" s="10"/>
      <c r="AW341" s="10"/>
      <c r="AX341" s="10"/>
      <c r="AY341" s="10"/>
      <c r="AZ341" s="10"/>
      <c r="BA341" s="10"/>
      <c r="BB341" s="10"/>
      <c r="BC341" s="10"/>
      <c r="BD341" s="10"/>
      <c r="BE341" s="10"/>
      <c r="BF341" s="10"/>
      <c r="BG341" s="10"/>
      <c r="BH341" s="10"/>
      <c r="BI341" s="10"/>
      <c r="BJ341" s="10"/>
      <c r="BK341" s="10"/>
      <c r="BL341" s="10"/>
      <c r="BM341" s="10"/>
    </row>
    <row r="342" spans="3:65">
      <c r="C342" s="382" t="s">
        <v>831</v>
      </c>
      <c r="D342" s="382" t="s">
        <v>352</v>
      </c>
      <c r="E342" s="382">
        <v>15336.158991767485</v>
      </c>
      <c r="F342" s="382">
        <v>4028.2453531452288</v>
      </c>
      <c r="G342" s="382">
        <v>2591.6744172351328</v>
      </c>
      <c r="H342" s="382">
        <v>2535.436447038222</v>
      </c>
      <c r="I342" s="382">
        <v>4521.00773945943</v>
      </c>
      <c r="J342" s="382">
        <v>1881.2522368772529</v>
      </c>
      <c r="K342" s="382">
        <v>5103.5298449221054</v>
      </c>
      <c r="L342" s="382">
        <v>3874.2791071659399</v>
      </c>
      <c r="M342" s="382">
        <v>17147.625329585029</v>
      </c>
      <c r="N342" s="382">
        <v>10262.213181953071</v>
      </c>
      <c r="O342" s="382">
        <v>2173.478228359746</v>
      </c>
      <c r="P342" s="382">
        <v>6029.35900122983</v>
      </c>
      <c r="Q342" s="382">
        <v>13920.745833989538</v>
      </c>
      <c r="R342" s="382">
        <v>2677.2232806346879</v>
      </c>
      <c r="S342" s="382">
        <v>2064.6839785371294</v>
      </c>
      <c r="T342" s="382">
        <v>5852.7566640407376</v>
      </c>
      <c r="U342" s="382">
        <v>915.01458579373855</v>
      </c>
      <c r="V342" s="382">
        <v>525.42391826569565</v>
      </c>
      <c r="W342" s="382">
        <v>101440.10813999997</v>
      </c>
      <c r="Z342" s="10"/>
      <c r="AU342" s="10"/>
      <c r="AV342" s="10"/>
      <c r="AW342" s="10"/>
      <c r="AX342" s="10"/>
      <c r="AY342" s="10"/>
      <c r="AZ342" s="10"/>
      <c r="BA342" s="10"/>
      <c r="BB342" s="10"/>
      <c r="BC342" s="10"/>
      <c r="BD342" s="10"/>
      <c r="BE342" s="10"/>
      <c r="BF342" s="10"/>
      <c r="BG342" s="10"/>
      <c r="BH342" s="10"/>
      <c r="BI342" s="10"/>
      <c r="BJ342" s="10"/>
      <c r="BK342" s="10"/>
      <c r="BL342" s="10"/>
      <c r="BM342" s="10"/>
    </row>
    <row r="343" spans="3:65">
      <c r="C343" s="382" t="s">
        <v>353</v>
      </c>
      <c r="D343" s="382" t="s">
        <v>832</v>
      </c>
      <c r="E343" s="382">
        <v>4303.5143060757409</v>
      </c>
      <c r="F343" s="382">
        <v>786.70492585462625</v>
      </c>
      <c r="G343" s="382">
        <v>557.78055595490628</v>
      </c>
      <c r="H343" s="382">
        <v>990.78246757715897</v>
      </c>
      <c r="I343" s="382">
        <v>1209.1761397599494</v>
      </c>
      <c r="J343" s="382">
        <v>316.38797486141948</v>
      </c>
      <c r="K343" s="382">
        <v>3915.2136734833366</v>
      </c>
      <c r="L343" s="382">
        <v>1034.4191931517462</v>
      </c>
      <c r="M343" s="382">
        <v>4606.8433889093249</v>
      </c>
      <c r="N343" s="382">
        <v>2636.980653080203</v>
      </c>
      <c r="O343" s="382">
        <v>910.36649743154817</v>
      </c>
      <c r="P343" s="382">
        <v>1453.6025813305719</v>
      </c>
      <c r="Q343" s="382">
        <v>79501.856337547593</v>
      </c>
      <c r="R343" s="382">
        <v>749.29868926052586</v>
      </c>
      <c r="S343" s="382">
        <v>406.24110282766981</v>
      </c>
      <c r="T343" s="382">
        <v>1425.8149231820939</v>
      </c>
      <c r="U343" s="382">
        <v>186.23747045964424</v>
      </c>
      <c r="V343" s="382">
        <v>85.094319251965288</v>
      </c>
      <c r="W343" s="382">
        <v>105076.31520000001</v>
      </c>
      <c r="Z343" s="10"/>
      <c r="AU343" s="10"/>
      <c r="AV343" s="10"/>
      <c r="AW343" s="10"/>
      <c r="AX343" s="10"/>
      <c r="AY343" s="10"/>
      <c r="AZ343" s="10"/>
      <c r="BA343" s="10"/>
      <c r="BB343" s="10"/>
      <c r="BC343" s="10"/>
      <c r="BD343" s="10"/>
      <c r="BE343" s="10"/>
      <c r="BF343" s="10"/>
      <c r="BG343" s="10"/>
      <c r="BH343" s="10"/>
      <c r="BI343" s="10"/>
      <c r="BJ343" s="10"/>
      <c r="BK343" s="10"/>
      <c r="BL343" s="10"/>
      <c r="BM343" s="10"/>
    </row>
    <row r="344" spans="3:65">
      <c r="C344" s="382" t="s">
        <v>354</v>
      </c>
      <c r="D344" s="382" t="s">
        <v>355</v>
      </c>
      <c r="E344" s="382">
        <v>1594.9022661918757</v>
      </c>
      <c r="F344" s="382">
        <v>1178.1007027036419</v>
      </c>
      <c r="G344" s="382">
        <v>424.77624193416386</v>
      </c>
      <c r="H344" s="382">
        <v>308.06313752972744</v>
      </c>
      <c r="I344" s="382">
        <v>995.09518811728537</v>
      </c>
      <c r="J344" s="382">
        <v>410.20630632800862</v>
      </c>
      <c r="K344" s="382">
        <v>1466.1689465250429</v>
      </c>
      <c r="L344" s="382">
        <v>3737.2387160384687</v>
      </c>
      <c r="M344" s="382">
        <v>1832.9586092607044</v>
      </c>
      <c r="N344" s="382">
        <v>1034.7577315872281</v>
      </c>
      <c r="O344" s="382">
        <v>197.1243414506346</v>
      </c>
      <c r="P344" s="382">
        <v>4808.3343605163709</v>
      </c>
      <c r="Q344" s="382">
        <v>2893.3468648225994</v>
      </c>
      <c r="R344" s="382">
        <v>636.65896628302755</v>
      </c>
      <c r="S344" s="382">
        <v>326.59296953963678</v>
      </c>
      <c r="T344" s="382">
        <v>751.75774285279556</v>
      </c>
      <c r="U344" s="382">
        <v>71.024088074670743</v>
      </c>
      <c r="V344" s="382">
        <v>44.34712151082266</v>
      </c>
      <c r="W344" s="382">
        <v>22711.454301266705</v>
      </c>
      <c r="Z344" s="10"/>
      <c r="AU344" s="10"/>
      <c r="AV344" s="10"/>
      <c r="AW344" s="10"/>
      <c r="AX344" s="10"/>
      <c r="AY344" s="10"/>
      <c r="AZ344" s="10"/>
      <c r="BA344" s="10"/>
      <c r="BB344" s="10"/>
      <c r="BC344" s="10"/>
      <c r="BD344" s="10"/>
      <c r="BE344" s="10"/>
      <c r="BF344" s="10"/>
      <c r="BG344" s="10"/>
      <c r="BH344" s="10"/>
      <c r="BI344" s="10"/>
      <c r="BJ344" s="10"/>
      <c r="BK344" s="10"/>
      <c r="BL344" s="10"/>
      <c r="BM344" s="10"/>
    </row>
    <row r="345" spans="3:65">
      <c r="C345" s="382" t="s">
        <v>356</v>
      </c>
      <c r="D345" s="382" t="s">
        <v>833</v>
      </c>
      <c r="E345" s="382">
        <v>593.4388998376802</v>
      </c>
      <c r="F345" s="382">
        <v>180.22600779169375</v>
      </c>
      <c r="G345" s="382">
        <v>122.21237282800735</v>
      </c>
      <c r="H345" s="382">
        <v>68.122760897484753</v>
      </c>
      <c r="I345" s="382">
        <v>120.47521253805249</v>
      </c>
      <c r="J345" s="382">
        <v>102.33591937121901</v>
      </c>
      <c r="K345" s="382">
        <v>1218.7947264231898</v>
      </c>
      <c r="L345" s="382">
        <v>192.48213646197735</v>
      </c>
      <c r="M345" s="382">
        <v>569.57077460967116</v>
      </c>
      <c r="N345" s="382">
        <v>452.42351291622481</v>
      </c>
      <c r="O345" s="382">
        <v>126.4225195418863</v>
      </c>
      <c r="P345" s="382">
        <v>248.95058342386687</v>
      </c>
      <c r="Q345" s="382">
        <v>2773.125569134254</v>
      </c>
      <c r="R345" s="382">
        <v>197.23522906551108</v>
      </c>
      <c r="S345" s="382">
        <v>105.79256144104652</v>
      </c>
      <c r="T345" s="382">
        <v>364.18326643010334</v>
      </c>
      <c r="U345" s="382">
        <v>28.498561451111804</v>
      </c>
      <c r="V345" s="382">
        <v>9.4886897081942294</v>
      </c>
      <c r="W345" s="382">
        <v>7473.7793038711752</v>
      </c>
      <c r="Z345" s="10"/>
      <c r="AU345" s="10"/>
      <c r="AV345" s="10"/>
      <c r="AW345" s="10"/>
      <c r="AX345" s="10"/>
      <c r="AY345" s="10"/>
      <c r="AZ345" s="10"/>
      <c r="BA345" s="10"/>
      <c r="BB345" s="10"/>
      <c r="BC345" s="10"/>
      <c r="BD345" s="10"/>
      <c r="BE345" s="10"/>
      <c r="BF345" s="10"/>
      <c r="BG345" s="10"/>
      <c r="BH345" s="10"/>
      <c r="BI345" s="10"/>
      <c r="BJ345" s="10"/>
      <c r="BK345" s="10"/>
      <c r="BL345" s="10"/>
      <c r="BM345" s="10"/>
    </row>
    <row r="346" spans="3:65">
      <c r="C346" s="382" t="s">
        <v>834</v>
      </c>
      <c r="D346" s="382" t="s">
        <v>357</v>
      </c>
      <c r="E346" s="382">
        <v>58237.549304688393</v>
      </c>
      <c r="F346" s="382">
        <v>9162.0835378048305</v>
      </c>
      <c r="G346" s="382">
        <v>7324.1187622306861</v>
      </c>
      <c r="H346" s="382">
        <v>7653.1899760874485</v>
      </c>
      <c r="I346" s="382">
        <v>14575.969831092158</v>
      </c>
      <c r="J346" s="382">
        <v>4068.7969612955403</v>
      </c>
      <c r="K346" s="382">
        <v>17216.279661822202</v>
      </c>
      <c r="L346" s="382">
        <v>14342.625840976465</v>
      </c>
      <c r="M346" s="382">
        <v>52087.25975674668</v>
      </c>
      <c r="N346" s="382">
        <v>34612.280539697946</v>
      </c>
      <c r="O346" s="382">
        <v>7600.1841932200678</v>
      </c>
      <c r="P346" s="382">
        <v>18998.6216413152</v>
      </c>
      <c r="Q346" s="382">
        <v>44684.845505148456</v>
      </c>
      <c r="R346" s="382">
        <v>10170.323407394577</v>
      </c>
      <c r="S346" s="382">
        <v>4441.1788772794225</v>
      </c>
      <c r="T346" s="382">
        <v>15176.049227886806</v>
      </c>
      <c r="U346" s="382">
        <v>2204.7209797091027</v>
      </c>
      <c r="V346" s="382">
        <v>1176.1619956040172</v>
      </c>
      <c r="W346" s="382">
        <v>323732.24</v>
      </c>
      <c r="Z346" s="10"/>
      <c r="AU346" s="10"/>
      <c r="AV346" s="10"/>
      <c r="AW346" s="10"/>
      <c r="AX346" s="10"/>
      <c r="AY346" s="10"/>
      <c r="AZ346" s="10"/>
      <c r="BA346" s="10"/>
      <c r="BB346" s="10"/>
      <c r="BC346" s="10"/>
      <c r="BD346" s="10"/>
      <c r="BE346" s="10"/>
      <c r="BF346" s="10"/>
      <c r="BG346" s="10"/>
      <c r="BH346" s="10"/>
      <c r="BI346" s="10"/>
      <c r="BJ346" s="10"/>
      <c r="BK346" s="10"/>
      <c r="BL346" s="10"/>
      <c r="BM346" s="10"/>
    </row>
    <row r="347" spans="3:65">
      <c r="C347" s="382" t="s">
        <v>359</v>
      </c>
      <c r="D347" s="382" t="s">
        <v>836</v>
      </c>
      <c r="E347" s="382">
        <v>44028.543547293048</v>
      </c>
      <c r="F347" s="382">
        <v>8001.7068321529323</v>
      </c>
      <c r="G347" s="382">
        <v>6435.7474138343259</v>
      </c>
      <c r="H347" s="382">
        <v>5663.3611209994351</v>
      </c>
      <c r="I347" s="382">
        <v>9481.7113801915912</v>
      </c>
      <c r="J347" s="382">
        <v>5326.4575489826248</v>
      </c>
      <c r="K347" s="382">
        <v>18547.480227189408</v>
      </c>
      <c r="L347" s="382">
        <v>13416.973436124674</v>
      </c>
      <c r="M347" s="382">
        <v>31712.29742189257</v>
      </c>
      <c r="N347" s="382">
        <v>25837.507079744759</v>
      </c>
      <c r="O347" s="382">
        <v>8017.1852953834223</v>
      </c>
      <c r="P347" s="382">
        <v>19500.3388147117</v>
      </c>
      <c r="Q347" s="382">
        <v>26836.801056958517</v>
      </c>
      <c r="R347" s="382">
        <v>9724.0975278009482</v>
      </c>
      <c r="S347" s="382">
        <v>3481.4466871753457</v>
      </c>
      <c r="T347" s="382">
        <v>10358.385191246089</v>
      </c>
      <c r="U347" s="382">
        <v>1231.9100310109643</v>
      </c>
      <c r="V347" s="382">
        <v>334.04938730764252</v>
      </c>
      <c r="W347" s="382">
        <v>247935.99999999997</v>
      </c>
      <c r="Z347" s="10"/>
      <c r="AU347" s="10"/>
      <c r="AV347" s="10"/>
      <c r="AW347" s="10"/>
      <c r="AX347" s="10"/>
      <c r="AY347" s="10"/>
      <c r="AZ347" s="10"/>
      <c r="BA347" s="10"/>
      <c r="BB347" s="10"/>
      <c r="BC347" s="10"/>
      <c r="BD347" s="10"/>
      <c r="BE347" s="10"/>
      <c r="BF347" s="10"/>
      <c r="BG347" s="10"/>
      <c r="BH347" s="10"/>
      <c r="BI347" s="10"/>
      <c r="BJ347" s="10"/>
      <c r="BK347" s="10"/>
      <c r="BL347" s="10"/>
      <c r="BM347" s="10"/>
    </row>
    <row r="348" spans="3:65">
      <c r="C348" s="382" t="s">
        <v>358</v>
      </c>
      <c r="D348" s="382" t="s">
        <v>835</v>
      </c>
      <c r="E348" s="382">
        <v>0</v>
      </c>
      <c r="F348" s="382">
        <v>0</v>
      </c>
      <c r="G348" s="382">
        <v>0</v>
      </c>
      <c r="H348" s="382">
        <v>20015.406417514638</v>
      </c>
      <c r="I348" s="382">
        <v>0</v>
      </c>
      <c r="J348" s="382">
        <v>0</v>
      </c>
      <c r="K348" s="382">
        <v>0</v>
      </c>
      <c r="L348" s="382">
        <v>0</v>
      </c>
      <c r="M348" s="382">
        <v>64899.858014701611</v>
      </c>
      <c r="N348" s="382">
        <v>41470.362823351476</v>
      </c>
      <c r="O348" s="382">
        <v>0</v>
      </c>
      <c r="P348" s="382">
        <v>31354.233030881132</v>
      </c>
      <c r="Q348" s="382">
        <v>0</v>
      </c>
      <c r="R348" s="382">
        <v>0</v>
      </c>
      <c r="S348" s="382">
        <v>6180.3491866743489</v>
      </c>
      <c r="T348" s="382">
        <v>21119.006032910791</v>
      </c>
      <c r="U348" s="382">
        <v>0</v>
      </c>
      <c r="V348" s="382">
        <v>0</v>
      </c>
      <c r="W348" s="382">
        <v>185039.215506034</v>
      </c>
      <c r="Z348" s="10"/>
      <c r="AU348" s="10"/>
      <c r="AV348" s="10"/>
      <c r="AW348" s="10"/>
      <c r="AX348" s="10"/>
      <c r="AY348" s="10"/>
      <c r="AZ348" s="10"/>
      <c r="BA348" s="10"/>
      <c r="BB348" s="10"/>
      <c r="BC348" s="10"/>
      <c r="BD348" s="10"/>
      <c r="BE348" s="10"/>
      <c r="BF348" s="10"/>
      <c r="BG348" s="10"/>
      <c r="BH348" s="10"/>
      <c r="BI348" s="10"/>
      <c r="BJ348" s="10"/>
      <c r="BK348" s="10"/>
      <c r="BL348" s="10"/>
      <c r="BM348" s="10"/>
    </row>
    <row r="349" spans="3:65">
      <c r="C349" s="382" t="s">
        <v>837</v>
      </c>
      <c r="D349" s="382" t="s">
        <v>477</v>
      </c>
      <c r="E349" s="382">
        <v>1685.5025000000001</v>
      </c>
      <c r="F349" s="382">
        <v>28.525970000000001</v>
      </c>
      <c r="G349" s="382">
        <v>0</v>
      </c>
      <c r="H349" s="382">
        <v>0</v>
      </c>
      <c r="I349" s="382">
        <v>0</v>
      </c>
      <c r="J349" s="382">
        <v>186.44728000000001</v>
      </c>
      <c r="K349" s="382">
        <v>210.54103000000001</v>
      </c>
      <c r="L349" s="382">
        <v>200</v>
      </c>
      <c r="M349" s="382">
        <v>953.84592999999995</v>
      </c>
      <c r="N349" s="382">
        <v>584.98004000000003</v>
      </c>
      <c r="O349" s="382">
        <v>0</v>
      </c>
      <c r="P349" s="382">
        <v>264.48714000000001</v>
      </c>
      <c r="Q349" s="382">
        <v>0</v>
      </c>
      <c r="R349" s="382">
        <v>0</v>
      </c>
      <c r="S349" s="382">
        <v>194.99692999999999</v>
      </c>
      <c r="T349" s="382">
        <v>0</v>
      </c>
      <c r="U349" s="382">
        <v>0</v>
      </c>
      <c r="V349" s="382">
        <v>137.95229999999998</v>
      </c>
      <c r="W349" s="382">
        <v>4447.2791200000001</v>
      </c>
      <c r="Z349" s="10"/>
      <c r="AU349" s="10"/>
      <c r="AV349" s="10"/>
      <c r="AW349" s="10"/>
      <c r="AX349" s="10"/>
      <c r="AY349" s="10"/>
      <c r="AZ349" s="10"/>
      <c r="BA349" s="10"/>
      <c r="BB349" s="10"/>
      <c r="BC349" s="10"/>
      <c r="BD349" s="10"/>
      <c r="BE349" s="10"/>
      <c r="BF349" s="10"/>
      <c r="BG349" s="10"/>
      <c r="BH349" s="10"/>
      <c r="BI349" s="10"/>
      <c r="BJ349" s="10"/>
      <c r="BK349" s="10"/>
      <c r="BL349" s="10"/>
      <c r="BM349" s="10"/>
    </row>
    <row r="350" spans="3:65">
      <c r="C350" s="382"/>
      <c r="D350" s="382" t="s">
        <v>668</v>
      </c>
      <c r="E350" s="382">
        <v>164920.7787436228</v>
      </c>
      <c r="F350" s="382">
        <v>29830.425205860323</v>
      </c>
      <c r="G350" s="382">
        <v>22150.418564721487</v>
      </c>
      <c r="H350" s="382">
        <v>43539.195246874282</v>
      </c>
      <c r="I350" s="382">
        <v>39331.686780912423</v>
      </c>
      <c r="J350" s="382">
        <v>19396.220788612205</v>
      </c>
      <c r="K350" s="382">
        <v>71303.47243044214</v>
      </c>
      <c r="L350" s="382">
        <v>50154.908803939034</v>
      </c>
      <c r="M350" s="382">
        <v>224514.53352361638</v>
      </c>
      <c r="N350" s="382">
        <v>144724.48894027286</v>
      </c>
      <c r="O350" s="382">
        <v>26082.908348981742</v>
      </c>
      <c r="P350" s="382">
        <v>97109.39097023409</v>
      </c>
      <c r="Q350" s="382">
        <v>377078.23465693468</v>
      </c>
      <c r="R350" s="382">
        <v>32829.074440099605</v>
      </c>
      <c r="S350" s="382">
        <v>20924.950238252419</v>
      </c>
      <c r="T350" s="382">
        <v>70230.984151903118</v>
      </c>
      <c r="U350" s="382">
        <v>6692.4467471767457</v>
      </c>
      <c r="V350" s="382">
        <v>2847.803158645866</v>
      </c>
      <c r="W350" s="382">
        <v>1443661.9217411021</v>
      </c>
      <c r="Z350" s="10"/>
      <c r="AU350" s="10"/>
      <c r="AV350" s="10"/>
      <c r="AW350" s="10"/>
      <c r="AX350" s="10"/>
      <c r="AY350" s="10"/>
      <c r="AZ350" s="10"/>
      <c r="BA350" s="10"/>
      <c r="BB350" s="10"/>
      <c r="BC350" s="10"/>
      <c r="BD350" s="10"/>
      <c r="BE350" s="10"/>
      <c r="BF350" s="10"/>
      <c r="BG350" s="10"/>
      <c r="BH350" s="10"/>
      <c r="BI350" s="10"/>
      <c r="BJ350" s="10"/>
      <c r="BK350" s="10"/>
      <c r="BL350" s="10"/>
      <c r="BM350" s="10"/>
    </row>
    <row r="351" spans="3:65">
      <c r="C351" s="382" t="s">
        <v>655</v>
      </c>
      <c r="D351" s="382" t="s">
        <v>3</v>
      </c>
      <c r="E351" s="382" t="s">
        <v>9</v>
      </c>
      <c r="F351" s="382" t="s">
        <v>10</v>
      </c>
      <c r="G351" s="382" t="s">
        <v>11</v>
      </c>
      <c r="H351" s="382" t="s">
        <v>31</v>
      </c>
      <c r="I351" s="382" t="s">
        <v>12</v>
      </c>
      <c r="J351" s="382" t="s">
        <v>13</v>
      </c>
      <c r="K351" s="382" t="s">
        <v>14</v>
      </c>
      <c r="L351" s="382" t="s">
        <v>15</v>
      </c>
      <c r="M351" s="382" t="s">
        <v>16</v>
      </c>
      <c r="N351" s="382" t="s">
        <v>17</v>
      </c>
      <c r="O351" s="382" t="s">
        <v>18</v>
      </c>
      <c r="P351" s="382" t="s">
        <v>19</v>
      </c>
      <c r="Q351" s="382" t="s">
        <v>20</v>
      </c>
      <c r="R351" s="382" t="s">
        <v>60</v>
      </c>
      <c r="S351" s="382" t="s">
        <v>61</v>
      </c>
      <c r="T351" s="382" t="s">
        <v>62</v>
      </c>
      <c r="U351" s="382" t="s">
        <v>63</v>
      </c>
      <c r="V351" s="382" t="s">
        <v>64</v>
      </c>
      <c r="W351" s="382" t="s">
        <v>656</v>
      </c>
      <c r="Z351" s="10"/>
      <c r="AU351" s="10"/>
      <c r="AV351" s="10"/>
      <c r="AW351" s="10"/>
      <c r="AX351" s="10"/>
      <c r="AY351" s="10"/>
      <c r="AZ351" s="10"/>
      <c r="BA351" s="10"/>
      <c r="BB351" s="10"/>
      <c r="BC351" s="10"/>
      <c r="BD351" s="10"/>
      <c r="BE351" s="10"/>
      <c r="BF351" s="10"/>
      <c r="BG351" s="10"/>
      <c r="BH351" s="10"/>
      <c r="BI351" s="10"/>
      <c r="BJ351" s="10"/>
      <c r="BK351" s="10"/>
      <c r="BL351" s="10"/>
      <c r="BM351" s="10"/>
    </row>
    <row r="352" spans="3:65">
      <c r="C352" s="382" t="s">
        <v>360</v>
      </c>
      <c r="D352" s="382" t="s">
        <v>838</v>
      </c>
      <c r="E352" s="382">
        <v>2466280.2996300003</v>
      </c>
      <c r="F352" s="382">
        <v>452847.39466000005</v>
      </c>
      <c r="G352" s="382">
        <v>333563.62261999998</v>
      </c>
      <c r="H352" s="382">
        <v>185830.83301</v>
      </c>
      <c r="I352" s="382">
        <v>502286.86819000001</v>
      </c>
      <c r="J352" s="382">
        <v>154321.42247999998</v>
      </c>
      <c r="K352" s="382">
        <v>1086183.9540599999</v>
      </c>
      <c r="L352" s="382">
        <v>517453.39374000003</v>
      </c>
      <c r="M352" s="382">
        <v>1089481.4915999998</v>
      </c>
      <c r="N352" s="382">
        <v>1037430.94016</v>
      </c>
      <c r="O352" s="382">
        <v>386154.47976000002</v>
      </c>
      <c r="P352" s="382">
        <v>894845.76170999999</v>
      </c>
      <c r="Q352" s="382">
        <v>2237083.3551699966</v>
      </c>
      <c r="R352" s="382">
        <v>433771.72217999998</v>
      </c>
      <c r="S352" s="382">
        <v>124267.36259</v>
      </c>
      <c r="T352" s="382">
        <v>313873.41362999997</v>
      </c>
      <c r="U352" s="382">
        <v>97611.862540000002</v>
      </c>
      <c r="V352" s="382">
        <v>89011.813670000003</v>
      </c>
      <c r="W352" s="382">
        <v>12402299.991399994</v>
      </c>
      <c r="Z352" s="10"/>
      <c r="AU352" s="10"/>
      <c r="AV352" s="10"/>
      <c r="AW352" s="10"/>
      <c r="AX352" s="10"/>
      <c r="AY352" s="10"/>
      <c r="AZ352" s="10"/>
      <c r="BA352" s="10"/>
      <c r="BB352" s="10"/>
      <c r="BC352" s="10"/>
      <c r="BD352" s="10"/>
      <c r="BE352" s="10"/>
      <c r="BF352" s="10"/>
      <c r="BG352" s="10"/>
      <c r="BH352" s="10"/>
      <c r="BI352" s="10"/>
      <c r="BJ352" s="10"/>
      <c r="BK352" s="10"/>
      <c r="BL352" s="10"/>
      <c r="BM352" s="10"/>
    </row>
    <row r="353" spans="3:65">
      <c r="C353" s="382" t="s">
        <v>361</v>
      </c>
      <c r="D353" s="382" t="s">
        <v>839</v>
      </c>
      <c r="E353" s="382">
        <v>3319.2225600000002</v>
      </c>
      <c r="F353" s="382">
        <v>394.99835999999999</v>
      </c>
      <c r="G353" s="382">
        <v>351.72564</v>
      </c>
      <c r="H353" s="382">
        <v>231.12765999999999</v>
      </c>
      <c r="I353" s="382">
        <v>9189.5657999999985</v>
      </c>
      <c r="J353" s="382">
        <v>217.22907999999998</v>
      </c>
      <c r="K353" s="382">
        <v>855.41757999999993</v>
      </c>
      <c r="L353" s="382">
        <v>724.11162999999999</v>
      </c>
      <c r="M353" s="382">
        <v>2094.5315799999998</v>
      </c>
      <c r="N353" s="382">
        <v>1508.3913500000001</v>
      </c>
      <c r="O353" s="382">
        <v>392.02140999999995</v>
      </c>
      <c r="P353" s="382">
        <v>888.42618999999991</v>
      </c>
      <c r="Q353" s="382">
        <v>8326.905639999999</v>
      </c>
      <c r="R353" s="382">
        <v>490.38441</v>
      </c>
      <c r="S353" s="382">
        <v>104.48063</v>
      </c>
      <c r="T353" s="382">
        <v>903.09343999999999</v>
      </c>
      <c r="U353" s="382">
        <v>94.902360000000002</v>
      </c>
      <c r="V353" s="382">
        <v>417.64502999999996</v>
      </c>
      <c r="W353" s="382">
        <v>30504.180349999991</v>
      </c>
      <c r="Z353" s="10"/>
      <c r="AU353" s="10"/>
      <c r="AV353" s="10"/>
      <c r="AW353" s="10"/>
      <c r="AX353" s="10"/>
      <c r="AY353" s="10"/>
      <c r="AZ353" s="10"/>
      <c r="BA353" s="10"/>
      <c r="BB353" s="10"/>
      <c r="BC353" s="10"/>
      <c r="BD353" s="10"/>
      <c r="BE353" s="10"/>
      <c r="BF353" s="10"/>
      <c r="BG353" s="10"/>
      <c r="BH353" s="10"/>
      <c r="BI353" s="10"/>
      <c r="BJ353" s="10"/>
      <c r="BK353" s="10"/>
      <c r="BL353" s="10"/>
      <c r="BM353" s="10"/>
    </row>
    <row r="354" spans="3:65">
      <c r="C354" s="382" t="s">
        <v>362</v>
      </c>
      <c r="D354" s="382" t="s">
        <v>840</v>
      </c>
      <c r="E354" s="382">
        <v>6320.124807798692</v>
      </c>
      <c r="F354" s="382">
        <v>30.969212902153437</v>
      </c>
      <c r="G354" s="382">
        <v>23.903421608943674</v>
      </c>
      <c r="H354" s="382">
        <v>6.9154553082478554</v>
      </c>
      <c r="I354" s="382">
        <v>3460.4337018532419</v>
      </c>
      <c r="J354" s="382">
        <v>58.180026180259127</v>
      </c>
      <c r="K354" s="382">
        <v>98.019062195165247</v>
      </c>
      <c r="L354" s="382">
        <v>43.898107608877687</v>
      </c>
      <c r="M354" s="382">
        <v>50.813562917125545</v>
      </c>
      <c r="N354" s="382">
        <v>530.98458218368887</v>
      </c>
      <c r="O354" s="382">
        <v>125.75603135711366</v>
      </c>
      <c r="P354" s="382">
        <v>24.504765548791312</v>
      </c>
      <c r="Q354" s="382">
        <v>1053.2536999761392</v>
      </c>
      <c r="R354" s="382">
        <v>192.33279278713209</v>
      </c>
      <c r="S354" s="382">
        <v>2.2550397744286483</v>
      </c>
      <c r="T354" s="382">
        <v>0</v>
      </c>
      <c r="U354" s="382">
        <v>0</v>
      </c>
      <c r="V354" s="382">
        <v>0</v>
      </c>
      <c r="W354" s="382">
        <v>12022.344270000001</v>
      </c>
      <c r="Z354" s="10"/>
      <c r="AU354" s="10"/>
      <c r="AV354" s="10"/>
      <c r="AW354" s="10"/>
      <c r="AX354" s="10"/>
      <c r="AY354" s="10"/>
      <c r="AZ354" s="10"/>
      <c r="BA354" s="10"/>
      <c r="BB354" s="10"/>
      <c r="BC354" s="10"/>
      <c r="BD354" s="10"/>
      <c r="BE354" s="10"/>
      <c r="BF354" s="10"/>
      <c r="BG354" s="10"/>
      <c r="BH354" s="10"/>
      <c r="BI354" s="10"/>
      <c r="BJ354" s="10"/>
      <c r="BK354" s="10"/>
      <c r="BL354" s="10"/>
      <c r="BM354" s="10"/>
    </row>
    <row r="355" spans="3:65">
      <c r="C355" s="382" t="s">
        <v>363</v>
      </c>
      <c r="D355" s="382" t="s">
        <v>841</v>
      </c>
      <c r="E355" s="382">
        <v>22840.127420000001</v>
      </c>
      <c r="F355" s="382">
        <v>8255.5582300000005</v>
      </c>
      <c r="G355" s="382">
        <v>8651.4826599999997</v>
      </c>
      <c r="H355" s="382">
        <v>2142.9218300000002</v>
      </c>
      <c r="I355" s="382">
        <v>641.42270999999994</v>
      </c>
      <c r="J355" s="382">
        <v>3872.5064900000002</v>
      </c>
      <c r="K355" s="382">
        <v>6131.89671</v>
      </c>
      <c r="L355" s="382">
        <v>11177.024359999999</v>
      </c>
      <c r="M355" s="382">
        <v>52748.297930000001</v>
      </c>
      <c r="N355" s="382">
        <v>37655.757429999998</v>
      </c>
      <c r="O355" s="382">
        <v>3698.94832</v>
      </c>
      <c r="P355" s="382">
        <v>3195.5693900000001</v>
      </c>
      <c r="Q355" s="382">
        <v>62599.819210000001</v>
      </c>
      <c r="R355" s="382">
        <v>7841.9464200000002</v>
      </c>
      <c r="S355" s="382">
        <v>1220.9141499999998</v>
      </c>
      <c r="T355" s="382">
        <v>10327.722380000001</v>
      </c>
      <c r="U355" s="382">
        <v>575.25284999999997</v>
      </c>
      <c r="V355" s="382">
        <v>139.41401999999999</v>
      </c>
      <c r="W355" s="382">
        <v>243716.58250999992</v>
      </c>
      <c r="Z355" s="10"/>
      <c r="AU355" s="10"/>
      <c r="AV355" s="10"/>
      <c r="AW355" s="10"/>
      <c r="AX355" s="10"/>
      <c r="AY355" s="10"/>
      <c r="AZ355" s="10"/>
      <c r="BA355" s="10"/>
      <c r="BB355" s="10"/>
      <c r="BC355" s="10"/>
      <c r="BD355" s="10"/>
      <c r="BE355" s="10"/>
      <c r="BF355" s="10"/>
      <c r="BG355" s="10"/>
      <c r="BH355" s="10"/>
      <c r="BI355" s="10"/>
      <c r="BJ355" s="10"/>
      <c r="BK355" s="10"/>
      <c r="BL355" s="10"/>
      <c r="BM355" s="10"/>
    </row>
    <row r="356" spans="3:65">
      <c r="C356" s="382" t="s">
        <v>364</v>
      </c>
      <c r="D356" s="382" t="s">
        <v>842</v>
      </c>
      <c r="E356" s="382">
        <v>1261.7643043868748</v>
      </c>
      <c r="F356" s="382">
        <v>233.62717790420271</v>
      </c>
      <c r="G356" s="382">
        <v>173.4198856888766</v>
      </c>
      <c r="H356" s="382">
        <v>95.276209671509477</v>
      </c>
      <c r="I356" s="382">
        <v>259.25282938115726</v>
      </c>
      <c r="J356" s="382">
        <v>80.193534345095557</v>
      </c>
      <c r="K356" s="382">
        <v>553.40336332764662</v>
      </c>
      <c r="L356" s="382">
        <v>267.97866503340464</v>
      </c>
      <c r="M356" s="382">
        <v>579.29891351402148</v>
      </c>
      <c r="N356" s="382">
        <v>545.01189375448246</v>
      </c>
      <c r="O356" s="382">
        <v>197.55654994211801</v>
      </c>
      <c r="P356" s="382">
        <v>455.07119102248134</v>
      </c>
      <c r="Q356" s="382">
        <v>1168.3992964844711</v>
      </c>
      <c r="R356" s="382">
        <v>223.80927578329377</v>
      </c>
      <c r="S356" s="382">
        <v>63.579657049583382</v>
      </c>
      <c r="T356" s="382">
        <v>164.57967677949441</v>
      </c>
      <c r="U356" s="382">
        <v>49.753959651328472</v>
      </c>
      <c r="V356" s="382">
        <v>45.343046279957512</v>
      </c>
      <c r="W356" s="382">
        <v>6417.3194300000005</v>
      </c>
      <c r="Z356" s="10"/>
      <c r="AU356" s="10"/>
      <c r="AV356" s="10"/>
      <c r="AW356" s="10"/>
      <c r="AX356" s="10"/>
      <c r="AY356" s="10"/>
      <c r="AZ356" s="10"/>
      <c r="BA356" s="10"/>
      <c r="BB356" s="10"/>
      <c r="BC356" s="10"/>
      <c r="BD356" s="10"/>
      <c r="BE356" s="10"/>
      <c r="BF356" s="10"/>
      <c r="BG356" s="10"/>
      <c r="BH356" s="10"/>
      <c r="BI356" s="10"/>
      <c r="BJ356" s="10"/>
      <c r="BK356" s="10"/>
      <c r="BL356" s="10"/>
      <c r="BM356" s="10"/>
    </row>
    <row r="357" spans="3:65">
      <c r="C357" s="382" t="s">
        <v>365</v>
      </c>
      <c r="D357" s="382" t="s">
        <v>366</v>
      </c>
      <c r="E357" s="382">
        <v>63933.352747015968</v>
      </c>
      <c r="F357" s="382">
        <v>11125.311612866097</v>
      </c>
      <c r="G357" s="382">
        <v>9654.0437002495528</v>
      </c>
      <c r="H357" s="382">
        <v>6559.2897235150886</v>
      </c>
      <c r="I357" s="382">
        <v>14581.188956270449</v>
      </c>
      <c r="J357" s="382">
        <v>4952.0999288533376</v>
      </c>
      <c r="K357" s="382">
        <v>23365.036799446381</v>
      </c>
      <c r="L357" s="382">
        <v>12426.259688898443</v>
      </c>
      <c r="M357" s="382">
        <v>41686.753659296657</v>
      </c>
      <c r="N357" s="382">
        <v>34407.892231178157</v>
      </c>
      <c r="O357" s="382">
        <v>7852.6803508076018</v>
      </c>
      <c r="P357" s="382">
        <v>23058.820473363903</v>
      </c>
      <c r="Q357" s="382">
        <v>58376.371439774353</v>
      </c>
      <c r="R357" s="382">
        <v>10741.854946571759</v>
      </c>
      <c r="S357" s="382">
        <v>3596.5678862709065</v>
      </c>
      <c r="T357" s="382">
        <v>12060.616013881321</v>
      </c>
      <c r="U357" s="382">
        <v>2253.8056139512046</v>
      </c>
      <c r="V357" s="382">
        <v>2317.2922777887229</v>
      </c>
      <c r="W357" s="382">
        <v>342949.23805000004</v>
      </c>
      <c r="Z357" s="10"/>
      <c r="AU357" s="10"/>
      <c r="AV357" s="10"/>
      <c r="AW357" s="10"/>
      <c r="AX357" s="10"/>
      <c r="AY357" s="10"/>
      <c r="AZ357" s="10"/>
      <c r="BA357" s="10"/>
      <c r="BB357" s="10"/>
      <c r="BC357" s="10"/>
      <c r="BD357" s="10"/>
      <c r="BE357" s="10"/>
      <c r="BF357" s="10"/>
      <c r="BG357" s="10"/>
      <c r="BH357" s="10"/>
      <c r="BI357" s="10"/>
      <c r="BJ357" s="10"/>
      <c r="BK357" s="10"/>
      <c r="BL357" s="10"/>
      <c r="BM357" s="10"/>
    </row>
    <row r="358" spans="3:65">
      <c r="C358" s="382" t="s">
        <v>367</v>
      </c>
      <c r="D358" s="382" t="s">
        <v>843</v>
      </c>
      <c r="E358" s="382">
        <v>258132.92220714086</v>
      </c>
      <c r="F358" s="382">
        <v>68787.558189010975</v>
      </c>
      <c r="G358" s="382">
        <v>56399.73565969801</v>
      </c>
      <c r="H358" s="382">
        <v>56114.033295978297</v>
      </c>
      <c r="I358" s="382">
        <v>85344.440066768017</v>
      </c>
      <c r="J358" s="382">
        <v>28332.016205964232</v>
      </c>
      <c r="K358" s="382">
        <v>92211.453488577958</v>
      </c>
      <c r="L358" s="382">
        <v>68656.878865555656</v>
      </c>
      <c r="M358" s="382">
        <v>509255.11848698807</v>
      </c>
      <c r="N358" s="382">
        <v>390670.81307406537</v>
      </c>
      <c r="O358" s="382">
        <v>34517.37053710741</v>
      </c>
      <c r="P358" s="382">
        <v>136679.84865489078</v>
      </c>
      <c r="Q358" s="382">
        <v>316677.85647552734</v>
      </c>
      <c r="R358" s="382">
        <v>83331.643691407473</v>
      </c>
      <c r="S358" s="382">
        <v>25929.982188525042</v>
      </c>
      <c r="T358" s="382">
        <v>87596.163786128236</v>
      </c>
      <c r="U358" s="382">
        <v>12425.579557407502</v>
      </c>
      <c r="V358" s="382">
        <v>641.0972292588184</v>
      </c>
      <c r="W358" s="382">
        <v>2311704.5116599998</v>
      </c>
      <c r="Z358" s="10"/>
      <c r="AU358" s="10"/>
      <c r="AV358" s="10"/>
      <c r="AW358" s="10"/>
      <c r="AX358" s="10"/>
      <c r="AY358" s="10"/>
      <c r="AZ358" s="10"/>
      <c r="BA358" s="10"/>
      <c r="BB358" s="10"/>
      <c r="BC358" s="10"/>
      <c r="BD358" s="10"/>
      <c r="BE358" s="10"/>
      <c r="BF358" s="10"/>
      <c r="BG358" s="10"/>
      <c r="BH358" s="10"/>
      <c r="BI358" s="10"/>
      <c r="BJ358" s="10"/>
      <c r="BK358" s="10"/>
      <c r="BL358" s="10"/>
      <c r="BM358" s="10"/>
    </row>
    <row r="359" spans="3:65">
      <c r="C359" s="382" t="s">
        <v>368</v>
      </c>
      <c r="D359" s="382" t="s">
        <v>369</v>
      </c>
      <c r="E359" s="382">
        <v>190.97905000000003</v>
      </c>
      <c r="F359" s="382">
        <v>66.080920000000006</v>
      </c>
      <c r="G359" s="382">
        <v>45.303339999999999</v>
      </c>
      <c r="H359" s="382">
        <v>21.047800000000002</v>
      </c>
      <c r="I359" s="382">
        <v>16.857380000000003</v>
      </c>
      <c r="J359" s="382">
        <v>30.759349999999998</v>
      </c>
      <c r="K359" s="382">
        <v>89.334869999999995</v>
      </c>
      <c r="L359" s="382">
        <v>59.008250000000004</v>
      </c>
      <c r="M359" s="382">
        <v>226.79679000000002</v>
      </c>
      <c r="N359" s="382">
        <v>147.83314000000001</v>
      </c>
      <c r="O359" s="382">
        <v>4.2779999999999996</v>
      </c>
      <c r="P359" s="382">
        <v>626.64411999999993</v>
      </c>
      <c r="Q359" s="382">
        <v>234.13477</v>
      </c>
      <c r="R359" s="382">
        <v>70.542429999999996</v>
      </c>
      <c r="S359" s="382">
        <v>27.582989999999999</v>
      </c>
      <c r="T359" s="382">
        <v>64.031859999999995</v>
      </c>
      <c r="U359" s="382">
        <v>13.570449999999997</v>
      </c>
      <c r="V359" s="382">
        <v>0</v>
      </c>
      <c r="W359" s="382">
        <v>1934.7855100000002</v>
      </c>
      <c r="Z359" s="10"/>
      <c r="AU359" s="10"/>
      <c r="AV359" s="10"/>
      <c r="AW359" s="10"/>
      <c r="AX359" s="10"/>
      <c r="AY359" s="10"/>
      <c r="AZ359" s="10"/>
      <c r="BA359" s="10"/>
      <c r="BB359" s="10"/>
      <c r="BC359" s="10"/>
      <c r="BD359" s="10"/>
      <c r="BE359" s="10"/>
      <c r="BF359" s="10"/>
      <c r="BG359" s="10"/>
      <c r="BH359" s="10"/>
      <c r="BI359" s="10"/>
      <c r="BJ359" s="10"/>
      <c r="BK359" s="10"/>
      <c r="BL359" s="10"/>
      <c r="BM359" s="10"/>
    </row>
    <row r="360" spans="3:65">
      <c r="C360" s="382" t="s">
        <v>844</v>
      </c>
      <c r="D360" s="382" t="s">
        <v>845</v>
      </c>
      <c r="E360" s="382">
        <v>4125912.2051893533</v>
      </c>
      <c r="F360" s="382">
        <v>658163.92448705691</v>
      </c>
      <c r="G360" s="382">
        <v>541246.25377430883</v>
      </c>
      <c r="H360" s="382">
        <v>657387.75916056475</v>
      </c>
      <c r="I360" s="382">
        <v>1187179.8069511689</v>
      </c>
      <c r="J360" s="382">
        <v>294416.90527459519</v>
      </c>
      <c r="K360" s="382">
        <v>1159781.1719387593</v>
      </c>
      <c r="L360" s="382">
        <v>1108092.7943778152</v>
      </c>
      <c r="M360" s="382">
        <v>4030579.4155062069</v>
      </c>
      <c r="N360" s="382">
        <v>2625392.9615076371</v>
      </c>
      <c r="O360" s="382">
        <v>565250.13616919087</v>
      </c>
      <c r="P360" s="382">
        <v>1368426.3555368928</v>
      </c>
      <c r="Q360" s="382">
        <v>3388796.4327052683</v>
      </c>
      <c r="R360" s="382">
        <v>722924.75641689019</v>
      </c>
      <c r="S360" s="382">
        <v>337067.91261075978</v>
      </c>
      <c r="T360" s="382">
        <v>1058274.1101801347</v>
      </c>
      <c r="U360" s="382">
        <v>160872.13321247615</v>
      </c>
      <c r="V360" s="382">
        <v>62880.714772288433</v>
      </c>
      <c r="W360" s="382">
        <v>24052645.749771368</v>
      </c>
      <c r="Z360" s="10"/>
      <c r="AU360" s="10"/>
      <c r="AV360" s="10"/>
      <c r="AW360" s="10"/>
      <c r="AX360" s="10"/>
      <c r="AY360" s="10"/>
      <c r="AZ360" s="10"/>
      <c r="BA360" s="10"/>
      <c r="BB360" s="10"/>
      <c r="BC360" s="10"/>
      <c r="BD360" s="10"/>
      <c r="BE360" s="10"/>
      <c r="BF360" s="10"/>
      <c r="BG360" s="10"/>
      <c r="BH360" s="10"/>
      <c r="BI360" s="10"/>
      <c r="BJ360" s="10"/>
      <c r="BK360" s="10"/>
      <c r="BL360" s="10"/>
      <c r="BM360" s="10"/>
    </row>
    <row r="361" spans="3:65">
      <c r="C361" s="382" t="s">
        <v>370</v>
      </c>
      <c r="D361" s="382" t="s">
        <v>846</v>
      </c>
      <c r="E361" s="382">
        <v>404247.74833382503</v>
      </c>
      <c r="F361" s="382">
        <v>28393.101349334804</v>
      </c>
      <c r="G361" s="382">
        <v>23382.388096465991</v>
      </c>
      <c r="H361" s="382">
        <v>16159.114401615481</v>
      </c>
      <c r="I361" s="382">
        <v>80559.126101535701</v>
      </c>
      <c r="J361" s="382">
        <v>13428.937707381059</v>
      </c>
      <c r="K361" s="382">
        <v>93294.121518186803</v>
      </c>
      <c r="L361" s="382">
        <v>58004.259026613712</v>
      </c>
      <c r="M361" s="382">
        <v>171609.53179165904</v>
      </c>
      <c r="N361" s="382">
        <v>190594.25458696077</v>
      </c>
      <c r="O361" s="382">
        <v>51496.45193668361</v>
      </c>
      <c r="P361" s="382">
        <v>100275.24174462656</v>
      </c>
      <c r="Q361" s="382">
        <v>177648.26129173383</v>
      </c>
      <c r="R361" s="382">
        <v>64857.26659129461</v>
      </c>
      <c r="S361" s="382">
        <v>21658.843790498344</v>
      </c>
      <c r="T361" s="382">
        <v>74012.565881376431</v>
      </c>
      <c r="U361" s="382">
        <v>5876.8723465607709</v>
      </c>
      <c r="V361" s="382">
        <v>3312.2512182282244</v>
      </c>
      <c r="W361" s="382">
        <v>1578810.3377145806</v>
      </c>
      <c r="Z361" s="10"/>
      <c r="AU361" s="10"/>
      <c r="AV361" s="10"/>
      <c r="AW361" s="10"/>
      <c r="AX361" s="10"/>
      <c r="AY361" s="10"/>
      <c r="AZ361" s="10"/>
      <c r="BA361" s="10"/>
      <c r="BB361" s="10"/>
      <c r="BC361" s="10"/>
      <c r="BD361" s="10"/>
      <c r="BE361" s="10"/>
      <c r="BF361" s="10"/>
      <c r="BG361" s="10"/>
      <c r="BH361" s="10"/>
      <c r="BI361" s="10"/>
      <c r="BJ361" s="10"/>
      <c r="BK361" s="10"/>
      <c r="BL361" s="10"/>
      <c r="BM361" s="10"/>
    </row>
    <row r="362" spans="3:65">
      <c r="C362" s="382" t="s">
        <v>847</v>
      </c>
      <c r="D362" s="382" t="s">
        <v>848</v>
      </c>
      <c r="E362" s="382">
        <v>4.791666666666667</v>
      </c>
      <c r="F362" s="382">
        <v>0.390625</v>
      </c>
      <c r="G362" s="382">
        <v>0.65104166666666663</v>
      </c>
      <c r="H362" s="382">
        <v>0.59895833333333337</v>
      </c>
      <c r="I362" s="382">
        <v>1.015625</v>
      </c>
      <c r="J362" s="382">
        <v>1.640625</v>
      </c>
      <c r="K362" s="382">
        <v>75</v>
      </c>
      <c r="L362" s="382">
        <v>16.145833333333332</v>
      </c>
      <c r="M362" s="382">
        <v>1.5104166666666667</v>
      </c>
      <c r="N362" s="382">
        <v>4.088541666666667</v>
      </c>
      <c r="O362" s="382">
        <v>3.046875</v>
      </c>
      <c r="P362" s="382">
        <v>1.25</v>
      </c>
      <c r="Q362" s="382">
        <v>212.29166666666666</v>
      </c>
      <c r="R362" s="382">
        <v>1.171875</v>
      </c>
      <c r="S362" s="382">
        <v>0.36458333333333331</v>
      </c>
      <c r="T362" s="382">
        <v>0.80729166666666663</v>
      </c>
      <c r="U362" s="382">
        <v>0.20833333333333334</v>
      </c>
      <c r="V362" s="382">
        <v>2.6041666666666668E-2</v>
      </c>
      <c r="W362" s="382">
        <v>325</v>
      </c>
      <c r="Z362" s="10"/>
      <c r="AU362" s="10"/>
      <c r="AV362" s="10"/>
      <c r="AW362" s="10"/>
      <c r="AX362" s="10"/>
      <c r="AY362" s="10"/>
      <c r="AZ362" s="10"/>
      <c r="BA362" s="10"/>
      <c r="BB362" s="10"/>
      <c r="BC362" s="10"/>
      <c r="BD362" s="10"/>
      <c r="BE362" s="10"/>
      <c r="BF362" s="10"/>
      <c r="BG362" s="10"/>
      <c r="BH362" s="10"/>
      <c r="BI362" s="10"/>
      <c r="BJ362" s="10"/>
      <c r="BK362" s="10"/>
      <c r="BL362" s="10"/>
      <c r="BM362" s="10"/>
    </row>
    <row r="363" spans="3:65">
      <c r="C363" s="382" t="s">
        <v>849</v>
      </c>
      <c r="D363" s="382" t="s">
        <v>371</v>
      </c>
      <c r="E363" s="382">
        <v>16244521.961714759</v>
      </c>
      <c r="F363" s="382">
        <v>3727408.8889175858</v>
      </c>
      <c r="G363" s="382">
        <v>4306787.3474669531</v>
      </c>
      <c r="H363" s="382">
        <v>2002647.151204665</v>
      </c>
      <c r="I363" s="382">
        <v>3236616.8597779297</v>
      </c>
      <c r="J363" s="382">
        <v>1725151.3134124319</v>
      </c>
      <c r="K363" s="382">
        <v>7146215.2904758733</v>
      </c>
      <c r="L363" s="382">
        <v>4048017.7112181243</v>
      </c>
      <c r="M363" s="382">
        <v>20876602.309113782</v>
      </c>
      <c r="N363" s="382">
        <v>10548657.315551957</v>
      </c>
      <c r="O363" s="382">
        <v>2218503.0812357855</v>
      </c>
      <c r="P363" s="382">
        <v>7668508.9789524535</v>
      </c>
      <c r="Q363" s="382">
        <v>15388751.691909786</v>
      </c>
      <c r="R363" s="382">
        <v>2543548.2896266896</v>
      </c>
      <c r="S363" s="382">
        <v>1771812.5749852215</v>
      </c>
      <c r="T363" s="382">
        <v>7898370.6182791423</v>
      </c>
      <c r="U363" s="382">
        <v>779759.66881073208</v>
      </c>
      <c r="V363" s="382">
        <v>188939.65011613211</v>
      </c>
      <c r="W363" s="382">
        <v>112320820.70276999</v>
      </c>
      <c r="Z363" s="10"/>
      <c r="AU363" s="10"/>
      <c r="AV363" s="10"/>
      <c r="AW363" s="10"/>
      <c r="AX363" s="10"/>
      <c r="AY363" s="10"/>
      <c r="AZ363" s="10"/>
      <c r="BA363" s="10"/>
      <c r="BB363" s="10"/>
      <c r="BC363" s="10"/>
      <c r="BD363" s="10"/>
      <c r="BE363" s="10"/>
      <c r="BF363" s="10"/>
      <c r="BG363" s="10"/>
      <c r="BH363" s="10"/>
      <c r="BI363" s="10"/>
      <c r="BJ363" s="10"/>
      <c r="BK363" s="10"/>
      <c r="BL363" s="10"/>
      <c r="BM363" s="10"/>
    </row>
    <row r="364" spans="3:65">
      <c r="C364" s="382" t="s">
        <v>850</v>
      </c>
      <c r="D364" s="382" t="s">
        <v>851</v>
      </c>
      <c r="E364" s="382">
        <v>644806.55292774912</v>
      </c>
      <c r="F364" s="382">
        <v>116049.89586929599</v>
      </c>
      <c r="G364" s="382">
        <v>113674.15094471672</v>
      </c>
      <c r="H364" s="382">
        <v>80487.124305360368</v>
      </c>
      <c r="I364" s="382">
        <v>145941.92958535609</v>
      </c>
      <c r="J364" s="382">
        <v>55608.054031301508</v>
      </c>
      <c r="K364" s="382">
        <v>182390.59034741952</v>
      </c>
      <c r="L364" s="382">
        <v>132285.36908313411</v>
      </c>
      <c r="M364" s="382">
        <v>725136.90783632791</v>
      </c>
      <c r="N364" s="382">
        <v>349754.55345770612</v>
      </c>
      <c r="O364" s="382">
        <v>87730.592544231899</v>
      </c>
      <c r="P364" s="382">
        <v>270483.20095198549</v>
      </c>
      <c r="Q364" s="382">
        <v>656305.25396743487</v>
      </c>
      <c r="R364" s="382">
        <v>139856.37366964109</v>
      </c>
      <c r="S364" s="382">
        <v>77364.637206558793</v>
      </c>
      <c r="T364" s="382">
        <v>361207.98129550979</v>
      </c>
      <c r="U364" s="382">
        <v>20551.161973060858</v>
      </c>
      <c r="V364" s="382">
        <v>11738.183586946199</v>
      </c>
      <c r="W364" s="382">
        <v>4171372.513583737</v>
      </c>
      <c r="Z364" s="10"/>
      <c r="AU364" s="10"/>
      <c r="AV364" s="10"/>
      <c r="AW364" s="10"/>
      <c r="AX364" s="10"/>
      <c r="AY364" s="10"/>
      <c r="AZ364" s="10"/>
      <c r="BA364" s="10"/>
      <c r="BB364" s="10"/>
      <c r="BC364" s="10"/>
      <c r="BD364" s="10"/>
      <c r="BE364" s="10"/>
      <c r="BF364" s="10"/>
      <c r="BG364" s="10"/>
      <c r="BH364" s="10"/>
      <c r="BI364" s="10"/>
      <c r="BJ364" s="10"/>
      <c r="BK364" s="10"/>
      <c r="BL364" s="10"/>
      <c r="BM364" s="10"/>
    </row>
    <row r="365" spans="3:65">
      <c r="C365" s="382" t="s">
        <v>852</v>
      </c>
      <c r="D365" s="382" t="s">
        <v>853</v>
      </c>
      <c r="E365" s="382">
        <v>442968.94433814415</v>
      </c>
      <c r="F365" s="382">
        <v>124312.26993952383</v>
      </c>
      <c r="G365" s="382">
        <v>86478.96001553403</v>
      </c>
      <c r="H365" s="382">
        <v>107738.93227105416</v>
      </c>
      <c r="I365" s="382">
        <v>139007.22078504885</v>
      </c>
      <c r="J365" s="382">
        <v>58543.312448209464</v>
      </c>
      <c r="K365" s="382">
        <v>179668.51904391948</v>
      </c>
      <c r="L365" s="382">
        <v>158859.50591133203</v>
      </c>
      <c r="M365" s="382">
        <v>717404.21073287493</v>
      </c>
      <c r="N365" s="382">
        <v>360964.95664248883</v>
      </c>
      <c r="O365" s="382">
        <v>54101.926272459765</v>
      </c>
      <c r="P365" s="382">
        <v>218448.43346732936</v>
      </c>
      <c r="Q365" s="382">
        <v>1227276.9673847589</v>
      </c>
      <c r="R365" s="382">
        <v>117779.57968358746</v>
      </c>
      <c r="S365" s="382">
        <v>71529.928568776304</v>
      </c>
      <c r="T365" s="382">
        <v>242422.13246460623</v>
      </c>
      <c r="U365" s="382">
        <v>24012.06747341236</v>
      </c>
      <c r="V365" s="382">
        <v>6449.212505809809</v>
      </c>
      <c r="W365" s="382">
        <v>4337967.0799488705</v>
      </c>
      <c r="Z365" s="10"/>
      <c r="AU365" s="10"/>
      <c r="AV365" s="10"/>
      <c r="AW365" s="10"/>
      <c r="AX365" s="10"/>
      <c r="AY365" s="10"/>
      <c r="AZ365" s="10"/>
      <c r="BA365" s="10"/>
      <c r="BB365" s="10"/>
      <c r="BC365" s="10"/>
      <c r="BD365" s="10"/>
      <c r="BE365" s="10"/>
      <c r="BF365" s="10"/>
      <c r="BG365" s="10"/>
      <c r="BH365" s="10"/>
      <c r="BI365" s="10"/>
      <c r="BJ365" s="10"/>
      <c r="BK365" s="10"/>
      <c r="BL365" s="10"/>
      <c r="BM365" s="10"/>
    </row>
    <row r="366" spans="3:65">
      <c r="C366" s="382" t="s">
        <v>854</v>
      </c>
      <c r="D366" s="382" t="s">
        <v>855</v>
      </c>
      <c r="E366" s="382">
        <v>523158.1713903299</v>
      </c>
      <c r="F366" s="382">
        <v>38731.899114694948</v>
      </c>
      <c r="G366" s="382">
        <v>47267.053924649008</v>
      </c>
      <c r="H366" s="382">
        <v>39774.280537596962</v>
      </c>
      <c r="I366" s="382">
        <v>221604.56447819329</v>
      </c>
      <c r="J366" s="382">
        <v>33885.538915803343</v>
      </c>
      <c r="K366" s="382">
        <v>114509.4223385658</v>
      </c>
      <c r="L366" s="382">
        <v>102724.27320334838</v>
      </c>
      <c r="M366" s="382">
        <v>297260.19883601961</v>
      </c>
      <c r="N366" s="382">
        <v>237180.25634437922</v>
      </c>
      <c r="O366" s="382">
        <v>73487.857561167635</v>
      </c>
      <c r="P366" s="382">
        <v>217676.20865596755</v>
      </c>
      <c r="Q366" s="382">
        <v>185962.34931494039</v>
      </c>
      <c r="R366" s="382">
        <v>76331.15038723516</v>
      </c>
      <c r="S366" s="382">
        <v>13610.004550000001</v>
      </c>
      <c r="T366" s="382">
        <v>56126.931020000004</v>
      </c>
      <c r="U366" s="382">
        <v>9414.4612199335606</v>
      </c>
      <c r="V366" s="382">
        <v>23800.445567175419</v>
      </c>
      <c r="W366" s="382">
        <v>2312505.0673599998</v>
      </c>
      <c r="Z366" s="10"/>
      <c r="AU366" s="10"/>
      <c r="AV366" s="10"/>
      <c r="AW366" s="10"/>
      <c r="AX366" s="10"/>
      <c r="AY366" s="10"/>
      <c r="AZ366" s="10"/>
      <c r="BA366" s="10"/>
      <c r="BB366" s="10"/>
      <c r="BC366" s="10"/>
      <c r="BD366" s="10"/>
      <c r="BE366" s="10"/>
      <c r="BF366" s="10"/>
      <c r="BG366" s="10"/>
      <c r="BH366" s="10"/>
      <c r="BI366" s="10"/>
      <c r="BJ366" s="10"/>
      <c r="BK366" s="10"/>
      <c r="BL366" s="10"/>
      <c r="BM366" s="10"/>
    </row>
    <row r="367" spans="3:65">
      <c r="C367" s="382" t="s">
        <v>856</v>
      </c>
      <c r="D367" s="382" t="s">
        <v>372</v>
      </c>
      <c r="E367" s="382">
        <v>354671.44111331878</v>
      </c>
      <c r="F367" s="382">
        <v>44588.35996193844</v>
      </c>
      <c r="G367" s="382">
        <v>51388.364164729268</v>
      </c>
      <c r="H367" s="382">
        <v>28414.407656231615</v>
      </c>
      <c r="I367" s="382">
        <v>94284.080767383886</v>
      </c>
      <c r="J367" s="382">
        <v>24139.089184257267</v>
      </c>
      <c r="K367" s="382">
        <v>111007.79436638561</v>
      </c>
      <c r="L367" s="382">
        <v>77716.466713158356</v>
      </c>
      <c r="M367" s="382">
        <v>236401.09726527796</v>
      </c>
      <c r="N367" s="382">
        <v>191601.28328243387</v>
      </c>
      <c r="O367" s="382">
        <v>56902.487017251522</v>
      </c>
      <c r="P367" s="382">
        <v>119962.9734917178</v>
      </c>
      <c r="Q367" s="382">
        <v>192497.88815630128</v>
      </c>
      <c r="R367" s="382">
        <v>72785.397235126817</v>
      </c>
      <c r="S367" s="382">
        <v>21599.808263178333</v>
      </c>
      <c r="T367" s="382">
        <v>76529.038232408973</v>
      </c>
      <c r="U367" s="382">
        <v>10521.882774129353</v>
      </c>
      <c r="V367" s="382">
        <v>11159.972014771127</v>
      </c>
      <c r="W367" s="382">
        <v>1776171.8316600006</v>
      </c>
      <c r="Z367" s="10"/>
      <c r="AU367" s="10"/>
      <c r="AV367" s="10"/>
      <c r="AW367" s="10"/>
      <c r="AX367" s="10"/>
      <c r="AY367" s="10"/>
      <c r="AZ367" s="10"/>
      <c r="BA367" s="10"/>
      <c r="BB367" s="10"/>
      <c r="BC367" s="10"/>
      <c r="BD367" s="10"/>
      <c r="BE367" s="10"/>
      <c r="BF367" s="10"/>
      <c r="BG367" s="10"/>
      <c r="BH367" s="10"/>
      <c r="BI367" s="10"/>
      <c r="BJ367" s="10"/>
      <c r="BK367" s="10"/>
      <c r="BL367" s="10"/>
      <c r="BM367" s="10"/>
    </row>
    <row r="368" spans="3:65">
      <c r="C368" s="382" t="s">
        <v>373</v>
      </c>
      <c r="D368" s="382" t="s">
        <v>857</v>
      </c>
      <c r="E368" s="382">
        <v>63987.972868752091</v>
      </c>
      <c r="F368" s="382">
        <v>12295.811378058115</v>
      </c>
      <c r="G368" s="382">
        <v>12696.161101919462</v>
      </c>
      <c r="H368" s="382">
        <v>6485.2478011502599</v>
      </c>
      <c r="I368" s="382">
        <v>12315.173067364853</v>
      </c>
      <c r="J368" s="382">
        <v>4770.147712371745</v>
      </c>
      <c r="K368" s="382">
        <v>27330.885376646347</v>
      </c>
      <c r="L368" s="382">
        <v>16376.463806648002</v>
      </c>
      <c r="M368" s="382">
        <v>46246.316328877932</v>
      </c>
      <c r="N368" s="382">
        <v>31275.456951592958</v>
      </c>
      <c r="O368" s="382">
        <v>8477.5921058053682</v>
      </c>
      <c r="P368" s="382">
        <v>26452.819714573096</v>
      </c>
      <c r="Q368" s="382">
        <v>37128.544411961375</v>
      </c>
      <c r="R368" s="382">
        <v>8746.1654384450212</v>
      </c>
      <c r="S368" s="382">
        <v>4350.8867410724797</v>
      </c>
      <c r="T368" s="382">
        <v>18821.188459204946</v>
      </c>
      <c r="U368" s="382">
        <v>3638.7582326305555</v>
      </c>
      <c r="V368" s="382">
        <v>2139.6452529253925</v>
      </c>
      <c r="W368" s="382">
        <v>343535.23674999998</v>
      </c>
      <c r="Z368" s="10"/>
      <c r="AU368" s="10"/>
      <c r="AV368" s="10"/>
      <c r="AW368" s="10"/>
      <c r="AX368" s="10"/>
      <c r="AY368" s="10"/>
      <c r="AZ368" s="10"/>
      <c r="BA368" s="10"/>
      <c r="BB368" s="10"/>
      <c r="BC368" s="10"/>
      <c r="BD368" s="10"/>
      <c r="BE368" s="10"/>
      <c r="BF368" s="10"/>
      <c r="BG368" s="10"/>
      <c r="BH368" s="10"/>
      <c r="BI368" s="10"/>
      <c r="BJ368" s="10"/>
      <c r="BK368" s="10"/>
      <c r="BL368" s="10"/>
      <c r="BM368" s="10"/>
    </row>
    <row r="369" spans="3:65">
      <c r="C369" s="382"/>
      <c r="D369" s="382" t="s">
        <v>668</v>
      </c>
      <c r="E369" s="382">
        <v>25626558.582269236</v>
      </c>
      <c r="F369" s="382">
        <v>5291686.0400051726</v>
      </c>
      <c r="G369" s="382">
        <v>5591784.5674581891</v>
      </c>
      <c r="H369" s="382">
        <v>3190096.061281045</v>
      </c>
      <c r="I369" s="382">
        <v>5733289.8067732546</v>
      </c>
      <c r="J369" s="382">
        <v>2401809.346406694</v>
      </c>
      <c r="K369" s="382">
        <v>10223761.311339304</v>
      </c>
      <c r="L369" s="382">
        <v>6312901.5424806038</v>
      </c>
      <c r="M369" s="382">
        <v>28797364.60035041</v>
      </c>
      <c r="N369" s="382">
        <v>16038322.750728004</v>
      </c>
      <c r="O369" s="382">
        <v>3548896.2626767908</v>
      </c>
      <c r="P369" s="382">
        <v>11050010.109010372</v>
      </c>
      <c r="Q369" s="382">
        <v>23940099.776510611</v>
      </c>
      <c r="R369" s="382">
        <v>4283494.3870704602</v>
      </c>
      <c r="S369" s="382">
        <v>2474207.6864310186</v>
      </c>
      <c r="T369" s="382">
        <v>10210754.993890837</v>
      </c>
      <c r="U369" s="382">
        <v>1127671.9417072788</v>
      </c>
      <c r="V369" s="382">
        <v>402992.70634927083</v>
      </c>
      <c r="W369" s="382">
        <v>166245702.47273859</v>
      </c>
      <c r="Z369" s="10"/>
      <c r="AU369" s="10"/>
      <c r="AV369" s="10"/>
      <c r="AW369" s="10"/>
      <c r="AX369" s="10"/>
      <c r="AY369" s="10"/>
      <c r="AZ369" s="10"/>
      <c r="BA369" s="10"/>
      <c r="BB369" s="10"/>
      <c r="BC369" s="10"/>
      <c r="BD369" s="10"/>
      <c r="BE369" s="10"/>
      <c r="BF369" s="10"/>
      <c r="BG369" s="10"/>
      <c r="BH369" s="10"/>
      <c r="BI369" s="10"/>
      <c r="BJ369" s="10"/>
      <c r="BK369" s="10"/>
      <c r="BL369" s="10"/>
      <c r="BM369" s="10"/>
    </row>
    <row r="370" spans="3:65">
      <c r="C370" s="382" t="s">
        <v>655</v>
      </c>
      <c r="D370" s="382" t="s">
        <v>4</v>
      </c>
      <c r="E370" s="382" t="s">
        <v>9</v>
      </c>
      <c r="F370" s="382" t="s">
        <v>10</v>
      </c>
      <c r="G370" s="382" t="s">
        <v>11</v>
      </c>
      <c r="H370" s="382" t="s">
        <v>31</v>
      </c>
      <c r="I370" s="382" t="s">
        <v>12</v>
      </c>
      <c r="J370" s="382" t="s">
        <v>13</v>
      </c>
      <c r="K370" s="382" t="s">
        <v>14</v>
      </c>
      <c r="L370" s="382" t="s">
        <v>15</v>
      </c>
      <c r="M370" s="382" t="s">
        <v>16</v>
      </c>
      <c r="N370" s="382" t="s">
        <v>17</v>
      </c>
      <c r="O370" s="382" t="s">
        <v>18</v>
      </c>
      <c r="P370" s="382" t="s">
        <v>19</v>
      </c>
      <c r="Q370" s="382" t="s">
        <v>20</v>
      </c>
      <c r="R370" s="382" t="s">
        <v>60</v>
      </c>
      <c r="S370" s="382" t="s">
        <v>61</v>
      </c>
      <c r="T370" s="382" t="s">
        <v>62</v>
      </c>
      <c r="U370" s="382" t="s">
        <v>63</v>
      </c>
      <c r="V370" s="382" t="s">
        <v>64</v>
      </c>
      <c r="W370" s="382" t="s">
        <v>656</v>
      </c>
      <c r="Z370" s="10"/>
      <c r="AU370" s="10"/>
      <c r="AV370" s="10"/>
      <c r="AW370" s="10"/>
      <c r="AX370" s="10"/>
      <c r="AY370" s="10"/>
      <c r="AZ370" s="10"/>
      <c r="BA370" s="10"/>
      <c r="BB370" s="10"/>
      <c r="BC370" s="10"/>
      <c r="BD370" s="10"/>
      <c r="BE370" s="10"/>
      <c r="BF370" s="10"/>
      <c r="BG370" s="10"/>
      <c r="BH370" s="10"/>
      <c r="BI370" s="10"/>
      <c r="BJ370" s="10"/>
      <c r="BK370" s="10"/>
      <c r="BL370" s="10"/>
      <c r="BM370" s="10"/>
    </row>
    <row r="371" spans="3:65">
      <c r="C371" s="382" t="s">
        <v>374</v>
      </c>
      <c r="D371" s="382" t="s">
        <v>858</v>
      </c>
      <c r="E371" s="382">
        <v>12111.82623665607</v>
      </c>
      <c r="F371" s="382">
        <v>1905.4641738965765</v>
      </c>
      <c r="G371" s="382">
        <v>1523.2174918739095</v>
      </c>
      <c r="H371" s="382">
        <v>1591.6553538599346</v>
      </c>
      <c r="I371" s="382">
        <v>3031.4052691553916</v>
      </c>
      <c r="J371" s="382">
        <v>846.19909964993144</v>
      </c>
      <c r="K371" s="382">
        <v>3580.517899452193</v>
      </c>
      <c r="L371" s="382">
        <v>2982.8760659970831</v>
      </c>
      <c r="M371" s="382">
        <v>10832.73329405872</v>
      </c>
      <c r="N371" s="382">
        <v>7198.4129235579776</v>
      </c>
      <c r="O371" s="382">
        <v>1580.6315927420205</v>
      </c>
      <c r="P371" s="382">
        <v>3951.1965527893271</v>
      </c>
      <c r="Q371" s="382">
        <v>9293.2324699763722</v>
      </c>
      <c r="R371" s="382">
        <v>2115.1506433846853</v>
      </c>
      <c r="S371" s="382">
        <v>923.64440965899735</v>
      </c>
      <c r="T371" s="382">
        <v>3156.2054619682626</v>
      </c>
      <c r="U371" s="382">
        <v>458.52199698240139</v>
      </c>
      <c r="V371" s="382">
        <v>244.60970434014584</v>
      </c>
      <c r="W371" s="382">
        <v>67327.500639999998</v>
      </c>
      <c r="Z371" s="10"/>
      <c r="AU371" s="10"/>
      <c r="AV371" s="10"/>
      <c r="AW371" s="10"/>
      <c r="AX371" s="10"/>
      <c r="AY371" s="10"/>
      <c r="AZ371" s="10"/>
      <c r="BA371" s="10"/>
      <c r="BB371" s="10"/>
      <c r="BC371" s="10"/>
      <c r="BD371" s="10"/>
      <c r="BE371" s="10"/>
      <c r="BF371" s="10"/>
      <c r="BG371" s="10"/>
      <c r="BH371" s="10"/>
      <c r="BI371" s="10"/>
      <c r="BJ371" s="10"/>
      <c r="BK371" s="10"/>
      <c r="BL371" s="10"/>
      <c r="BM371" s="10"/>
    </row>
    <row r="372" spans="3:65">
      <c r="C372" s="382" t="s">
        <v>375</v>
      </c>
      <c r="D372" s="382" t="s">
        <v>859</v>
      </c>
      <c r="E372" s="382">
        <v>49263.388948796608</v>
      </c>
      <c r="F372" s="382">
        <v>8478.52852499656</v>
      </c>
      <c r="G372" s="382">
        <v>7194.9422042080578</v>
      </c>
      <c r="H372" s="382">
        <v>7113.6630667005293</v>
      </c>
      <c r="I372" s="382">
        <v>13178.728496080788</v>
      </c>
      <c r="J372" s="382">
        <v>4157.0111455734077</v>
      </c>
      <c r="K372" s="382">
        <v>15565.199571651481</v>
      </c>
      <c r="L372" s="382">
        <v>13243.61335754808</v>
      </c>
      <c r="M372" s="382">
        <v>42289.9309319569</v>
      </c>
      <c r="N372" s="382">
        <v>28906.096808046688</v>
      </c>
      <c r="O372" s="382">
        <v>7986.7408053743147</v>
      </c>
      <c r="P372" s="382">
        <v>17083.747369322249</v>
      </c>
      <c r="Q372" s="382">
        <v>36157.286082120329</v>
      </c>
      <c r="R372" s="382">
        <v>9625.8984540199199</v>
      </c>
      <c r="S372" s="382">
        <v>3979.7165421322843</v>
      </c>
      <c r="T372" s="382">
        <v>13599.176215444986</v>
      </c>
      <c r="U372" s="382">
        <v>2914.1681502824467</v>
      </c>
      <c r="V372" s="382">
        <v>9356.8850989785333</v>
      </c>
      <c r="W372" s="382">
        <v>290094.72177323414</v>
      </c>
      <c r="Z372" s="10"/>
      <c r="AU372" s="10"/>
      <c r="AV372" s="10"/>
      <c r="AW372" s="10"/>
      <c r="AX372" s="10"/>
      <c r="AY372" s="10"/>
      <c r="AZ372" s="10"/>
      <c r="BA372" s="10"/>
      <c r="BB372" s="10"/>
      <c r="BC372" s="10"/>
      <c r="BD372" s="10"/>
      <c r="BE372" s="10"/>
      <c r="BF372" s="10"/>
      <c r="BG372" s="10"/>
      <c r="BH372" s="10"/>
      <c r="BI372" s="10"/>
      <c r="BJ372" s="10"/>
      <c r="BK372" s="10"/>
      <c r="BL372" s="10"/>
      <c r="BM372" s="10"/>
    </row>
    <row r="373" spans="3:65">
      <c r="C373" s="382" t="s">
        <v>376</v>
      </c>
      <c r="D373" s="382" t="s">
        <v>860</v>
      </c>
      <c r="E373" s="382">
        <v>674.07062742225492</v>
      </c>
      <c r="F373" s="382">
        <v>106.04655368501275</v>
      </c>
      <c r="G373" s="382">
        <v>84.773026824027042</v>
      </c>
      <c r="H373" s="382">
        <v>88.581862227291069</v>
      </c>
      <c r="I373" s="382">
        <v>168.70959109093508</v>
      </c>
      <c r="J373" s="382">
        <v>47.094298322979945</v>
      </c>
      <c r="K373" s="382">
        <v>199.26986234956908</v>
      </c>
      <c r="L373" s="382">
        <v>166.00875062459636</v>
      </c>
      <c r="M373" s="382">
        <v>602.88408911653232</v>
      </c>
      <c r="N373" s="382">
        <v>400.61990826305311</v>
      </c>
      <c r="O373" s="382">
        <v>87.968346690648346</v>
      </c>
      <c r="P373" s="382">
        <v>219.89958304939165</v>
      </c>
      <c r="Q373" s="382">
        <v>517.20483099890816</v>
      </c>
      <c r="R373" s="382">
        <v>117.71642801181207</v>
      </c>
      <c r="S373" s="382">
        <v>51.404433532047712</v>
      </c>
      <c r="T373" s="382">
        <v>175.65521123343603</v>
      </c>
      <c r="U373" s="382">
        <v>25.518547257342824</v>
      </c>
      <c r="V373" s="382">
        <v>13.613489300161635</v>
      </c>
      <c r="W373" s="382">
        <v>3747.0394400000014</v>
      </c>
      <c r="Z373" s="10"/>
      <c r="AU373" s="10"/>
      <c r="AV373" s="10"/>
      <c r="AW373" s="10"/>
      <c r="AX373" s="10"/>
      <c r="AY373" s="10"/>
      <c r="AZ373" s="10"/>
      <c r="BA373" s="10"/>
      <c r="BB373" s="10"/>
      <c r="BC373" s="10"/>
      <c r="BD373" s="10"/>
      <c r="BE373" s="10"/>
      <c r="BF373" s="10"/>
      <c r="BG373" s="10"/>
      <c r="BH373" s="10"/>
      <c r="BI373" s="10"/>
      <c r="BJ373" s="10"/>
      <c r="BK373" s="10"/>
      <c r="BL373" s="10"/>
      <c r="BM373" s="10"/>
    </row>
    <row r="374" spans="3:65">
      <c r="C374" s="382" t="s">
        <v>377</v>
      </c>
      <c r="D374" s="382" t="s">
        <v>861</v>
      </c>
      <c r="E374" s="382">
        <v>22617.254992627164</v>
      </c>
      <c r="F374" s="382">
        <v>1845.4307078471165</v>
      </c>
      <c r="G374" s="382">
        <v>843.94719309051584</v>
      </c>
      <c r="H374" s="382">
        <v>1311.7228221107916</v>
      </c>
      <c r="I374" s="382">
        <v>2683.277602950945</v>
      </c>
      <c r="J374" s="382">
        <v>425.92357202763748</v>
      </c>
      <c r="K374" s="382">
        <v>3544.9569695123059</v>
      </c>
      <c r="L374" s="382">
        <v>2570.4597807694558</v>
      </c>
      <c r="M374" s="382">
        <v>11648.285932354489</v>
      </c>
      <c r="N374" s="382">
        <v>6118.8308076884259</v>
      </c>
      <c r="O374" s="382">
        <v>796.91092723130669</v>
      </c>
      <c r="P374" s="382">
        <v>2124.7288789446047</v>
      </c>
      <c r="Q374" s="382">
        <v>11195.05205286174</v>
      </c>
      <c r="R374" s="382">
        <v>5542.4475391873602</v>
      </c>
      <c r="S374" s="382">
        <v>655.14507494302279</v>
      </c>
      <c r="T374" s="382">
        <v>2406.439094479204</v>
      </c>
      <c r="U374" s="382">
        <v>290.47750896622392</v>
      </c>
      <c r="V374" s="382">
        <v>5131.3501924076882</v>
      </c>
      <c r="W374" s="382">
        <v>81752.641650000005</v>
      </c>
      <c r="Z374" s="10"/>
      <c r="AU374" s="10"/>
      <c r="AV374" s="10"/>
      <c r="AW374" s="10"/>
      <c r="AX374" s="10"/>
      <c r="AY374" s="10"/>
      <c r="AZ374" s="10"/>
      <c r="BA374" s="10"/>
      <c r="BB374" s="10"/>
      <c r="BC374" s="10"/>
      <c r="BD374" s="10"/>
      <c r="BE374" s="10"/>
      <c r="BF374" s="10"/>
      <c r="BG374" s="10"/>
      <c r="BH374" s="10"/>
      <c r="BI374" s="10"/>
      <c r="BJ374" s="10"/>
      <c r="BK374" s="10"/>
      <c r="BL374" s="10"/>
      <c r="BM374" s="10"/>
    </row>
    <row r="375" spans="3:65">
      <c r="C375" s="382" t="s">
        <v>378</v>
      </c>
      <c r="D375" s="382" t="s">
        <v>862</v>
      </c>
      <c r="E375" s="382">
        <v>3474.2228804008628</v>
      </c>
      <c r="F375" s="382">
        <v>625.04805942961502</v>
      </c>
      <c r="G375" s="382">
        <v>556.28448236005943</v>
      </c>
      <c r="H375" s="382">
        <v>154.62732987862677</v>
      </c>
      <c r="I375" s="382">
        <v>1027.4678251695982</v>
      </c>
      <c r="J375" s="382">
        <v>304.39484159274434</v>
      </c>
      <c r="K375" s="382">
        <v>1403.9100893898358</v>
      </c>
      <c r="L375" s="382">
        <v>873.08376226604832</v>
      </c>
      <c r="M375" s="382">
        <v>3038.4039957556979</v>
      </c>
      <c r="N375" s="382">
        <v>2391.0856199516525</v>
      </c>
      <c r="O375" s="382">
        <v>517.52207232175215</v>
      </c>
      <c r="P375" s="382">
        <v>1667.7963341895568</v>
      </c>
      <c r="Q375" s="382">
        <v>4263.9681112977341</v>
      </c>
      <c r="R375" s="382">
        <v>1023.2220880495737</v>
      </c>
      <c r="S375" s="382">
        <v>333.41673487743287</v>
      </c>
      <c r="T375" s="382">
        <v>682.66238128387624</v>
      </c>
      <c r="U375" s="382">
        <v>203.5394543344143</v>
      </c>
      <c r="V375" s="382">
        <v>44.907257450919303</v>
      </c>
      <c r="W375" s="382">
        <v>22585.563320000001</v>
      </c>
      <c r="Z375" s="10"/>
      <c r="AU375" s="10"/>
      <c r="AV375" s="10"/>
      <c r="AW375" s="10"/>
      <c r="AX375" s="10"/>
      <c r="AY375" s="10"/>
      <c r="AZ375" s="10"/>
      <c r="BA375" s="10"/>
      <c r="BB375" s="10"/>
      <c r="BC375" s="10"/>
      <c r="BD375" s="10"/>
      <c r="BE375" s="10"/>
      <c r="BF375" s="10"/>
      <c r="BG375" s="10"/>
      <c r="BH375" s="10"/>
      <c r="BI375" s="10"/>
      <c r="BJ375" s="10"/>
      <c r="BK375" s="10"/>
      <c r="BL375" s="10"/>
      <c r="BM375" s="10"/>
    </row>
    <row r="376" spans="3:65">
      <c r="C376" s="382" t="s">
        <v>379</v>
      </c>
      <c r="D376" s="382" t="s">
        <v>863</v>
      </c>
      <c r="E376" s="382">
        <v>2446.2411468559985</v>
      </c>
      <c r="F376" s="382">
        <v>579.18628026809586</v>
      </c>
      <c r="G376" s="382">
        <v>283.63742269096178</v>
      </c>
      <c r="H376" s="382">
        <v>124.27338024614743</v>
      </c>
      <c r="I376" s="382">
        <v>417.35443635693252</v>
      </c>
      <c r="J376" s="382">
        <v>498.19662618213408</v>
      </c>
      <c r="K376" s="382">
        <v>1125.5860896992376</v>
      </c>
      <c r="L376" s="382">
        <v>1196.4875453170785</v>
      </c>
      <c r="M376" s="382">
        <v>2219.7095223603874</v>
      </c>
      <c r="N376" s="382">
        <v>1819.0737038481348</v>
      </c>
      <c r="O376" s="382">
        <v>643.31925154832152</v>
      </c>
      <c r="P376" s="382">
        <v>990.93354880652123</v>
      </c>
      <c r="Q376" s="382">
        <v>3672.1335379268344</v>
      </c>
      <c r="R376" s="382">
        <v>700.0449511165225</v>
      </c>
      <c r="S376" s="382">
        <v>193.69644698166263</v>
      </c>
      <c r="T376" s="382">
        <v>429.54138764644296</v>
      </c>
      <c r="U376" s="382">
        <v>52.82325002473646</v>
      </c>
      <c r="V376" s="382">
        <v>318.27776212384993</v>
      </c>
      <c r="W376" s="382">
        <v>17710.51629</v>
      </c>
      <c r="Z376" s="10"/>
      <c r="AU376" s="10"/>
      <c r="AV376" s="10"/>
      <c r="AW376" s="10"/>
      <c r="AX376" s="10"/>
      <c r="AY376" s="10"/>
      <c r="AZ376" s="10"/>
      <c r="BA376" s="10"/>
      <c r="BB376" s="10"/>
      <c r="BC376" s="10"/>
      <c r="BD376" s="10"/>
      <c r="BE376" s="10"/>
      <c r="BF376" s="10"/>
      <c r="BG376" s="10"/>
      <c r="BH376" s="10"/>
      <c r="BI376" s="10"/>
      <c r="BJ376" s="10"/>
      <c r="BK376" s="10"/>
      <c r="BL376" s="10"/>
      <c r="BM376" s="10"/>
    </row>
    <row r="377" spans="3:65">
      <c r="C377" s="382" t="s">
        <v>380</v>
      </c>
      <c r="D377" s="382" t="s">
        <v>864</v>
      </c>
      <c r="E377" s="382">
        <v>3443.4400808027749</v>
      </c>
      <c r="F377" s="382">
        <v>907.95804671735254</v>
      </c>
      <c r="G377" s="382">
        <v>450.90680790255954</v>
      </c>
      <c r="H377" s="382">
        <v>829.3745303884873</v>
      </c>
      <c r="I377" s="382">
        <v>1506.7625185229479</v>
      </c>
      <c r="J377" s="382">
        <v>397.51519774399299</v>
      </c>
      <c r="K377" s="382">
        <v>891.39590787690531</v>
      </c>
      <c r="L377" s="382">
        <v>790.53960205340388</v>
      </c>
      <c r="M377" s="382">
        <v>1935.5198113236854</v>
      </c>
      <c r="N377" s="382">
        <v>2290.939736768089</v>
      </c>
      <c r="O377" s="382">
        <v>1092.9767260186259</v>
      </c>
      <c r="P377" s="382">
        <v>1642.6270308195951</v>
      </c>
      <c r="Q377" s="382">
        <v>1787.898532296502</v>
      </c>
      <c r="R377" s="382">
        <v>734.61261453196494</v>
      </c>
      <c r="S377" s="382">
        <v>282.33826508817577</v>
      </c>
      <c r="T377" s="382">
        <v>964.78424497035348</v>
      </c>
      <c r="U377" s="382">
        <v>301.0041249335469</v>
      </c>
      <c r="V377" s="382">
        <v>329.97762364758921</v>
      </c>
      <c r="W377" s="382">
        <v>20580.571402406553</v>
      </c>
      <c r="Z377" s="10"/>
      <c r="AU377" s="10"/>
      <c r="AV377" s="10"/>
      <c r="AW377" s="10"/>
      <c r="AX377" s="10"/>
      <c r="AY377" s="10"/>
      <c r="AZ377" s="10"/>
      <c r="BA377" s="10"/>
      <c r="BB377" s="10"/>
      <c r="BC377" s="10"/>
      <c r="BD377" s="10"/>
      <c r="BE377" s="10"/>
      <c r="BF377" s="10"/>
      <c r="BG377" s="10"/>
      <c r="BH377" s="10"/>
      <c r="BI377" s="10"/>
      <c r="BJ377" s="10"/>
      <c r="BK377" s="10"/>
      <c r="BL377" s="10"/>
      <c r="BM377" s="10"/>
    </row>
    <row r="378" spans="3:65">
      <c r="C378" s="382" t="s">
        <v>865</v>
      </c>
      <c r="D378" s="382" t="s">
        <v>866</v>
      </c>
      <c r="E378" s="382">
        <v>288746.00191424455</v>
      </c>
      <c r="F378" s="382">
        <v>33944.239957970982</v>
      </c>
      <c r="G378" s="382">
        <v>30938.577404196971</v>
      </c>
      <c r="H378" s="382">
        <v>22453.267297430291</v>
      </c>
      <c r="I378" s="382">
        <v>30679.30457785894</v>
      </c>
      <c r="J378" s="382">
        <v>20625.363367063495</v>
      </c>
      <c r="K378" s="382">
        <v>111627.6039120245</v>
      </c>
      <c r="L378" s="382">
        <v>73897.547628589484</v>
      </c>
      <c r="M378" s="382">
        <v>211386.69470868446</v>
      </c>
      <c r="N378" s="382">
        <v>78758.276570925416</v>
      </c>
      <c r="O378" s="382">
        <v>45678.694898186724</v>
      </c>
      <c r="P378" s="382">
        <v>82990.205847316363</v>
      </c>
      <c r="Q378" s="382">
        <v>173507.21738854534</v>
      </c>
      <c r="R378" s="382">
        <v>60734.123230554978</v>
      </c>
      <c r="S378" s="382">
        <v>16486.598715285945</v>
      </c>
      <c r="T378" s="382">
        <v>64042.084269075691</v>
      </c>
      <c r="U378" s="382">
        <v>13075.628976527532</v>
      </c>
      <c r="V378" s="382">
        <v>5726.1420140285327</v>
      </c>
      <c r="W378" s="382">
        <v>1365297.5726785103</v>
      </c>
      <c r="Z378" s="10"/>
      <c r="AU378" s="10"/>
      <c r="AV378" s="10"/>
      <c r="AW378" s="10"/>
      <c r="AX378" s="10"/>
      <c r="AY378" s="10"/>
      <c r="AZ378" s="10"/>
      <c r="BA378" s="10"/>
      <c r="BB378" s="10"/>
      <c r="BC378" s="10"/>
      <c r="BD378" s="10"/>
      <c r="BE378" s="10"/>
      <c r="BF378" s="10"/>
      <c r="BG378" s="10"/>
      <c r="BH378" s="10"/>
      <c r="BI378" s="10"/>
      <c r="BJ378" s="10"/>
      <c r="BK378" s="10"/>
      <c r="BL378" s="10"/>
      <c r="BM378" s="10"/>
    </row>
    <row r="379" spans="3:65">
      <c r="C379" s="382" t="s">
        <v>867</v>
      </c>
      <c r="D379" s="382" t="s">
        <v>381</v>
      </c>
      <c r="E379" s="382">
        <v>3.3911436268279092</v>
      </c>
      <c r="F379" s="382">
        <v>0</v>
      </c>
      <c r="G379" s="382">
        <v>2.7964771288416896</v>
      </c>
      <c r="H379" s="382">
        <v>0</v>
      </c>
      <c r="I379" s="382">
        <v>0</v>
      </c>
      <c r="J379" s="382">
        <v>0.93215904294722995</v>
      </c>
      <c r="K379" s="382">
        <v>0</v>
      </c>
      <c r="L379" s="382">
        <v>0</v>
      </c>
      <c r="M379" s="382">
        <v>2.4126469346869479</v>
      </c>
      <c r="N379" s="382">
        <v>0.93215904294722995</v>
      </c>
      <c r="O379" s="382">
        <v>0</v>
      </c>
      <c r="P379" s="382">
        <v>40.123945490193407</v>
      </c>
      <c r="Q379" s="382">
        <v>64.54005603628984</v>
      </c>
      <c r="R379" s="382">
        <v>0</v>
      </c>
      <c r="S379" s="382">
        <v>0</v>
      </c>
      <c r="T379" s="382">
        <v>1.2428787239296399</v>
      </c>
      <c r="U379" s="382">
        <v>0</v>
      </c>
      <c r="V379" s="382">
        <v>526.15733397333611</v>
      </c>
      <c r="W379" s="382">
        <v>642.52880000000005</v>
      </c>
      <c r="Z379" s="10"/>
      <c r="AU379" s="10"/>
      <c r="AV379" s="10"/>
      <c r="AW379" s="10"/>
      <c r="AX379" s="10"/>
      <c r="AY379" s="10"/>
      <c r="AZ379" s="10"/>
      <c r="BA379" s="10"/>
      <c r="BB379" s="10"/>
      <c r="BC379" s="10"/>
      <c r="BD379" s="10"/>
      <c r="BE379" s="10"/>
      <c r="BF379" s="10"/>
      <c r="BG379" s="10"/>
      <c r="BH379" s="10"/>
      <c r="BI379" s="10"/>
      <c r="BJ379" s="10"/>
      <c r="BK379" s="10"/>
      <c r="BL379" s="10"/>
      <c r="BM379" s="10"/>
    </row>
    <row r="380" spans="3:65">
      <c r="C380" s="382" t="s">
        <v>868</v>
      </c>
      <c r="D380" s="382" t="s">
        <v>869</v>
      </c>
      <c r="E380" s="382">
        <v>3389.1168811644848</v>
      </c>
      <c r="F380" s="382">
        <v>1268.7260997782637</v>
      </c>
      <c r="G380" s="382">
        <v>668.96654253946156</v>
      </c>
      <c r="H380" s="382">
        <v>565.86195968337063</v>
      </c>
      <c r="I380" s="382">
        <v>871.46286824788615</v>
      </c>
      <c r="J380" s="382">
        <v>185.63176129251698</v>
      </c>
      <c r="K380" s="382">
        <v>1385.9026671864538</v>
      </c>
      <c r="L380" s="382">
        <v>770.64968499433257</v>
      </c>
      <c r="M380" s="382">
        <v>4539.4565328892604</v>
      </c>
      <c r="N380" s="382">
        <v>2479.4197070596156</v>
      </c>
      <c r="O380" s="382">
        <v>504.97355124004758</v>
      </c>
      <c r="P380" s="382">
        <v>1403.374280359548</v>
      </c>
      <c r="Q380" s="382">
        <v>4024.1293650531366</v>
      </c>
      <c r="R380" s="382">
        <v>465.12233038333892</v>
      </c>
      <c r="S380" s="382">
        <v>395.58088851768673</v>
      </c>
      <c r="T380" s="382">
        <v>1407.5837488363991</v>
      </c>
      <c r="U380" s="382">
        <v>174.54570773572979</v>
      </c>
      <c r="V380" s="382">
        <v>4.2984438466683574E-2</v>
      </c>
      <c r="W380" s="382">
        <v>24500.547561400002</v>
      </c>
      <c r="Z380" s="10"/>
      <c r="AU380" s="10"/>
      <c r="AV380" s="10"/>
      <c r="AW380" s="10"/>
      <c r="AX380" s="10"/>
      <c r="AY380" s="10"/>
      <c r="AZ380" s="10"/>
      <c r="BA380" s="10"/>
      <c r="BB380" s="10"/>
      <c r="BC380" s="10"/>
      <c r="BD380" s="10"/>
      <c r="BE380" s="10"/>
      <c r="BF380" s="10"/>
      <c r="BG380" s="10"/>
      <c r="BH380" s="10"/>
      <c r="BI380" s="10"/>
      <c r="BJ380" s="10"/>
      <c r="BK380" s="10"/>
      <c r="BL380" s="10"/>
      <c r="BM380" s="10"/>
    </row>
    <row r="381" spans="3:65">
      <c r="C381" s="382" t="s">
        <v>870</v>
      </c>
      <c r="D381" s="382" t="s">
        <v>871</v>
      </c>
      <c r="E381" s="382">
        <v>5145.4186964327037</v>
      </c>
      <c r="F381" s="382">
        <v>460.58288288753118</v>
      </c>
      <c r="G381" s="382">
        <v>495.62587659567583</v>
      </c>
      <c r="H381" s="382">
        <v>394.36524480506154</v>
      </c>
      <c r="I381" s="382">
        <v>1598.8415620108224</v>
      </c>
      <c r="J381" s="382">
        <v>345.4612317412741</v>
      </c>
      <c r="K381" s="382">
        <v>1433.1367186962143</v>
      </c>
      <c r="L381" s="382">
        <v>1119.3355681468079</v>
      </c>
      <c r="M381" s="382">
        <v>3223.5346509858732</v>
      </c>
      <c r="N381" s="382">
        <v>2002.2511124303496</v>
      </c>
      <c r="O381" s="382">
        <v>755.21450335466056</v>
      </c>
      <c r="P381" s="382">
        <v>1905.4645134755654</v>
      </c>
      <c r="Q381" s="382">
        <v>2278.1277521784814</v>
      </c>
      <c r="R381" s="382">
        <v>868.64711956601047</v>
      </c>
      <c r="S381" s="382">
        <v>326.47349904519081</v>
      </c>
      <c r="T381" s="382">
        <v>1115.5997157550532</v>
      </c>
      <c r="U381" s="382">
        <v>142.53028175766954</v>
      </c>
      <c r="V381" s="382">
        <v>187.12387591730155</v>
      </c>
      <c r="W381" s="382">
        <v>23797.734805782249</v>
      </c>
      <c r="Z381" s="10"/>
      <c r="AU381" s="10"/>
      <c r="AV381" s="10"/>
      <c r="AW381" s="10"/>
      <c r="AX381" s="10"/>
      <c r="AY381" s="10"/>
      <c r="AZ381" s="10"/>
      <c r="BA381" s="10"/>
      <c r="BB381" s="10"/>
      <c r="BC381" s="10"/>
      <c r="BD381" s="10"/>
      <c r="BE381" s="10"/>
      <c r="BF381" s="10"/>
      <c r="BG381" s="10"/>
      <c r="BH381" s="10"/>
      <c r="BI381" s="10"/>
      <c r="BJ381" s="10"/>
      <c r="BK381" s="10"/>
      <c r="BL381" s="10"/>
      <c r="BM381" s="10"/>
    </row>
    <row r="382" spans="3:65">
      <c r="C382" s="382" t="s">
        <v>872</v>
      </c>
      <c r="D382" s="382" t="s">
        <v>873</v>
      </c>
      <c r="E382" s="382">
        <v>1596.5045754787286</v>
      </c>
      <c r="F382" s="382">
        <v>0</v>
      </c>
      <c r="G382" s="382">
        <v>1163.9577606348901</v>
      </c>
      <c r="H382" s="382">
        <v>617.02547594636758</v>
      </c>
      <c r="I382" s="382">
        <v>0</v>
      </c>
      <c r="J382" s="382">
        <v>672.84783004954647</v>
      </c>
      <c r="K382" s="382">
        <v>0</v>
      </c>
      <c r="L382" s="382">
        <v>0</v>
      </c>
      <c r="M382" s="382">
        <v>0</v>
      </c>
      <c r="N382" s="382">
        <v>0</v>
      </c>
      <c r="O382" s="382">
        <v>0</v>
      </c>
      <c r="P382" s="382">
        <v>0</v>
      </c>
      <c r="Q382" s="382">
        <v>0</v>
      </c>
      <c r="R382" s="382">
        <v>870.81322923480036</v>
      </c>
      <c r="S382" s="382">
        <v>0</v>
      </c>
      <c r="T382" s="382">
        <v>853.9759869779981</v>
      </c>
      <c r="U382" s="382">
        <v>0</v>
      </c>
      <c r="V382" s="382">
        <v>0</v>
      </c>
      <c r="W382" s="382">
        <v>5775.1248583223305</v>
      </c>
      <c r="Z382" s="10"/>
      <c r="AU382" s="10"/>
      <c r="AV382" s="10"/>
      <c r="AW382" s="10"/>
      <c r="AX382" s="10"/>
      <c r="AY382" s="10"/>
      <c r="AZ382" s="10"/>
      <c r="BA382" s="10"/>
      <c r="BB382" s="10"/>
      <c r="BC382" s="10"/>
      <c r="BD382" s="10"/>
      <c r="BE382" s="10"/>
      <c r="BF382" s="10"/>
      <c r="BG382" s="10"/>
      <c r="BH382" s="10"/>
      <c r="BI382" s="10"/>
      <c r="BJ382" s="10"/>
      <c r="BK382" s="10"/>
      <c r="BL382" s="10"/>
      <c r="BM382" s="10"/>
    </row>
    <row r="383" spans="3:65">
      <c r="C383" s="382"/>
      <c r="D383" s="382" t="s">
        <v>668</v>
      </c>
      <c r="E383" s="382">
        <v>392910.87812450906</v>
      </c>
      <c r="F383" s="382">
        <v>50121.211287477112</v>
      </c>
      <c r="G383" s="382">
        <v>44207.632690045924</v>
      </c>
      <c r="H383" s="382">
        <v>35244.418323276899</v>
      </c>
      <c r="I383" s="382">
        <v>55163.314747445183</v>
      </c>
      <c r="J383" s="382">
        <v>28506.571130282609</v>
      </c>
      <c r="K383" s="382">
        <v>140757.4796878387</v>
      </c>
      <c r="L383" s="382">
        <v>97610.601746306376</v>
      </c>
      <c r="M383" s="382">
        <v>291719.56611642067</v>
      </c>
      <c r="N383" s="382">
        <v>132365.93905758235</v>
      </c>
      <c r="O383" s="382">
        <v>59644.952674708424</v>
      </c>
      <c r="P383" s="382">
        <v>114020.09788456293</v>
      </c>
      <c r="Q383" s="382">
        <v>246760.79017929168</v>
      </c>
      <c r="R383" s="382">
        <v>82797.798628040968</v>
      </c>
      <c r="S383" s="382">
        <v>23628.015010062449</v>
      </c>
      <c r="T383" s="382">
        <v>88834.950596395647</v>
      </c>
      <c r="U383" s="382">
        <v>17638.757998802048</v>
      </c>
      <c r="V383" s="382">
        <v>21879.087336606528</v>
      </c>
      <c r="W383" s="382">
        <v>1923812.0632196558</v>
      </c>
      <c r="Z383" s="10"/>
      <c r="AU383" s="10"/>
      <c r="AV383" s="10"/>
      <c r="AW383" s="10"/>
      <c r="AX383" s="10"/>
      <c r="AY383" s="10"/>
      <c r="AZ383" s="10"/>
      <c r="BA383" s="10"/>
      <c r="BB383" s="10"/>
      <c r="BC383" s="10"/>
      <c r="BD383" s="10"/>
      <c r="BE383" s="10"/>
      <c r="BF383" s="10"/>
      <c r="BG383" s="10"/>
      <c r="BH383" s="10"/>
      <c r="BI383" s="10"/>
      <c r="BJ383" s="10"/>
      <c r="BK383" s="10"/>
      <c r="BL383" s="10"/>
      <c r="BM383" s="10"/>
    </row>
    <row r="384" spans="3:65">
      <c r="C384" s="382" t="s">
        <v>655</v>
      </c>
      <c r="D384" s="382" t="s">
        <v>985</v>
      </c>
      <c r="E384" s="382" t="s">
        <v>9</v>
      </c>
      <c r="F384" s="382" t="s">
        <v>10</v>
      </c>
      <c r="G384" s="382" t="s">
        <v>11</v>
      </c>
      <c r="H384" s="382" t="s">
        <v>31</v>
      </c>
      <c r="I384" s="382" t="s">
        <v>12</v>
      </c>
      <c r="J384" s="382" t="s">
        <v>13</v>
      </c>
      <c r="K384" s="382" t="s">
        <v>14</v>
      </c>
      <c r="L384" s="382" t="s">
        <v>15</v>
      </c>
      <c r="M384" s="382" t="s">
        <v>16</v>
      </c>
      <c r="N384" s="382" t="s">
        <v>17</v>
      </c>
      <c r="O384" s="382" t="s">
        <v>18</v>
      </c>
      <c r="P384" s="382" t="s">
        <v>19</v>
      </c>
      <c r="Q384" s="382" t="s">
        <v>20</v>
      </c>
      <c r="R384" s="382" t="s">
        <v>60</v>
      </c>
      <c r="S384" s="382" t="s">
        <v>61</v>
      </c>
      <c r="T384" s="382" t="s">
        <v>62</v>
      </c>
      <c r="U384" s="382" t="s">
        <v>63</v>
      </c>
      <c r="V384" s="382" t="s">
        <v>64</v>
      </c>
      <c r="W384" s="382" t="s">
        <v>656</v>
      </c>
      <c r="Z384" s="10"/>
      <c r="AU384" s="10"/>
      <c r="AV384" s="10"/>
      <c r="AW384" s="10"/>
      <c r="AX384" s="10"/>
      <c r="AY384" s="10"/>
      <c r="AZ384" s="10"/>
      <c r="BA384" s="10"/>
      <c r="BB384" s="10"/>
      <c r="BC384" s="10"/>
      <c r="BD384" s="10"/>
      <c r="BE384" s="10"/>
      <c r="BF384" s="10"/>
      <c r="BG384" s="10"/>
      <c r="BH384" s="10"/>
      <c r="BI384" s="10"/>
      <c r="BJ384" s="10"/>
      <c r="BK384" s="10"/>
      <c r="BL384" s="10"/>
      <c r="BM384" s="10"/>
    </row>
    <row r="385" spans="3:65">
      <c r="C385" s="382" t="s">
        <v>383</v>
      </c>
      <c r="D385" s="382" t="s">
        <v>986</v>
      </c>
      <c r="E385" s="382">
        <v>22573.336125935144</v>
      </c>
      <c r="F385" s="382">
        <v>5131.6204013325778</v>
      </c>
      <c r="G385" s="382">
        <v>3449.1208099457585</v>
      </c>
      <c r="H385" s="382">
        <v>5092.8940558876529</v>
      </c>
      <c r="I385" s="382">
        <v>7115.557685501527</v>
      </c>
      <c r="J385" s="382">
        <v>1992.8798511877667</v>
      </c>
      <c r="K385" s="382">
        <v>11086.642264747528</v>
      </c>
      <c r="L385" s="382">
        <v>6211.836356016981</v>
      </c>
      <c r="M385" s="382">
        <v>379.31123206843404</v>
      </c>
      <c r="N385" s="382">
        <v>13731.760671967693</v>
      </c>
      <c r="O385" s="382">
        <v>3356.0320494104458</v>
      </c>
      <c r="P385" s="382">
        <v>8398.1575380327649</v>
      </c>
      <c r="Q385" s="382">
        <v>19788.785570653137</v>
      </c>
      <c r="R385" s="382">
        <v>3160.4890121801955</v>
      </c>
      <c r="S385" s="382">
        <v>1803.4520800580074</v>
      </c>
      <c r="T385" s="382">
        <v>4834.4850343200414</v>
      </c>
      <c r="U385" s="382">
        <v>928.54544525737617</v>
      </c>
      <c r="V385" s="382">
        <v>310.04480549695626</v>
      </c>
      <c r="W385" s="382">
        <v>119344.95099000001</v>
      </c>
      <c r="Z385" s="10"/>
      <c r="AU385" s="10"/>
      <c r="AV385" s="10"/>
      <c r="AW385" s="10"/>
      <c r="AX385" s="10"/>
      <c r="AY385" s="10"/>
      <c r="AZ385" s="10"/>
      <c r="BA385" s="10"/>
      <c r="BB385" s="10"/>
      <c r="BC385" s="10"/>
      <c r="BD385" s="10"/>
      <c r="BE385" s="10"/>
      <c r="BF385" s="10"/>
      <c r="BG385" s="10"/>
      <c r="BH385" s="10"/>
      <c r="BI385" s="10"/>
      <c r="BJ385" s="10"/>
      <c r="BK385" s="10"/>
      <c r="BL385" s="10"/>
      <c r="BM385" s="10"/>
    </row>
    <row r="386" spans="3:65">
      <c r="C386" s="382" t="s">
        <v>384</v>
      </c>
      <c r="D386" s="382" t="s">
        <v>987</v>
      </c>
      <c r="E386" s="382">
        <v>22639.945632216895</v>
      </c>
      <c r="F386" s="382">
        <v>3982.0506705098087</v>
      </c>
      <c r="G386" s="382">
        <v>3745.660193103105</v>
      </c>
      <c r="H386" s="382">
        <v>2948.4247288460697</v>
      </c>
      <c r="I386" s="382">
        <v>5370.7855537757732</v>
      </c>
      <c r="J386" s="382">
        <v>1820.3462133216622</v>
      </c>
      <c r="K386" s="382">
        <v>7434.7907637440185</v>
      </c>
      <c r="L386" s="382">
        <v>5478.8164857637657</v>
      </c>
      <c r="M386" s="382">
        <v>22878.397905371683</v>
      </c>
      <c r="N386" s="382">
        <v>13702.759924030357</v>
      </c>
      <c r="O386" s="382">
        <v>2972.1786356079856</v>
      </c>
      <c r="P386" s="382">
        <v>8188.9888686512886</v>
      </c>
      <c r="Q386" s="382">
        <v>18893.150951981399</v>
      </c>
      <c r="R386" s="382">
        <v>3827.8054588533614</v>
      </c>
      <c r="S386" s="382">
        <v>1935.5734071426987</v>
      </c>
      <c r="T386" s="382">
        <v>7362.4068369238685</v>
      </c>
      <c r="U386" s="382">
        <v>907.2439319838744</v>
      </c>
      <c r="V386" s="382">
        <v>523.03110817237678</v>
      </c>
      <c r="W386" s="382">
        <v>134612.35727000001</v>
      </c>
      <c r="Z386" s="10"/>
      <c r="AU386" s="10"/>
      <c r="AV386" s="10"/>
      <c r="AW386" s="10"/>
      <c r="AX386" s="10"/>
      <c r="AY386" s="10"/>
      <c r="AZ386" s="10"/>
      <c r="BA386" s="10"/>
      <c r="BB386" s="10"/>
      <c r="BC386" s="10"/>
      <c r="BD386" s="10"/>
      <c r="BE386" s="10"/>
      <c r="BF386" s="10"/>
      <c r="BG386" s="10"/>
      <c r="BH386" s="10"/>
      <c r="BI386" s="10"/>
      <c r="BJ386" s="10"/>
      <c r="BK386" s="10"/>
      <c r="BL386" s="10"/>
      <c r="BM386" s="10"/>
    </row>
    <row r="387" spans="3:65">
      <c r="C387" s="382" t="s">
        <v>624</v>
      </c>
      <c r="D387" s="382" t="s">
        <v>988</v>
      </c>
      <c r="E387" s="382">
        <v>67076.214766037359</v>
      </c>
      <c r="F387" s="382">
        <v>13640.221156898771</v>
      </c>
      <c r="G387" s="382">
        <v>13880.7290738256</v>
      </c>
      <c r="H387" s="382">
        <v>8880.3746630419755</v>
      </c>
      <c r="I387" s="382">
        <v>15068.229568513516</v>
      </c>
      <c r="J387" s="382">
        <v>6194.4352464808517</v>
      </c>
      <c r="K387" s="382">
        <v>25405.509621500954</v>
      </c>
      <c r="L387" s="382">
        <v>16893.695081191472</v>
      </c>
      <c r="M387" s="382">
        <v>77364.112070785573</v>
      </c>
      <c r="N387" s="382">
        <v>42595.189646495339</v>
      </c>
      <c r="O387" s="382">
        <v>9036.913398646484</v>
      </c>
      <c r="P387" s="382">
        <v>27836.399764292484</v>
      </c>
      <c r="Q387" s="382">
        <v>62387.140517975749</v>
      </c>
      <c r="R387" s="382">
        <v>11342.52430739523</v>
      </c>
      <c r="S387" s="382">
        <v>6688.58288147039</v>
      </c>
      <c r="T387" s="382">
        <v>27097.947335091783</v>
      </c>
      <c r="U387" s="382">
        <v>2982.8599147490741</v>
      </c>
      <c r="V387" s="382">
        <v>1136.7598256073052</v>
      </c>
      <c r="W387" s="382">
        <v>435507.83883999981</v>
      </c>
      <c r="Z387" s="10"/>
      <c r="AU387" s="10"/>
      <c r="AV387" s="10"/>
      <c r="AW387" s="10"/>
      <c r="AX387" s="10"/>
      <c r="AY387" s="10"/>
      <c r="AZ387" s="10"/>
      <c r="BA387" s="10"/>
      <c r="BB387" s="10"/>
      <c r="BC387" s="10"/>
      <c r="BD387" s="10"/>
      <c r="BE387" s="10"/>
      <c r="BF387" s="10"/>
      <c r="BG387" s="10"/>
      <c r="BH387" s="10"/>
      <c r="BI387" s="10"/>
      <c r="BJ387" s="10"/>
      <c r="BK387" s="10"/>
      <c r="BL387" s="10"/>
      <c r="BM387" s="10"/>
    </row>
    <row r="388" spans="3:65">
      <c r="C388" s="382" t="s">
        <v>974</v>
      </c>
      <c r="D388" s="382" t="s">
        <v>989</v>
      </c>
      <c r="E388" s="382">
        <v>15504.400863546161</v>
      </c>
      <c r="F388" s="382">
        <v>3103.1823642439567</v>
      </c>
      <c r="G388" s="382">
        <v>3490.7058289509041</v>
      </c>
      <c r="H388" s="382">
        <v>1931.0011336122977</v>
      </c>
      <c r="I388" s="382">
        <v>3315.5059878968682</v>
      </c>
      <c r="J388" s="382">
        <v>1472.4487546013459</v>
      </c>
      <c r="K388" s="382">
        <v>5840.2242455846181</v>
      </c>
      <c r="L388" s="382">
        <v>3603.6917120939274</v>
      </c>
      <c r="M388" s="382">
        <v>18025.213090103687</v>
      </c>
      <c r="N388" s="382">
        <v>9387.7968954850694</v>
      </c>
      <c r="O388" s="382">
        <v>2056.8078294747411</v>
      </c>
      <c r="P388" s="382">
        <v>6372.1697380143733</v>
      </c>
      <c r="Q388" s="382">
        <v>13836.982896229962</v>
      </c>
      <c r="R388" s="382">
        <v>2426.2603552708056</v>
      </c>
      <c r="S388" s="382">
        <v>1515.2223266780466</v>
      </c>
      <c r="T388" s="382">
        <v>6496.3318778919838</v>
      </c>
      <c r="U388" s="382">
        <v>664.18833124902574</v>
      </c>
      <c r="V388" s="382">
        <v>428.92404907220413</v>
      </c>
      <c r="W388" s="382">
        <v>99471.058279999968</v>
      </c>
      <c r="Z388" s="10"/>
      <c r="AU388" s="10"/>
      <c r="AV388" s="10"/>
      <c r="AW388" s="10"/>
      <c r="AX388" s="10"/>
      <c r="AY388" s="10"/>
      <c r="AZ388" s="10"/>
      <c r="BA388" s="10"/>
      <c r="BB388" s="10"/>
      <c r="BC388" s="10"/>
      <c r="BD388" s="10"/>
      <c r="BE388" s="10"/>
      <c r="BF388" s="10"/>
      <c r="BG388" s="10"/>
      <c r="BH388" s="10"/>
      <c r="BI388" s="10"/>
      <c r="BJ388" s="10"/>
      <c r="BK388" s="10"/>
      <c r="BL388" s="10"/>
      <c r="BM388" s="10"/>
    </row>
    <row r="389" spans="3:65">
      <c r="C389" s="382" t="s">
        <v>975</v>
      </c>
      <c r="D389" s="382" t="s">
        <v>385</v>
      </c>
      <c r="E389" s="382">
        <v>1309.0255359093417</v>
      </c>
      <c r="F389" s="382">
        <v>286.89679280395882</v>
      </c>
      <c r="G389" s="382">
        <v>329.530669367916</v>
      </c>
      <c r="H389" s="382">
        <v>157.5005199194558</v>
      </c>
      <c r="I389" s="382">
        <v>270.81662700632319</v>
      </c>
      <c r="J389" s="382">
        <v>134.97181591011756</v>
      </c>
      <c r="K389" s="382">
        <v>555.566741853905</v>
      </c>
      <c r="L389" s="382">
        <v>321.46308577360395</v>
      </c>
      <c r="M389" s="382">
        <v>1617.1288314915839</v>
      </c>
      <c r="N389" s="382">
        <v>826.03616496186578</v>
      </c>
      <c r="O389" s="382">
        <v>179.89927068419132</v>
      </c>
      <c r="P389" s="382">
        <v>606.24613728341944</v>
      </c>
      <c r="Q389" s="382">
        <v>1201.3337216857321</v>
      </c>
      <c r="R389" s="382">
        <v>209.64213628635414</v>
      </c>
      <c r="S389" s="382">
        <v>136.26929668645852</v>
      </c>
      <c r="T389" s="382">
        <v>607.01940227031707</v>
      </c>
      <c r="U389" s="382">
        <v>60.441789469067864</v>
      </c>
      <c r="V389" s="382">
        <v>35.074940636388305</v>
      </c>
      <c r="W389" s="382">
        <v>8844.86348</v>
      </c>
      <c r="Z389" s="10"/>
      <c r="AU389" s="10"/>
      <c r="AV389" s="10"/>
      <c r="AW389" s="10"/>
      <c r="AX389" s="10"/>
      <c r="AY389" s="10"/>
      <c r="AZ389" s="10"/>
      <c r="BA389" s="10"/>
      <c r="BB389" s="10"/>
      <c r="BC389" s="10"/>
      <c r="BD389" s="10"/>
      <c r="BE389" s="10"/>
      <c r="BF389" s="10"/>
      <c r="BG389" s="10"/>
      <c r="BH389" s="10"/>
      <c r="BI389" s="10"/>
      <c r="BJ389" s="10"/>
      <c r="BK389" s="10"/>
      <c r="BL389" s="10"/>
      <c r="BM389" s="10"/>
    </row>
    <row r="390" spans="3:65">
      <c r="C390" s="382" t="s">
        <v>386</v>
      </c>
      <c r="D390" s="382" t="s">
        <v>990</v>
      </c>
      <c r="E390" s="382">
        <v>34847.265933301765</v>
      </c>
      <c r="F390" s="382">
        <v>7637.4131443554388</v>
      </c>
      <c r="G390" s="382">
        <v>8772.3597085259571</v>
      </c>
      <c r="H390" s="382">
        <v>4192.7849012157694</v>
      </c>
      <c r="I390" s="382">
        <v>7209.3467709882207</v>
      </c>
      <c r="J390" s="382">
        <v>3593.0534840584328</v>
      </c>
      <c r="K390" s="382">
        <v>14789.613698125626</v>
      </c>
      <c r="L390" s="382">
        <v>8557.594432190197</v>
      </c>
      <c r="M390" s="382">
        <v>43049.21248174912</v>
      </c>
      <c r="N390" s="382">
        <v>21989.717634465163</v>
      </c>
      <c r="O390" s="382">
        <v>4789.0568631147171</v>
      </c>
      <c r="P390" s="382">
        <v>16138.738158592651</v>
      </c>
      <c r="Q390" s="382">
        <v>31980.42706259714</v>
      </c>
      <c r="R390" s="382">
        <v>5580.8348069552276</v>
      </c>
      <c r="S390" s="382">
        <v>3627.5934196182775</v>
      </c>
      <c r="T390" s="382">
        <v>16159.323066905088</v>
      </c>
      <c r="U390" s="382">
        <v>1609.0068935516288</v>
      </c>
      <c r="V390" s="382">
        <v>933.7218796896301</v>
      </c>
      <c r="W390" s="382">
        <v>235457.06433999998</v>
      </c>
      <c r="Z390" s="10"/>
      <c r="AU390" s="10"/>
      <c r="AV390" s="10"/>
      <c r="AW390" s="10"/>
      <c r="AX390" s="10"/>
      <c r="AY390" s="10"/>
      <c r="AZ390" s="10"/>
      <c r="BA390" s="10"/>
      <c r="BB390" s="10"/>
      <c r="BC390" s="10"/>
      <c r="BD390" s="10"/>
      <c r="BE390" s="10"/>
      <c r="BF390" s="10"/>
      <c r="BG390" s="10"/>
      <c r="BH390" s="10"/>
      <c r="BI390" s="10"/>
      <c r="BJ390" s="10"/>
      <c r="BK390" s="10"/>
      <c r="BL390" s="10"/>
      <c r="BM390" s="10"/>
    </row>
    <row r="391" spans="3:65">
      <c r="C391" s="382" t="s">
        <v>976</v>
      </c>
      <c r="D391" s="382" t="s">
        <v>991</v>
      </c>
      <c r="E391" s="382">
        <v>39323.110086714769</v>
      </c>
      <c r="F391" s="382">
        <v>7639.5299061487749</v>
      </c>
      <c r="G391" s="382">
        <v>7494.856302012804</v>
      </c>
      <c r="H391" s="382">
        <v>5467.9698169440117</v>
      </c>
      <c r="I391" s="382">
        <v>8995.8522798134818</v>
      </c>
      <c r="J391" s="382">
        <v>4173.9056068259897</v>
      </c>
      <c r="K391" s="382">
        <v>13643.324094881713</v>
      </c>
      <c r="L391" s="382">
        <v>8388.3977551015068</v>
      </c>
      <c r="M391" s="382">
        <v>32779.559497621369</v>
      </c>
      <c r="N391" s="382">
        <v>22811.285481225579</v>
      </c>
      <c r="O391" s="382">
        <v>5202.0100214973836</v>
      </c>
      <c r="P391" s="382">
        <v>22129.687863214702</v>
      </c>
      <c r="Q391" s="382">
        <v>22772.309408392342</v>
      </c>
      <c r="R391" s="382">
        <v>5598.251947407105</v>
      </c>
      <c r="S391" s="382">
        <v>2681.5527628966715</v>
      </c>
      <c r="T391" s="382">
        <v>15931.796685116733</v>
      </c>
      <c r="U391" s="382">
        <v>1452.7808588741348</v>
      </c>
      <c r="V391" s="382">
        <v>2490.686175310921</v>
      </c>
      <c r="W391" s="382">
        <v>228976.86655000004</v>
      </c>
      <c r="Z391" s="10"/>
      <c r="AU391" s="10"/>
      <c r="AV391" s="10"/>
      <c r="AW391" s="10"/>
      <c r="AX391" s="10"/>
      <c r="AY391" s="10"/>
      <c r="AZ391" s="10"/>
      <c r="BA391" s="10"/>
      <c r="BB391" s="10"/>
      <c r="BC391" s="10"/>
      <c r="BD391" s="10"/>
      <c r="BE391" s="10"/>
      <c r="BF391" s="10"/>
      <c r="BG391" s="10"/>
      <c r="BH391" s="10"/>
      <c r="BI391" s="10"/>
      <c r="BJ391" s="10"/>
      <c r="BK391" s="10"/>
      <c r="BL391" s="10"/>
      <c r="BM391" s="10"/>
    </row>
    <row r="392" spans="3:65">
      <c r="C392" s="382" t="s">
        <v>977</v>
      </c>
      <c r="D392" s="382" t="s">
        <v>992</v>
      </c>
      <c r="E392" s="382">
        <v>71815.040845656913</v>
      </c>
      <c r="F392" s="382">
        <v>17088.859552442718</v>
      </c>
      <c r="G392" s="382">
        <v>13167.126941811723</v>
      </c>
      <c r="H392" s="382">
        <v>15863.959174077272</v>
      </c>
      <c r="I392" s="382">
        <v>22796.714825324088</v>
      </c>
      <c r="J392" s="382">
        <v>6772.1697763053489</v>
      </c>
      <c r="K392" s="382">
        <v>28575.620552524426</v>
      </c>
      <c r="L392" s="382">
        <v>23191.134361929726</v>
      </c>
      <c r="M392" s="382">
        <v>96250.257239281636</v>
      </c>
      <c r="N392" s="382">
        <v>73050.114830565144</v>
      </c>
      <c r="O392" s="382">
        <v>9296.8868338522461</v>
      </c>
      <c r="P392" s="382">
        <v>35262.215935021093</v>
      </c>
      <c r="Q392" s="382">
        <v>104867.54963925807</v>
      </c>
      <c r="R392" s="382">
        <v>17038.848251680403</v>
      </c>
      <c r="S392" s="382">
        <v>8549.5140479870424</v>
      </c>
      <c r="T392" s="382">
        <v>29457.638217270247</v>
      </c>
      <c r="U392" s="382">
        <v>4183.1037898824179</v>
      </c>
      <c r="V392" s="382">
        <v>1748.0858972304725</v>
      </c>
      <c r="W392" s="382">
        <v>578974.84071210108</v>
      </c>
      <c r="Z392" s="10"/>
      <c r="AU392" s="10"/>
      <c r="AV392" s="10"/>
      <c r="AW392" s="10"/>
      <c r="AX392" s="10"/>
      <c r="AY392" s="10"/>
      <c r="AZ392" s="10"/>
      <c r="BA392" s="10"/>
      <c r="BB392" s="10"/>
      <c r="BC392" s="10"/>
      <c r="BD392" s="10"/>
      <c r="BE392" s="10"/>
      <c r="BF392" s="10"/>
      <c r="BG392" s="10"/>
      <c r="BH392" s="10"/>
      <c r="BI392" s="10"/>
      <c r="BJ392" s="10"/>
      <c r="BK392" s="10"/>
      <c r="BL392" s="10"/>
      <c r="BM392" s="10"/>
    </row>
    <row r="393" spans="3:65">
      <c r="C393" s="382" t="s">
        <v>387</v>
      </c>
      <c r="D393" s="382" t="s">
        <v>993</v>
      </c>
      <c r="E393" s="382">
        <v>10881.388300139695</v>
      </c>
      <c r="F393" s="382">
        <v>2384.8544729847094</v>
      </c>
      <c r="G393" s="382">
        <v>2739.2522695948228</v>
      </c>
      <c r="H393" s="382">
        <v>1309.2367319839502</v>
      </c>
      <c r="I393" s="382">
        <v>2251.1867001454661</v>
      </c>
      <c r="J393" s="382">
        <v>1121.9649259727487</v>
      </c>
      <c r="K393" s="382">
        <v>4618.196726434594</v>
      </c>
      <c r="L393" s="382">
        <v>2672.1897812587467</v>
      </c>
      <c r="M393" s="382">
        <v>13442.523666726833</v>
      </c>
      <c r="N393" s="382">
        <v>6866.4972640616343</v>
      </c>
      <c r="O393" s="382">
        <v>1495.4282903784365</v>
      </c>
      <c r="P393" s="382">
        <v>5039.473596409317</v>
      </c>
      <c r="Q393" s="382">
        <v>9986.1907542036934</v>
      </c>
      <c r="R393" s="382">
        <v>1742.6684403203367</v>
      </c>
      <c r="S393" s="382">
        <v>1132.7503474576893</v>
      </c>
      <c r="T393" s="382">
        <v>5045.9014286788306</v>
      </c>
      <c r="U393" s="382">
        <v>502.42761712921316</v>
      </c>
      <c r="V393" s="382">
        <v>291.5634861192828</v>
      </c>
      <c r="W393" s="382">
        <v>73523.694799999997</v>
      </c>
      <c r="Z393" s="10"/>
      <c r="AU393" s="10"/>
      <c r="AV393" s="10"/>
      <c r="AW393" s="10"/>
      <c r="AX393" s="10"/>
      <c r="AY393" s="10"/>
      <c r="AZ393" s="10"/>
      <c r="BA393" s="10"/>
      <c r="BB393" s="10"/>
      <c r="BC393" s="10"/>
      <c r="BD393" s="10"/>
      <c r="BE393" s="10"/>
      <c r="BF393" s="10"/>
      <c r="BG393" s="10"/>
      <c r="BH393" s="10"/>
      <c r="BI393" s="10"/>
      <c r="BJ393" s="10"/>
      <c r="BK393" s="10"/>
      <c r="BL393" s="10"/>
      <c r="BM393" s="10"/>
    </row>
    <row r="394" spans="3:65">
      <c r="C394" s="382" t="s">
        <v>388</v>
      </c>
      <c r="D394" s="382" t="s">
        <v>994</v>
      </c>
      <c r="E394" s="382">
        <v>290.83627469923471</v>
      </c>
      <c r="F394" s="382">
        <v>63.74206778502473</v>
      </c>
      <c r="G394" s="382">
        <v>73.214364157940608</v>
      </c>
      <c r="H394" s="382">
        <v>34.993102288678003</v>
      </c>
      <c r="I394" s="382">
        <v>60.16941363211577</v>
      </c>
      <c r="J394" s="382">
        <v>29.987726787484249</v>
      </c>
      <c r="K394" s="382">
        <v>123.43453745945219</v>
      </c>
      <c r="L394" s="382">
        <v>71.421927040383196</v>
      </c>
      <c r="M394" s="382">
        <v>359.28995436519227</v>
      </c>
      <c r="N394" s="382">
        <v>183.52681013014995</v>
      </c>
      <c r="O394" s="382">
        <v>39.969605077683546</v>
      </c>
      <c r="P394" s="382">
        <v>134.69436865937632</v>
      </c>
      <c r="Q394" s="382">
        <v>266.90955577343533</v>
      </c>
      <c r="R394" s="382">
        <v>46.577806364302397</v>
      </c>
      <c r="S394" s="382">
        <v>30.275998074127052</v>
      </c>
      <c r="T394" s="382">
        <v>134.86617089086482</v>
      </c>
      <c r="U394" s="382">
        <v>13.428817393640644</v>
      </c>
      <c r="V394" s="382">
        <v>7.7928694209143883</v>
      </c>
      <c r="W394" s="382">
        <v>1965.1313700000003</v>
      </c>
      <c r="Z394" s="10"/>
      <c r="AU394" s="10"/>
      <c r="AV394" s="10"/>
      <c r="AW394" s="10"/>
      <c r="AX394" s="10"/>
      <c r="AY394" s="10"/>
      <c r="AZ394" s="10"/>
      <c r="BA394" s="10"/>
      <c r="BB394" s="10"/>
      <c r="BC394" s="10"/>
      <c r="BD394" s="10"/>
      <c r="BE394" s="10"/>
      <c r="BF394" s="10"/>
      <c r="BG394" s="10"/>
      <c r="BH394" s="10"/>
      <c r="BI394" s="10"/>
      <c r="BJ394" s="10"/>
      <c r="BK394" s="10"/>
      <c r="BL394" s="10"/>
      <c r="BM394" s="10"/>
    </row>
    <row r="395" spans="3:65">
      <c r="C395" s="382" t="s">
        <v>389</v>
      </c>
      <c r="D395" s="382" t="s">
        <v>995</v>
      </c>
      <c r="E395" s="382">
        <v>0</v>
      </c>
      <c r="F395" s="382">
        <v>0</v>
      </c>
      <c r="G395" s="382">
        <v>0</v>
      </c>
      <c r="H395" s="382">
        <v>0</v>
      </c>
      <c r="I395" s="382">
        <v>0</v>
      </c>
      <c r="J395" s="382">
        <v>0</v>
      </c>
      <c r="K395" s="382">
        <v>0</v>
      </c>
      <c r="L395" s="382">
        <v>0</v>
      </c>
      <c r="M395" s="382">
        <v>3499.9753291162156</v>
      </c>
      <c r="N395" s="382">
        <v>0</v>
      </c>
      <c r="O395" s="382">
        <v>0</v>
      </c>
      <c r="P395" s="382">
        <v>0</v>
      </c>
      <c r="Q395" s="382">
        <v>0</v>
      </c>
      <c r="R395" s="382">
        <v>0</v>
      </c>
      <c r="S395" s="382">
        <v>0</v>
      </c>
      <c r="T395" s="382">
        <v>0</v>
      </c>
      <c r="U395" s="382">
        <v>0</v>
      </c>
      <c r="V395" s="382">
        <v>0</v>
      </c>
      <c r="W395" s="382">
        <v>3499.9753291162156</v>
      </c>
      <c r="Z395" s="10"/>
      <c r="AU395" s="10"/>
      <c r="AV395" s="10"/>
      <c r="AW395" s="10"/>
      <c r="AX395" s="10"/>
      <c r="AY395" s="10"/>
      <c r="AZ395" s="10"/>
      <c r="BA395" s="10"/>
      <c r="BB395" s="10"/>
      <c r="BC395" s="10"/>
      <c r="BD395" s="10"/>
      <c r="BE395" s="10"/>
      <c r="BF395" s="10"/>
      <c r="BG395" s="10"/>
      <c r="BH395" s="10"/>
      <c r="BI395" s="10"/>
      <c r="BJ395" s="10"/>
      <c r="BK395" s="10"/>
      <c r="BL395" s="10"/>
      <c r="BM395" s="10"/>
    </row>
    <row r="396" spans="3:65">
      <c r="C396" s="382" t="s">
        <v>390</v>
      </c>
      <c r="D396" s="382" t="s">
        <v>996</v>
      </c>
      <c r="E396" s="382">
        <v>0</v>
      </c>
      <c r="F396" s="382">
        <v>0</v>
      </c>
      <c r="G396" s="382">
        <v>0</v>
      </c>
      <c r="H396" s="382">
        <v>0</v>
      </c>
      <c r="I396" s="382">
        <v>0</v>
      </c>
      <c r="J396" s="382">
        <v>0</v>
      </c>
      <c r="K396" s="382">
        <v>0</v>
      </c>
      <c r="L396" s="382">
        <v>0</v>
      </c>
      <c r="M396" s="382">
        <v>13842.845373309938</v>
      </c>
      <c r="N396" s="382">
        <v>0</v>
      </c>
      <c r="O396" s="382">
        <v>0</v>
      </c>
      <c r="P396" s="382">
        <v>0</v>
      </c>
      <c r="Q396" s="382">
        <v>0</v>
      </c>
      <c r="R396" s="382">
        <v>0</v>
      </c>
      <c r="S396" s="382">
        <v>0</v>
      </c>
      <c r="T396" s="382">
        <v>0</v>
      </c>
      <c r="U396" s="382">
        <v>0</v>
      </c>
      <c r="V396" s="382">
        <v>0</v>
      </c>
      <c r="W396" s="382">
        <v>13842.845373309938</v>
      </c>
      <c r="Z396" s="10"/>
      <c r="AU396" s="10"/>
      <c r="AV396" s="10"/>
      <c r="AW396" s="10"/>
      <c r="AX396" s="10"/>
      <c r="AY396" s="10"/>
      <c r="AZ396" s="10"/>
      <c r="BA396" s="10"/>
      <c r="BB396" s="10"/>
      <c r="BC396" s="10"/>
      <c r="BD396" s="10"/>
      <c r="BE396" s="10"/>
      <c r="BF396" s="10"/>
      <c r="BG396" s="10"/>
      <c r="BH396" s="10"/>
      <c r="BI396" s="10"/>
      <c r="BJ396" s="10"/>
      <c r="BK396" s="10"/>
      <c r="BL396" s="10"/>
      <c r="BM396" s="10"/>
    </row>
    <row r="397" spans="3:65">
      <c r="C397" s="382"/>
      <c r="D397" s="382" t="s">
        <v>668</v>
      </c>
      <c r="E397" s="382">
        <v>286260.56436415727</v>
      </c>
      <c r="F397" s="382">
        <v>60958.370529505744</v>
      </c>
      <c r="G397" s="382">
        <v>57142.556161296532</v>
      </c>
      <c r="H397" s="382">
        <v>45879.138827817136</v>
      </c>
      <c r="I397" s="382">
        <v>72454.165412597373</v>
      </c>
      <c r="J397" s="382">
        <v>27306.163401451748</v>
      </c>
      <c r="K397" s="382">
        <v>112072.92324685684</v>
      </c>
      <c r="L397" s="382">
        <v>75390.240978360307</v>
      </c>
      <c r="M397" s="382">
        <v>323487.82667199126</v>
      </c>
      <c r="N397" s="382">
        <v>205144.68532338802</v>
      </c>
      <c r="O397" s="382">
        <v>38425.18279774431</v>
      </c>
      <c r="P397" s="382">
        <v>130106.77196817147</v>
      </c>
      <c r="Q397" s="382">
        <v>285980.78007875069</v>
      </c>
      <c r="R397" s="382">
        <v>50973.902522713324</v>
      </c>
      <c r="S397" s="382">
        <v>28100.786568069405</v>
      </c>
      <c r="T397" s="382">
        <v>113127.71605535975</v>
      </c>
      <c r="U397" s="382">
        <v>13304.027389539453</v>
      </c>
      <c r="V397" s="382">
        <v>7905.6850367564512</v>
      </c>
      <c r="W397" s="382">
        <v>1934021.4873345273</v>
      </c>
      <c r="Z397" s="10"/>
      <c r="AU397" s="10"/>
      <c r="AV397" s="10"/>
      <c r="AW397" s="10"/>
      <c r="AX397" s="10"/>
      <c r="AY397" s="10"/>
      <c r="AZ397" s="10"/>
      <c r="BA397" s="10"/>
      <c r="BB397" s="10"/>
      <c r="BC397" s="10"/>
      <c r="BD397" s="10"/>
      <c r="BE397" s="10"/>
      <c r="BF397" s="10"/>
      <c r="BG397" s="10"/>
      <c r="BH397" s="10"/>
      <c r="BI397" s="10"/>
      <c r="BJ397" s="10"/>
      <c r="BK397" s="10"/>
      <c r="BL397" s="10"/>
      <c r="BM397" s="10"/>
    </row>
    <row r="398" spans="3:65">
      <c r="C398" s="382" t="s">
        <v>655</v>
      </c>
      <c r="D398" s="382" t="s">
        <v>874</v>
      </c>
      <c r="E398" s="382" t="s">
        <v>9</v>
      </c>
      <c r="F398" s="382" t="s">
        <v>10</v>
      </c>
      <c r="G398" s="382" t="s">
        <v>11</v>
      </c>
      <c r="H398" s="382" t="s">
        <v>31</v>
      </c>
      <c r="I398" s="382" t="s">
        <v>12</v>
      </c>
      <c r="J398" s="382" t="s">
        <v>13</v>
      </c>
      <c r="K398" s="382" t="s">
        <v>14</v>
      </c>
      <c r="L398" s="382" t="s">
        <v>15</v>
      </c>
      <c r="M398" s="382" t="s">
        <v>16</v>
      </c>
      <c r="N398" s="382" t="s">
        <v>17</v>
      </c>
      <c r="O398" s="382" t="s">
        <v>18</v>
      </c>
      <c r="P398" s="382" t="s">
        <v>19</v>
      </c>
      <c r="Q398" s="382" t="s">
        <v>20</v>
      </c>
      <c r="R398" s="382" t="s">
        <v>60</v>
      </c>
      <c r="S398" s="382" t="s">
        <v>61</v>
      </c>
      <c r="T398" s="382" t="s">
        <v>62</v>
      </c>
      <c r="U398" s="382" t="s">
        <v>63</v>
      </c>
      <c r="V398" s="382" t="s">
        <v>64</v>
      </c>
      <c r="W398" s="382" t="s">
        <v>656</v>
      </c>
      <c r="Z398" s="10"/>
      <c r="AU398" s="10"/>
      <c r="AV398" s="10"/>
      <c r="AW398" s="10"/>
      <c r="AX398" s="10"/>
      <c r="AY398" s="10"/>
      <c r="AZ398" s="10"/>
      <c r="BA398" s="10"/>
      <c r="BB398" s="10"/>
      <c r="BC398" s="10"/>
      <c r="BD398" s="10"/>
      <c r="BE398" s="10"/>
      <c r="BF398" s="10"/>
      <c r="BG398" s="10"/>
      <c r="BH398" s="10"/>
      <c r="BI398" s="10"/>
      <c r="BJ398" s="10"/>
      <c r="BK398" s="10"/>
      <c r="BL398" s="10"/>
      <c r="BM398" s="10"/>
    </row>
    <row r="399" spans="3:65">
      <c r="C399" s="382" t="s">
        <v>391</v>
      </c>
      <c r="D399" s="382" t="s">
        <v>875</v>
      </c>
      <c r="E399" s="382">
        <v>818907.92575178912</v>
      </c>
      <c r="F399" s="382">
        <v>95471.872487022672</v>
      </c>
      <c r="G399" s="382">
        <v>91068.743028017925</v>
      </c>
      <c r="H399" s="382">
        <v>70585.546098122475</v>
      </c>
      <c r="I399" s="382">
        <v>158084.05137207749</v>
      </c>
      <c r="J399" s="382">
        <v>44307.761458003253</v>
      </c>
      <c r="K399" s="382">
        <v>185307.53399325476</v>
      </c>
      <c r="L399" s="382">
        <v>153514.89593933814</v>
      </c>
      <c r="M399" s="382">
        <v>527449.3190503607</v>
      </c>
      <c r="N399" s="382">
        <v>360677.81196952501</v>
      </c>
      <c r="O399" s="382">
        <v>136981.46674655253</v>
      </c>
      <c r="P399" s="382">
        <v>221420.75117618125</v>
      </c>
      <c r="Q399" s="382">
        <v>549483.9729579899</v>
      </c>
      <c r="R399" s="382">
        <v>110642.74631152768</v>
      </c>
      <c r="S399" s="382">
        <v>56638.565787721498</v>
      </c>
      <c r="T399" s="382">
        <v>216423.79940888868</v>
      </c>
      <c r="U399" s="382">
        <v>21121.814700946259</v>
      </c>
      <c r="V399" s="382">
        <v>85455.108045502086</v>
      </c>
      <c r="W399" s="382">
        <v>3903543.6862828205</v>
      </c>
      <c r="Z399" s="10"/>
      <c r="AU399" s="10"/>
      <c r="AV399" s="10"/>
      <c r="AW399" s="10"/>
      <c r="AX399" s="10"/>
      <c r="AY399" s="10"/>
      <c r="AZ399" s="10"/>
      <c r="BA399" s="10"/>
      <c r="BB399" s="10"/>
      <c r="BC399" s="10"/>
      <c r="BD399" s="10"/>
      <c r="BE399" s="10"/>
      <c r="BF399" s="10"/>
      <c r="BG399" s="10"/>
      <c r="BH399" s="10"/>
      <c r="BI399" s="10"/>
      <c r="BJ399" s="10"/>
      <c r="BK399" s="10"/>
      <c r="BL399" s="10"/>
      <c r="BM399" s="10"/>
    </row>
    <row r="400" spans="3:65">
      <c r="C400" s="382" t="s">
        <v>392</v>
      </c>
      <c r="D400" s="382" t="s">
        <v>1220</v>
      </c>
      <c r="E400" s="382">
        <v>6729.0718848053148</v>
      </c>
      <c r="F400" s="382">
        <v>793.35304885374785</v>
      </c>
      <c r="G400" s="382">
        <v>865.94243530931703</v>
      </c>
      <c r="H400" s="382">
        <v>509.16844526654688</v>
      </c>
      <c r="I400" s="382">
        <v>1545.6313319679743</v>
      </c>
      <c r="J400" s="382">
        <v>405.75680931197024</v>
      </c>
      <c r="K400" s="382">
        <v>1664.4140032205028</v>
      </c>
      <c r="L400" s="382">
        <v>1496.2910799219298</v>
      </c>
      <c r="M400" s="382">
        <v>4340.4299259554609</v>
      </c>
      <c r="N400" s="382">
        <v>3573.0347175052921</v>
      </c>
      <c r="O400" s="382">
        <v>1081.0977224001731</v>
      </c>
      <c r="P400" s="382">
        <v>2196.3301132672618</v>
      </c>
      <c r="Q400" s="382">
        <v>4020.2171755782038</v>
      </c>
      <c r="R400" s="382">
        <v>1054.712909370189</v>
      </c>
      <c r="S400" s="382">
        <v>539.66420365103693</v>
      </c>
      <c r="T400" s="382">
        <v>1909.2689918063684</v>
      </c>
      <c r="U400" s="382">
        <v>179.61701901336923</v>
      </c>
      <c r="V400" s="382">
        <v>11.644289819642676</v>
      </c>
      <c r="W400" s="382">
        <v>32915.646107024295</v>
      </c>
      <c r="Z400" s="10"/>
      <c r="AU400" s="10"/>
      <c r="AV400" s="10"/>
      <c r="AW400" s="10"/>
      <c r="AX400" s="10"/>
      <c r="AY400" s="10"/>
      <c r="AZ400" s="10"/>
      <c r="BA400" s="10"/>
      <c r="BB400" s="10"/>
      <c r="BC400" s="10"/>
      <c r="BD400" s="10"/>
      <c r="BE400" s="10"/>
      <c r="BF400" s="10"/>
      <c r="BG400" s="10"/>
      <c r="BH400" s="10"/>
      <c r="BI400" s="10"/>
      <c r="BJ400" s="10"/>
      <c r="BK400" s="10"/>
      <c r="BL400" s="10"/>
      <c r="BM400" s="10"/>
    </row>
    <row r="401" spans="3:65">
      <c r="C401" s="382" t="s">
        <v>393</v>
      </c>
      <c r="D401" s="382" t="s">
        <v>876</v>
      </c>
      <c r="E401" s="382">
        <v>4743.8111707228245</v>
      </c>
      <c r="F401" s="382">
        <v>1120.2500092806363</v>
      </c>
      <c r="G401" s="382">
        <v>703.5657539490237</v>
      </c>
      <c r="H401" s="382">
        <v>898.6813919759179</v>
      </c>
      <c r="I401" s="382">
        <v>1359.8102934168544</v>
      </c>
      <c r="J401" s="382">
        <v>408.46083474402769</v>
      </c>
      <c r="K401" s="382">
        <v>1775.4723871097424</v>
      </c>
      <c r="L401" s="382">
        <v>1221.5584747289156</v>
      </c>
      <c r="M401" s="382">
        <v>6731.4195507792328</v>
      </c>
      <c r="N401" s="382">
        <v>3327.6724515259666</v>
      </c>
      <c r="O401" s="382">
        <v>569.81536799146943</v>
      </c>
      <c r="P401" s="382">
        <v>1843.205558019213</v>
      </c>
      <c r="Q401" s="382">
        <v>7331.093106008997</v>
      </c>
      <c r="R401" s="382">
        <v>908.84185865781785</v>
      </c>
      <c r="S401" s="382">
        <v>619.38999996607038</v>
      </c>
      <c r="T401" s="382">
        <v>2191.4740228035939</v>
      </c>
      <c r="U401" s="382">
        <v>261.28002984201476</v>
      </c>
      <c r="V401" s="382">
        <v>100.89461847768119</v>
      </c>
      <c r="W401" s="382">
        <v>36116.696879999996</v>
      </c>
      <c r="Z401" s="10"/>
      <c r="AU401" s="10"/>
      <c r="AV401" s="10"/>
      <c r="AW401" s="10"/>
      <c r="AX401" s="10"/>
      <c r="AY401" s="10"/>
      <c r="AZ401" s="10"/>
      <c r="BA401" s="10"/>
      <c r="BB401" s="10"/>
      <c r="BC401" s="10"/>
      <c r="BD401" s="10"/>
      <c r="BE401" s="10"/>
      <c r="BF401" s="10"/>
      <c r="BG401" s="10"/>
      <c r="BH401" s="10"/>
      <c r="BI401" s="10"/>
      <c r="BJ401" s="10"/>
      <c r="BK401" s="10"/>
      <c r="BL401" s="10"/>
      <c r="BM401" s="10"/>
    </row>
    <row r="402" spans="3:65">
      <c r="C402" s="382" t="s">
        <v>394</v>
      </c>
      <c r="D402" s="382" t="s">
        <v>877</v>
      </c>
      <c r="E402" s="382">
        <v>8150.11009177909</v>
      </c>
      <c r="F402" s="382">
        <v>1591.5977727755408</v>
      </c>
      <c r="G402" s="382">
        <v>1044.9294447242191</v>
      </c>
      <c r="H402" s="382">
        <v>1184.3048599017402</v>
      </c>
      <c r="I402" s="382">
        <v>2415.7118228387817</v>
      </c>
      <c r="J402" s="382">
        <v>670.14876789254674</v>
      </c>
      <c r="K402" s="382">
        <v>2471.8088876597403</v>
      </c>
      <c r="L402" s="382">
        <v>1918.5330625902752</v>
      </c>
      <c r="M402" s="382">
        <v>9506.5333929842036</v>
      </c>
      <c r="N402" s="382">
        <v>5262.7799425539006</v>
      </c>
      <c r="O402" s="382">
        <v>1047.8135572648187</v>
      </c>
      <c r="P402" s="382">
        <v>2766.1063908586962</v>
      </c>
      <c r="Q402" s="382">
        <v>9904.4098756139811</v>
      </c>
      <c r="R402" s="382">
        <v>1644.067743386815</v>
      </c>
      <c r="S402" s="382">
        <v>846.04415149400427</v>
      </c>
      <c r="T402" s="382">
        <v>2807.5221025951514</v>
      </c>
      <c r="U402" s="382">
        <v>428.96723670507799</v>
      </c>
      <c r="V402" s="382">
        <v>168.37727638141851</v>
      </c>
      <c r="W402" s="382">
        <v>53829.766379999994</v>
      </c>
      <c r="Z402" s="10"/>
      <c r="AU402" s="10"/>
      <c r="AV402" s="10"/>
      <c r="AW402" s="10"/>
      <c r="AX402" s="10"/>
      <c r="AY402" s="10"/>
      <c r="AZ402" s="10"/>
      <c r="BA402" s="10"/>
      <c r="BB402" s="10"/>
      <c r="BC402" s="10"/>
      <c r="BD402" s="10"/>
      <c r="BE402" s="10"/>
      <c r="BF402" s="10"/>
      <c r="BG402" s="10"/>
      <c r="BH402" s="10"/>
      <c r="BI402" s="10"/>
      <c r="BJ402" s="10"/>
      <c r="BK402" s="10"/>
      <c r="BL402" s="10"/>
      <c r="BM402" s="10"/>
    </row>
    <row r="403" spans="3:65">
      <c r="C403" s="382" t="s">
        <v>395</v>
      </c>
      <c r="D403" s="382" t="s">
        <v>878</v>
      </c>
      <c r="E403" s="382">
        <v>3795.7965215343697</v>
      </c>
      <c r="F403" s="382">
        <v>779.92211894469744</v>
      </c>
      <c r="G403" s="382">
        <v>1661.7988330396447</v>
      </c>
      <c r="H403" s="382">
        <v>659.52423741987786</v>
      </c>
      <c r="I403" s="382">
        <v>1046.3660030701835</v>
      </c>
      <c r="J403" s="382">
        <v>1005.4128265137701</v>
      </c>
      <c r="K403" s="382">
        <v>1908.5677972725148</v>
      </c>
      <c r="L403" s="382">
        <v>939.93295185274815</v>
      </c>
      <c r="M403" s="382">
        <v>5342.9676955043305</v>
      </c>
      <c r="N403" s="382">
        <v>2779.6616456511383</v>
      </c>
      <c r="O403" s="382">
        <v>473.73281235408115</v>
      </c>
      <c r="P403" s="382">
        <v>3608.8412537396998</v>
      </c>
      <c r="Q403" s="382">
        <v>7956.4753616741245</v>
      </c>
      <c r="R403" s="382">
        <v>767.46693608928354</v>
      </c>
      <c r="S403" s="382">
        <v>399.41624232776246</v>
      </c>
      <c r="T403" s="382">
        <v>2345.3681579580789</v>
      </c>
      <c r="U403" s="382">
        <v>181.41155116690726</v>
      </c>
      <c r="V403" s="382">
        <v>82.046153886785106</v>
      </c>
      <c r="W403" s="382">
        <v>35734.7091</v>
      </c>
      <c r="Z403" s="10"/>
      <c r="AU403" s="10"/>
      <c r="AV403" s="10"/>
      <c r="AW403" s="10"/>
      <c r="AX403" s="10"/>
      <c r="AY403" s="10"/>
      <c r="AZ403" s="10"/>
      <c r="BA403" s="10"/>
      <c r="BB403" s="10"/>
      <c r="BC403" s="10"/>
      <c r="BD403" s="10"/>
      <c r="BE403" s="10"/>
      <c r="BF403" s="10"/>
      <c r="BG403" s="10"/>
      <c r="BH403" s="10"/>
      <c r="BI403" s="10"/>
      <c r="BJ403" s="10"/>
      <c r="BK403" s="10"/>
      <c r="BL403" s="10"/>
      <c r="BM403" s="10"/>
    </row>
    <row r="404" spans="3:65">
      <c r="C404" s="382" t="s">
        <v>879</v>
      </c>
      <c r="D404" s="382" t="s">
        <v>880</v>
      </c>
      <c r="E404" s="382">
        <v>2427.1972828978883</v>
      </c>
      <c r="F404" s="382">
        <v>573.18212737333408</v>
      </c>
      <c r="G404" s="382">
        <v>359.983318236689</v>
      </c>
      <c r="H404" s="382">
        <v>459.81531605999288</v>
      </c>
      <c r="I404" s="382">
        <v>695.75447475812189</v>
      </c>
      <c r="J404" s="382">
        <v>208.99125040633595</v>
      </c>
      <c r="K404" s="382">
        <v>908.43028922594306</v>
      </c>
      <c r="L404" s="382">
        <v>625.0171653251399</v>
      </c>
      <c r="M404" s="382">
        <v>3444.1681288944624</v>
      </c>
      <c r="N404" s="382">
        <v>1702.6220568318458</v>
      </c>
      <c r="O404" s="382">
        <v>291.5491918139769</v>
      </c>
      <c r="P404" s="382">
        <v>943.08634160175359</v>
      </c>
      <c r="Q404" s="382">
        <v>3420.5807559293976</v>
      </c>
      <c r="R404" s="382">
        <v>465.01397516250609</v>
      </c>
      <c r="S404" s="382">
        <v>312.23114389178278</v>
      </c>
      <c r="T404" s="382">
        <v>1118.9208750567618</v>
      </c>
      <c r="U404" s="382">
        <v>133.68537567893674</v>
      </c>
      <c r="V404" s="382">
        <v>51.623290855131636</v>
      </c>
      <c r="W404" s="382">
        <v>18141.852359999997</v>
      </c>
      <c r="Z404" s="10"/>
      <c r="AU404" s="10"/>
      <c r="AV404" s="10"/>
      <c r="AW404" s="10"/>
      <c r="AX404" s="10"/>
      <c r="AY404" s="10"/>
      <c r="AZ404" s="10"/>
      <c r="BA404" s="10"/>
      <c r="BB404" s="10"/>
      <c r="BC404" s="10"/>
      <c r="BD404" s="10"/>
      <c r="BE404" s="10"/>
      <c r="BF404" s="10"/>
      <c r="BG404" s="10"/>
      <c r="BH404" s="10"/>
      <c r="BI404" s="10"/>
      <c r="BJ404" s="10"/>
      <c r="BK404" s="10"/>
      <c r="BL404" s="10"/>
      <c r="BM404" s="10"/>
    </row>
    <row r="405" spans="3:65">
      <c r="C405" s="382" t="s">
        <v>881</v>
      </c>
      <c r="D405" s="382" t="s">
        <v>478</v>
      </c>
      <c r="E405" s="382">
        <v>2928.1141284284568</v>
      </c>
      <c r="F405" s="382">
        <v>0</v>
      </c>
      <c r="G405" s="382">
        <v>205.04891116601001</v>
      </c>
      <c r="H405" s="382">
        <v>259.23725458294723</v>
      </c>
      <c r="I405" s="382">
        <v>1817.5442133884694</v>
      </c>
      <c r="J405" s="382">
        <v>191.23669917448206</v>
      </c>
      <c r="K405" s="382">
        <v>0</v>
      </c>
      <c r="L405" s="382">
        <v>0</v>
      </c>
      <c r="M405" s="382">
        <v>324.20170829019281</v>
      </c>
      <c r="N405" s="382">
        <v>821.24994730865319</v>
      </c>
      <c r="O405" s="382">
        <v>0</v>
      </c>
      <c r="P405" s="382">
        <v>4241.7460524775015</v>
      </c>
      <c r="Q405" s="382">
        <v>318.18589256176557</v>
      </c>
      <c r="R405" s="382">
        <v>241.07177046791827</v>
      </c>
      <c r="S405" s="382">
        <v>0</v>
      </c>
      <c r="T405" s="382">
        <v>464.05704393920979</v>
      </c>
      <c r="U405" s="382">
        <v>0</v>
      </c>
      <c r="V405" s="382">
        <v>114.86124821439313</v>
      </c>
      <c r="W405" s="382">
        <v>11926.55487</v>
      </c>
      <c r="Z405" s="10"/>
      <c r="AU405" s="10"/>
      <c r="AV405" s="10"/>
      <c r="AW405" s="10"/>
      <c r="AX405" s="10"/>
      <c r="AY405" s="10"/>
      <c r="AZ405" s="10"/>
      <c r="BA405" s="10"/>
      <c r="BB405" s="10"/>
      <c r="BC405" s="10"/>
      <c r="BD405" s="10"/>
      <c r="BE405" s="10"/>
      <c r="BF405" s="10"/>
      <c r="BG405" s="10"/>
      <c r="BH405" s="10"/>
      <c r="BI405" s="10"/>
      <c r="BJ405" s="10"/>
      <c r="BK405" s="10"/>
      <c r="BL405" s="10"/>
      <c r="BM405" s="10"/>
    </row>
    <row r="406" spans="3:65">
      <c r="C406" s="382" t="s">
        <v>882</v>
      </c>
      <c r="D406" s="382" t="s">
        <v>883</v>
      </c>
      <c r="E406" s="382">
        <v>11973.729161370366</v>
      </c>
      <c r="F406" s="382">
        <v>0</v>
      </c>
      <c r="G406" s="382">
        <v>2013.8670880499615</v>
      </c>
      <c r="H406" s="382">
        <v>1268.6478518971876</v>
      </c>
      <c r="I406" s="382">
        <v>1465.0552962971906</v>
      </c>
      <c r="J406" s="382">
        <v>173.93568348902718</v>
      </c>
      <c r="K406" s="382">
        <v>0</v>
      </c>
      <c r="L406" s="382">
        <v>0</v>
      </c>
      <c r="M406" s="382">
        <v>2240.3121836532705</v>
      </c>
      <c r="N406" s="382">
        <v>2422.0371435870074</v>
      </c>
      <c r="O406" s="382">
        <v>0</v>
      </c>
      <c r="P406" s="382">
        <v>13765.244107868642</v>
      </c>
      <c r="Q406" s="382">
        <v>0</v>
      </c>
      <c r="R406" s="382">
        <v>105.79853952557507</v>
      </c>
      <c r="S406" s="382">
        <v>0</v>
      </c>
      <c r="T406" s="382">
        <v>2588.3188741620397</v>
      </c>
      <c r="U406" s="382">
        <v>0</v>
      </c>
      <c r="V406" s="382">
        <v>0</v>
      </c>
      <c r="W406" s="382">
        <v>38016.94592990027</v>
      </c>
      <c r="Z406" s="10"/>
      <c r="AU406" s="10"/>
      <c r="AV406" s="10"/>
      <c r="AW406" s="10"/>
      <c r="AX406" s="10"/>
      <c r="AY406" s="10"/>
      <c r="AZ406" s="10"/>
      <c r="BA406" s="10"/>
      <c r="BB406" s="10"/>
      <c r="BC406" s="10"/>
      <c r="BD406" s="10"/>
      <c r="BE406" s="10"/>
      <c r="BF406" s="10"/>
      <c r="BG406" s="10"/>
      <c r="BH406" s="10"/>
      <c r="BI406" s="10"/>
      <c r="BJ406" s="10"/>
      <c r="BK406" s="10"/>
      <c r="BL406" s="10"/>
      <c r="BM406" s="10"/>
    </row>
    <row r="407" spans="3:65">
      <c r="C407" s="382" t="s">
        <v>396</v>
      </c>
      <c r="D407" s="382" t="s">
        <v>472</v>
      </c>
      <c r="E407" s="382">
        <v>2522.5483734556042</v>
      </c>
      <c r="F407" s="382">
        <v>827.53106455078523</v>
      </c>
      <c r="G407" s="382">
        <v>0</v>
      </c>
      <c r="H407" s="382">
        <v>626.21018132501183</v>
      </c>
      <c r="I407" s="382">
        <v>1039.1916167335146</v>
      </c>
      <c r="J407" s="382">
        <v>386.69761664849864</v>
      </c>
      <c r="K407" s="382">
        <v>1057.2267698913961</v>
      </c>
      <c r="L407" s="382">
        <v>0</v>
      </c>
      <c r="M407" s="382">
        <v>2633.2582547594639</v>
      </c>
      <c r="N407" s="382">
        <v>0</v>
      </c>
      <c r="O407" s="382">
        <v>621.0336510337271</v>
      </c>
      <c r="P407" s="382">
        <v>1213.2188536563683</v>
      </c>
      <c r="Q407" s="382">
        <v>0</v>
      </c>
      <c r="R407" s="382">
        <v>707.46574815584108</v>
      </c>
      <c r="S407" s="382">
        <v>0</v>
      </c>
      <c r="T407" s="382">
        <v>585.05331997052735</v>
      </c>
      <c r="U407" s="382">
        <v>260.79698379567014</v>
      </c>
      <c r="V407" s="382">
        <v>0</v>
      </c>
      <c r="W407" s="382">
        <v>12480.232433976407</v>
      </c>
      <c r="Z407" s="10"/>
      <c r="AU407" s="10"/>
      <c r="AV407" s="10"/>
      <c r="AW407" s="10"/>
      <c r="AX407" s="10"/>
      <c r="AY407" s="10"/>
      <c r="AZ407" s="10"/>
      <c r="BA407" s="10"/>
      <c r="BB407" s="10"/>
      <c r="BC407" s="10"/>
      <c r="BD407" s="10"/>
      <c r="BE407" s="10"/>
      <c r="BF407" s="10"/>
      <c r="BG407" s="10"/>
      <c r="BH407" s="10"/>
      <c r="BI407" s="10"/>
      <c r="BJ407" s="10"/>
      <c r="BK407" s="10"/>
      <c r="BL407" s="10"/>
      <c r="BM407" s="10"/>
    </row>
    <row r="408" spans="3:65">
      <c r="C408" s="382"/>
      <c r="D408" s="382" t="s">
        <v>668</v>
      </c>
      <c r="E408" s="382">
        <v>862178.30436678301</v>
      </c>
      <c r="F408" s="382">
        <v>101157.70862880141</v>
      </c>
      <c r="G408" s="382">
        <v>97923.878812492781</v>
      </c>
      <c r="H408" s="382">
        <v>76451.135636551669</v>
      </c>
      <c r="I408" s="382">
        <v>169469.11642454853</v>
      </c>
      <c r="J408" s="382">
        <v>47758.401946183913</v>
      </c>
      <c r="K408" s="382">
        <v>195093.45412763461</v>
      </c>
      <c r="L408" s="382">
        <v>159716.22867375717</v>
      </c>
      <c r="M408" s="382">
        <v>562012.60989118123</v>
      </c>
      <c r="N408" s="382">
        <v>380566.86987448885</v>
      </c>
      <c r="O408" s="382">
        <v>141066.50904941082</v>
      </c>
      <c r="P408" s="382">
        <v>251998.52984767043</v>
      </c>
      <c r="Q408" s="382">
        <v>582434.93512535631</v>
      </c>
      <c r="R408" s="382">
        <v>116537.18579234363</v>
      </c>
      <c r="S408" s="382">
        <v>59355.311529052153</v>
      </c>
      <c r="T408" s="382">
        <v>230433.78279718044</v>
      </c>
      <c r="U408" s="382">
        <v>22567.572897148235</v>
      </c>
      <c r="V408" s="382">
        <v>85984.554923137141</v>
      </c>
      <c r="W408" s="382">
        <v>4142706.0903437221</v>
      </c>
      <c r="Z408" s="10"/>
      <c r="AU408" s="10"/>
      <c r="AV408" s="10"/>
      <c r="AW408" s="10"/>
      <c r="AX408" s="10"/>
      <c r="AY408" s="10"/>
      <c r="AZ408" s="10"/>
      <c r="BA408" s="10"/>
      <c r="BB408" s="10"/>
      <c r="BC408" s="10"/>
      <c r="BD408" s="10"/>
      <c r="BE408" s="10"/>
      <c r="BF408" s="10"/>
      <c r="BG408" s="10"/>
      <c r="BH408" s="10"/>
      <c r="BI408" s="10"/>
      <c r="BJ408" s="10"/>
      <c r="BK408" s="10"/>
      <c r="BL408" s="10"/>
      <c r="BM408" s="10"/>
    </row>
    <row r="409" spans="3:65">
      <c r="C409" s="382" t="s">
        <v>655</v>
      </c>
      <c r="D409" s="382" t="s">
        <v>75</v>
      </c>
      <c r="E409" s="382" t="s">
        <v>9</v>
      </c>
      <c r="F409" s="382" t="s">
        <v>10</v>
      </c>
      <c r="G409" s="382" t="s">
        <v>11</v>
      </c>
      <c r="H409" s="382" t="s">
        <v>31</v>
      </c>
      <c r="I409" s="382" t="s">
        <v>12</v>
      </c>
      <c r="J409" s="382" t="s">
        <v>13</v>
      </c>
      <c r="K409" s="382" t="s">
        <v>14</v>
      </c>
      <c r="L409" s="382" t="s">
        <v>15</v>
      </c>
      <c r="M409" s="382" t="s">
        <v>16</v>
      </c>
      <c r="N409" s="382" t="s">
        <v>17</v>
      </c>
      <c r="O409" s="382" t="s">
        <v>18</v>
      </c>
      <c r="P409" s="382" t="s">
        <v>19</v>
      </c>
      <c r="Q409" s="382" t="s">
        <v>20</v>
      </c>
      <c r="R409" s="382" t="s">
        <v>60</v>
      </c>
      <c r="S409" s="382" t="s">
        <v>61</v>
      </c>
      <c r="T409" s="382" t="s">
        <v>62</v>
      </c>
      <c r="U409" s="382" t="s">
        <v>63</v>
      </c>
      <c r="V409" s="382" t="s">
        <v>64</v>
      </c>
      <c r="W409" s="382" t="s">
        <v>656</v>
      </c>
      <c r="Z409" s="10"/>
      <c r="AU409" s="10"/>
      <c r="AV409" s="10"/>
      <c r="AW409" s="10"/>
      <c r="AX409" s="10"/>
      <c r="AY409" s="10"/>
      <c r="AZ409" s="10"/>
      <c r="BA409" s="10"/>
      <c r="BB409" s="10"/>
      <c r="BC409" s="10"/>
      <c r="BD409" s="10"/>
      <c r="BE409" s="10"/>
      <c r="BF409" s="10"/>
      <c r="BG409" s="10"/>
      <c r="BH409" s="10"/>
      <c r="BI409" s="10"/>
      <c r="BJ409" s="10"/>
      <c r="BK409" s="10"/>
      <c r="BL409" s="10"/>
      <c r="BM409" s="10"/>
    </row>
    <row r="410" spans="3:65">
      <c r="C410" s="382" t="s">
        <v>469</v>
      </c>
      <c r="D410" s="382" t="s">
        <v>470</v>
      </c>
      <c r="E410" s="382">
        <v>5706.5854409185322</v>
      </c>
      <c r="F410" s="382">
        <v>2134.6227703025215</v>
      </c>
      <c r="G410" s="382">
        <v>418.24015905632007</v>
      </c>
      <c r="H410" s="382">
        <v>484.63745812757583</v>
      </c>
      <c r="I410" s="382">
        <v>476.40096357016648</v>
      </c>
      <c r="J410" s="382">
        <v>520.48268443949894</v>
      </c>
      <c r="K410" s="382">
        <v>2248.9227166294286</v>
      </c>
      <c r="L410" s="382">
        <v>2281.2175909298057</v>
      </c>
      <c r="M410" s="382">
        <v>2198.8574960311225</v>
      </c>
      <c r="N410" s="382">
        <v>2324.8971040892811</v>
      </c>
      <c r="O410" s="382">
        <v>1343.2924269123687</v>
      </c>
      <c r="P410" s="382">
        <v>1491.2236126154557</v>
      </c>
      <c r="Q410" s="382">
        <v>688.10896891382049</v>
      </c>
      <c r="R410" s="382">
        <v>1546.7208418797886</v>
      </c>
      <c r="S410" s="382">
        <v>354.02045469231575</v>
      </c>
      <c r="T410" s="382">
        <v>1209.7310188461993</v>
      </c>
      <c r="U410" s="382">
        <v>377.76194566461982</v>
      </c>
      <c r="V410" s="382">
        <v>0</v>
      </c>
      <c r="W410" s="382">
        <v>25805.723653618825</v>
      </c>
      <c r="Z410" s="10"/>
      <c r="AU410" s="10"/>
      <c r="AV410" s="10"/>
      <c r="AW410" s="10"/>
      <c r="AX410" s="10"/>
      <c r="AY410" s="10"/>
      <c r="AZ410" s="10"/>
      <c r="BA410" s="10"/>
      <c r="BB410" s="10"/>
      <c r="BC410" s="10"/>
      <c r="BD410" s="10"/>
      <c r="BE410" s="10"/>
      <c r="BF410" s="10"/>
      <c r="BG410" s="10"/>
      <c r="BH410" s="10"/>
      <c r="BI410" s="10"/>
      <c r="BJ410" s="10"/>
      <c r="BK410" s="10"/>
      <c r="BL410" s="10"/>
      <c r="BM410" s="10"/>
    </row>
    <row r="411" spans="3:65">
      <c r="C411" s="382" t="s">
        <v>471</v>
      </c>
      <c r="D411" s="382" t="s">
        <v>654</v>
      </c>
      <c r="E411" s="382">
        <v>6415.508827930139</v>
      </c>
      <c r="F411" s="382">
        <v>4189.8298780721716</v>
      </c>
      <c r="G411" s="382">
        <v>1084.1133009391176</v>
      </c>
      <c r="H411" s="382">
        <v>418.46204757652396</v>
      </c>
      <c r="I411" s="382">
        <v>487.11561372777413</v>
      </c>
      <c r="J411" s="382">
        <v>989.70824886556784</v>
      </c>
      <c r="K411" s="382">
        <v>5771.6057023949752</v>
      </c>
      <c r="L411" s="382">
        <v>2220.9849887626406</v>
      </c>
      <c r="M411" s="382">
        <v>5504.0613328288237</v>
      </c>
      <c r="N411" s="382">
        <v>3029.6196671364692</v>
      </c>
      <c r="O411" s="382">
        <v>2849.1379579697364</v>
      </c>
      <c r="P411" s="382">
        <v>4463.6265829808408</v>
      </c>
      <c r="Q411" s="382">
        <v>1352.7519073543363</v>
      </c>
      <c r="R411" s="382">
        <v>1424.8417500744135</v>
      </c>
      <c r="S411" s="382">
        <v>595.50081229154046</v>
      </c>
      <c r="T411" s="382">
        <v>2034.8988168022399</v>
      </c>
      <c r="U411" s="382">
        <v>194.87702951324545</v>
      </c>
      <c r="V411" s="382">
        <v>381.38236999999998</v>
      </c>
      <c r="W411" s="382">
        <v>43408.02683522056</v>
      </c>
      <c r="Z411" s="10"/>
      <c r="AU411" s="10"/>
      <c r="AV411" s="10"/>
      <c r="AW411" s="10"/>
      <c r="AX411" s="10"/>
      <c r="AY411" s="10"/>
      <c r="AZ411" s="10"/>
      <c r="BA411" s="10"/>
      <c r="BB411" s="10"/>
      <c r="BC411" s="10"/>
      <c r="BD411" s="10"/>
      <c r="BE411" s="10"/>
      <c r="BF411" s="10"/>
      <c r="BG411" s="10"/>
      <c r="BH411" s="10"/>
      <c r="BI411" s="10"/>
      <c r="BJ411" s="10"/>
      <c r="BK411" s="10"/>
      <c r="BL411" s="10"/>
      <c r="BM411" s="10"/>
    </row>
    <row r="412" spans="3:65">
      <c r="C412" s="382" t="s">
        <v>397</v>
      </c>
      <c r="D412" s="382" t="s">
        <v>884</v>
      </c>
      <c r="E412" s="382">
        <v>2225461.2523229397</v>
      </c>
      <c r="F412" s="382">
        <v>440060.32297121896</v>
      </c>
      <c r="G412" s="382">
        <v>34588.094133394639</v>
      </c>
      <c r="H412" s="382">
        <v>25057.689951488093</v>
      </c>
      <c r="I412" s="382">
        <v>200481.20440468326</v>
      </c>
      <c r="J412" s="382">
        <v>39763.915282216243</v>
      </c>
      <c r="K412" s="382">
        <v>920786.03418210533</v>
      </c>
      <c r="L412" s="382">
        <v>473870.78171039606</v>
      </c>
      <c r="M412" s="382">
        <v>303431.02243407996</v>
      </c>
      <c r="N412" s="382">
        <v>153158.8591906449</v>
      </c>
      <c r="O412" s="382">
        <v>512905.54125264275</v>
      </c>
      <c r="P412" s="382">
        <v>127476.76086048596</v>
      </c>
      <c r="Q412" s="382">
        <v>25513.260448050001</v>
      </c>
      <c r="R412" s="382">
        <v>91595.031025787655</v>
      </c>
      <c r="S412" s="382">
        <v>106737.50673663965</v>
      </c>
      <c r="T412" s="382">
        <v>23675.760346925945</v>
      </c>
      <c r="U412" s="382">
        <v>31013.816296302663</v>
      </c>
      <c r="V412" s="382">
        <v>0</v>
      </c>
      <c r="W412" s="382">
        <v>5735576.853550002</v>
      </c>
      <c r="Z412" s="10"/>
      <c r="AU412" s="10"/>
      <c r="AV412" s="10"/>
      <c r="AW412" s="10"/>
      <c r="AX412" s="10"/>
      <c r="AY412" s="10"/>
      <c r="AZ412" s="10"/>
      <c r="BA412" s="10"/>
      <c r="BB412" s="10"/>
      <c r="BC412" s="10"/>
      <c r="BD412" s="10"/>
      <c r="BE412" s="10"/>
      <c r="BF412" s="10"/>
      <c r="BG412" s="10"/>
      <c r="BH412" s="10"/>
      <c r="BI412" s="10"/>
      <c r="BJ412" s="10"/>
      <c r="BK412" s="10"/>
      <c r="BL412" s="10"/>
      <c r="BM412" s="10"/>
    </row>
    <row r="413" spans="3:65">
      <c r="C413" s="382" t="s">
        <v>398</v>
      </c>
      <c r="D413" s="382" t="s">
        <v>885</v>
      </c>
      <c r="E413" s="382">
        <v>2558.9925694952026</v>
      </c>
      <c r="F413" s="382">
        <v>577.87497051565856</v>
      </c>
      <c r="G413" s="382">
        <v>299.13590408524425</v>
      </c>
      <c r="H413" s="382">
        <v>98.865849363553608</v>
      </c>
      <c r="I413" s="382">
        <v>296.61967057222262</v>
      </c>
      <c r="J413" s="382">
        <v>545.85613965835296</v>
      </c>
      <c r="K413" s="382">
        <v>1867.242369129483</v>
      </c>
      <c r="L413" s="382">
        <v>1088.0999578183389</v>
      </c>
      <c r="M413" s="382">
        <v>5290.1117040434247</v>
      </c>
      <c r="N413" s="382">
        <v>1700.457797617127</v>
      </c>
      <c r="O413" s="382">
        <v>755.95842195908415</v>
      </c>
      <c r="P413" s="382">
        <v>2089.9733454131529</v>
      </c>
      <c r="Q413" s="382">
        <v>2507.9277535312885</v>
      </c>
      <c r="R413" s="382">
        <v>715.63381515047308</v>
      </c>
      <c r="S413" s="382">
        <v>302.47600538174146</v>
      </c>
      <c r="T413" s="382">
        <v>1033.5973566414518</v>
      </c>
      <c r="U413" s="382">
        <v>319.65436933669548</v>
      </c>
      <c r="V413" s="382">
        <v>0</v>
      </c>
      <c r="W413" s="382">
        <v>22048.477999712493</v>
      </c>
      <c r="Z413" s="10"/>
      <c r="AU413" s="10"/>
      <c r="AV413" s="10"/>
      <c r="AW413" s="10"/>
      <c r="AX413" s="10"/>
      <c r="AY413" s="10"/>
      <c r="AZ413" s="10"/>
      <c r="BA413" s="10"/>
      <c r="BB413" s="10"/>
      <c r="BC413" s="10"/>
      <c r="BD413" s="10"/>
      <c r="BE413" s="10"/>
      <c r="BF413" s="10"/>
      <c r="BG413" s="10"/>
      <c r="BH413" s="10"/>
      <c r="BI413" s="10"/>
      <c r="BJ413" s="10"/>
      <c r="BK413" s="10"/>
      <c r="BL413" s="10"/>
      <c r="BM413" s="10"/>
    </row>
    <row r="414" spans="3:65">
      <c r="C414" s="382" t="s">
        <v>399</v>
      </c>
      <c r="D414" s="382" t="s">
        <v>400</v>
      </c>
      <c r="E414" s="382">
        <v>295596.94343262975</v>
      </c>
      <c r="F414" s="382">
        <v>73408.637902162591</v>
      </c>
      <c r="G414" s="382">
        <v>31962.500381848524</v>
      </c>
      <c r="H414" s="382">
        <v>7897.8057987232114</v>
      </c>
      <c r="I414" s="382">
        <v>30782.372119238924</v>
      </c>
      <c r="J414" s="382">
        <v>38580.092880765565</v>
      </c>
      <c r="K414" s="382">
        <v>105414.2370937939</v>
      </c>
      <c r="L414" s="382">
        <v>162088.73922063419</v>
      </c>
      <c r="M414" s="382">
        <v>55685.570440741445</v>
      </c>
      <c r="N414" s="382">
        <v>59482.189931352128</v>
      </c>
      <c r="O414" s="382">
        <v>143116.61513066603</v>
      </c>
      <c r="P414" s="382">
        <v>95794.473176755215</v>
      </c>
      <c r="Q414" s="382">
        <v>2166.6038167899901</v>
      </c>
      <c r="R414" s="382">
        <v>18091.31144834623</v>
      </c>
      <c r="S414" s="382">
        <v>11573.736340332753</v>
      </c>
      <c r="T414" s="382">
        <v>11843.019316093028</v>
      </c>
      <c r="U414" s="382">
        <v>15584.658692400872</v>
      </c>
      <c r="V414" s="382">
        <v>0</v>
      </c>
      <c r="W414" s="382">
        <v>1159069.5071232745</v>
      </c>
      <c r="Z414" s="10"/>
      <c r="AU414" s="10"/>
      <c r="AV414" s="10"/>
      <c r="AW414" s="10"/>
      <c r="AX414" s="10"/>
      <c r="AY414" s="10"/>
      <c r="AZ414" s="10"/>
      <c r="BA414" s="10"/>
      <c r="BB414" s="10"/>
      <c r="BC414" s="10"/>
      <c r="BD414" s="10"/>
      <c r="BE414" s="10"/>
      <c r="BF414" s="10"/>
      <c r="BG414" s="10"/>
      <c r="BH414" s="10"/>
      <c r="BI414" s="10"/>
      <c r="BJ414" s="10"/>
      <c r="BK414" s="10"/>
      <c r="BL414" s="10"/>
      <c r="BM414" s="10"/>
    </row>
    <row r="415" spans="3:65">
      <c r="C415" s="382" t="s">
        <v>401</v>
      </c>
      <c r="D415" s="382" t="s">
        <v>886</v>
      </c>
      <c r="E415" s="382">
        <v>2610.3830765667803</v>
      </c>
      <c r="F415" s="382">
        <v>1.0182875074907864</v>
      </c>
      <c r="G415" s="382">
        <v>541.05009564677118</v>
      </c>
      <c r="H415" s="382">
        <v>302.34653243247271</v>
      </c>
      <c r="I415" s="382">
        <v>715.32382659740506</v>
      </c>
      <c r="J415" s="382">
        <v>461.36909818561708</v>
      </c>
      <c r="K415" s="382">
        <v>3.6488635685086512</v>
      </c>
      <c r="L415" s="382">
        <v>1.0182875074907864</v>
      </c>
      <c r="M415" s="382">
        <v>1268.7389315822579</v>
      </c>
      <c r="N415" s="382">
        <v>999.70739858043044</v>
      </c>
      <c r="O415" s="382">
        <v>1.9941463688361232</v>
      </c>
      <c r="P415" s="382">
        <v>7185.5457966087342</v>
      </c>
      <c r="Q415" s="382">
        <v>114.12458682101224</v>
      </c>
      <c r="R415" s="382">
        <v>279.15686360654831</v>
      </c>
      <c r="S415" s="382">
        <v>0.50914375374539322</v>
      </c>
      <c r="T415" s="382">
        <v>1260.9150956574665</v>
      </c>
      <c r="U415" s="382">
        <v>0</v>
      </c>
      <c r="V415" s="382">
        <v>35.13091900843213</v>
      </c>
      <c r="W415" s="382">
        <v>15781.980949999997</v>
      </c>
      <c r="Z415" s="10"/>
      <c r="AU415" s="10"/>
      <c r="AV415" s="10"/>
      <c r="AW415" s="10"/>
      <c r="AX415" s="10"/>
      <c r="AY415" s="10"/>
      <c r="AZ415" s="10"/>
      <c r="BA415" s="10"/>
      <c r="BB415" s="10"/>
      <c r="BC415" s="10"/>
      <c r="BD415" s="10"/>
      <c r="BE415" s="10"/>
      <c r="BF415" s="10"/>
      <c r="BG415" s="10"/>
      <c r="BH415" s="10"/>
      <c r="BI415" s="10"/>
      <c r="BJ415" s="10"/>
      <c r="BK415" s="10"/>
      <c r="BL415" s="10"/>
      <c r="BM415" s="10"/>
    </row>
    <row r="416" spans="3:65">
      <c r="C416" s="382" t="s">
        <v>402</v>
      </c>
      <c r="D416" s="382" t="s">
        <v>403</v>
      </c>
      <c r="E416" s="382">
        <v>2870.094403878396</v>
      </c>
      <c r="F416" s="382">
        <v>67.684438877537403</v>
      </c>
      <c r="G416" s="382">
        <v>533.5629541846946</v>
      </c>
      <c r="H416" s="382">
        <v>296.22189126446204</v>
      </c>
      <c r="I416" s="382">
        <v>680.44424571409513</v>
      </c>
      <c r="J416" s="382">
        <v>512.16638765538937</v>
      </c>
      <c r="K416" s="382">
        <v>108.92240400724292</v>
      </c>
      <c r="L416" s="382">
        <v>41.630028756694941</v>
      </c>
      <c r="M416" s="382">
        <v>1360.8884914281903</v>
      </c>
      <c r="N416" s="382">
        <v>980.9574573321263</v>
      </c>
      <c r="O416" s="382">
        <v>19.95960282855237</v>
      </c>
      <c r="P416" s="382">
        <v>11162.126299093872</v>
      </c>
      <c r="Q416" s="382">
        <v>110.39223725702848</v>
      </c>
      <c r="R416" s="382">
        <v>395.69912607605079</v>
      </c>
      <c r="S416" s="382">
        <v>26.945463818545701</v>
      </c>
      <c r="T416" s="382">
        <v>941.23784195787664</v>
      </c>
      <c r="U416" s="382">
        <v>11.013423703611933</v>
      </c>
      <c r="V416" s="382">
        <v>30.402752165634229</v>
      </c>
      <c r="W416" s="382">
        <v>20150.349450000002</v>
      </c>
      <c r="Z416" s="10"/>
      <c r="AU416" s="10"/>
      <c r="AV416" s="10"/>
      <c r="AW416" s="10"/>
      <c r="AX416" s="10"/>
      <c r="AY416" s="10"/>
      <c r="AZ416" s="10"/>
      <c r="BA416" s="10"/>
      <c r="BB416" s="10"/>
      <c r="BC416" s="10"/>
      <c r="BD416" s="10"/>
      <c r="BE416" s="10"/>
      <c r="BF416" s="10"/>
      <c r="BG416" s="10"/>
      <c r="BH416" s="10"/>
      <c r="BI416" s="10"/>
      <c r="BJ416" s="10"/>
      <c r="BK416" s="10"/>
      <c r="BL416" s="10"/>
      <c r="BM416" s="10"/>
    </row>
    <row r="417" spans="3:65">
      <c r="C417" s="382" t="s">
        <v>404</v>
      </c>
      <c r="D417" s="382" t="s">
        <v>405</v>
      </c>
      <c r="E417" s="382">
        <v>56808.395766237736</v>
      </c>
      <c r="F417" s="382">
        <v>13270.509576947003</v>
      </c>
      <c r="G417" s="382">
        <v>2419.6788706465709</v>
      </c>
      <c r="H417" s="382">
        <v>929.90289585074152</v>
      </c>
      <c r="I417" s="382">
        <v>4627.7652944038373</v>
      </c>
      <c r="J417" s="382">
        <v>1417.8430075878396</v>
      </c>
      <c r="K417" s="382">
        <v>16822.433044910977</v>
      </c>
      <c r="L417" s="382">
        <v>17379.291641920954</v>
      </c>
      <c r="M417" s="382">
        <v>16682.661277936953</v>
      </c>
      <c r="N417" s="382">
        <v>18942.935380353039</v>
      </c>
      <c r="O417" s="382">
        <v>8483.5381764459435</v>
      </c>
      <c r="P417" s="382">
        <v>22965.463529556222</v>
      </c>
      <c r="Q417" s="382">
        <v>879.3477016782673</v>
      </c>
      <c r="R417" s="382">
        <v>9413.0178355780008</v>
      </c>
      <c r="S417" s="382">
        <v>4800.0053639396838</v>
      </c>
      <c r="T417" s="382">
        <v>4014.1757021222356</v>
      </c>
      <c r="U417" s="382">
        <v>3609.2158996991575</v>
      </c>
      <c r="V417" s="382">
        <v>32.943364184831069</v>
      </c>
      <c r="W417" s="382">
        <v>203499.12433000002</v>
      </c>
      <c r="Z417" s="10"/>
      <c r="AU417" s="10"/>
      <c r="AV417" s="10"/>
      <c r="AW417" s="10"/>
      <c r="AX417" s="10"/>
      <c r="AY417" s="10"/>
      <c r="AZ417" s="10"/>
      <c r="BA417" s="10"/>
      <c r="BB417" s="10"/>
      <c r="BC417" s="10"/>
      <c r="BD417" s="10"/>
      <c r="BE417" s="10"/>
      <c r="BF417" s="10"/>
      <c r="BG417" s="10"/>
      <c r="BH417" s="10"/>
      <c r="BI417" s="10"/>
      <c r="BJ417" s="10"/>
      <c r="BK417" s="10"/>
      <c r="BL417" s="10"/>
      <c r="BM417" s="10"/>
    </row>
    <row r="418" spans="3:65">
      <c r="C418" s="382" t="s">
        <v>887</v>
      </c>
      <c r="D418" s="382" t="s">
        <v>888</v>
      </c>
      <c r="E418" s="382">
        <v>18816.148050974687</v>
      </c>
      <c r="F418" s="382">
        <v>3563.5365363200312</v>
      </c>
      <c r="G418" s="382">
        <v>1135.9346957645248</v>
      </c>
      <c r="H418" s="382">
        <v>995.86470604047327</v>
      </c>
      <c r="I418" s="382">
        <v>2721.9786389387505</v>
      </c>
      <c r="J418" s="382">
        <v>838.03885994817426</v>
      </c>
      <c r="K418" s="382">
        <v>6938.2043397649932</v>
      </c>
      <c r="L418" s="382">
        <v>4726.3724246316888</v>
      </c>
      <c r="M418" s="382">
        <v>7501.4589450272988</v>
      </c>
      <c r="N418" s="382">
        <v>4890.7135700579202</v>
      </c>
      <c r="O418" s="382">
        <v>4050.643218603363</v>
      </c>
      <c r="P418" s="382">
        <v>3363.0046201636219</v>
      </c>
      <c r="Q418" s="382">
        <v>4975.2946139086107</v>
      </c>
      <c r="R418" s="382">
        <v>1691.7510714904549</v>
      </c>
      <c r="S418" s="382">
        <v>1078.9736763721733</v>
      </c>
      <c r="T418" s="382">
        <v>1857.2040086674672</v>
      </c>
      <c r="U418" s="382">
        <v>484.26915419920385</v>
      </c>
      <c r="V418" s="382">
        <v>129.03724020295863</v>
      </c>
      <c r="W418" s="382">
        <v>69758.428371076399</v>
      </c>
      <c r="Z418" s="10"/>
      <c r="AU418" s="10"/>
      <c r="AV418" s="10"/>
      <c r="AW418" s="10"/>
      <c r="AX418" s="10"/>
      <c r="AY418" s="10"/>
      <c r="AZ418" s="10"/>
      <c r="BA418" s="10"/>
      <c r="BB418" s="10"/>
      <c r="BC418" s="10"/>
      <c r="BD418" s="10"/>
      <c r="BE418" s="10"/>
      <c r="BF418" s="10"/>
      <c r="BG418" s="10"/>
      <c r="BH418" s="10"/>
      <c r="BI418" s="10"/>
      <c r="BJ418" s="10"/>
      <c r="BK418" s="10"/>
      <c r="BL418" s="10"/>
      <c r="BM418" s="10"/>
    </row>
    <row r="419" spans="3:65">
      <c r="C419" s="382"/>
      <c r="D419" s="382" t="s">
        <v>668</v>
      </c>
      <c r="E419" s="382">
        <v>2616844.3038915703</v>
      </c>
      <c r="F419" s="382">
        <v>537274.03733192396</v>
      </c>
      <c r="G419" s="382">
        <v>72982.310495566431</v>
      </c>
      <c r="H419" s="382">
        <v>36481.797130867104</v>
      </c>
      <c r="I419" s="382">
        <v>241269.22477744639</v>
      </c>
      <c r="J419" s="382">
        <v>83629.472589322264</v>
      </c>
      <c r="K419" s="382">
        <v>1059961.2507163049</v>
      </c>
      <c r="L419" s="382">
        <v>663698.13585135783</v>
      </c>
      <c r="M419" s="382">
        <v>398923.3710536994</v>
      </c>
      <c r="N419" s="382">
        <v>245510.33749716339</v>
      </c>
      <c r="O419" s="382">
        <v>673526.68033439666</v>
      </c>
      <c r="P419" s="382">
        <v>275992.19782367308</v>
      </c>
      <c r="Q419" s="382">
        <v>38307.812034304363</v>
      </c>
      <c r="R419" s="382">
        <v>125153.16377798961</v>
      </c>
      <c r="S419" s="382">
        <v>125469.67399722214</v>
      </c>
      <c r="T419" s="382">
        <v>47870.53950371391</v>
      </c>
      <c r="U419" s="382">
        <v>51595.266810820067</v>
      </c>
      <c r="V419" s="382">
        <v>608.89664556185608</v>
      </c>
      <c r="W419" s="382">
        <v>7295098.472262904</v>
      </c>
      <c r="Z419" s="10"/>
      <c r="AU419" s="10"/>
      <c r="AV419" s="10"/>
      <c r="AW419" s="10"/>
      <c r="AX419" s="10"/>
      <c r="AY419" s="10"/>
      <c r="AZ419" s="10"/>
      <c r="BA419" s="10"/>
      <c r="BB419" s="10"/>
      <c r="BC419" s="10"/>
      <c r="BD419" s="10"/>
      <c r="BE419" s="10"/>
      <c r="BF419" s="10"/>
      <c r="BG419" s="10"/>
      <c r="BH419" s="10"/>
      <c r="BI419" s="10"/>
      <c r="BJ419" s="10"/>
      <c r="BK419" s="10"/>
      <c r="BL419" s="10"/>
      <c r="BM419" s="10"/>
    </row>
    <row r="420" spans="3:65">
      <c r="C420" s="382" t="s">
        <v>655</v>
      </c>
      <c r="D420" s="382" t="s">
        <v>113</v>
      </c>
      <c r="E420" s="382" t="s">
        <v>9</v>
      </c>
      <c r="F420" s="382" t="s">
        <v>10</v>
      </c>
      <c r="G420" s="382" t="s">
        <v>11</v>
      </c>
      <c r="H420" s="382" t="s">
        <v>31</v>
      </c>
      <c r="I420" s="382" t="s">
        <v>12</v>
      </c>
      <c r="J420" s="382" t="s">
        <v>13</v>
      </c>
      <c r="K420" s="382" t="s">
        <v>14</v>
      </c>
      <c r="L420" s="382" t="s">
        <v>15</v>
      </c>
      <c r="M420" s="382" t="s">
        <v>16</v>
      </c>
      <c r="N420" s="382" t="s">
        <v>17</v>
      </c>
      <c r="O420" s="382" t="s">
        <v>18</v>
      </c>
      <c r="P420" s="382" t="s">
        <v>19</v>
      </c>
      <c r="Q420" s="382" t="s">
        <v>20</v>
      </c>
      <c r="R420" s="382" t="s">
        <v>60</v>
      </c>
      <c r="S420" s="382" t="s">
        <v>61</v>
      </c>
      <c r="T420" s="382" t="s">
        <v>62</v>
      </c>
      <c r="U420" s="382" t="s">
        <v>63</v>
      </c>
      <c r="V420" s="382" t="s">
        <v>64</v>
      </c>
      <c r="W420" s="382" t="s">
        <v>656</v>
      </c>
      <c r="Z420" s="10"/>
      <c r="AU420" s="10"/>
      <c r="AV420" s="10"/>
      <c r="AW420" s="10"/>
      <c r="AX420" s="10"/>
      <c r="AY420" s="10"/>
      <c r="AZ420" s="10"/>
      <c r="BA420" s="10"/>
      <c r="BB420" s="10"/>
      <c r="BC420" s="10"/>
      <c r="BD420" s="10"/>
      <c r="BE420" s="10"/>
      <c r="BF420" s="10"/>
      <c r="BG420" s="10"/>
      <c r="BH420" s="10"/>
      <c r="BI420" s="10"/>
      <c r="BJ420" s="10"/>
      <c r="BK420" s="10"/>
      <c r="BL420" s="10"/>
      <c r="BM420" s="10"/>
    </row>
    <row r="421" spans="3:65">
      <c r="C421" s="382" t="s">
        <v>406</v>
      </c>
      <c r="D421" s="382" t="s">
        <v>889</v>
      </c>
      <c r="E421" s="382">
        <v>5406.2090470550238</v>
      </c>
      <c r="F421" s="382">
        <v>1707.8260530133575</v>
      </c>
      <c r="G421" s="382">
        <v>1218.2836719304182</v>
      </c>
      <c r="H421" s="382">
        <v>779.2933565801028</v>
      </c>
      <c r="I421" s="382">
        <v>5217.2967801753402</v>
      </c>
      <c r="J421" s="382">
        <v>657.60808503456383</v>
      </c>
      <c r="K421" s="382">
        <v>2463.8871067291061</v>
      </c>
      <c r="L421" s="382">
        <v>1826.1917101330494</v>
      </c>
      <c r="M421" s="382">
        <v>9309.4097672593525</v>
      </c>
      <c r="N421" s="382">
        <v>4390.5232766611834</v>
      </c>
      <c r="O421" s="382">
        <v>677.98586363388779</v>
      </c>
      <c r="P421" s="382">
        <v>3603.9920410790814</v>
      </c>
      <c r="Q421" s="382">
        <v>17215.589493793006</v>
      </c>
      <c r="R421" s="382">
        <v>1337.8607124247444</v>
      </c>
      <c r="S421" s="382">
        <v>1226.0205349819112</v>
      </c>
      <c r="T421" s="382">
        <v>4811.0720788873687</v>
      </c>
      <c r="U421" s="382">
        <v>472.3465855631074</v>
      </c>
      <c r="V421" s="382">
        <v>74.937135065402174</v>
      </c>
      <c r="W421" s="382">
        <v>62396.333300000006</v>
      </c>
      <c r="Z421" s="10"/>
      <c r="AU421" s="10"/>
      <c r="AV421" s="10"/>
      <c r="AW421" s="10"/>
      <c r="AX421" s="10"/>
      <c r="AY421" s="10"/>
      <c r="AZ421" s="10"/>
      <c r="BA421" s="10"/>
      <c r="BB421" s="10"/>
      <c r="BC421" s="10"/>
      <c r="BD421" s="10"/>
      <c r="BE421" s="10"/>
      <c r="BF421" s="10"/>
      <c r="BG421" s="10"/>
      <c r="BH421" s="10"/>
      <c r="BI421" s="10"/>
      <c r="BJ421" s="10"/>
      <c r="BK421" s="10"/>
      <c r="BL421" s="10"/>
      <c r="BM421" s="10"/>
    </row>
    <row r="422" spans="3:65">
      <c r="C422" s="382" t="s">
        <v>407</v>
      </c>
      <c r="D422" s="382" t="s">
        <v>890</v>
      </c>
      <c r="E422" s="382">
        <v>456.96406342518333</v>
      </c>
      <c r="F422" s="382">
        <v>120.15651484529751</v>
      </c>
      <c r="G422" s="382">
        <v>78.113913313283248</v>
      </c>
      <c r="H422" s="382">
        <v>56.886583896887139</v>
      </c>
      <c r="I422" s="382">
        <v>103.62572487400126</v>
      </c>
      <c r="J422" s="382">
        <v>45.341277126829212</v>
      </c>
      <c r="K422" s="382">
        <v>193.14773538666833</v>
      </c>
      <c r="L422" s="382">
        <v>145.23092263945816</v>
      </c>
      <c r="M422" s="382">
        <v>642.94484690367415</v>
      </c>
      <c r="N422" s="382">
        <v>343.49891961485287</v>
      </c>
      <c r="O422" s="382">
        <v>60.696993835046761</v>
      </c>
      <c r="P422" s="382">
        <v>193.93674300776286</v>
      </c>
      <c r="Q422" s="382">
        <v>418.80444652158894</v>
      </c>
      <c r="R422" s="382">
        <v>97.529423741754869</v>
      </c>
      <c r="S422" s="382">
        <v>76.757369034182702</v>
      </c>
      <c r="T422" s="382">
        <v>243.46591095251125</v>
      </c>
      <c r="U422" s="382">
        <v>31.854403640501967</v>
      </c>
      <c r="V422" s="382">
        <v>7.5938472405155704</v>
      </c>
      <c r="W422" s="382">
        <v>3316.5496399999997</v>
      </c>
      <c r="Z422" s="10"/>
      <c r="AU422" s="10"/>
      <c r="AV422" s="10"/>
      <c r="AW422" s="10"/>
      <c r="AX422" s="10"/>
      <c r="AY422" s="10"/>
      <c r="AZ422" s="10"/>
      <c r="BA422" s="10"/>
      <c r="BB422" s="10"/>
      <c r="BC422" s="10"/>
      <c r="BD422" s="10"/>
      <c r="BE422" s="10"/>
      <c r="BF422" s="10"/>
      <c r="BG422" s="10"/>
      <c r="BH422" s="10"/>
      <c r="BI422" s="10"/>
      <c r="BJ422" s="10"/>
      <c r="BK422" s="10"/>
      <c r="BL422" s="10"/>
      <c r="BM422" s="10"/>
    </row>
    <row r="423" spans="3:65">
      <c r="C423" s="382" t="s">
        <v>408</v>
      </c>
      <c r="D423" s="382" t="s">
        <v>891</v>
      </c>
      <c r="E423" s="382">
        <v>1595.4553175984365</v>
      </c>
      <c r="F423" s="382">
        <v>736.38281987655421</v>
      </c>
      <c r="G423" s="382">
        <v>408.26244761629619</v>
      </c>
      <c r="H423" s="382">
        <v>177.83963841314872</v>
      </c>
      <c r="I423" s="382">
        <v>291.25754550311586</v>
      </c>
      <c r="J423" s="382">
        <v>246.37695445779079</v>
      </c>
      <c r="K423" s="382">
        <v>1055.520884776367</v>
      </c>
      <c r="L423" s="382">
        <v>721.6780593202011</v>
      </c>
      <c r="M423" s="382">
        <v>3782.5790390124034</v>
      </c>
      <c r="N423" s="382">
        <v>1671.4027357957359</v>
      </c>
      <c r="O423" s="382">
        <v>218.8892854165675</v>
      </c>
      <c r="P423" s="382">
        <v>971.64210927444174</v>
      </c>
      <c r="Q423" s="382">
        <v>1909.8427064476462</v>
      </c>
      <c r="R423" s="382">
        <v>456.89752257040328</v>
      </c>
      <c r="S423" s="382">
        <v>543.12867796304579</v>
      </c>
      <c r="T423" s="382">
        <v>1666.6407062693863</v>
      </c>
      <c r="U423" s="382">
        <v>206.7707059727183</v>
      </c>
      <c r="V423" s="382">
        <v>15.77972371574257</v>
      </c>
      <c r="W423" s="382">
        <v>16676.346880000005</v>
      </c>
      <c r="Z423" s="10"/>
      <c r="AU423" s="10"/>
      <c r="AV423" s="10"/>
      <c r="AW423" s="10"/>
      <c r="AX423" s="10"/>
      <c r="AY423" s="10"/>
      <c r="AZ423" s="10"/>
      <c r="BA423" s="10"/>
      <c r="BB423" s="10"/>
      <c r="BC423" s="10"/>
      <c r="BD423" s="10"/>
      <c r="BE423" s="10"/>
      <c r="BF423" s="10"/>
      <c r="BG423" s="10"/>
      <c r="BH423" s="10"/>
      <c r="BI423" s="10"/>
      <c r="BJ423" s="10"/>
      <c r="BK423" s="10"/>
      <c r="BL423" s="10"/>
      <c r="BM423" s="10"/>
    </row>
    <row r="424" spans="3:65">
      <c r="C424" s="382" t="s">
        <v>409</v>
      </c>
      <c r="D424" s="382" t="s">
        <v>892</v>
      </c>
      <c r="E424" s="382">
        <v>11253.79373473572</v>
      </c>
      <c r="F424" s="382">
        <v>26.148854840275632</v>
      </c>
      <c r="G424" s="382">
        <v>6500.7747148202061</v>
      </c>
      <c r="H424" s="382">
        <v>3742.1276616175528</v>
      </c>
      <c r="I424" s="382">
        <v>3726.4509254501363</v>
      </c>
      <c r="J424" s="382">
        <v>985.02523379748948</v>
      </c>
      <c r="K424" s="382">
        <v>109.93192034891391</v>
      </c>
      <c r="L424" s="382">
        <v>236.9406438588241</v>
      </c>
      <c r="M424" s="382">
        <v>8333.4927794875857</v>
      </c>
      <c r="N424" s="382">
        <v>2183.2878442751216</v>
      </c>
      <c r="O424" s="382">
        <v>72.576413434234411</v>
      </c>
      <c r="P424" s="382">
        <v>37766.118551528743</v>
      </c>
      <c r="Q424" s="382">
        <v>1133.2059847617411</v>
      </c>
      <c r="R424" s="382">
        <v>4719.3346485709708</v>
      </c>
      <c r="S424" s="382">
        <v>3.2019005926868118</v>
      </c>
      <c r="T424" s="382">
        <v>43953.76411622364</v>
      </c>
      <c r="U424" s="382">
        <v>22.413304148807683</v>
      </c>
      <c r="V424" s="382">
        <v>40.5574075073663</v>
      </c>
      <c r="W424" s="382">
        <v>124809.14664000002</v>
      </c>
      <c r="Z424" s="10"/>
      <c r="AU424" s="10"/>
      <c r="AV424" s="10"/>
      <c r="AW424" s="10"/>
      <c r="AX424" s="10"/>
      <c r="AY424" s="10"/>
      <c r="AZ424" s="10"/>
      <c r="BA424" s="10"/>
      <c r="BB424" s="10"/>
      <c r="BC424" s="10"/>
      <c r="BD424" s="10"/>
      <c r="BE424" s="10"/>
      <c r="BF424" s="10"/>
      <c r="BG424" s="10"/>
      <c r="BH424" s="10"/>
      <c r="BI424" s="10"/>
      <c r="BJ424" s="10"/>
      <c r="BK424" s="10"/>
      <c r="BL424" s="10"/>
      <c r="BM424" s="10"/>
    </row>
    <row r="425" spans="3:65">
      <c r="C425" s="382" t="s">
        <v>893</v>
      </c>
      <c r="D425" s="382" t="s">
        <v>894</v>
      </c>
      <c r="E425" s="382">
        <v>1312.9399469686907</v>
      </c>
      <c r="F425" s="382">
        <v>13.733578020842216</v>
      </c>
      <c r="G425" s="382">
        <v>348.25169959684695</v>
      </c>
      <c r="H425" s="382">
        <v>0</v>
      </c>
      <c r="I425" s="382">
        <v>0</v>
      </c>
      <c r="J425" s="382">
        <v>4.1487536950195238</v>
      </c>
      <c r="K425" s="382">
        <v>54.915085074139682</v>
      </c>
      <c r="L425" s="382">
        <v>187.34065335417671</v>
      </c>
      <c r="M425" s="382">
        <v>45.320807468779314</v>
      </c>
      <c r="N425" s="382">
        <v>551.64807301151995</v>
      </c>
      <c r="O425" s="382">
        <v>0</v>
      </c>
      <c r="P425" s="382">
        <v>115.64920160219373</v>
      </c>
      <c r="Q425" s="382">
        <v>14.366695967603043</v>
      </c>
      <c r="R425" s="382">
        <v>29.996263102112636</v>
      </c>
      <c r="S425" s="382">
        <v>0</v>
      </c>
      <c r="T425" s="382">
        <v>31.239312138075761</v>
      </c>
      <c r="U425" s="382">
        <v>0</v>
      </c>
      <c r="V425" s="382">
        <v>0</v>
      </c>
      <c r="W425" s="382">
        <v>2709.5500700000002</v>
      </c>
      <c r="Z425" s="10"/>
      <c r="AU425" s="10"/>
      <c r="AV425" s="10"/>
      <c r="AW425" s="10"/>
      <c r="AX425" s="10"/>
      <c r="AY425" s="10"/>
      <c r="AZ425" s="10"/>
      <c r="BA425" s="10"/>
      <c r="BB425" s="10"/>
      <c r="BC425" s="10"/>
      <c r="BD425" s="10"/>
      <c r="BE425" s="10"/>
      <c r="BF425" s="10"/>
      <c r="BG425" s="10"/>
      <c r="BH425" s="10"/>
      <c r="BI425" s="10"/>
      <c r="BJ425" s="10"/>
      <c r="BK425" s="10"/>
      <c r="BL425" s="10"/>
      <c r="BM425" s="10"/>
    </row>
    <row r="426" spans="3:65">
      <c r="C426" s="382" t="s">
        <v>410</v>
      </c>
      <c r="D426" s="382" t="s">
        <v>895</v>
      </c>
      <c r="E426" s="382">
        <v>7188.7047141497569</v>
      </c>
      <c r="F426" s="382">
        <v>1130.945822858469</v>
      </c>
      <c r="G426" s="382">
        <v>904.07181795340034</v>
      </c>
      <c r="H426" s="382">
        <v>944.69158672091351</v>
      </c>
      <c r="I426" s="382">
        <v>1799.2230835448527</v>
      </c>
      <c r="J426" s="382">
        <v>502.24262946842009</v>
      </c>
      <c r="K426" s="382">
        <v>2125.1366556919725</v>
      </c>
      <c r="L426" s="382">
        <v>1770.4196558287047</v>
      </c>
      <c r="M426" s="382">
        <v>6429.5275853979601</v>
      </c>
      <c r="N426" s="382">
        <v>4272.4576712772077</v>
      </c>
      <c r="O426" s="382">
        <v>938.14867882514363</v>
      </c>
      <c r="P426" s="382">
        <v>2345.1447148081697</v>
      </c>
      <c r="Q426" s="382">
        <v>5515.7911582665802</v>
      </c>
      <c r="R426" s="382">
        <v>1255.4005567895558</v>
      </c>
      <c r="S426" s="382">
        <v>548.20856840057138</v>
      </c>
      <c r="T426" s="382">
        <v>1873.2954585006194</v>
      </c>
      <c r="U426" s="382">
        <v>272.14551933324185</v>
      </c>
      <c r="V426" s="382">
        <v>145.18264218445935</v>
      </c>
      <c r="W426" s="382">
        <v>39960.738519999999</v>
      </c>
      <c r="Z426" s="10"/>
      <c r="AU426" s="10"/>
      <c r="AV426" s="10"/>
      <c r="AW426" s="10"/>
      <c r="AX426" s="10"/>
      <c r="AY426" s="10"/>
      <c r="AZ426" s="10"/>
      <c r="BA426" s="10"/>
      <c r="BB426" s="10"/>
      <c r="BC426" s="10"/>
      <c r="BD426" s="10"/>
      <c r="BE426" s="10"/>
      <c r="BF426" s="10"/>
      <c r="BG426" s="10"/>
      <c r="BH426" s="10"/>
      <c r="BI426" s="10"/>
      <c r="BJ426" s="10"/>
      <c r="BK426" s="10"/>
      <c r="BL426" s="10"/>
      <c r="BM426" s="10"/>
    </row>
    <row r="427" spans="3:65">
      <c r="C427" s="382" t="s">
        <v>1161</v>
      </c>
      <c r="D427" s="382" t="s">
        <v>1171</v>
      </c>
      <c r="E427" s="382">
        <v>57427.1206003283</v>
      </c>
      <c r="F427" s="382">
        <v>10703.692374100236</v>
      </c>
      <c r="G427" s="382">
        <v>9165.4680598142058</v>
      </c>
      <c r="H427" s="382">
        <v>10463.247211390875</v>
      </c>
      <c r="I427" s="382">
        <v>15146.121445491175</v>
      </c>
      <c r="J427" s="382">
        <v>5383.6809619788637</v>
      </c>
      <c r="K427" s="382">
        <v>17786.221343814315</v>
      </c>
      <c r="L427" s="382">
        <v>11020.426423850822</v>
      </c>
      <c r="M427" s="382">
        <v>56197.122719488412</v>
      </c>
      <c r="N427" s="382">
        <v>39868.6416902946</v>
      </c>
      <c r="O427" s="382">
        <v>7522.3257340200289</v>
      </c>
      <c r="P427" s="382">
        <v>22609.40887133298</v>
      </c>
      <c r="Q427" s="382">
        <v>53064.312507485709</v>
      </c>
      <c r="R427" s="382">
        <v>12334.238168065634</v>
      </c>
      <c r="S427" s="382">
        <v>7772.1391660096788</v>
      </c>
      <c r="T427" s="382">
        <v>17726.129446763603</v>
      </c>
      <c r="U427" s="382">
        <v>3049.9452602947358</v>
      </c>
      <c r="V427" s="382">
        <v>769.98423547578773</v>
      </c>
      <c r="W427" s="382">
        <v>358010.22621999989</v>
      </c>
      <c r="Z427" s="10"/>
      <c r="AU427" s="10"/>
      <c r="AV427" s="10"/>
      <c r="AW427" s="10"/>
      <c r="AX427" s="10"/>
      <c r="AY427" s="10"/>
      <c r="AZ427" s="10"/>
      <c r="BA427" s="10"/>
      <c r="BB427" s="10"/>
      <c r="BC427" s="10"/>
      <c r="BD427" s="10"/>
      <c r="BE427" s="10"/>
      <c r="BF427" s="10"/>
      <c r="BG427" s="10"/>
      <c r="BH427" s="10"/>
      <c r="BI427" s="10"/>
      <c r="BJ427" s="10"/>
      <c r="BK427" s="10"/>
      <c r="BL427" s="10"/>
      <c r="BM427" s="10"/>
    </row>
    <row r="428" spans="3:65">
      <c r="C428" s="382" t="s">
        <v>411</v>
      </c>
      <c r="D428" s="382" t="s">
        <v>412</v>
      </c>
      <c r="E428" s="382">
        <v>18467.981441166907</v>
      </c>
      <c r="F428" s="382">
        <v>6501.8898171363317</v>
      </c>
      <c r="G428" s="382">
        <v>2659.9497110841621</v>
      </c>
      <c r="H428" s="382">
        <v>640.34754213355586</v>
      </c>
      <c r="I428" s="382">
        <v>1658.0130805767647</v>
      </c>
      <c r="J428" s="382">
        <v>1764.6728095146957</v>
      </c>
      <c r="K428" s="382">
        <v>8836.9472592842012</v>
      </c>
      <c r="L428" s="382">
        <v>3741.3713326503807</v>
      </c>
      <c r="M428" s="382">
        <v>41781.292741006415</v>
      </c>
      <c r="N428" s="382">
        <v>17325.528317081433</v>
      </c>
      <c r="O428" s="382">
        <v>1159.8895876115848</v>
      </c>
      <c r="P428" s="382">
        <v>12342.004079022865</v>
      </c>
      <c r="Q428" s="382">
        <v>19217.600725547258</v>
      </c>
      <c r="R428" s="382">
        <v>7235.32377843218</v>
      </c>
      <c r="S428" s="382">
        <v>5641.7084084831331</v>
      </c>
      <c r="T428" s="382">
        <v>15593.035309631196</v>
      </c>
      <c r="U428" s="382">
        <v>1139.5249749010729</v>
      </c>
      <c r="V428" s="382">
        <v>26.292854735835583</v>
      </c>
      <c r="W428" s="382">
        <v>165733.37376999998</v>
      </c>
      <c r="Z428" s="10"/>
      <c r="AU428" s="10"/>
      <c r="AV428" s="10"/>
      <c r="AW428" s="10"/>
      <c r="AX428" s="10"/>
      <c r="AY428" s="10"/>
      <c r="AZ428" s="10"/>
      <c r="BA428" s="10"/>
      <c r="BB428" s="10"/>
      <c r="BC428" s="10"/>
      <c r="BD428" s="10"/>
      <c r="BE428" s="10"/>
      <c r="BF428" s="10"/>
      <c r="BG428" s="10"/>
      <c r="BH428" s="10"/>
      <c r="BI428" s="10"/>
      <c r="BJ428" s="10"/>
      <c r="BK428" s="10"/>
      <c r="BL428" s="10"/>
      <c r="BM428" s="10"/>
    </row>
    <row r="429" spans="3:65">
      <c r="C429" s="382" t="s">
        <v>413</v>
      </c>
      <c r="D429" s="382" t="s">
        <v>414</v>
      </c>
      <c r="E429" s="382">
        <v>988.07349167001189</v>
      </c>
      <c r="F429" s="382">
        <v>309.38548402295783</v>
      </c>
      <c r="G429" s="382">
        <v>123.99611208089532</v>
      </c>
      <c r="H429" s="382">
        <v>40.518648590594971</v>
      </c>
      <c r="I429" s="382">
        <v>101.44447308818773</v>
      </c>
      <c r="J429" s="382">
        <v>76.425347691684891</v>
      </c>
      <c r="K429" s="382">
        <v>430.6547843207764</v>
      </c>
      <c r="L429" s="382">
        <v>195.2928104424862</v>
      </c>
      <c r="M429" s="382">
        <v>2271.1747961445544</v>
      </c>
      <c r="N429" s="382">
        <v>801.16144189126942</v>
      </c>
      <c r="O429" s="382">
        <v>46.248445885764184</v>
      </c>
      <c r="P429" s="382">
        <v>557.39949872661725</v>
      </c>
      <c r="Q429" s="382">
        <v>1334.0302602538854</v>
      </c>
      <c r="R429" s="382">
        <v>384.33645729880686</v>
      </c>
      <c r="S429" s="382">
        <v>215.01113034959471</v>
      </c>
      <c r="T429" s="382">
        <v>686.53698319323939</v>
      </c>
      <c r="U429" s="382">
        <v>48.572304849784793</v>
      </c>
      <c r="V429" s="382">
        <v>11.214029498885891</v>
      </c>
      <c r="W429" s="382">
        <v>8621.476499999997</v>
      </c>
      <c r="Z429" s="10"/>
      <c r="AU429" s="10"/>
      <c r="AV429" s="10"/>
      <c r="AW429" s="10"/>
      <c r="AX429" s="10"/>
      <c r="AY429" s="10"/>
      <c r="AZ429" s="10"/>
      <c r="BA429" s="10"/>
      <c r="BB429" s="10"/>
      <c r="BC429" s="10"/>
      <c r="BD429" s="10"/>
      <c r="BE429" s="10"/>
      <c r="BF429" s="10"/>
      <c r="BG429" s="10"/>
      <c r="BH429" s="10"/>
      <c r="BI429" s="10"/>
      <c r="BJ429" s="10"/>
      <c r="BK429" s="10"/>
      <c r="BL429" s="10"/>
      <c r="BM429" s="10"/>
    </row>
    <row r="430" spans="3:65">
      <c r="C430" s="382" t="s">
        <v>415</v>
      </c>
      <c r="D430" s="382" t="s">
        <v>896</v>
      </c>
      <c r="E430" s="382">
        <v>672.61986992156847</v>
      </c>
      <c r="F430" s="382">
        <v>140.77569196062646</v>
      </c>
      <c r="G430" s="382">
        <v>95.591150460007384</v>
      </c>
      <c r="H430" s="382">
        <v>199.24413896359522</v>
      </c>
      <c r="I430" s="382">
        <v>283.64283658168824</v>
      </c>
      <c r="J430" s="382">
        <v>53.706319230700473</v>
      </c>
      <c r="K430" s="382">
        <v>220.87776755227094</v>
      </c>
      <c r="L430" s="382">
        <v>146.93215282049482</v>
      </c>
      <c r="M430" s="382">
        <v>1040.841408120551</v>
      </c>
      <c r="N430" s="382">
        <v>498.70430700056551</v>
      </c>
      <c r="O430" s="382">
        <v>61.519680870932312</v>
      </c>
      <c r="P430" s="382">
        <v>261.7973454566602</v>
      </c>
      <c r="Q430" s="382">
        <v>968.25856198808572</v>
      </c>
      <c r="R430" s="382">
        <v>133.80313407429674</v>
      </c>
      <c r="S430" s="382">
        <v>69.407468004756964</v>
      </c>
      <c r="T430" s="382">
        <v>268.21468305456222</v>
      </c>
      <c r="U430" s="382">
        <v>30.225111230395903</v>
      </c>
      <c r="V430" s="382">
        <v>11.715192708240826</v>
      </c>
      <c r="W430" s="382">
        <v>5157.8768199999986</v>
      </c>
      <c r="Z430" s="10"/>
      <c r="AU430" s="10"/>
      <c r="AV430" s="10"/>
      <c r="AW430" s="10"/>
      <c r="AX430" s="10"/>
      <c r="AY430" s="10"/>
      <c r="AZ430" s="10"/>
      <c r="BA430" s="10"/>
      <c r="BB430" s="10"/>
      <c r="BC430" s="10"/>
      <c r="BD430" s="10"/>
      <c r="BE430" s="10"/>
      <c r="BF430" s="10"/>
      <c r="BG430" s="10"/>
      <c r="BH430" s="10"/>
      <c r="BI430" s="10"/>
      <c r="BJ430" s="10"/>
      <c r="BK430" s="10"/>
      <c r="BL430" s="10"/>
      <c r="BM430" s="10"/>
    </row>
    <row r="431" spans="3:65">
      <c r="C431" s="382" t="s">
        <v>416</v>
      </c>
      <c r="D431" s="382" t="s">
        <v>417</v>
      </c>
      <c r="E431" s="382">
        <v>10962.500474915771</v>
      </c>
      <c r="F431" s="382">
        <v>1153.3047371251064</v>
      </c>
      <c r="G431" s="382">
        <v>959.77341193311918</v>
      </c>
      <c r="H431" s="382">
        <v>8954.4752154060698</v>
      </c>
      <c r="I431" s="382">
        <v>11064.670237954855</v>
      </c>
      <c r="J431" s="382">
        <v>524.01672582269998</v>
      </c>
      <c r="K431" s="382">
        <v>1858.8421453600088</v>
      </c>
      <c r="L431" s="382">
        <v>1226.0638381690319</v>
      </c>
      <c r="M431" s="382">
        <v>17668.03068086756</v>
      </c>
      <c r="N431" s="382">
        <v>6501.9290101537317</v>
      </c>
      <c r="O431" s="382">
        <v>640.77816606330111</v>
      </c>
      <c r="P431" s="382">
        <v>4637.9089952915238</v>
      </c>
      <c r="Q431" s="382">
        <v>9172.7617198883581</v>
      </c>
      <c r="R431" s="382">
        <v>1220.3416913671579</v>
      </c>
      <c r="S431" s="382">
        <v>694.90725759508791</v>
      </c>
      <c r="T431" s="382">
        <v>2514.1530666063013</v>
      </c>
      <c r="U431" s="382">
        <v>209.18792910697434</v>
      </c>
      <c r="V431" s="382">
        <v>235.347984217858</v>
      </c>
      <c r="W431" s="382">
        <v>80198.993287844525</v>
      </c>
      <c r="Z431" s="10"/>
      <c r="AU431" s="10"/>
      <c r="AV431" s="10"/>
      <c r="AW431" s="10"/>
      <c r="AX431" s="10"/>
      <c r="AY431" s="10"/>
      <c r="AZ431" s="10"/>
      <c r="BA431" s="10"/>
      <c r="BB431" s="10"/>
      <c r="BC431" s="10"/>
      <c r="BD431" s="10"/>
      <c r="BE431" s="10"/>
      <c r="BF431" s="10"/>
      <c r="BG431" s="10"/>
      <c r="BH431" s="10"/>
      <c r="BI431" s="10"/>
      <c r="BJ431" s="10"/>
      <c r="BK431" s="10"/>
      <c r="BL431" s="10"/>
      <c r="BM431" s="10"/>
    </row>
    <row r="432" spans="3:65">
      <c r="C432" s="382" t="s">
        <v>897</v>
      </c>
      <c r="D432" s="382" t="s">
        <v>898</v>
      </c>
      <c r="E432" s="382">
        <v>14953.494787260963</v>
      </c>
      <c r="F432" s="382">
        <v>6901.7894371543216</v>
      </c>
      <c r="G432" s="382">
        <v>3826.462775187073</v>
      </c>
      <c r="H432" s="382">
        <v>1666.8120232801937</v>
      </c>
      <c r="I432" s="382">
        <v>2729.8277428333877</v>
      </c>
      <c r="J432" s="382">
        <v>2309.181876513755</v>
      </c>
      <c r="K432" s="382">
        <v>9892.9289176878865</v>
      </c>
      <c r="L432" s="382">
        <v>6763.9682409716952</v>
      </c>
      <c r="M432" s="382">
        <v>35452.434999819256</v>
      </c>
      <c r="N432" s="382">
        <v>15665.316240104112</v>
      </c>
      <c r="O432" s="382">
        <v>2051.5521508874672</v>
      </c>
      <c r="P432" s="382">
        <v>9106.7703719770088</v>
      </c>
      <c r="Q432" s="382">
        <v>17900.108289050357</v>
      </c>
      <c r="R432" s="382">
        <v>4282.2977533167041</v>
      </c>
      <c r="S432" s="382">
        <v>5090.5041119907455</v>
      </c>
      <c r="T432" s="382">
        <v>15620.683850269314</v>
      </c>
      <c r="U432" s="382">
        <v>1937.9700827820554</v>
      </c>
      <c r="V432" s="382">
        <v>147.89634891371145</v>
      </c>
      <c r="W432" s="382">
        <v>156300.00000000003</v>
      </c>
      <c r="Z432" s="10"/>
      <c r="AU432" s="10"/>
      <c r="AV432" s="10"/>
      <c r="AW432" s="10"/>
      <c r="AX432" s="10"/>
      <c r="AY432" s="10"/>
      <c r="AZ432" s="10"/>
      <c r="BA432" s="10"/>
      <c r="BB432" s="10"/>
      <c r="BC432" s="10"/>
      <c r="BD432" s="10"/>
      <c r="BE432" s="10"/>
      <c r="BF432" s="10"/>
      <c r="BG432" s="10"/>
      <c r="BH432" s="10"/>
      <c r="BI432" s="10"/>
      <c r="BJ432" s="10"/>
      <c r="BK432" s="10"/>
      <c r="BL432" s="10"/>
      <c r="BM432" s="10"/>
    </row>
    <row r="433" spans="3:65">
      <c r="C433" s="382" t="s">
        <v>418</v>
      </c>
      <c r="D433" s="382" t="s">
        <v>899</v>
      </c>
      <c r="E433" s="382">
        <v>2159.6898543131365</v>
      </c>
      <c r="F433" s="382">
        <v>1630.8415774902319</v>
      </c>
      <c r="G433" s="382">
        <v>308.47284781343996</v>
      </c>
      <c r="H433" s="382">
        <v>28.424875073364092</v>
      </c>
      <c r="I433" s="382">
        <v>59.703962648616312</v>
      </c>
      <c r="J433" s="382">
        <v>783.72408410991738</v>
      </c>
      <c r="K433" s="382">
        <v>456.51681441291259</v>
      </c>
      <c r="L433" s="382">
        <v>544.69284032488872</v>
      </c>
      <c r="M433" s="382">
        <v>9925.6673408046026</v>
      </c>
      <c r="N433" s="382">
        <v>1984.7215268969453</v>
      </c>
      <c r="O433" s="382">
        <v>23.595227038849572</v>
      </c>
      <c r="P433" s="382">
        <v>645.61369326098054</v>
      </c>
      <c r="Q433" s="382">
        <v>10733.430407021933</v>
      </c>
      <c r="R433" s="382">
        <v>149.17391446499434</v>
      </c>
      <c r="S433" s="382">
        <v>733.04745154998841</v>
      </c>
      <c r="T433" s="382">
        <v>5340.8881988609246</v>
      </c>
      <c r="U433" s="382">
        <v>124.05830959759979</v>
      </c>
      <c r="V433" s="382">
        <v>1.585304316672705</v>
      </c>
      <c r="W433" s="382">
        <v>35633.848229999996</v>
      </c>
      <c r="Z433" s="10"/>
      <c r="AU433" s="10"/>
      <c r="AV433" s="10"/>
      <c r="AW433" s="10"/>
      <c r="AX433" s="10"/>
      <c r="AY433" s="10"/>
      <c r="AZ433" s="10"/>
      <c r="BA433" s="10"/>
      <c r="BB433" s="10"/>
      <c r="BC433" s="10"/>
      <c r="BD433" s="10"/>
      <c r="BE433" s="10"/>
      <c r="BF433" s="10"/>
      <c r="BG433" s="10"/>
      <c r="BH433" s="10"/>
      <c r="BI433" s="10"/>
      <c r="BJ433" s="10"/>
      <c r="BK433" s="10"/>
      <c r="BL433" s="10"/>
      <c r="BM433" s="10"/>
    </row>
    <row r="434" spans="3:65">
      <c r="C434" s="382" t="s">
        <v>419</v>
      </c>
      <c r="D434" s="382" t="s">
        <v>420</v>
      </c>
      <c r="E434" s="382">
        <v>4090.183601801828</v>
      </c>
      <c r="F434" s="382">
        <v>739.91431401008833</v>
      </c>
      <c r="G434" s="382">
        <v>338.29847612832947</v>
      </c>
      <c r="H434" s="382">
        <v>457.51676196508606</v>
      </c>
      <c r="I434" s="382">
        <v>1153.9895377648904</v>
      </c>
      <c r="J434" s="382">
        <v>225.64192181184325</v>
      </c>
      <c r="K434" s="382">
        <v>1147.2683459228078</v>
      </c>
      <c r="L434" s="382">
        <v>942.17034827276302</v>
      </c>
      <c r="M434" s="382">
        <v>12865.071754917561</v>
      </c>
      <c r="N434" s="382">
        <v>3023.8324785003097</v>
      </c>
      <c r="O434" s="382">
        <v>394.92905837555537</v>
      </c>
      <c r="P434" s="382">
        <v>1121.2582985736487</v>
      </c>
      <c r="Q434" s="382">
        <v>9174.732466251935</v>
      </c>
      <c r="R434" s="382">
        <v>713.65556746294851</v>
      </c>
      <c r="S434" s="382">
        <v>691.46971878652721</v>
      </c>
      <c r="T434" s="382">
        <v>2778.9888980809474</v>
      </c>
      <c r="U434" s="382">
        <v>97.292609354493564</v>
      </c>
      <c r="V434" s="382">
        <v>47.541352018437721</v>
      </c>
      <c r="W434" s="382">
        <v>40003.755509999995</v>
      </c>
      <c r="Z434" s="10"/>
      <c r="AU434" s="10"/>
      <c r="AV434" s="10"/>
      <c r="AW434" s="10"/>
      <c r="AX434" s="10"/>
      <c r="AY434" s="10"/>
      <c r="AZ434" s="10"/>
      <c r="BA434" s="10"/>
      <c r="BB434" s="10"/>
      <c r="BC434" s="10"/>
      <c r="BD434" s="10"/>
      <c r="BE434" s="10"/>
      <c r="BF434" s="10"/>
      <c r="BG434" s="10"/>
      <c r="BH434" s="10"/>
      <c r="BI434" s="10"/>
      <c r="BJ434" s="10"/>
      <c r="BK434" s="10"/>
      <c r="BL434" s="10"/>
      <c r="BM434" s="10"/>
    </row>
    <row r="435" spans="3:65">
      <c r="C435" s="426" t="s">
        <v>421</v>
      </c>
      <c r="D435" s="382" t="s">
        <v>900</v>
      </c>
      <c r="E435" s="382">
        <v>5581.9177893321021</v>
      </c>
      <c r="F435" s="382">
        <v>878.16190237425417</v>
      </c>
      <c r="G435" s="382">
        <v>701.99775399520877</v>
      </c>
      <c r="H435" s="382">
        <v>733.53837485777478</v>
      </c>
      <c r="I435" s="382">
        <v>1397.0688373453129</v>
      </c>
      <c r="J435" s="382">
        <v>389.98361728122342</v>
      </c>
      <c r="K435" s="382">
        <v>1650.1356746257404</v>
      </c>
      <c r="L435" s="382">
        <v>1374.703422161957</v>
      </c>
      <c r="M435" s="382">
        <v>4992.4285157091927</v>
      </c>
      <c r="N435" s="382">
        <v>3317.4971608624946</v>
      </c>
      <c r="O435" s="382">
        <v>728.4579082883979</v>
      </c>
      <c r="P435" s="382">
        <v>1820.9685225183362</v>
      </c>
      <c r="Q435" s="382">
        <v>4282.9263424837263</v>
      </c>
      <c r="R435" s="382">
        <v>974.79907428773322</v>
      </c>
      <c r="S435" s="382">
        <v>425.6754564137583</v>
      </c>
      <c r="T435" s="382">
        <v>1454.584888414963</v>
      </c>
      <c r="U435" s="382">
        <v>211.31677764746198</v>
      </c>
      <c r="V435" s="382">
        <v>112.732071400365</v>
      </c>
      <c r="W435" s="382">
        <v>31028.894090000005</v>
      </c>
      <c r="Z435" s="10"/>
      <c r="AU435" s="10"/>
      <c r="AV435" s="10"/>
      <c r="AW435" s="10"/>
      <c r="AX435" s="10"/>
      <c r="AY435" s="10"/>
      <c r="AZ435" s="10"/>
      <c r="BA435" s="10"/>
      <c r="BB435" s="10"/>
      <c r="BC435" s="10"/>
      <c r="BD435" s="10"/>
      <c r="BE435" s="10"/>
      <c r="BF435" s="10"/>
      <c r="BG435" s="10"/>
      <c r="BH435" s="10"/>
      <c r="BI435" s="10"/>
      <c r="BJ435" s="10"/>
      <c r="BK435" s="10"/>
      <c r="BL435" s="10"/>
      <c r="BM435" s="10"/>
    </row>
    <row r="436" spans="3:65">
      <c r="C436" s="426" t="s">
        <v>1221</v>
      </c>
      <c r="D436" s="382" t="s">
        <v>1222</v>
      </c>
      <c r="E436" s="382">
        <v>372647.32666234038</v>
      </c>
      <c r="F436" s="382">
        <v>96625.707363384543</v>
      </c>
      <c r="G436" s="382">
        <v>101401.10004513491</v>
      </c>
      <c r="H436" s="382">
        <v>54765.026956007976</v>
      </c>
      <c r="I436" s="382">
        <v>84133.201662049862</v>
      </c>
      <c r="J436" s="382">
        <v>42105.823768862712</v>
      </c>
      <c r="K436" s="382">
        <v>126719.50641942545</v>
      </c>
      <c r="L436" s="382">
        <v>109618.30552215099</v>
      </c>
      <c r="M436" s="382">
        <v>453760.36211088079</v>
      </c>
      <c r="N436" s="382">
        <v>256969.07724425159</v>
      </c>
      <c r="O436" s="382">
        <v>42086.212299943822</v>
      </c>
      <c r="P436" s="382">
        <v>190731.34097069135</v>
      </c>
      <c r="Q436" s="382">
        <v>282846.41048273054</v>
      </c>
      <c r="R436" s="382">
        <v>84015.532848536503</v>
      </c>
      <c r="S436" s="382">
        <v>46557.627213451364</v>
      </c>
      <c r="T436" s="382">
        <v>165707.10663018422</v>
      </c>
      <c r="U436" s="382">
        <v>16179.46185808651</v>
      </c>
      <c r="V436" s="382">
        <v>4138.0199418863685</v>
      </c>
      <c r="W436" s="382">
        <v>2531007.15</v>
      </c>
      <c r="Z436" s="10"/>
      <c r="AU436" s="10"/>
      <c r="AV436" s="10"/>
      <c r="AW436" s="10"/>
      <c r="AX436" s="10"/>
      <c r="AY436" s="10"/>
      <c r="AZ436" s="10"/>
      <c r="BA436" s="10"/>
      <c r="BB436" s="10"/>
      <c r="BC436" s="10"/>
      <c r="BD436" s="10"/>
      <c r="BE436" s="10"/>
      <c r="BF436" s="10"/>
      <c r="BG436" s="10"/>
      <c r="BH436" s="10"/>
      <c r="BI436" s="10"/>
      <c r="BJ436" s="10"/>
      <c r="BK436" s="10"/>
      <c r="BL436" s="10"/>
      <c r="BM436" s="10"/>
    </row>
    <row r="437" spans="3:65">
      <c r="C437" s="426" t="s">
        <v>422</v>
      </c>
      <c r="D437" s="382" t="s">
        <v>901</v>
      </c>
      <c r="E437" s="382">
        <v>1103.8489311735236</v>
      </c>
      <c r="F437" s="382">
        <v>232.6228249274713</v>
      </c>
      <c r="G437" s="382">
        <v>183.44777513850593</v>
      </c>
      <c r="H437" s="382">
        <v>278.57807554905543</v>
      </c>
      <c r="I437" s="382">
        <v>97.218651384212023</v>
      </c>
      <c r="J437" s="382">
        <v>103.0933603846626</v>
      </c>
      <c r="K437" s="382">
        <v>398.76224099677199</v>
      </c>
      <c r="L437" s="382">
        <v>342.41166298646232</v>
      </c>
      <c r="M437" s="382">
        <v>1380.5383225985781</v>
      </c>
      <c r="N437" s="382">
        <v>895.6757653472946</v>
      </c>
      <c r="O437" s="382">
        <v>190.488443864392</v>
      </c>
      <c r="P437" s="382">
        <v>409.40553682318028</v>
      </c>
      <c r="Q437" s="382">
        <v>946.36586887491683</v>
      </c>
      <c r="R437" s="382">
        <v>255.37322440760551</v>
      </c>
      <c r="S437" s="382">
        <v>155.2908426632024</v>
      </c>
      <c r="T437" s="382">
        <v>397.71244368952341</v>
      </c>
      <c r="U437" s="382">
        <v>52.78214007891026</v>
      </c>
      <c r="V437" s="382">
        <v>8.6073491117314305</v>
      </c>
      <c r="W437" s="382">
        <v>7432.2234600000002</v>
      </c>
      <c r="Z437" s="10"/>
      <c r="AU437" s="10"/>
      <c r="AV437" s="10"/>
      <c r="AW437" s="10"/>
      <c r="AX437" s="10"/>
      <c r="AY437" s="10"/>
      <c r="AZ437" s="10"/>
      <c r="BA437" s="10"/>
      <c r="BB437" s="10"/>
      <c r="BC437" s="10"/>
      <c r="BD437" s="10"/>
      <c r="BE437" s="10"/>
      <c r="BF437" s="10"/>
      <c r="BG437" s="10"/>
      <c r="BH437" s="10"/>
      <c r="BI437" s="10"/>
      <c r="BJ437" s="10"/>
      <c r="BK437" s="10"/>
      <c r="BL437" s="10"/>
      <c r="BM437" s="10"/>
    </row>
    <row r="438" spans="3:65">
      <c r="C438" s="426" t="s">
        <v>423</v>
      </c>
      <c r="D438" s="382" t="s">
        <v>902</v>
      </c>
      <c r="E438" s="382">
        <v>22.789706827078277</v>
      </c>
      <c r="F438" s="382">
        <v>7.2807240789708443</v>
      </c>
      <c r="G438" s="382">
        <v>5.2662487794611943</v>
      </c>
      <c r="H438" s="382">
        <v>3.3423479386782158</v>
      </c>
      <c r="I438" s="382">
        <v>5.0369222652736063</v>
      </c>
      <c r="J438" s="382">
        <v>2.8361173824965165</v>
      </c>
      <c r="K438" s="382">
        <v>10.644057309829082</v>
      </c>
      <c r="L438" s="382">
        <v>7.2947602532793114</v>
      </c>
      <c r="M438" s="382">
        <v>40.025030440877963</v>
      </c>
      <c r="N438" s="382">
        <v>19.128742607742666</v>
      </c>
      <c r="O438" s="382">
        <v>2.8116649005248142</v>
      </c>
      <c r="P438" s="382">
        <v>15.386593002972113</v>
      </c>
      <c r="Q438" s="382">
        <v>24.45120000585548</v>
      </c>
      <c r="R438" s="382">
        <v>5.8616896508311607</v>
      </c>
      <c r="S438" s="382">
        <v>5.2466252504209701</v>
      </c>
      <c r="T438" s="382">
        <v>21.313246343844252</v>
      </c>
      <c r="U438" s="382">
        <v>1.9858013964615548</v>
      </c>
      <c r="V438" s="382">
        <v>0.25526156540199169</v>
      </c>
      <c r="W438" s="382">
        <v>200.95674</v>
      </c>
      <c r="Z438" s="10"/>
      <c r="AU438" s="10"/>
      <c r="AV438" s="10"/>
      <c r="AW438" s="10"/>
      <c r="AX438" s="10"/>
      <c r="AY438" s="10"/>
      <c r="AZ438" s="10"/>
      <c r="BA438" s="10"/>
      <c r="BB438" s="10"/>
      <c r="BC438" s="10"/>
      <c r="BD438" s="10"/>
      <c r="BE438" s="10"/>
      <c r="BF438" s="10"/>
      <c r="BG438" s="10"/>
      <c r="BH438" s="10"/>
      <c r="BI438" s="10"/>
      <c r="BJ438" s="10"/>
      <c r="BK438" s="10"/>
      <c r="BL438" s="10"/>
      <c r="BM438" s="10"/>
    </row>
    <row r="439" spans="3:65">
      <c r="C439" s="426"/>
      <c r="D439" s="382" t="s">
        <v>668</v>
      </c>
      <c r="E439" s="382">
        <v>516291.61403498438</v>
      </c>
      <c r="F439" s="382">
        <v>129560.55989121993</v>
      </c>
      <c r="G439" s="382">
        <v>129227.58263277977</v>
      </c>
      <c r="H439" s="382">
        <v>83931.910998385429</v>
      </c>
      <c r="I439" s="382">
        <v>128967.79344953169</v>
      </c>
      <c r="J439" s="382">
        <v>56163.529844165372</v>
      </c>
      <c r="K439" s="382">
        <v>175411.84515872013</v>
      </c>
      <c r="L439" s="382">
        <v>140811.43500018967</v>
      </c>
      <c r="M439" s="382">
        <v>665918.26524632808</v>
      </c>
      <c r="N439" s="382">
        <v>360284.03244562767</v>
      </c>
      <c r="O439" s="382">
        <v>56877.105602895499</v>
      </c>
      <c r="P439" s="382">
        <v>289255.74613797857</v>
      </c>
      <c r="Q439" s="382">
        <v>435872.98931734072</v>
      </c>
      <c r="R439" s="382">
        <v>119601.75642856493</v>
      </c>
      <c r="S439" s="382">
        <v>70449.351901520655</v>
      </c>
      <c r="T439" s="382">
        <v>280688.82522806426</v>
      </c>
      <c r="U439" s="382">
        <v>24087.853677984836</v>
      </c>
      <c r="V439" s="382">
        <v>5795.2426815627823</v>
      </c>
      <c r="W439" s="382">
        <v>3669197.4396778443</v>
      </c>
      <c r="Z439" s="10"/>
      <c r="AU439" s="10"/>
      <c r="AV439" s="10"/>
      <c r="AW439" s="10"/>
      <c r="AX439" s="10"/>
      <c r="AY439" s="10"/>
      <c r="AZ439" s="10"/>
      <c r="BA439" s="10"/>
      <c r="BB439" s="10"/>
      <c r="BC439" s="10"/>
      <c r="BD439" s="10"/>
      <c r="BE439" s="10"/>
      <c r="BF439" s="10"/>
      <c r="BG439" s="10"/>
      <c r="BH439" s="10"/>
      <c r="BI439" s="10"/>
      <c r="BJ439" s="10"/>
      <c r="BK439" s="10"/>
      <c r="BL439" s="10"/>
      <c r="BM439" s="10"/>
    </row>
    <row r="440" spans="3:65">
      <c r="C440" s="426" t="s">
        <v>655</v>
      </c>
      <c r="D440" s="382" t="s">
        <v>69</v>
      </c>
      <c r="E440" s="382" t="s">
        <v>9</v>
      </c>
      <c r="F440" s="382" t="s">
        <v>10</v>
      </c>
      <c r="G440" s="382" t="s">
        <v>11</v>
      </c>
      <c r="H440" s="382" t="s">
        <v>31</v>
      </c>
      <c r="I440" s="382" t="s">
        <v>12</v>
      </c>
      <c r="J440" s="382" t="s">
        <v>13</v>
      </c>
      <c r="K440" s="382" t="s">
        <v>14</v>
      </c>
      <c r="L440" s="382" t="s">
        <v>15</v>
      </c>
      <c r="M440" s="382" t="s">
        <v>16</v>
      </c>
      <c r="N440" s="382" t="s">
        <v>17</v>
      </c>
      <c r="O440" s="382" t="s">
        <v>18</v>
      </c>
      <c r="P440" s="382" t="s">
        <v>19</v>
      </c>
      <c r="Q440" s="382" t="s">
        <v>20</v>
      </c>
      <c r="R440" s="382" t="s">
        <v>60</v>
      </c>
      <c r="S440" s="382" t="s">
        <v>61</v>
      </c>
      <c r="T440" s="382" t="s">
        <v>62</v>
      </c>
      <c r="U440" s="382" t="s">
        <v>63</v>
      </c>
      <c r="V440" s="382" t="s">
        <v>64</v>
      </c>
      <c r="W440" s="382" t="s">
        <v>656</v>
      </c>
      <c r="Z440" s="10"/>
      <c r="AU440" s="10"/>
      <c r="AV440" s="10"/>
      <c r="AW440" s="10"/>
      <c r="AX440" s="10"/>
      <c r="AY440" s="10"/>
      <c r="AZ440" s="10"/>
      <c r="BA440" s="10"/>
      <c r="BB440" s="10"/>
      <c r="BC440" s="10"/>
      <c r="BD440" s="10"/>
      <c r="BE440" s="10"/>
      <c r="BF440" s="10"/>
      <c r="BG440" s="10"/>
      <c r="BH440" s="10"/>
      <c r="BI440" s="10"/>
      <c r="BJ440" s="10"/>
      <c r="BK440" s="10"/>
      <c r="BL440" s="10"/>
      <c r="BM440" s="10"/>
    </row>
    <row r="441" spans="3:65">
      <c r="C441" s="426" t="s">
        <v>625</v>
      </c>
      <c r="D441" s="382" t="s">
        <v>903</v>
      </c>
      <c r="E441" s="382">
        <v>5562186.6779369516</v>
      </c>
      <c r="F441" s="382">
        <v>1037996.3022214094</v>
      </c>
      <c r="G441" s="382">
        <v>990415.43762131757</v>
      </c>
      <c r="H441" s="382">
        <v>594545.00601020234</v>
      </c>
      <c r="I441" s="382">
        <v>1572629.6339218353</v>
      </c>
      <c r="J441" s="382">
        <v>475548.63206421607</v>
      </c>
      <c r="K441" s="382">
        <v>2077657.3415604308</v>
      </c>
      <c r="L441" s="382">
        <v>1369237.6009973073</v>
      </c>
      <c r="M441" s="382">
        <v>4950070.7601980641</v>
      </c>
      <c r="N441" s="382">
        <v>3015483.0659093764</v>
      </c>
      <c r="O441" s="382">
        <v>866753.20176212513</v>
      </c>
      <c r="P441" s="382">
        <v>2209237.7416053149</v>
      </c>
      <c r="Q441" s="382">
        <v>3814166.5532830614</v>
      </c>
      <c r="R441" s="382">
        <v>883114.79885324137</v>
      </c>
      <c r="S441" s="382">
        <v>335557.01380790467</v>
      </c>
      <c r="T441" s="382">
        <v>1455319.7236931771</v>
      </c>
      <c r="U441" s="382">
        <v>237502.82333509979</v>
      </c>
      <c r="V441" s="382">
        <v>205254.16255897121</v>
      </c>
      <c r="W441" s="382">
        <v>31652676.477340005</v>
      </c>
      <c r="Z441" s="10"/>
      <c r="AU441" s="10"/>
      <c r="AV441" s="10"/>
      <c r="AW441" s="10"/>
      <c r="AX441" s="10"/>
      <c r="AY441" s="10"/>
      <c r="AZ441" s="10"/>
      <c r="BA441" s="10"/>
      <c r="BB441" s="10"/>
      <c r="BC441" s="10"/>
      <c r="BD441" s="10"/>
      <c r="BE441" s="10"/>
      <c r="BF441" s="10"/>
      <c r="BG441" s="10"/>
      <c r="BH441" s="10"/>
      <c r="BI441" s="10"/>
      <c r="BJ441" s="10"/>
      <c r="BK441" s="10"/>
      <c r="BL441" s="10"/>
      <c r="BM441" s="10"/>
    </row>
    <row r="442" spans="3:65">
      <c r="C442" s="426" t="s">
        <v>626</v>
      </c>
      <c r="D442" s="382" t="s">
        <v>904</v>
      </c>
      <c r="E442" s="382">
        <v>15010.190416816904</v>
      </c>
      <c r="F442" s="382">
        <v>2801.1505277406641</v>
      </c>
      <c r="G442" s="382">
        <v>2672.7481782335703</v>
      </c>
      <c r="H442" s="382">
        <v>1604.447004085584</v>
      </c>
      <c r="I442" s="382">
        <v>4243.9190964103382</v>
      </c>
      <c r="J442" s="382">
        <v>1283.3218180279125</v>
      </c>
      <c r="K442" s="382">
        <v>5606.7935370494888</v>
      </c>
      <c r="L442" s="382">
        <v>3695.0426706027429</v>
      </c>
      <c r="M442" s="382">
        <v>13358.326318319369</v>
      </c>
      <c r="N442" s="382">
        <v>8137.6224206079487</v>
      </c>
      <c r="O442" s="382">
        <v>2339.0316356050021</v>
      </c>
      <c r="P442" s="382">
        <v>5961.8781421075864</v>
      </c>
      <c r="Q442" s="382">
        <v>10292.960226115218</v>
      </c>
      <c r="R442" s="382">
        <v>2383.185257567216</v>
      </c>
      <c r="S442" s="382">
        <v>905.53858843574062</v>
      </c>
      <c r="T442" s="382">
        <v>3927.3450236097174</v>
      </c>
      <c r="U442" s="382">
        <v>640.9282552367946</v>
      </c>
      <c r="V442" s="382">
        <v>553.90159342821164</v>
      </c>
      <c r="W442" s="382">
        <v>85418.330709999995</v>
      </c>
      <c r="Z442" s="10"/>
      <c r="AU442" s="10"/>
      <c r="AV442" s="10"/>
      <c r="AW442" s="10"/>
      <c r="AX442" s="10"/>
      <c r="AY442" s="10"/>
      <c r="AZ442" s="10"/>
      <c r="BA442" s="10"/>
      <c r="BB442" s="10"/>
      <c r="BC442" s="10"/>
      <c r="BD442" s="10"/>
      <c r="BE442" s="10"/>
      <c r="BF442" s="10"/>
      <c r="BG442" s="10"/>
      <c r="BH442" s="10"/>
      <c r="BI442" s="10"/>
      <c r="BJ442" s="10"/>
      <c r="BK442" s="10"/>
      <c r="BL442" s="10"/>
      <c r="BM442" s="10"/>
    </row>
    <row r="443" spans="3:65">
      <c r="C443" s="426"/>
      <c r="D443" s="382" t="s">
        <v>668</v>
      </c>
      <c r="E443" s="382">
        <v>5577196.8683537683</v>
      </c>
      <c r="F443" s="382">
        <v>1040797.4527491501</v>
      </c>
      <c r="G443" s="382">
        <v>993088.1857995512</v>
      </c>
      <c r="H443" s="382">
        <v>596149.45301428798</v>
      </c>
      <c r="I443" s="382">
        <v>1576873.5530182456</v>
      </c>
      <c r="J443" s="382">
        <v>476831.95388224401</v>
      </c>
      <c r="K443" s="382">
        <v>2083264.1350974804</v>
      </c>
      <c r="L443" s="382">
        <v>1372932.64366791</v>
      </c>
      <c r="M443" s="382">
        <v>4963429.0865163831</v>
      </c>
      <c r="N443" s="382">
        <v>3023620.6883299844</v>
      </c>
      <c r="O443" s="382">
        <v>869092.23339773016</v>
      </c>
      <c r="P443" s="382">
        <v>2215199.6197474226</v>
      </c>
      <c r="Q443" s="382">
        <v>3824459.5135091767</v>
      </c>
      <c r="R443" s="382">
        <v>885497.98411080858</v>
      </c>
      <c r="S443" s="382">
        <v>336462.55239634041</v>
      </c>
      <c r="T443" s="382">
        <v>1459247.0687167868</v>
      </c>
      <c r="U443" s="382">
        <v>238143.75159033659</v>
      </c>
      <c r="V443" s="382">
        <v>205808.06415239943</v>
      </c>
      <c r="W443" s="382">
        <v>31738094.808050007</v>
      </c>
      <c r="Z443" s="10"/>
      <c r="AU443" s="432"/>
      <c r="AV443" s="432"/>
      <c r="AW443" s="432"/>
      <c r="AX443" s="432"/>
      <c r="AY443" s="432"/>
      <c r="AZ443" s="432"/>
      <c r="BA443" s="432"/>
      <c r="BB443" s="432"/>
      <c r="BC443" s="432"/>
      <c r="BD443" s="432"/>
      <c r="BE443" s="432"/>
      <c r="BF443" s="432"/>
      <c r="BG443" s="432"/>
      <c r="BH443" s="432"/>
      <c r="BI443" s="432"/>
      <c r="BJ443" s="432"/>
      <c r="BK443" s="432"/>
      <c r="BL443" s="432"/>
      <c r="BM443" s="10"/>
    </row>
    <row r="444" spans="3:65">
      <c r="C444" s="426"/>
      <c r="D444" s="382" t="s">
        <v>905</v>
      </c>
      <c r="E444" s="382" t="s">
        <v>9</v>
      </c>
      <c r="F444" s="382" t="s">
        <v>10</v>
      </c>
      <c r="G444" s="382" t="s">
        <v>11</v>
      </c>
      <c r="H444" s="382" t="s">
        <v>31</v>
      </c>
      <c r="I444" s="382" t="s">
        <v>12</v>
      </c>
      <c r="J444" s="382" t="s">
        <v>13</v>
      </c>
      <c r="K444" s="382" t="s">
        <v>14</v>
      </c>
      <c r="L444" s="382" t="s">
        <v>15</v>
      </c>
      <c r="M444" s="382" t="s">
        <v>16</v>
      </c>
      <c r="N444" s="382" t="s">
        <v>17</v>
      </c>
      <c r="O444" s="382" t="s">
        <v>18</v>
      </c>
      <c r="P444" s="382" t="s">
        <v>19</v>
      </c>
      <c r="Q444" s="382" t="s">
        <v>20</v>
      </c>
      <c r="R444" s="382" t="s">
        <v>60</v>
      </c>
      <c r="S444" s="382" t="s">
        <v>61</v>
      </c>
      <c r="T444" s="382" t="s">
        <v>62</v>
      </c>
      <c r="U444" s="382" t="s">
        <v>63</v>
      </c>
      <c r="V444" s="382" t="s">
        <v>64</v>
      </c>
      <c r="W444" s="382" t="s">
        <v>656</v>
      </c>
      <c r="Z444" s="10"/>
      <c r="AU444" s="10"/>
      <c r="AV444" s="10"/>
      <c r="AW444" s="10"/>
      <c r="AX444" s="10"/>
      <c r="AY444" s="10"/>
      <c r="AZ444" s="10"/>
      <c r="BA444" s="10"/>
      <c r="BB444" s="10"/>
      <c r="BC444" s="10"/>
      <c r="BD444" s="10"/>
      <c r="BE444" s="10"/>
      <c r="BF444" s="10"/>
      <c r="BG444" s="10"/>
      <c r="BH444" s="10"/>
      <c r="BI444" s="10"/>
      <c r="BJ444" s="10"/>
      <c r="BK444" s="10"/>
      <c r="BL444" s="10"/>
      <c r="BM444" s="10"/>
    </row>
    <row r="445" spans="3:65">
      <c r="C445" s="426" t="s">
        <v>427</v>
      </c>
      <c r="D445" s="382" t="s">
        <v>906</v>
      </c>
      <c r="E445" s="382">
        <v>8893313.9516961724</v>
      </c>
      <c r="F445" s="382">
        <v>2413470.8375452645</v>
      </c>
      <c r="G445" s="382">
        <v>1905857.8500110633</v>
      </c>
      <c r="H445" s="382">
        <v>1870749.5667488335</v>
      </c>
      <c r="I445" s="382">
        <v>2481095.850185845</v>
      </c>
      <c r="J445" s="382">
        <v>986082.81582601042</v>
      </c>
      <c r="K445" s="382">
        <v>3876475.001037986</v>
      </c>
      <c r="L445" s="382">
        <v>2365631.8352185315</v>
      </c>
      <c r="M445" s="382">
        <v>15915484.397164498</v>
      </c>
      <c r="N445" s="382">
        <v>6703541.4714265727</v>
      </c>
      <c r="O445" s="382">
        <v>1071476.3977709911</v>
      </c>
      <c r="P445" s="382">
        <v>3886554.1731698001</v>
      </c>
      <c r="Q445" s="382">
        <v>18631771.054538198</v>
      </c>
      <c r="R445" s="382">
        <v>1635949.3464307848</v>
      </c>
      <c r="S445" s="382">
        <v>1405959.0288910526</v>
      </c>
      <c r="T445" s="382">
        <v>5258275.3891569432</v>
      </c>
      <c r="U445" s="382">
        <v>539052.47643752047</v>
      </c>
      <c r="V445" s="382">
        <v>170953.82679766283</v>
      </c>
      <c r="W445" s="382">
        <v>80011695.270053729</v>
      </c>
      <c r="Z445" s="10"/>
      <c r="AU445" s="10"/>
      <c r="AV445" s="10"/>
      <c r="AW445" s="10"/>
      <c r="AX445" s="10"/>
      <c r="AY445" s="10"/>
      <c r="AZ445" s="10"/>
      <c r="BA445" s="10"/>
      <c r="BB445" s="10"/>
      <c r="BC445" s="10"/>
      <c r="BD445" s="10"/>
      <c r="BE445" s="10"/>
      <c r="BF445" s="10"/>
      <c r="BG445" s="10"/>
      <c r="BH445" s="10"/>
      <c r="BI445" s="10"/>
      <c r="BJ445" s="10"/>
      <c r="BK445" s="10"/>
      <c r="BL445" s="10"/>
      <c r="BM445" s="10"/>
    </row>
    <row r="446" spans="3:65">
      <c r="C446" s="426" t="s">
        <v>428</v>
      </c>
      <c r="D446" s="382" t="s">
        <v>907</v>
      </c>
      <c r="E446" s="382">
        <v>2615305.3045615433</v>
      </c>
      <c r="F446" s="382">
        <v>621157.90155496844</v>
      </c>
      <c r="G446" s="382">
        <v>446055.15109435644</v>
      </c>
      <c r="H446" s="382">
        <v>492760.78085885488</v>
      </c>
      <c r="I446" s="382">
        <v>711737.54900435766</v>
      </c>
      <c r="J446" s="382">
        <v>275700.57634190214</v>
      </c>
      <c r="K446" s="382">
        <v>979138.28244093643</v>
      </c>
      <c r="L446" s="382">
        <v>648381.87085795868</v>
      </c>
      <c r="M446" s="382">
        <v>3822155.8667645762</v>
      </c>
      <c r="N446" s="382">
        <v>1935144.5856806319</v>
      </c>
      <c r="O446" s="382">
        <v>303247.31682121998</v>
      </c>
      <c r="P446" s="382">
        <v>1094010.5877455338</v>
      </c>
      <c r="Q446" s="382">
        <v>4040789.3270230684</v>
      </c>
      <c r="R446" s="382">
        <v>485503.81594720471</v>
      </c>
      <c r="S446" s="382">
        <v>342499.76607173576</v>
      </c>
      <c r="T446" s="382">
        <v>1266703.5029680904</v>
      </c>
      <c r="U446" s="382">
        <v>146808.01563393846</v>
      </c>
      <c r="V446" s="382">
        <v>61502.513819384279</v>
      </c>
      <c r="W446" s="382">
        <v>20288602.715190262</v>
      </c>
      <c r="Z446" s="10"/>
      <c r="AU446" s="10"/>
      <c r="AV446" s="10"/>
      <c r="AW446" s="10"/>
      <c r="AX446" s="10"/>
      <c r="AY446" s="10"/>
      <c r="AZ446" s="10"/>
      <c r="BA446" s="10"/>
      <c r="BB446" s="10"/>
      <c r="BC446" s="10"/>
      <c r="BD446" s="10"/>
      <c r="BE446" s="10"/>
      <c r="BF446" s="10"/>
      <c r="BG446" s="10"/>
      <c r="BH446" s="10"/>
      <c r="BI446" s="10"/>
      <c r="BJ446" s="10"/>
      <c r="BK446" s="10"/>
      <c r="BL446" s="10"/>
      <c r="BM446" s="10"/>
    </row>
    <row r="447" spans="3:65">
      <c r="C447" s="426" t="s">
        <v>429</v>
      </c>
      <c r="D447" s="382" t="s">
        <v>908</v>
      </c>
      <c r="E447" s="382">
        <v>258134.85142406364</v>
      </c>
      <c r="F447" s="382">
        <v>40610.449804344906</v>
      </c>
      <c r="G447" s="382">
        <v>32463.768325986413</v>
      </c>
      <c r="H447" s="382">
        <v>33922.359044707009</v>
      </c>
      <c r="I447" s="382">
        <v>64607.213930406651</v>
      </c>
      <c r="J447" s="382">
        <v>18034.726935086743</v>
      </c>
      <c r="K447" s="382">
        <v>76310.247351391037</v>
      </c>
      <c r="L447" s="382">
        <v>63572.929058560861</v>
      </c>
      <c r="M447" s="382">
        <v>230874.01889200005</v>
      </c>
      <c r="N447" s="382">
        <v>153417.09946994044</v>
      </c>
      <c r="O447" s="382">
        <v>33687.413720797478</v>
      </c>
      <c r="P447" s="382">
        <v>84210.383733439288</v>
      </c>
      <c r="Q447" s="382">
        <v>198063.20995808346</v>
      </c>
      <c r="R447" s="382">
        <v>45079.41960207322</v>
      </c>
      <c r="S447" s="382">
        <v>19685.290046054895</v>
      </c>
      <c r="T447" s="382">
        <v>67267.034059921571</v>
      </c>
      <c r="U447" s="382">
        <v>9772.3089196493529</v>
      </c>
      <c r="V447" s="382">
        <v>5213.2757234932496</v>
      </c>
      <c r="W447" s="382">
        <v>1434926.0000000002</v>
      </c>
      <c r="Z447" s="10"/>
      <c r="AU447" s="432"/>
      <c r="AV447" s="432"/>
      <c r="AW447" s="432"/>
      <c r="AX447" s="432"/>
      <c r="AY447" s="432"/>
      <c r="AZ447" s="432"/>
      <c r="BA447" s="432"/>
      <c r="BB447" s="432"/>
      <c r="BC447" s="432"/>
      <c r="BD447" s="432"/>
      <c r="BE447" s="432"/>
      <c r="BF447" s="432"/>
      <c r="BG447" s="432"/>
      <c r="BH447" s="432"/>
      <c r="BI447" s="432"/>
      <c r="BJ447" s="432"/>
      <c r="BK447" s="432"/>
      <c r="BL447" s="432"/>
      <c r="BM447" s="10"/>
    </row>
    <row r="448" spans="3:65">
      <c r="C448" s="426" t="s">
        <v>431</v>
      </c>
      <c r="D448" s="382" t="s">
        <v>430</v>
      </c>
      <c r="E448" s="382">
        <v>376810.48470602219</v>
      </c>
      <c r="F448" s="382">
        <v>102666.58332561237</v>
      </c>
      <c r="G448" s="382">
        <v>87978.3524961433</v>
      </c>
      <c r="H448" s="382">
        <v>53579.24395563468</v>
      </c>
      <c r="I448" s="382">
        <v>83797.16882463095</v>
      </c>
      <c r="J448" s="382">
        <v>45923.058213406133</v>
      </c>
      <c r="K448" s="382">
        <v>185524.80400827419</v>
      </c>
      <c r="L448" s="382">
        <v>104484.86174999209</v>
      </c>
      <c r="M448" s="382">
        <v>458531.07680244325</v>
      </c>
      <c r="N448" s="382">
        <v>270018.26695508824</v>
      </c>
      <c r="O448" s="382">
        <v>59441.916271909133</v>
      </c>
      <c r="P448" s="382">
        <v>205440.33452663652</v>
      </c>
      <c r="Q448" s="382">
        <v>387225.9235637926</v>
      </c>
      <c r="R448" s="382">
        <v>60759.143273441434</v>
      </c>
      <c r="S448" s="382">
        <v>44939.780183159695</v>
      </c>
      <c r="T448" s="382">
        <v>173290.23708320028</v>
      </c>
      <c r="U448" s="382">
        <v>22252.546020533875</v>
      </c>
      <c r="V448" s="382">
        <v>7709.5212595697494</v>
      </c>
      <c r="W448" s="382">
        <v>2730373.3032194912</v>
      </c>
      <c r="Z448" s="10"/>
      <c r="AU448" s="432"/>
      <c r="AV448" s="432"/>
      <c r="AW448" s="432"/>
      <c r="AX448" s="432"/>
      <c r="AY448" s="432"/>
      <c r="AZ448" s="432"/>
      <c r="BA448" s="432"/>
      <c r="BB448" s="432"/>
      <c r="BC448" s="432"/>
      <c r="BD448" s="432"/>
      <c r="BE448" s="432"/>
      <c r="BF448" s="432"/>
      <c r="BG448" s="432"/>
      <c r="BH448" s="432"/>
      <c r="BI448" s="432"/>
      <c r="BJ448" s="432"/>
      <c r="BK448" s="432"/>
      <c r="BL448" s="432"/>
      <c r="BM448" s="10"/>
    </row>
    <row r="449" spans="3:65">
      <c r="C449" s="426" t="s">
        <v>650</v>
      </c>
      <c r="D449" s="382" t="s">
        <v>651</v>
      </c>
      <c r="E449" s="382">
        <v>5027.5029463180017</v>
      </c>
      <c r="F449" s="382">
        <v>790.93990957166216</v>
      </c>
      <c r="G449" s="382">
        <v>632.27297672935197</v>
      </c>
      <c r="H449" s="382">
        <v>660.68087707827908</v>
      </c>
      <c r="I449" s="382">
        <v>1258.3072630317342</v>
      </c>
      <c r="J449" s="382">
        <v>351.24913316426705</v>
      </c>
      <c r="K449" s="382">
        <v>1486.2386511425154</v>
      </c>
      <c r="L449" s="382">
        <v>1238.1632560840073</v>
      </c>
      <c r="M449" s="382">
        <v>4496.5637294011849</v>
      </c>
      <c r="N449" s="382">
        <v>2987.9921883681977</v>
      </c>
      <c r="O449" s="382">
        <v>656.1050195307123</v>
      </c>
      <c r="P449" s="382">
        <v>1640.1038061882127</v>
      </c>
      <c r="Q449" s="382">
        <v>3857.5316975917626</v>
      </c>
      <c r="R449" s="382">
        <v>877.97875264587867</v>
      </c>
      <c r="S449" s="382">
        <v>383.39593882687751</v>
      </c>
      <c r="T449" s="382">
        <v>1310.1106265219446</v>
      </c>
      <c r="U449" s="382">
        <v>190.328084777501</v>
      </c>
      <c r="V449" s="382">
        <v>101.53514302790933</v>
      </c>
      <c r="W449" s="382">
        <v>27947</v>
      </c>
      <c r="Z449" s="10"/>
      <c r="AU449" s="10"/>
      <c r="AV449" s="10"/>
      <c r="AW449" s="10"/>
      <c r="AX449" s="10"/>
      <c r="AY449" s="10"/>
      <c r="AZ449" s="10"/>
      <c r="BA449" s="10"/>
      <c r="BB449" s="10"/>
      <c r="BC449" s="10"/>
      <c r="BD449" s="10"/>
      <c r="BE449" s="10"/>
      <c r="BF449" s="10"/>
      <c r="BG449" s="10"/>
      <c r="BH449" s="10"/>
      <c r="BI449" s="10"/>
      <c r="BJ449" s="10"/>
      <c r="BK449" s="10"/>
      <c r="BL449" s="10"/>
      <c r="BM449" s="10"/>
    </row>
    <row r="450" spans="3:65">
      <c r="C450" s="426" t="s">
        <v>1223</v>
      </c>
      <c r="D450" s="382" t="s">
        <v>1224</v>
      </c>
      <c r="E450" s="382">
        <v>274128.74123485642</v>
      </c>
      <c r="F450" s="382">
        <v>47151.977117013703</v>
      </c>
      <c r="G450" s="382">
        <v>38223.479920806451</v>
      </c>
      <c r="H450" s="382">
        <v>41687.123339267302</v>
      </c>
      <c r="I450" s="382">
        <v>66982.067958352971</v>
      </c>
      <c r="J450" s="382">
        <v>21461.122008548038</v>
      </c>
      <c r="K450" s="382">
        <v>85597.60629493653</v>
      </c>
      <c r="L450" s="382">
        <v>65847.649484554815</v>
      </c>
      <c r="M450" s="382">
        <v>290297.21612605103</v>
      </c>
      <c r="N450" s="382">
        <v>173535.21081122136</v>
      </c>
      <c r="O450" s="382">
        <v>33851.653479099601</v>
      </c>
      <c r="P450" s="382">
        <v>94436.713458093451</v>
      </c>
      <c r="Q450" s="382">
        <v>259978.97292395862</v>
      </c>
      <c r="R450" s="382">
        <v>47024.947810145342</v>
      </c>
      <c r="S450" s="382">
        <v>24064.425223298262</v>
      </c>
      <c r="T450" s="382">
        <v>85192.87025003921</v>
      </c>
      <c r="U450" s="382">
        <v>11229.571432381665</v>
      </c>
      <c r="V450" s="382">
        <v>5333.6511273749811</v>
      </c>
      <c r="W450" s="382">
        <v>1666024.9999999998</v>
      </c>
      <c r="Z450" s="10"/>
      <c r="AU450" s="10"/>
      <c r="AV450" s="10"/>
      <c r="AW450" s="10"/>
      <c r="AX450" s="10"/>
      <c r="AY450" s="10"/>
      <c r="AZ450" s="10"/>
      <c r="BA450" s="10"/>
      <c r="BB450" s="10"/>
      <c r="BC450" s="10"/>
      <c r="BD450" s="10"/>
      <c r="BE450" s="10"/>
      <c r="BF450" s="10"/>
      <c r="BG450" s="10"/>
      <c r="BH450" s="10"/>
      <c r="BI450" s="10"/>
      <c r="BJ450" s="10"/>
      <c r="BK450" s="10"/>
      <c r="BL450" s="10"/>
      <c r="BM450" s="10"/>
    </row>
    <row r="451" spans="3:65">
      <c r="C451" s="426" t="s">
        <v>1225</v>
      </c>
      <c r="D451" s="382" t="s">
        <v>1226</v>
      </c>
      <c r="E451" s="382">
        <v>19312.653630305358</v>
      </c>
      <c r="F451" s="382">
        <v>5121.8950699467041</v>
      </c>
      <c r="G451" s="382">
        <v>3913.4784965329245</v>
      </c>
      <c r="H451" s="382">
        <v>3941.9123396908699</v>
      </c>
      <c r="I451" s="382">
        <v>5198.3518121932066</v>
      </c>
      <c r="J451" s="382">
        <v>2536.4403336289306</v>
      </c>
      <c r="K451" s="382">
        <v>9466.186447635786</v>
      </c>
      <c r="L451" s="382">
        <v>4933.0791173721018</v>
      </c>
      <c r="M451" s="382">
        <v>33073.784168674378</v>
      </c>
      <c r="N451" s="382">
        <v>16846.262870964772</v>
      </c>
      <c r="O451" s="382">
        <v>2735.8018259729488</v>
      </c>
      <c r="P451" s="382">
        <v>10056.039071197047</v>
      </c>
      <c r="Q451" s="382">
        <v>63335.586195433796</v>
      </c>
      <c r="R451" s="382">
        <v>3730.3436379684526</v>
      </c>
      <c r="S451" s="382">
        <v>2526.1923831709319</v>
      </c>
      <c r="T451" s="382">
        <v>11039.742956416474</v>
      </c>
      <c r="U451" s="382">
        <v>1273.5409203163251</v>
      </c>
      <c r="V451" s="382">
        <v>457.70872257900623</v>
      </c>
      <c r="W451" s="382">
        <v>199499</v>
      </c>
      <c r="Z451" s="10"/>
      <c r="AU451" s="10"/>
      <c r="AV451" s="10"/>
      <c r="AW451" s="10"/>
      <c r="AX451" s="10"/>
      <c r="AY451" s="10"/>
      <c r="AZ451" s="10"/>
      <c r="BA451" s="10"/>
      <c r="BB451" s="10"/>
      <c r="BC451" s="10"/>
      <c r="BD451" s="10"/>
      <c r="BE451" s="10"/>
      <c r="BF451" s="10"/>
      <c r="BG451" s="10"/>
      <c r="BH451" s="10"/>
      <c r="BI451" s="10"/>
      <c r="BJ451" s="10"/>
      <c r="BK451" s="10"/>
      <c r="BL451" s="10"/>
      <c r="BM451" s="10"/>
    </row>
    <row r="452" spans="3:65">
      <c r="C452" s="426"/>
      <c r="D452" s="382" t="s">
        <v>668</v>
      </c>
      <c r="E452" s="382">
        <v>12442033.490199281</v>
      </c>
      <c r="F452" s="382">
        <v>3230970.5843267217</v>
      </c>
      <c r="G452" s="382">
        <v>2515124.3533216184</v>
      </c>
      <c r="H452" s="382">
        <v>2497301.6671640668</v>
      </c>
      <c r="I452" s="382">
        <v>3414676.5089788181</v>
      </c>
      <c r="J452" s="382">
        <v>1350089.988791747</v>
      </c>
      <c r="K452" s="382">
        <v>5213998.366232303</v>
      </c>
      <c r="L452" s="382">
        <v>3254090.3887430541</v>
      </c>
      <c r="M452" s="382">
        <v>20754912.923647646</v>
      </c>
      <c r="N452" s="382">
        <v>9255490.88940279</v>
      </c>
      <c r="O452" s="382">
        <v>1505096.6049095208</v>
      </c>
      <c r="P452" s="382">
        <v>5376348.3355108881</v>
      </c>
      <c r="Q452" s="382">
        <v>23585021.605900124</v>
      </c>
      <c r="R452" s="382">
        <v>2278924.9954542639</v>
      </c>
      <c r="S452" s="382">
        <v>1840057.8787372992</v>
      </c>
      <c r="T452" s="382">
        <v>6863078.8871011324</v>
      </c>
      <c r="U452" s="382">
        <v>730578.78744911763</v>
      </c>
      <c r="V452" s="382">
        <v>251272.03259309198</v>
      </c>
      <c r="W452" s="382">
        <v>106359068.28846349</v>
      </c>
      <c r="Z452" s="10"/>
      <c r="AU452" s="10"/>
      <c r="AV452" s="10"/>
      <c r="AW452" s="10"/>
      <c r="AX452" s="10"/>
      <c r="AY452" s="10"/>
      <c r="AZ452" s="10"/>
      <c r="BA452" s="10"/>
      <c r="BB452" s="10"/>
      <c r="BC452" s="10"/>
      <c r="BD452" s="10"/>
      <c r="BE452" s="10"/>
      <c r="BF452" s="10"/>
      <c r="BG452" s="10"/>
      <c r="BH452" s="10"/>
      <c r="BI452" s="10"/>
      <c r="BJ452" s="10"/>
      <c r="BK452" s="10"/>
      <c r="BL452" s="10"/>
      <c r="BM452" s="10"/>
    </row>
    <row r="453" spans="3:65">
      <c r="C453" s="426"/>
      <c r="D453" s="382" t="s">
        <v>1094</v>
      </c>
      <c r="E453" s="382" t="s">
        <v>9</v>
      </c>
      <c r="F453" s="382" t="s">
        <v>10</v>
      </c>
      <c r="G453" s="382" t="s">
        <v>11</v>
      </c>
      <c r="H453" s="382" t="s">
        <v>31</v>
      </c>
      <c r="I453" s="382" t="s">
        <v>12</v>
      </c>
      <c r="J453" s="382" t="s">
        <v>13</v>
      </c>
      <c r="K453" s="382" t="s">
        <v>14</v>
      </c>
      <c r="L453" s="382" t="s">
        <v>15</v>
      </c>
      <c r="M453" s="382" t="s">
        <v>16</v>
      </c>
      <c r="N453" s="382" t="s">
        <v>17</v>
      </c>
      <c r="O453" s="382" t="s">
        <v>18</v>
      </c>
      <c r="P453" s="382" t="s">
        <v>19</v>
      </c>
      <c r="Q453" s="382" t="s">
        <v>20</v>
      </c>
      <c r="R453" s="382" t="s">
        <v>60</v>
      </c>
      <c r="S453" s="382" t="s">
        <v>61</v>
      </c>
      <c r="T453" s="382" t="s">
        <v>62</v>
      </c>
      <c r="U453" s="382" t="s">
        <v>63</v>
      </c>
      <c r="V453" s="382" t="s">
        <v>64</v>
      </c>
      <c r="W453" s="382" t="s">
        <v>656</v>
      </c>
      <c r="Z453" s="10"/>
      <c r="AU453" s="10"/>
      <c r="AV453" s="10"/>
      <c r="AW453" s="10"/>
      <c r="AX453" s="10"/>
      <c r="AY453" s="10"/>
      <c r="AZ453" s="10"/>
      <c r="BA453" s="10"/>
      <c r="BB453" s="10"/>
      <c r="BC453" s="10"/>
      <c r="BD453" s="10"/>
      <c r="BE453" s="10"/>
      <c r="BF453" s="10"/>
      <c r="BG453" s="10"/>
      <c r="BH453" s="10"/>
      <c r="BI453" s="10"/>
      <c r="BJ453" s="10"/>
      <c r="BK453" s="10"/>
      <c r="BL453" s="10"/>
      <c r="BM453" s="10"/>
    </row>
    <row r="454" spans="3:65">
      <c r="C454" s="426" t="s">
        <v>432</v>
      </c>
      <c r="D454" s="382" t="s">
        <v>909</v>
      </c>
      <c r="E454" s="382">
        <v>10195346.996229334</v>
      </c>
      <c r="F454" s="382">
        <v>1858469.055319089</v>
      </c>
      <c r="G454" s="382">
        <v>1458437.0468448864</v>
      </c>
      <c r="H454" s="382">
        <v>1595159.0378315295</v>
      </c>
      <c r="I454" s="382">
        <v>215365.36254948884</v>
      </c>
      <c r="J454" s="382">
        <v>832291.19509555527</v>
      </c>
      <c r="K454" s="382">
        <v>3300386.6418160363</v>
      </c>
      <c r="L454" s="382">
        <v>2501808.867056991</v>
      </c>
      <c r="M454" s="382">
        <v>11628836.675577125</v>
      </c>
      <c r="N454" s="382">
        <v>6514212.7376608951</v>
      </c>
      <c r="O454" s="382">
        <v>1234647.6094308903</v>
      </c>
      <c r="P454" s="382">
        <v>3660772.9315644358</v>
      </c>
      <c r="Q454" s="382">
        <v>10425094.656836918</v>
      </c>
      <c r="R454" s="382">
        <v>1778358.1503987494</v>
      </c>
      <c r="S454" s="382">
        <v>997236.00486154493</v>
      </c>
      <c r="T454" s="382">
        <v>3413148.0545517276</v>
      </c>
      <c r="U454" s="382">
        <v>434899.28550049156</v>
      </c>
      <c r="V454" s="382">
        <v>17432.690874317359</v>
      </c>
      <c r="W454" s="382">
        <v>62061903</v>
      </c>
      <c r="Z454" s="10"/>
      <c r="AU454" s="10"/>
      <c r="AV454" s="10"/>
      <c r="AW454" s="10"/>
      <c r="AX454" s="10"/>
      <c r="AY454" s="10"/>
      <c r="AZ454" s="10"/>
      <c r="BA454" s="10"/>
      <c r="BB454" s="10"/>
      <c r="BC454" s="10"/>
      <c r="BD454" s="10"/>
      <c r="BE454" s="10"/>
      <c r="BF454" s="10"/>
      <c r="BG454" s="10"/>
      <c r="BH454" s="10"/>
      <c r="BI454" s="10"/>
      <c r="BJ454" s="10"/>
      <c r="BK454" s="10"/>
      <c r="BL454" s="10"/>
      <c r="BM454" s="10"/>
    </row>
    <row r="455" spans="3:65">
      <c r="C455" s="426" t="s">
        <v>433</v>
      </c>
      <c r="D455" s="382" t="s">
        <v>910</v>
      </c>
      <c r="E455" s="382">
        <v>3621485.088989879</v>
      </c>
      <c r="F455" s="382">
        <v>567089.51425234228</v>
      </c>
      <c r="G455" s="382">
        <v>443707.36028601904</v>
      </c>
      <c r="H455" s="382">
        <v>509450.34790598886</v>
      </c>
      <c r="I455" s="382">
        <v>164107.45852187308</v>
      </c>
      <c r="J455" s="382">
        <v>232902.93266970757</v>
      </c>
      <c r="K455" s="382">
        <v>984300.20698457793</v>
      </c>
      <c r="L455" s="382">
        <v>864524.39921140182</v>
      </c>
      <c r="M455" s="382">
        <v>3127961.8762130411</v>
      </c>
      <c r="N455" s="382">
        <v>2084017.9887702703</v>
      </c>
      <c r="O455" s="382">
        <v>423820.26868673961</v>
      </c>
      <c r="P455" s="382">
        <v>1180902.1476498931</v>
      </c>
      <c r="Q455" s="382">
        <v>2912905.2828000146</v>
      </c>
      <c r="R455" s="382">
        <v>671371.65226855897</v>
      </c>
      <c r="S455" s="382">
        <v>258057.8636154233</v>
      </c>
      <c r="T455" s="382">
        <v>890667.09490027628</v>
      </c>
      <c r="U455" s="382">
        <v>128013.60638604552</v>
      </c>
      <c r="V455" s="382">
        <v>26446.185137947788</v>
      </c>
      <c r="W455" s="382">
        <v>19091731.275249999</v>
      </c>
      <c r="Z455" s="10"/>
      <c r="AU455" s="10"/>
      <c r="AV455" s="10"/>
      <c r="AW455" s="10"/>
      <c r="AX455" s="10"/>
      <c r="AY455" s="10"/>
      <c r="AZ455" s="10"/>
      <c r="BA455" s="10"/>
      <c r="BB455" s="10"/>
      <c r="BC455" s="10"/>
      <c r="BD455" s="10"/>
      <c r="BE455" s="10"/>
      <c r="BF455" s="10"/>
      <c r="BG455" s="10"/>
      <c r="BH455" s="10"/>
      <c r="BI455" s="10"/>
      <c r="BJ455" s="10"/>
      <c r="BK455" s="10"/>
      <c r="BL455" s="10"/>
      <c r="BM455" s="10"/>
    </row>
    <row r="456" spans="3:65">
      <c r="C456" s="426" t="s">
        <v>434</v>
      </c>
      <c r="D456" s="382" t="s">
        <v>911</v>
      </c>
      <c r="E456" s="382">
        <v>250209.32537153823</v>
      </c>
      <c r="F456" s="382">
        <v>42228.522052061599</v>
      </c>
      <c r="G456" s="382">
        <v>34038.761036862939</v>
      </c>
      <c r="H456" s="382">
        <v>40064.581592781979</v>
      </c>
      <c r="I456" s="382">
        <v>57335.104231352278</v>
      </c>
      <c r="J456" s="382">
        <v>18605.759398767717</v>
      </c>
      <c r="K456" s="382">
        <v>73878.901788253803</v>
      </c>
      <c r="L456" s="382">
        <v>61913.285597406866</v>
      </c>
      <c r="M456" s="382">
        <v>252146.65833766069</v>
      </c>
      <c r="N456" s="382">
        <v>162980.99054547143</v>
      </c>
      <c r="O456" s="382">
        <v>31512.79942004272</v>
      </c>
      <c r="P456" s="382">
        <v>83143.148025566567</v>
      </c>
      <c r="Q456" s="382">
        <v>222390.52955337957</v>
      </c>
      <c r="R456" s="382">
        <v>44293.469289504821</v>
      </c>
      <c r="S456" s="382">
        <v>20119.953882005379</v>
      </c>
      <c r="T456" s="382">
        <v>70573.186538830254</v>
      </c>
      <c r="U456" s="382">
        <v>9573.8873263040514</v>
      </c>
      <c r="V456" s="382">
        <v>4397.1360122093138</v>
      </c>
      <c r="W456" s="382">
        <v>1479406.0000000002</v>
      </c>
      <c r="Z456" s="10"/>
      <c r="AU456" s="10"/>
      <c r="AV456" s="10"/>
      <c r="AW456" s="10"/>
      <c r="AX456" s="10"/>
      <c r="AY456" s="10"/>
      <c r="AZ456" s="10"/>
      <c r="BA456" s="10"/>
      <c r="BB456" s="10"/>
      <c r="BC456" s="10"/>
      <c r="BD456" s="10"/>
      <c r="BE456" s="10"/>
      <c r="BF456" s="10"/>
      <c r="BG456" s="10"/>
      <c r="BH456" s="10"/>
      <c r="BI456" s="10"/>
      <c r="BJ456" s="10"/>
      <c r="BK456" s="10"/>
      <c r="BL456" s="10"/>
      <c r="BM456" s="10"/>
    </row>
    <row r="457" spans="3:65">
      <c r="C457" s="426" t="s">
        <v>435</v>
      </c>
      <c r="D457" s="382" t="s">
        <v>912</v>
      </c>
      <c r="E457" s="382">
        <v>46898.350614757437</v>
      </c>
      <c r="F457" s="382">
        <v>5984.695255172639</v>
      </c>
      <c r="G457" s="382">
        <v>6362.348735310602</v>
      </c>
      <c r="H457" s="382">
        <v>8078.3368555700445</v>
      </c>
      <c r="I457" s="382">
        <v>2029.1015150710036</v>
      </c>
      <c r="J457" s="382">
        <v>4959.0945611569659</v>
      </c>
      <c r="K457" s="382">
        <v>14456.109225793716</v>
      </c>
      <c r="L457" s="382">
        <v>12124.727625135358</v>
      </c>
      <c r="M457" s="382">
        <v>60935.18802089784</v>
      </c>
      <c r="N457" s="382">
        <v>31700.754098164463</v>
      </c>
      <c r="O457" s="382">
        <v>5144.7967486024008</v>
      </c>
      <c r="P457" s="382">
        <v>15420.389327950063</v>
      </c>
      <c r="Q457" s="382">
        <v>61704.484991226316</v>
      </c>
      <c r="R457" s="382">
        <v>8872.7994459029287</v>
      </c>
      <c r="S457" s="382">
        <v>5016.3644533066636</v>
      </c>
      <c r="T457" s="382">
        <v>15893.838708006682</v>
      </c>
      <c r="U457" s="382">
        <v>1882.5971709134562</v>
      </c>
      <c r="V457" s="382">
        <v>329.4726470614263</v>
      </c>
      <c r="W457" s="382">
        <v>307793.45000000007</v>
      </c>
      <c r="Z457" s="10"/>
      <c r="AU457" s="10"/>
      <c r="AV457" s="10"/>
      <c r="AW457" s="10"/>
      <c r="AX457" s="10"/>
      <c r="AY457" s="10"/>
      <c r="AZ457" s="10"/>
      <c r="BA457" s="10"/>
      <c r="BB457" s="10"/>
      <c r="BC457" s="10"/>
      <c r="BD457" s="10"/>
      <c r="BE457" s="10"/>
      <c r="BF457" s="10"/>
      <c r="BG457" s="10"/>
      <c r="BH457" s="10"/>
      <c r="BI457" s="10"/>
      <c r="BJ457" s="10"/>
      <c r="BK457" s="10"/>
      <c r="BL457" s="10"/>
      <c r="BM457" s="10"/>
    </row>
    <row r="458" spans="3:65">
      <c r="C458" s="426" t="s">
        <v>437</v>
      </c>
      <c r="D458" s="382" t="s">
        <v>436</v>
      </c>
      <c r="E458" s="382">
        <v>252164.84748091179</v>
      </c>
      <c r="F458" s="382">
        <v>44870.792616982886</v>
      </c>
      <c r="G458" s="382">
        <v>36499.540108517096</v>
      </c>
      <c r="H458" s="382">
        <v>40483.465171334414</v>
      </c>
      <c r="I458" s="382">
        <v>5762.8703970462811</v>
      </c>
      <c r="J458" s="382">
        <v>20590.360509061786</v>
      </c>
      <c r="K458" s="382">
        <v>80375.389401855617</v>
      </c>
      <c r="L458" s="382">
        <v>59970.511758359156</v>
      </c>
      <c r="M458" s="382">
        <v>283923.35960474436</v>
      </c>
      <c r="N458" s="382">
        <v>163601.26355029826</v>
      </c>
      <c r="O458" s="382">
        <v>30412.516690910412</v>
      </c>
      <c r="P458" s="382">
        <v>88650.303686026309</v>
      </c>
      <c r="Q458" s="382">
        <v>257625.77459111862</v>
      </c>
      <c r="R458" s="382">
        <v>42964.649328585569</v>
      </c>
      <c r="S458" s="382">
        <v>23297.714710491342</v>
      </c>
      <c r="T458" s="382">
        <v>83365.957627358352</v>
      </c>
      <c r="U458" s="382">
        <v>10642.753427124007</v>
      </c>
      <c r="V458" s="382">
        <v>407.92933927365982</v>
      </c>
      <c r="W458" s="382">
        <v>1525609.9999999998</v>
      </c>
      <c r="Z458" s="10"/>
      <c r="AU458" s="10"/>
      <c r="AV458" s="10"/>
      <c r="AW458" s="10"/>
      <c r="AX458" s="10"/>
      <c r="AY458" s="10"/>
      <c r="AZ458" s="10"/>
      <c r="BA458" s="10"/>
      <c r="BB458" s="10"/>
      <c r="BC458" s="10"/>
      <c r="BD458" s="10"/>
      <c r="BE458" s="10"/>
      <c r="BF458" s="10"/>
      <c r="BG458" s="10"/>
      <c r="BH458" s="10"/>
      <c r="BI458" s="10"/>
      <c r="BJ458" s="10"/>
      <c r="BK458" s="10"/>
      <c r="BL458" s="10"/>
      <c r="BM458" s="10"/>
    </row>
    <row r="459" spans="3:65">
      <c r="C459" s="426" t="s">
        <v>438</v>
      </c>
      <c r="D459" s="382" t="s">
        <v>913</v>
      </c>
      <c r="E459" s="382">
        <v>221709.99563387624</v>
      </c>
      <c r="F459" s="382">
        <v>39131.598739592424</v>
      </c>
      <c r="G459" s="382">
        <v>32313.638928560256</v>
      </c>
      <c r="H459" s="382">
        <v>35396.545877747543</v>
      </c>
      <c r="I459" s="382">
        <v>53723.751301874247</v>
      </c>
      <c r="J459" s="382">
        <v>18998.989961686551</v>
      </c>
      <c r="K459" s="382">
        <v>72246.321618941089</v>
      </c>
      <c r="L459" s="382">
        <v>55256.714539803914</v>
      </c>
      <c r="M459" s="382">
        <v>233278.51985316398</v>
      </c>
      <c r="N459" s="382">
        <v>148992.36939061421</v>
      </c>
      <c r="O459" s="382">
        <v>28816.481202783027</v>
      </c>
      <c r="P459" s="382">
        <v>82664.278602001883</v>
      </c>
      <c r="Q459" s="382">
        <v>236991.73580957187</v>
      </c>
      <c r="R459" s="382">
        <v>42176.224064387497</v>
      </c>
      <c r="S459" s="382">
        <v>19983.727771030019</v>
      </c>
      <c r="T459" s="382">
        <v>71488.458109203741</v>
      </c>
      <c r="U459" s="382">
        <v>9855.9639996802471</v>
      </c>
      <c r="V459" s="382">
        <v>3968.6845954814326</v>
      </c>
      <c r="W459" s="382">
        <v>1406994.0000000002</v>
      </c>
      <c r="Z459" s="10"/>
      <c r="AU459" s="10"/>
      <c r="AV459" s="10"/>
      <c r="AW459" s="10"/>
      <c r="AX459" s="10"/>
      <c r="AY459" s="10"/>
      <c r="AZ459" s="10"/>
      <c r="BA459" s="10"/>
      <c r="BB459" s="10"/>
      <c r="BC459" s="10"/>
      <c r="BD459" s="10"/>
      <c r="BE459" s="10"/>
      <c r="BF459" s="10"/>
      <c r="BG459" s="10"/>
      <c r="BH459" s="10"/>
      <c r="BI459" s="10"/>
      <c r="BJ459" s="10"/>
      <c r="BK459" s="10"/>
      <c r="BL459" s="10"/>
      <c r="BM459" s="10"/>
    </row>
    <row r="460" spans="3:65">
      <c r="C460" s="426" t="s">
        <v>440</v>
      </c>
      <c r="D460" s="382" t="s">
        <v>439</v>
      </c>
      <c r="E460" s="382">
        <v>870798.77788934426</v>
      </c>
      <c r="F460" s="382">
        <v>154446.15006312716</v>
      </c>
      <c r="G460" s="382">
        <v>107290.45469759038</v>
      </c>
      <c r="H460" s="382">
        <v>148667.44310958026</v>
      </c>
      <c r="I460" s="382">
        <v>209924.34060077782</v>
      </c>
      <c r="J460" s="382">
        <v>63442.151231514377</v>
      </c>
      <c r="K460" s="382">
        <v>268045.08500569628</v>
      </c>
      <c r="L460" s="382">
        <v>193028.84448106214</v>
      </c>
      <c r="M460" s="382">
        <v>1019953.6440477076</v>
      </c>
      <c r="N460" s="382">
        <v>550126.14672225469</v>
      </c>
      <c r="O460" s="382">
        <v>94480.560518155879</v>
      </c>
      <c r="P460" s="382">
        <v>249032.52415014638</v>
      </c>
      <c r="Q460" s="382">
        <v>1217091.2262544434</v>
      </c>
      <c r="R460" s="382">
        <v>130480.75077481585</v>
      </c>
      <c r="S460" s="382">
        <v>75486.248741456133</v>
      </c>
      <c r="T460" s="382">
        <v>340193.09052902117</v>
      </c>
      <c r="U460" s="382">
        <v>39954.138207497614</v>
      </c>
      <c r="V460" s="382">
        <v>18419.947021010605</v>
      </c>
      <c r="W460" s="382">
        <v>5750861.524045201</v>
      </c>
      <c r="Z460" s="10"/>
      <c r="AU460" s="10"/>
      <c r="AV460" s="10"/>
      <c r="AW460" s="10"/>
      <c r="AX460" s="10"/>
      <c r="AY460" s="10"/>
      <c r="AZ460" s="10"/>
      <c r="BA460" s="10"/>
      <c r="BB460" s="10"/>
      <c r="BC460" s="10"/>
      <c r="BD460" s="10"/>
      <c r="BE460" s="10"/>
      <c r="BF460" s="10"/>
      <c r="BG460" s="10"/>
      <c r="BH460" s="10"/>
      <c r="BI460" s="10"/>
      <c r="BJ460" s="10"/>
      <c r="BK460" s="10"/>
      <c r="BL460" s="10"/>
      <c r="BM460" s="10"/>
    </row>
    <row r="461" spans="3:65">
      <c r="C461" s="426" t="s">
        <v>441</v>
      </c>
      <c r="D461" s="382" t="s">
        <v>914</v>
      </c>
      <c r="E461" s="382">
        <v>518.4045114218078</v>
      </c>
      <c r="F461" s="382">
        <v>77.853012745259448</v>
      </c>
      <c r="G461" s="382">
        <v>66.019604678866187</v>
      </c>
      <c r="H461" s="382">
        <v>81.686254893359319</v>
      </c>
      <c r="I461" s="382">
        <v>32.580891645134841</v>
      </c>
      <c r="J461" s="382">
        <v>39.656446758863709</v>
      </c>
      <c r="K461" s="382">
        <v>154.77720055379191</v>
      </c>
      <c r="L461" s="382">
        <v>124.38338130650006</v>
      </c>
      <c r="M461" s="382">
        <v>491.36846091778892</v>
      </c>
      <c r="N461" s="382">
        <v>312.60689336774078</v>
      </c>
      <c r="O461" s="382">
        <v>63.297030790836409</v>
      </c>
      <c r="P461" s="382">
        <v>187.38032272434845</v>
      </c>
      <c r="Q461" s="382">
        <v>453.20685969598344</v>
      </c>
      <c r="R461" s="382">
        <v>93.905609023245802</v>
      </c>
      <c r="S461" s="382">
        <v>38.893481607577158</v>
      </c>
      <c r="T461" s="382">
        <v>132.88497466964174</v>
      </c>
      <c r="U461" s="382">
        <v>19.646371592295157</v>
      </c>
      <c r="V461" s="382">
        <v>6.8376082162100147</v>
      </c>
      <c r="W461" s="382">
        <v>2895.3889166092513</v>
      </c>
      <c r="Z461" s="10"/>
      <c r="AU461" s="10"/>
      <c r="AV461" s="10"/>
      <c r="AW461" s="10"/>
      <c r="AX461" s="10"/>
      <c r="AY461" s="10"/>
      <c r="AZ461" s="10"/>
      <c r="BA461" s="10"/>
      <c r="BB461" s="10"/>
      <c r="BC461" s="10"/>
      <c r="BD461" s="10"/>
      <c r="BE461" s="10"/>
      <c r="BF461" s="10"/>
      <c r="BG461" s="10"/>
      <c r="BH461" s="10"/>
      <c r="BI461" s="10"/>
      <c r="BJ461" s="10"/>
      <c r="BK461" s="10"/>
      <c r="BL461" s="10"/>
      <c r="BM461" s="10"/>
    </row>
    <row r="462" spans="3:65">
      <c r="C462" s="426" t="s">
        <v>442</v>
      </c>
      <c r="D462" s="382" t="s">
        <v>915</v>
      </c>
      <c r="E462" s="382">
        <v>143363.85121403582</v>
      </c>
      <c r="F462" s="382">
        <v>28566.011633473561</v>
      </c>
      <c r="G462" s="382">
        <v>20941.851815456157</v>
      </c>
      <c r="H462" s="382">
        <v>29575.719424186063</v>
      </c>
      <c r="I462" s="382">
        <v>34109.741968084541</v>
      </c>
      <c r="J462" s="382">
        <v>13391.002794637079</v>
      </c>
      <c r="K462" s="382">
        <v>57947.569694574224</v>
      </c>
      <c r="L462" s="382">
        <v>42539.00951448625</v>
      </c>
      <c r="M462" s="382">
        <v>138990.01230320643</v>
      </c>
      <c r="N462" s="382">
        <v>133100.22876677127</v>
      </c>
      <c r="O462" s="382">
        <v>17933.68176814757</v>
      </c>
      <c r="P462" s="382">
        <v>47623.337170855732</v>
      </c>
      <c r="Q462" s="382">
        <v>261958.21982980805</v>
      </c>
      <c r="R462" s="382">
        <v>21788.411551770638</v>
      </c>
      <c r="S462" s="382">
        <v>10869.769482523099</v>
      </c>
      <c r="T462" s="382">
        <v>31062.573923526292</v>
      </c>
      <c r="U462" s="382">
        <v>4878.197052135989</v>
      </c>
      <c r="V462" s="382">
        <v>2830.0649107938084</v>
      </c>
      <c r="W462" s="382">
        <v>1041469.2548184725</v>
      </c>
      <c r="Z462" s="10"/>
      <c r="AU462" s="10"/>
      <c r="AV462" s="10"/>
      <c r="AW462" s="10"/>
      <c r="AX462" s="10"/>
      <c r="AY462" s="10"/>
      <c r="AZ462" s="10"/>
      <c r="BA462" s="10"/>
      <c r="BB462" s="10"/>
      <c r="BC462" s="10"/>
      <c r="BD462" s="10"/>
      <c r="BE462" s="10"/>
      <c r="BF462" s="10"/>
      <c r="BG462" s="10"/>
      <c r="BH462" s="10"/>
      <c r="BI462" s="10"/>
      <c r="BJ462" s="10"/>
      <c r="BK462" s="10"/>
      <c r="BL462" s="10"/>
      <c r="BM462" s="10"/>
    </row>
    <row r="463" spans="3:65">
      <c r="C463" s="426" t="s">
        <v>443</v>
      </c>
      <c r="D463" s="382" t="s">
        <v>916</v>
      </c>
      <c r="E463" s="382">
        <v>189693.54324883758</v>
      </c>
      <c r="F463" s="382">
        <v>30759.2761788104</v>
      </c>
      <c r="G463" s="382">
        <v>27569.977168954123</v>
      </c>
      <c r="H463" s="382">
        <v>24621.535063019783</v>
      </c>
      <c r="I463" s="382">
        <v>2901533.8853176432</v>
      </c>
      <c r="J463" s="382">
        <v>14287.006359315013</v>
      </c>
      <c r="K463" s="382">
        <v>60187.314481825102</v>
      </c>
      <c r="L463" s="382">
        <v>45427.259618760414</v>
      </c>
      <c r="M463" s="382">
        <v>174274.29176016644</v>
      </c>
      <c r="N463" s="382">
        <v>113907.08905682503</v>
      </c>
      <c r="O463" s="382">
        <v>24931.132771018118</v>
      </c>
      <c r="P463" s="382">
        <v>67294.800028657686</v>
      </c>
      <c r="Q463" s="382">
        <v>155929.10581136515</v>
      </c>
      <c r="R463" s="382">
        <v>31760.512163357529</v>
      </c>
      <c r="S463" s="382">
        <v>15880.360980615847</v>
      </c>
      <c r="T463" s="382">
        <v>58622.190444069296</v>
      </c>
      <c r="U463" s="382">
        <v>7572.142250029282</v>
      </c>
      <c r="V463" s="382">
        <v>3716.9197382250477</v>
      </c>
      <c r="W463" s="382">
        <v>3947968.342441495</v>
      </c>
      <c r="Z463" s="10"/>
      <c r="AU463" s="10"/>
      <c r="AV463" s="10"/>
      <c r="AW463" s="10"/>
      <c r="AX463" s="10"/>
      <c r="AY463" s="10"/>
      <c r="AZ463" s="10"/>
      <c r="BA463" s="10"/>
      <c r="BB463" s="10"/>
      <c r="BC463" s="10"/>
      <c r="BD463" s="10"/>
      <c r="BE463" s="10"/>
      <c r="BF463" s="10"/>
      <c r="BG463" s="10"/>
      <c r="BH463" s="10"/>
      <c r="BI463" s="10"/>
      <c r="BJ463" s="10"/>
      <c r="BK463" s="10"/>
      <c r="BL463" s="10"/>
      <c r="BM463" s="10"/>
    </row>
    <row r="464" spans="3:65">
      <c r="C464" s="426" t="s">
        <v>445</v>
      </c>
      <c r="D464" s="382" t="s">
        <v>444</v>
      </c>
      <c r="E464" s="382">
        <v>0</v>
      </c>
      <c r="F464" s="382">
        <v>0</v>
      </c>
      <c r="G464" s="382">
        <v>0</v>
      </c>
      <c r="H464" s="382">
        <v>0</v>
      </c>
      <c r="I464" s="382">
        <v>0</v>
      </c>
      <c r="J464" s="382">
        <v>0</v>
      </c>
      <c r="K464" s="382">
        <v>0</v>
      </c>
      <c r="L464" s="382">
        <v>0</v>
      </c>
      <c r="M464" s="382">
        <v>0</v>
      </c>
      <c r="N464" s="382">
        <v>0</v>
      </c>
      <c r="O464" s="382">
        <v>0</v>
      </c>
      <c r="P464" s="382">
        <v>0</v>
      </c>
      <c r="Q464" s="382">
        <v>0</v>
      </c>
      <c r="R464" s="382">
        <v>0</v>
      </c>
      <c r="S464" s="382">
        <v>0</v>
      </c>
      <c r="T464" s="382">
        <v>0</v>
      </c>
      <c r="U464" s="382">
        <v>0</v>
      </c>
      <c r="V464" s="382">
        <v>225330.06575564132</v>
      </c>
      <c r="W464" s="382">
        <v>225330.06575564132</v>
      </c>
      <c r="Z464" s="10"/>
      <c r="AU464" s="10"/>
      <c r="AV464" s="10"/>
      <c r="AW464" s="10"/>
      <c r="AX464" s="10"/>
      <c r="AY464" s="10"/>
      <c r="AZ464" s="10"/>
      <c r="BA464" s="10"/>
      <c r="BB464" s="10"/>
      <c r="BC464" s="10"/>
      <c r="BD464" s="10"/>
      <c r="BE464" s="10"/>
      <c r="BF464" s="10"/>
      <c r="BG464" s="10"/>
      <c r="BH464" s="10"/>
      <c r="BI464" s="10"/>
      <c r="BJ464" s="10"/>
      <c r="BK464" s="10"/>
      <c r="BL464" s="10"/>
      <c r="BM464" s="10"/>
    </row>
    <row r="465" spans="3:65">
      <c r="C465" s="426" t="s">
        <v>1227</v>
      </c>
      <c r="D465" s="382" t="s">
        <v>1228</v>
      </c>
      <c r="E465" s="382">
        <v>7833.573473979035</v>
      </c>
      <c r="F465" s="382">
        <v>2558.9070977920132</v>
      </c>
      <c r="G465" s="382">
        <v>2456.5494842691719</v>
      </c>
      <c r="H465" s="382">
        <v>2195.4644546437676</v>
      </c>
      <c r="I465" s="382">
        <v>2512.5557202662139</v>
      </c>
      <c r="J465" s="382">
        <v>1198.2276616674428</v>
      </c>
      <c r="K465" s="382">
        <v>5451.0569865199441</v>
      </c>
      <c r="L465" s="382">
        <v>2768.2071842838122</v>
      </c>
      <c r="M465" s="382">
        <v>14215.676979692471</v>
      </c>
      <c r="N465" s="382">
        <v>7616.1134609491446</v>
      </c>
      <c r="O465" s="382">
        <v>1140.5476957965161</v>
      </c>
      <c r="P465" s="382">
        <v>5242.3210415905041</v>
      </c>
      <c r="Q465" s="382">
        <v>16516.817267916726</v>
      </c>
      <c r="R465" s="382">
        <v>1638.3206176207814</v>
      </c>
      <c r="S465" s="382">
        <v>2046.6412672524084</v>
      </c>
      <c r="T465" s="382">
        <v>9101.6784335957018</v>
      </c>
      <c r="U465" s="382">
        <v>854.74646466731178</v>
      </c>
      <c r="V465" s="382">
        <v>39.69870749703523</v>
      </c>
      <c r="W465" s="382">
        <v>85387.103999999992</v>
      </c>
      <c r="Z465" s="10"/>
      <c r="AU465" s="10"/>
      <c r="AV465" s="10"/>
      <c r="AW465" s="10"/>
      <c r="AX465" s="10"/>
      <c r="AY465" s="10"/>
      <c r="AZ465" s="10"/>
      <c r="BA465" s="10"/>
      <c r="BB465" s="10"/>
      <c r="BC465" s="10"/>
      <c r="BD465" s="10"/>
      <c r="BE465" s="10"/>
      <c r="BF465" s="10"/>
      <c r="BG465" s="10"/>
      <c r="BH465" s="10"/>
      <c r="BI465" s="10"/>
      <c r="BJ465" s="10"/>
      <c r="BK465" s="10"/>
      <c r="BL465" s="10"/>
      <c r="BM465" s="10"/>
    </row>
    <row r="466" spans="3:65">
      <c r="C466" s="426" t="s">
        <v>1229</v>
      </c>
      <c r="D466" s="382" t="s">
        <v>1230</v>
      </c>
      <c r="E466" s="382">
        <v>5277.6069382655005</v>
      </c>
      <c r="F466" s="382">
        <v>939.34885045493638</v>
      </c>
      <c r="G466" s="382">
        <v>681.23012721578243</v>
      </c>
      <c r="H466" s="382">
        <v>804.79008609486141</v>
      </c>
      <c r="I466" s="382">
        <v>1238.5210859635063</v>
      </c>
      <c r="J466" s="382">
        <v>389.88647381474311</v>
      </c>
      <c r="K466" s="382">
        <v>1735.0220349357196</v>
      </c>
      <c r="L466" s="382">
        <v>1356.1686104957853</v>
      </c>
      <c r="M466" s="382">
        <v>5297.8172900776144</v>
      </c>
      <c r="N466" s="382">
        <v>3234.4493298473772</v>
      </c>
      <c r="O466" s="382">
        <v>706.44084524491905</v>
      </c>
      <c r="P466" s="382">
        <v>1831.2595259214634</v>
      </c>
      <c r="Q466" s="382">
        <v>4701.0942859177458</v>
      </c>
      <c r="R466" s="382">
        <v>900.1047877609567</v>
      </c>
      <c r="S466" s="382">
        <v>457.46845590535634</v>
      </c>
      <c r="T466" s="382">
        <v>1559.3131530488199</v>
      </c>
      <c r="U466" s="382">
        <v>197.10975610666583</v>
      </c>
      <c r="V466" s="382">
        <v>79.368362928248644</v>
      </c>
      <c r="W466" s="382">
        <v>31387.000000000007</v>
      </c>
      <c r="Z466" s="10"/>
      <c r="AU466" s="10"/>
      <c r="AV466" s="10"/>
      <c r="AW466" s="10"/>
      <c r="AX466" s="10"/>
      <c r="AY466" s="10"/>
      <c r="AZ466" s="10"/>
      <c r="BA466" s="10"/>
      <c r="BB466" s="10"/>
      <c r="BC466" s="10"/>
      <c r="BD466" s="10"/>
      <c r="BE466" s="10"/>
      <c r="BF466" s="10"/>
      <c r="BG466" s="10"/>
      <c r="BH466" s="10"/>
      <c r="BI466" s="10"/>
      <c r="BJ466" s="10"/>
      <c r="BK466" s="10"/>
      <c r="BL466" s="10"/>
      <c r="BM466" s="10"/>
    </row>
    <row r="467" spans="3:65">
      <c r="C467" s="426"/>
      <c r="D467" s="382" t="s">
        <v>668</v>
      </c>
      <c r="E467" s="382">
        <v>15805300.36159618</v>
      </c>
      <c r="F467" s="382">
        <v>2775121.7250716439</v>
      </c>
      <c r="G467" s="382">
        <v>2170364.7788383206</v>
      </c>
      <c r="H467" s="382">
        <v>2434578.9536273708</v>
      </c>
      <c r="I467" s="382">
        <v>3647675.2741010864</v>
      </c>
      <c r="J467" s="382">
        <v>1221096.2631636434</v>
      </c>
      <c r="K467" s="382">
        <v>4919164.396239562</v>
      </c>
      <c r="L467" s="382">
        <v>3840842.3785794941</v>
      </c>
      <c r="M467" s="382">
        <v>16940305.088448402</v>
      </c>
      <c r="N467" s="382">
        <v>9913802.7382457294</v>
      </c>
      <c r="O467" s="382">
        <v>1893610.1328091221</v>
      </c>
      <c r="P467" s="382">
        <v>5482764.8210957702</v>
      </c>
      <c r="Q467" s="382">
        <v>15773362.134891378</v>
      </c>
      <c r="R467" s="382">
        <v>2774698.9503000383</v>
      </c>
      <c r="S467" s="382">
        <v>1428491.011703162</v>
      </c>
      <c r="T467" s="382">
        <v>4985808.3218933335</v>
      </c>
      <c r="U467" s="382">
        <v>648344.07391258795</v>
      </c>
      <c r="V467" s="382">
        <v>303405.00071060326</v>
      </c>
      <c r="W467" s="382">
        <v>96958736.405227423</v>
      </c>
      <c r="Z467" s="10"/>
      <c r="AU467" s="10"/>
      <c r="AV467" s="10"/>
      <c r="AW467" s="10"/>
      <c r="AX467" s="10"/>
      <c r="AY467" s="10"/>
      <c r="AZ467" s="10"/>
      <c r="BA467" s="10"/>
      <c r="BB467" s="10"/>
      <c r="BC467" s="10"/>
      <c r="BD467" s="10"/>
      <c r="BE467" s="10"/>
      <c r="BF467" s="10"/>
      <c r="BG467" s="10"/>
      <c r="BH467" s="10"/>
      <c r="BI467" s="10"/>
      <c r="BJ467" s="10"/>
      <c r="BK467" s="10"/>
      <c r="BL467" s="10"/>
      <c r="BM467" s="10"/>
    </row>
    <row r="468" spans="3:65">
      <c r="C468" s="426"/>
      <c r="D468" s="382" t="s">
        <v>917</v>
      </c>
      <c r="E468" s="382" t="s">
        <v>9</v>
      </c>
      <c r="F468" s="382" t="s">
        <v>10</v>
      </c>
      <c r="G468" s="382" t="s">
        <v>11</v>
      </c>
      <c r="H468" s="382" t="s">
        <v>31</v>
      </c>
      <c r="I468" s="382" t="s">
        <v>12</v>
      </c>
      <c r="J468" s="382" t="s">
        <v>13</v>
      </c>
      <c r="K468" s="382" t="s">
        <v>14</v>
      </c>
      <c r="L468" s="382" t="s">
        <v>15</v>
      </c>
      <c r="M468" s="382" t="s">
        <v>16</v>
      </c>
      <c r="N468" s="382" t="s">
        <v>17</v>
      </c>
      <c r="O468" s="382" t="s">
        <v>18</v>
      </c>
      <c r="P468" s="382" t="s">
        <v>19</v>
      </c>
      <c r="Q468" s="382" t="s">
        <v>20</v>
      </c>
      <c r="R468" s="382" t="s">
        <v>60</v>
      </c>
      <c r="S468" s="382" t="s">
        <v>61</v>
      </c>
      <c r="T468" s="382" t="s">
        <v>62</v>
      </c>
      <c r="U468" s="382" t="s">
        <v>63</v>
      </c>
      <c r="V468" s="382" t="s">
        <v>64</v>
      </c>
      <c r="W468" s="382" t="s">
        <v>656</v>
      </c>
      <c r="Z468" s="10"/>
      <c r="AU468" s="10"/>
      <c r="AV468" s="10"/>
      <c r="AW468" s="10"/>
      <c r="AX468" s="10"/>
      <c r="AY468" s="10"/>
      <c r="AZ468" s="10"/>
      <c r="BA468" s="10"/>
      <c r="BB468" s="10"/>
      <c r="BC468" s="10"/>
      <c r="BD468" s="10"/>
      <c r="BE468" s="10"/>
      <c r="BF468" s="10"/>
      <c r="BG468" s="10"/>
      <c r="BH468" s="10"/>
      <c r="BI468" s="10"/>
      <c r="BJ468" s="10"/>
      <c r="BK468" s="10"/>
      <c r="BL468" s="10"/>
      <c r="BM468" s="10"/>
    </row>
    <row r="469" spans="3:65">
      <c r="C469" s="426" t="s">
        <v>447</v>
      </c>
      <c r="D469" s="382" t="s">
        <v>446</v>
      </c>
      <c r="E469" s="382">
        <v>12734.241309700068</v>
      </c>
      <c r="F469" s="382">
        <v>-5492.3082503965124</v>
      </c>
      <c r="G469" s="382">
        <v>-746.35508457350079</v>
      </c>
      <c r="H469" s="382">
        <v>-5109.2470425998326</v>
      </c>
      <c r="I469" s="382">
        <v>-31928.43132565706</v>
      </c>
      <c r="J469" s="382">
        <v>-20659.037132512836</v>
      </c>
      <c r="K469" s="382">
        <v>-33446.295895299874</v>
      </c>
      <c r="L469" s="382">
        <v>-56239.189463270828</v>
      </c>
      <c r="M469" s="382">
        <v>-4979.9105593096465</v>
      </c>
      <c r="N469" s="382">
        <v>-42861.618788359221</v>
      </c>
      <c r="O469" s="382">
        <v>-3083.7982194059878</v>
      </c>
      <c r="P469" s="382">
        <v>-24500.570280448301</v>
      </c>
      <c r="Q469" s="382">
        <v>-431779.33323761914</v>
      </c>
      <c r="R469" s="382">
        <v>-1039.9578275296371</v>
      </c>
      <c r="S469" s="382">
        <v>-326776.02889105264</v>
      </c>
      <c r="T469" s="382">
        <v>-868069.38915694249</v>
      </c>
      <c r="U469" s="382">
        <v>-6188.8049822228495</v>
      </c>
      <c r="V469" s="382">
        <v>-30264.235226262965</v>
      </c>
      <c r="W469" s="382">
        <v>-1880430.2700537634</v>
      </c>
      <c r="Z469" s="10"/>
      <c r="AU469" s="10"/>
      <c r="AV469" s="10"/>
      <c r="AW469" s="10"/>
      <c r="AX469" s="10"/>
      <c r="AY469" s="10"/>
      <c r="AZ469" s="10"/>
      <c r="BA469" s="10"/>
      <c r="BB469" s="10"/>
      <c r="BC469" s="10"/>
      <c r="BD469" s="10"/>
      <c r="BE469" s="10"/>
      <c r="BF469" s="10"/>
      <c r="BG469" s="10"/>
      <c r="BH469" s="10"/>
      <c r="BI469" s="10"/>
      <c r="BJ469" s="10"/>
      <c r="BK469" s="10"/>
      <c r="BL469" s="10"/>
      <c r="BM469" s="10"/>
    </row>
    <row r="470" spans="3:65">
      <c r="C470" s="426" t="s">
        <v>449</v>
      </c>
      <c r="D470" s="426" t="s">
        <v>448</v>
      </c>
      <c r="E470" s="382">
        <v>-14031.016262306699</v>
      </c>
      <c r="F470" s="382">
        <v>-3332.4891755378512</v>
      </c>
      <c r="G470" s="382">
        <v>-2393.0693934564724</v>
      </c>
      <c r="H470" s="382">
        <v>-2643.6433702782033</v>
      </c>
      <c r="I470" s="382">
        <v>-3818.4456350684754</v>
      </c>
      <c r="J470" s="382">
        <v>-1479.1233984932749</v>
      </c>
      <c r="K470" s="382">
        <v>-5253.0406832479021</v>
      </c>
      <c r="L470" s="382">
        <v>-3478.5447642863446</v>
      </c>
      <c r="M470" s="382">
        <v>-20505.724907186544</v>
      </c>
      <c r="N470" s="382">
        <v>-10381.979153348508</v>
      </c>
      <c r="O470" s="382">
        <v>-1626.9106426688259</v>
      </c>
      <c r="P470" s="382">
        <v>-5869.3263539901482</v>
      </c>
      <c r="Q470" s="382">
        <v>-21678.685337856259</v>
      </c>
      <c r="R470" s="382">
        <v>-2604.7100218416913</v>
      </c>
      <c r="S470" s="382">
        <v>-73766.684599204062</v>
      </c>
      <c r="T470" s="382">
        <v>-36904.743202915721</v>
      </c>
      <c r="U470" s="382">
        <v>-787.61957588814062</v>
      </c>
      <c r="V470" s="382">
        <v>-329.95871268543772</v>
      </c>
      <c r="W470" s="382">
        <v>-210885.71519026055</v>
      </c>
      <c r="Z470" s="10"/>
      <c r="AU470" s="10"/>
      <c r="AV470" s="10"/>
      <c r="AW470" s="10"/>
      <c r="AX470" s="10"/>
      <c r="AY470" s="10"/>
      <c r="AZ470" s="10"/>
      <c r="BA470" s="10"/>
      <c r="BB470" s="10"/>
      <c r="BC470" s="10"/>
      <c r="BD470" s="10"/>
      <c r="BE470" s="10"/>
      <c r="BF470" s="10"/>
      <c r="BG470" s="10"/>
      <c r="BH470" s="10"/>
      <c r="BI470" s="10"/>
      <c r="BJ470" s="10"/>
      <c r="BK470" s="10"/>
      <c r="BL470" s="10"/>
      <c r="BM470" s="10"/>
    </row>
    <row r="471" spans="3:65">
      <c r="C471" s="426" t="s">
        <v>450</v>
      </c>
      <c r="D471" s="426" t="s">
        <v>918</v>
      </c>
      <c r="E471" s="382">
        <v>17878.681074449385</v>
      </c>
      <c r="F471" s="382">
        <v>40880.199599201005</v>
      </c>
      <c r="G471" s="382">
        <v>22135.472716848526</v>
      </c>
      <c r="H471" s="382">
        <v>33033.723816069381</v>
      </c>
      <c r="I471" s="382">
        <v>-9993.0051497911481</v>
      </c>
      <c r="J471" s="382">
        <v>-8426.7905972648659</v>
      </c>
      <c r="K471" s="382">
        <v>-11194.592006510473</v>
      </c>
      <c r="L471" s="382">
        <v>-26922.5095577295</v>
      </c>
      <c r="M471" s="382">
        <v>-119798.08947359095</v>
      </c>
      <c r="N471" s="382">
        <v>-71538.104711834312</v>
      </c>
      <c r="O471" s="382">
        <v>-6828.7102345084713</v>
      </c>
      <c r="P471" s="382">
        <v>38408.752166391176</v>
      </c>
      <c r="Q471" s="382">
        <v>66443.708467419376</v>
      </c>
      <c r="R471" s="382">
        <v>40504.683118790679</v>
      </c>
      <c r="S471" s="382">
        <v>9065.4968416886477</v>
      </c>
      <c r="T471" s="382">
        <v>-53270.103345298819</v>
      </c>
      <c r="U471" s="382">
        <v>-4583.419227939743</v>
      </c>
      <c r="V471" s="382">
        <v>-6038.6967158805273</v>
      </c>
      <c r="W471" s="382">
        <v>-50243.303219490648</v>
      </c>
      <c r="Z471" s="10"/>
      <c r="AU471" s="10"/>
      <c r="AV471" s="10"/>
      <c r="AW471" s="10"/>
      <c r="AX471" s="10"/>
      <c r="AY471" s="10"/>
      <c r="AZ471" s="10"/>
      <c r="BA471" s="10"/>
      <c r="BB471" s="10"/>
      <c r="BC471" s="10"/>
      <c r="BD471" s="10"/>
      <c r="BE471" s="10"/>
      <c r="BF471" s="10"/>
      <c r="BG471" s="10"/>
      <c r="BH471" s="10"/>
      <c r="BI471" s="10"/>
      <c r="BJ471" s="10"/>
      <c r="BK471" s="10"/>
      <c r="BL471" s="10"/>
      <c r="BM471" s="10"/>
    </row>
    <row r="472" spans="3:65">
      <c r="C472" s="426" t="s">
        <v>652</v>
      </c>
      <c r="D472" s="426" t="s">
        <v>919</v>
      </c>
      <c r="E472" s="382">
        <v>0</v>
      </c>
      <c r="F472" s="382">
        <v>0</v>
      </c>
      <c r="G472" s="382">
        <v>0</v>
      </c>
      <c r="H472" s="382">
        <v>0</v>
      </c>
      <c r="I472" s="382">
        <v>0</v>
      </c>
      <c r="J472" s="382">
        <v>0</v>
      </c>
      <c r="K472" s="382">
        <v>0</v>
      </c>
      <c r="L472" s="382">
        <v>0</v>
      </c>
      <c r="M472" s="382">
        <v>0</v>
      </c>
      <c r="N472" s="382">
        <v>0</v>
      </c>
      <c r="O472" s="382">
        <v>0</v>
      </c>
      <c r="P472" s="382">
        <v>0</v>
      </c>
      <c r="Q472" s="382">
        <v>0</v>
      </c>
      <c r="R472" s="382">
        <v>0</v>
      </c>
      <c r="S472" s="382">
        <v>0</v>
      </c>
      <c r="T472" s="382">
        <v>0</v>
      </c>
      <c r="U472" s="382">
        <v>0</v>
      </c>
      <c r="V472" s="382">
        <v>2463</v>
      </c>
      <c r="W472" s="382">
        <v>2463</v>
      </c>
      <c r="Z472" s="10"/>
      <c r="AU472" s="10"/>
      <c r="AV472" s="10"/>
      <c r="AW472" s="10"/>
      <c r="AX472" s="10"/>
      <c r="AY472" s="10"/>
      <c r="AZ472" s="10"/>
      <c r="BA472" s="10"/>
      <c r="BB472" s="10"/>
      <c r="BC472" s="10"/>
      <c r="BD472" s="10"/>
      <c r="BE472" s="10"/>
      <c r="BF472" s="10"/>
      <c r="BG472" s="10"/>
      <c r="BH472" s="10"/>
      <c r="BI472" s="10"/>
      <c r="BJ472" s="10"/>
      <c r="BK472" s="10"/>
      <c r="BL472" s="10"/>
      <c r="BM472" s="10"/>
    </row>
    <row r="473" spans="3:65">
      <c r="C473" s="426" t="s">
        <v>1095</v>
      </c>
      <c r="D473" s="426" t="s">
        <v>1096</v>
      </c>
      <c r="E473" s="382">
        <v>217204.89194982743</v>
      </c>
      <c r="F473" s="382">
        <v>4621.5860774052662</v>
      </c>
      <c r="G473" s="382">
        <v>24646.390355771266</v>
      </c>
      <c r="H473" s="382">
        <v>34684.454504404232</v>
      </c>
      <c r="I473" s="382">
        <v>3581.3087560767312</v>
      </c>
      <c r="J473" s="382">
        <v>20569.661096445783</v>
      </c>
      <c r="K473" s="382">
        <v>82490.456353088288</v>
      </c>
      <c r="L473" s="382">
        <v>64147.615192517267</v>
      </c>
      <c r="M473" s="382">
        <v>211086.35224682416</v>
      </c>
      <c r="N473" s="382">
        <v>122480.01177060872</v>
      </c>
      <c r="O473" s="382">
        <v>28821.197099441797</v>
      </c>
      <c r="P473" s="382">
        <v>70491.246212193539</v>
      </c>
      <c r="Q473" s="382">
        <v>72291.430620566156</v>
      </c>
      <c r="R473" s="382">
        <v>43071.133420458529</v>
      </c>
      <c r="S473" s="382">
        <v>2357.6076967346512</v>
      </c>
      <c r="T473" s="382">
        <v>8342.5574590322212</v>
      </c>
      <c r="U473" s="382">
        <v>1099.4255473035669</v>
      </c>
      <c r="V473" s="382">
        <v>451.47364130036914</v>
      </c>
      <c r="W473" s="382">
        <v>1012438.7999999999</v>
      </c>
      <c r="Z473" s="10"/>
      <c r="AU473" s="10"/>
      <c r="AV473" s="10"/>
      <c r="AW473" s="10"/>
      <c r="AX473" s="10"/>
      <c r="AY473" s="10"/>
      <c r="AZ473" s="10"/>
      <c r="BA473" s="10"/>
      <c r="BB473" s="10"/>
      <c r="BC473" s="10"/>
      <c r="BD473" s="10"/>
      <c r="BE473" s="10"/>
      <c r="BF473" s="10"/>
      <c r="BG473" s="10"/>
      <c r="BH473" s="10"/>
      <c r="BI473" s="10"/>
      <c r="BJ473" s="10"/>
      <c r="BK473" s="10"/>
      <c r="BL473" s="10"/>
      <c r="BM473" s="10"/>
    </row>
    <row r="474" spans="3:65">
      <c r="C474" s="426" t="s">
        <v>452</v>
      </c>
      <c r="D474" s="426" t="s">
        <v>451</v>
      </c>
      <c r="E474" s="382">
        <v>62614.403667307161</v>
      </c>
      <c r="F474" s="382">
        <v>3519.8833868297411</v>
      </c>
      <c r="G474" s="382">
        <v>6802.4240901075973</v>
      </c>
      <c r="H474" s="382">
        <v>10535.23378416281</v>
      </c>
      <c r="I474" s="382">
        <v>-873.93464752430759</v>
      </c>
      <c r="J474" s="382">
        <v>4271.2246823486057</v>
      </c>
      <c r="K474" s="382">
        <v>19165.799642761034</v>
      </c>
      <c r="L474" s="382">
        <v>13325.574489306064</v>
      </c>
      <c r="M474" s="382">
        <v>181075.62251163131</v>
      </c>
      <c r="N474" s="382">
        <v>91948.537276537347</v>
      </c>
      <c r="O474" s="382">
        <v>6457.4730293290149</v>
      </c>
      <c r="P474" s="382">
        <v>35508.749805055755</v>
      </c>
      <c r="Q474" s="382">
        <v>-48997.782734995388</v>
      </c>
      <c r="R474" s="382">
        <v>9117.5251258104909</v>
      </c>
      <c r="S474" s="382">
        <v>-12756.820245182565</v>
      </c>
      <c r="T474" s="382">
        <v>-66563.947750526451</v>
      </c>
      <c r="U474" s="382">
        <v>832.35909463385542</v>
      </c>
      <c r="V474" s="382">
        <v>10811.859778625214</v>
      </c>
      <c r="W474" s="382">
        <v>326794.18498621718</v>
      </c>
      <c r="Z474" s="10"/>
      <c r="AU474" s="10"/>
      <c r="AV474" s="10"/>
      <c r="AW474" s="10"/>
      <c r="AX474" s="10"/>
      <c r="AY474" s="10"/>
      <c r="AZ474" s="10"/>
      <c r="BA474" s="10"/>
      <c r="BB474" s="10"/>
      <c r="BC474" s="10"/>
      <c r="BD474" s="10"/>
      <c r="BE474" s="10"/>
      <c r="BF474" s="10"/>
      <c r="BG474" s="10"/>
      <c r="BH474" s="10"/>
      <c r="BI474" s="10"/>
      <c r="BJ474" s="10"/>
      <c r="BK474" s="10"/>
      <c r="BL474" s="10"/>
      <c r="BM474" s="10"/>
    </row>
    <row r="475" spans="3:65">
      <c r="C475" s="426" t="s">
        <v>453</v>
      </c>
      <c r="D475" s="426" t="s">
        <v>920</v>
      </c>
      <c r="E475" s="382">
        <v>1607.8301149505064</v>
      </c>
      <c r="F475" s="382">
        <v>20.860297688433157</v>
      </c>
      <c r="G475" s="382">
        <v>60.649949055273595</v>
      </c>
      <c r="H475" s="382">
        <v>77.868057922428704</v>
      </c>
      <c r="I475" s="382">
        <v>16.168177299371571</v>
      </c>
      <c r="J475" s="382">
        <v>109.40917328018321</v>
      </c>
      <c r="K475" s="382">
        <v>404.10021270245113</v>
      </c>
      <c r="L475" s="382">
        <v>256.33907160370069</v>
      </c>
      <c r="M475" s="382">
        <v>587.91950222230093</v>
      </c>
      <c r="N475" s="382">
        <v>925.91000309668937</v>
      </c>
      <c r="O475" s="382">
        <v>297.74102368452679</v>
      </c>
      <c r="P475" s="382">
        <v>204.24194516355317</v>
      </c>
      <c r="Q475" s="382">
        <v>329.5684748323909</v>
      </c>
      <c r="R475" s="382">
        <v>286.76944700662193</v>
      </c>
      <c r="S475" s="382">
        <v>-495.642023827777</v>
      </c>
      <c r="T475" s="382">
        <v>37.663311742936976</v>
      </c>
      <c r="U475" s="382">
        <v>4.9661219666556953</v>
      </c>
      <c r="V475" s="382">
        <v>2.0382230005026845</v>
      </c>
      <c r="W475" s="382">
        <v>4734.4010833907505</v>
      </c>
      <c r="Z475" s="10"/>
      <c r="AU475" s="10"/>
      <c r="AV475" s="10"/>
      <c r="AW475" s="10"/>
      <c r="AX475" s="10"/>
      <c r="AY475" s="10"/>
      <c r="AZ475" s="10"/>
      <c r="BA475" s="10"/>
      <c r="BB475" s="10"/>
      <c r="BC475" s="10"/>
      <c r="BD475" s="10"/>
      <c r="BE475" s="10"/>
      <c r="BF475" s="10"/>
      <c r="BG475" s="10"/>
      <c r="BH475" s="10"/>
      <c r="BI475" s="10"/>
      <c r="BJ475" s="10"/>
      <c r="BK475" s="10"/>
      <c r="BL475" s="10"/>
      <c r="BM475" s="10"/>
    </row>
    <row r="476" spans="3:65">
      <c r="C476" s="426" t="s">
        <v>455</v>
      </c>
      <c r="D476" s="426" t="s">
        <v>454</v>
      </c>
      <c r="E476" s="382">
        <v>14624.126762592699</v>
      </c>
      <c r="F476" s="382">
        <v>9085.5857099300047</v>
      </c>
      <c r="G476" s="382">
        <v>5573.5317450354833</v>
      </c>
      <c r="H476" s="382">
        <v>-5040.1714630143351</v>
      </c>
      <c r="I476" s="382">
        <v>17719.346861081442</v>
      </c>
      <c r="J476" s="382">
        <v>1594.5199070897861</v>
      </c>
      <c r="K476" s="382">
        <v>2930.4858467180497</v>
      </c>
      <c r="L476" s="382">
        <v>-4764.1782135951698</v>
      </c>
      <c r="M476" s="382">
        <v>50740.513574480909</v>
      </c>
      <c r="N476" s="382">
        <v>-5477.1622583773596</v>
      </c>
      <c r="O476" s="382">
        <v>4148.5474191517924</v>
      </c>
      <c r="P476" s="382">
        <v>-7084.4365461097277</v>
      </c>
      <c r="Q476" s="382">
        <v>-93156.401511306307</v>
      </c>
      <c r="R476" s="382">
        <v>5704.3368593746072</v>
      </c>
      <c r="S476" s="382">
        <v>-811.2181723548573</v>
      </c>
      <c r="T476" s="382">
        <v>18341.048086217608</v>
      </c>
      <c r="U476" s="382">
        <v>3529.6805644086958</v>
      </c>
      <c r="V476" s="382">
        <v>126.59001020406595</v>
      </c>
      <c r="W476" s="382">
        <v>17784.745181527378</v>
      </c>
      <c r="Z476" s="10"/>
      <c r="AU476" s="10"/>
      <c r="AV476" s="10"/>
      <c r="AW476" s="10"/>
      <c r="AX476" s="10"/>
      <c r="AY476" s="10"/>
      <c r="AZ476" s="10"/>
      <c r="BA476" s="10"/>
      <c r="BB476" s="10"/>
      <c r="BC476" s="10"/>
      <c r="BD476" s="10"/>
      <c r="BE476" s="10"/>
      <c r="BF476" s="10"/>
      <c r="BG476" s="10"/>
      <c r="BH476" s="10"/>
      <c r="BI476" s="10"/>
      <c r="BJ476" s="10"/>
      <c r="BK476" s="10"/>
      <c r="BL476" s="10"/>
      <c r="BM476" s="10"/>
    </row>
    <row r="477" spans="3:65">
      <c r="C477" s="426" t="s">
        <v>456</v>
      </c>
      <c r="D477" s="426" t="s">
        <v>921</v>
      </c>
      <c r="E477" s="382">
        <v>-95098.705227280327</v>
      </c>
      <c r="F477" s="382">
        <v>-15420.567302829422</v>
      </c>
      <c r="G477" s="382">
        <v>-13821.647299391236</v>
      </c>
      <c r="H477" s="382">
        <v>-12343.4732968967</v>
      </c>
      <c r="I477" s="382">
        <v>-1625974.4643193705</v>
      </c>
      <c r="J477" s="382">
        <v>-7162.4916589121112</v>
      </c>
      <c r="K477" s="382">
        <v>-30173.71600717042</v>
      </c>
      <c r="L477" s="382">
        <v>-22774.067474089567</v>
      </c>
      <c r="M477" s="382">
        <v>-87368.634190529541</v>
      </c>
      <c r="N477" s="382">
        <v>-57105.191925277846</v>
      </c>
      <c r="O477" s="382">
        <v>-12498.696706629707</v>
      </c>
      <c r="P477" s="382">
        <v>-33736.84731491204</v>
      </c>
      <c r="Q477" s="382">
        <v>-78171.743316376887</v>
      </c>
      <c r="R477" s="382">
        <v>-15922.428060907041</v>
      </c>
      <c r="S477" s="382">
        <v>-7961.2754539289235</v>
      </c>
      <c r="T477" s="382">
        <v>-29388.931932164596</v>
      </c>
      <c r="U477" s="382">
        <v>-3796.1395754873033</v>
      </c>
      <c r="V477" s="382">
        <v>-1863.3867493409316</v>
      </c>
      <c r="W477" s="382">
        <v>-2150582.4078114955</v>
      </c>
      <c r="Z477" s="10"/>
      <c r="AU477" s="10"/>
      <c r="AV477" s="10"/>
      <c r="AW477" s="10"/>
      <c r="AX477" s="10"/>
      <c r="AY477" s="10"/>
      <c r="AZ477" s="10"/>
      <c r="BA477" s="10"/>
      <c r="BB477" s="10"/>
      <c r="BC477" s="10"/>
      <c r="BD477" s="10"/>
      <c r="BE477" s="10"/>
      <c r="BF477" s="10"/>
      <c r="BG477" s="10"/>
      <c r="BH477" s="10"/>
      <c r="BI477" s="10"/>
      <c r="BJ477" s="10"/>
      <c r="BK477" s="10"/>
      <c r="BL477" s="10"/>
      <c r="BM477" s="10"/>
    </row>
    <row r="478" spans="3:65">
      <c r="C478" s="426" t="s">
        <v>457</v>
      </c>
      <c r="D478" s="382" t="s">
        <v>922</v>
      </c>
      <c r="E478" s="382">
        <v>0</v>
      </c>
      <c r="F478" s="382">
        <v>0</v>
      </c>
      <c r="G478" s="382">
        <v>0</v>
      </c>
      <c r="H478" s="382">
        <v>0</v>
      </c>
      <c r="I478" s="382">
        <v>0</v>
      </c>
      <c r="J478" s="382">
        <v>0</v>
      </c>
      <c r="K478" s="382">
        <v>0</v>
      </c>
      <c r="L478" s="382">
        <v>0</v>
      </c>
      <c r="M478" s="382">
        <v>0</v>
      </c>
      <c r="N478" s="382">
        <v>0</v>
      </c>
      <c r="O478" s="382">
        <v>0</v>
      </c>
      <c r="P478" s="382">
        <v>0</v>
      </c>
      <c r="Q478" s="382">
        <v>0</v>
      </c>
      <c r="R478" s="382">
        <v>0</v>
      </c>
      <c r="S478" s="382">
        <v>0</v>
      </c>
      <c r="T478" s="382">
        <v>0</v>
      </c>
      <c r="U478" s="382">
        <v>0</v>
      </c>
      <c r="V478" s="382">
        <v>-85829.065755641321</v>
      </c>
      <c r="W478" s="382">
        <v>-85829.065755641321</v>
      </c>
      <c r="Z478" s="10"/>
      <c r="AU478" s="10"/>
      <c r="AV478" s="10"/>
      <c r="AW478" s="10"/>
      <c r="AX478" s="10"/>
      <c r="AY478" s="10"/>
      <c r="AZ478" s="10"/>
      <c r="BA478" s="10"/>
      <c r="BB478" s="10"/>
      <c r="BC478" s="10"/>
      <c r="BD478" s="10"/>
      <c r="BE478" s="10"/>
      <c r="BF478" s="10"/>
      <c r="BG478" s="10"/>
      <c r="BH478" s="10"/>
      <c r="BI478" s="10"/>
      <c r="BJ478" s="10"/>
      <c r="BK478" s="10"/>
      <c r="BL478" s="10"/>
      <c r="BM478" s="10"/>
    </row>
    <row r="479" spans="3:65">
      <c r="C479" s="426" t="s">
        <v>458</v>
      </c>
      <c r="D479" s="426" t="s">
        <v>923</v>
      </c>
      <c r="E479" s="382">
        <v>812.53928382619199</v>
      </c>
      <c r="F479" s="382">
        <v>6.0169540022485037</v>
      </c>
      <c r="G479" s="382">
        <v>52.450939442443492</v>
      </c>
      <c r="H479" s="382">
        <v>141.94309996514582</v>
      </c>
      <c r="I479" s="382">
        <v>4.4008444093714205</v>
      </c>
      <c r="J479" s="382">
        <v>81.380419706807217</v>
      </c>
      <c r="K479" s="382">
        <v>10.964248068772905</v>
      </c>
      <c r="L479" s="382">
        <v>8.4821286151565261</v>
      </c>
      <c r="M479" s="382">
        <v>685.72848688379304</v>
      </c>
      <c r="N479" s="382">
        <v>21.607506671716305</v>
      </c>
      <c r="O479" s="382">
        <v>280.78220900164661</v>
      </c>
      <c r="P479" s="382">
        <v>11.925108996063607</v>
      </c>
      <c r="Q479" s="382">
        <v>32.10734424084513</v>
      </c>
      <c r="R479" s="382">
        <v>19.114889666323933</v>
      </c>
      <c r="S479" s="382">
        <v>2.9916263344605145</v>
      </c>
      <c r="T479" s="382">
        <v>11.155398182851666</v>
      </c>
      <c r="U479" s="382">
        <v>1.4219960427977338</v>
      </c>
      <c r="V479" s="382">
        <v>0.57751594336606626</v>
      </c>
      <c r="W479" s="382">
        <v>2185.590000000002</v>
      </c>
      <c r="Z479" s="10"/>
      <c r="AU479" s="10"/>
      <c r="AV479" s="10"/>
      <c r="AW479" s="10"/>
      <c r="AX479" s="10"/>
      <c r="AY479" s="10"/>
      <c r="AZ479" s="10"/>
      <c r="BA479" s="10"/>
      <c r="BB479" s="10"/>
      <c r="BC479" s="10"/>
      <c r="BD479" s="10"/>
      <c r="BE479" s="10"/>
      <c r="BF479" s="10"/>
      <c r="BG479" s="10"/>
      <c r="BH479" s="10"/>
      <c r="BI479" s="10"/>
      <c r="BJ479" s="10"/>
      <c r="BK479" s="10"/>
      <c r="BL479" s="10"/>
      <c r="BM479" s="10"/>
    </row>
    <row r="480" spans="3:65">
      <c r="C480" s="426" t="s">
        <v>459</v>
      </c>
      <c r="D480" s="426" t="s">
        <v>924</v>
      </c>
      <c r="E480" s="426">
        <v>202941.23318665393</v>
      </c>
      <c r="F480" s="426">
        <v>88190.813777541392</v>
      </c>
      <c r="G480" s="426">
        <v>42408.892465634504</v>
      </c>
      <c r="H480" s="426">
        <v>130974.62591727785</v>
      </c>
      <c r="I480" s="426">
        <v>32964.275754904753</v>
      </c>
      <c r="J480" s="426">
        <v>42310.586449427006</v>
      </c>
      <c r="K480" s="426">
        <v>107893.8706501805</v>
      </c>
      <c r="L480" s="426">
        <v>34950.523389219852</v>
      </c>
      <c r="M480" s="426">
        <v>556856.32802428922</v>
      </c>
      <c r="N480" s="426">
        <v>413023.53086962126</v>
      </c>
      <c r="O480" s="426">
        <v>135307.5246485651</v>
      </c>
      <c r="P480" s="426">
        <v>157414.76462366921</v>
      </c>
      <c r="Q480" s="426">
        <v>66082.264716024278</v>
      </c>
      <c r="R480" s="426">
        <v>76016.363452329344</v>
      </c>
      <c r="S480" s="426">
        <v>50217.237384979388</v>
      </c>
      <c r="T480" s="426">
        <v>171306.20174314998</v>
      </c>
      <c r="U480" s="426">
        <v>28050.34207548284</v>
      </c>
      <c r="V480" s="426">
        <v>428.72724104968518</v>
      </c>
      <c r="W480" s="426">
        <v>2337338.1063700002</v>
      </c>
      <c r="Z480" s="10"/>
      <c r="AU480" s="10"/>
      <c r="AV480" s="10"/>
      <c r="AW480" s="10"/>
      <c r="AX480" s="10"/>
      <c r="AY480" s="10"/>
      <c r="AZ480" s="10"/>
      <c r="BA480" s="10"/>
      <c r="BB480" s="10"/>
      <c r="BC480" s="10"/>
      <c r="BD480" s="10"/>
      <c r="BE480" s="10"/>
      <c r="BF480" s="10"/>
      <c r="BG480" s="10"/>
      <c r="BH480" s="10"/>
      <c r="BI480" s="10"/>
      <c r="BJ480" s="10"/>
      <c r="BK480" s="10"/>
      <c r="BL480" s="10"/>
      <c r="BM480" s="10"/>
    </row>
    <row r="481" spans="3:65">
      <c r="C481" s="426"/>
      <c r="D481" s="426" t="s">
        <v>668</v>
      </c>
      <c r="E481" s="382">
        <v>421288.22585972032</v>
      </c>
      <c r="F481" s="382">
        <v>122079.58107383431</v>
      </c>
      <c r="G481" s="382">
        <v>84718.740484473878</v>
      </c>
      <c r="H481" s="382">
        <v>184311.31400701278</v>
      </c>
      <c r="I481" s="382">
        <v>-1618302.7806836397</v>
      </c>
      <c r="J481" s="382">
        <v>31209.338941115086</v>
      </c>
      <c r="K481" s="382">
        <v>132828.03236129042</v>
      </c>
      <c r="L481" s="382">
        <v>-1489.9552017093665</v>
      </c>
      <c r="M481" s="382">
        <v>768380.10521571501</v>
      </c>
      <c r="N481" s="382">
        <v>441035.54058933852</v>
      </c>
      <c r="O481" s="382">
        <v>151275.14962596088</v>
      </c>
      <c r="P481" s="382">
        <v>230848.49936600908</v>
      </c>
      <c r="Q481" s="382">
        <v>-468604.86651507078</v>
      </c>
      <c r="R481" s="382">
        <v>155152.83040315824</v>
      </c>
      <c r="S481" s="382">
        <v>-360924.33583581366</v>
      </c>
      <c r="T481" s="382">
        <v>-856158.48938952258</v>
      </c>
      <c r="U481" s="382">
        <v>18162.212038300378</v>
      </c>
      <c r="V481" s="382">
        <v>-110041.07674968799</v>
      </c>
      <c r="W481" s="382">
        <v>-674231.93440951686</v>
      </c>
      <c r="Z481" s="10"/>
      <c r="AU481" s="10"/>
      <c r="AV481" s="10"/>
      <c r="AW481" s="10"/>
      <c r="AX481" s="10"/>
      <c r="AY481" s="10"/>
      <c r="AZ481" s="10"/>
      <c r="BA481" s="10"/>
      <c r="BB481" s="10"/>
      <c r="BC481" s="10"/>
      <c r="BD481" s="10"/>
      <c r="BE481" s="10"/>
      <c r="BF481" s="10"/>
      <c r="BG481" s="10"/>
      <c r="BH481" s="10"/>
      <c r="BI481" s="10"/>
      <c r="BJ481" s="10"/>
      <c r="BK481" s="10"/>
      <c r="BL481" s="10"/>
      <c r="BM481" s="10"/>
    </row>
    <row r="482" spans="3:65">
      <c r="C482" s="426"/>
      <c r="D482" s="426" t="s">
        <v>925</v>
      </c>
      <c r="E482" s="382" t="s">
        <v>9</v>
      </c>
      <c r="F482" s="382" t="s">
        <v>10</v>
      </c>
      <c r="G482" s="382" t="s">
        <v>11</v>
      </c>
      <c r="H482" s="382" t="s">
        <v>31</v>
      </c>
      <c r="I482" s="382" t="s">
        <v>12</v>
      </c>
      <c r="J482" s="382" t="s">
        <v>13</v>
      </c>
      <c r="K482" s="382" t="s">
        <v>14</v>
      </c>
      <c r="L482" s="382" t="s">
        <v>15</v>
      </c>
      <c r="M482" s="382" t="s">
        <v>16</v>
      </c>
      <c r="N482" s="382" t="s">
        <v>17</v>
      </c>
      <c r="O482" s="382" t="s">
        <v>18</v>
      </c>
      <c r="P482" s="382" t="s">
        <v>19</v>
      </c>
      <c r="Q482" s="382" t="s">
        <v>20</v>
      </c>
      <c r="R482" s="382" t="s">
        <v>60</v>
      </c>
      <c r="S482" s="382" t="s">
        <v>61</v>
      </c>
      <c r="T482" s="382" t="s">
        <v>62</v>
      </c>
      <c r="U482" s="382" t="s">
        <v>63</v>
      </c>
      <c r="V482" s="382" t="s">
        <v>64</v>
      </c>
      <c r="W482" s="382" t="s">
        <v>656</v>
      </c>
      <c r="Z482" s="10"/>
      <c r="AU482" s="10"/>
      <c r="AV482" s="10"/>
      <c r="AW482" s="10"/>
      <c r="AX482" s="10"/>
      <c r="AY482" s="10"/>
      <c r="AZ482" s="10"/>
      <c r="BA482" s="10"/>
      <c r="BB482" s="10"/>
      <c r="BC482" s="10"/>
      <c r="BD482" s="10"/>
      <c r="BE482" s="10"/>
      <c r="BF482" s="10"/>
      <c r="BG482" s="10"/>
      <c r="BH482" s="10"/>
      <c r="BI482" s="10"/>
      <c r="BJ482" s="10"/>
      <c r="BK482" s="10"/>
      <c r="BL482" s="10"/>
      <c r="BM482" s="10"/>
    </row>
    <row r="483" spans="3:65">
      <c r="C483" s="426" t="s">
        <v>615</v>
      </c>
      <c r="D483" s="426" t="s">
        <v>926</v>
      </c>
      <c r="E483" s="382">
        <v>3628796.3362999996</v>
      </c>
      <c r="F483" s="382">
        <v>726130.61050000007</v>
      </c>
      <c r="G483" s="382">
        <v>513566.01003999996</v>
      </c>
      <c r="H483" s="382">
        <v>762396.43560000008</v>
      </c>
      <c r="I483" s="382">
        <v>867784.20620000013</v>
      </c>
      <c r="J483" s="382">
        <v>331273.96665000002</v>
      </c>
      <c r="K483" s="382">
        <v>1212241.1559000001</v>
      </c>
      <c r="L483" s="382">
        <v>977752.62690000003</v>
      </c>
      <c r="M483" s="382">
        <v>4893005.3390999995</v>
      </c>
      <c r="N483" s="382">
        <v>2497245.1778000002</v>
      </c>
      <c r="O483" s="382">
        <v>395127.90620000003</v>
      </c>
      <c r="P483" s="382">
        <v>1066998.2146999999</v>
      </c>
      <c r="Q483" s="382">
        <v>4267844.4236599989</v>
      </c>
      <c r="R483" s="382">
        <v>679801.86254</v>
      </c>
      <c r="S483" s="382">
        <v>378596.10148911155</v>
      </c>
      <c r="T483" s="382">
        <v>1117461.0888999999</v>
      </c>
      <c r="U483" s="382">
        <v>171266.15709999998</v>
      </c>
      <c r="V483" s="382">
        <v>33272.019790000006</v>
      </c>
      <c r="W483" s="382">
        <v>24520559.639369108</v>
      </c>
      <c r="Z483" s="10"/>
      <c r="AU483" s="10"/>
      <c r="AV483" s="10"/>
      <c r="AW483" s="10"/>
      <c r="AX483" s="10"/>
      <c r="AY483" s="10"/>
      <c r="AZ483" s="10"/>
      <c r="BA483" s="10"/>
      <c r="BB483" s="10"/>
      <c r="BC483" s="10"/>
      <c r="BD483" s="10"/>
      <c r="BE483" s="10"/>
      <c r="BF483" s="10"/>
      <c r="BG483" s="10"/>
      <c r="BH483" s="10"/>
      <c r="BI483" s="10"/>
      <c r="BJ483" s="10"/>
      <c r="BK483" s="10"/>
      <c r="BL483" s="10"/>
      <c r="BM483" s="10"/>
    </row>
    <row r="484" spans="3:65">
      <c r="C484" s="426" t="s">
        <v>614</v>
      </c>
      <c r="D484" s="426" t="s">
        <v>616</v>
      </c>
      <c r="E484" s="382">
        <v>16633414.167091312</v>
      </c>
      <c r="F484" s="382">
        <v>3739095.3121327511</v>
      </c>
      <c r="G484" s="382">
        <v>2767057.2563540949</v>
      </c>
      <c r="H484" s="382">
        <v>3095102.0491085346</v>
      </c>
      <c r="I484" s="382">
        <v>4736932.0671536466</v>
      </c>
      <c r="J484" s="382">
        <v>1557687.0967209714</v>
      </c>
      <c r="K484" s="382">
        <v>6254572.3055648571</v>
      </c>
      <c r="L484" s="382">
        <v>4539915.0624509482</v>
      </c>
      <c r="M484" s="382">
        <v>22753718.847508639</v>
      </c>
      <c r="N484" s="382">
        <v>11214076.685152559</v>
      </c>
      <c r="O484" s="382">
        <v>2099916.7252522632</v>
      </c>
      <c r="P484" s="382">
        <v>6537967.7925942782</v>
      </c>
      <c r="Q484" s="382">
        <v>21309340.663408522</v>
      </c>
      <c r="R484" s="382">
        <v>3054327.5852825167</v>
      </c>
      <c r="S484" s="382">
        <v>2081716.0070846977</v>
      </c>
      <c r="T484" s="382">
        <v>7699329.1664517559</v>
      </c>
      <c r="U484" s="382">
        <v>872215.43777320546</v>
      </c>
      <c r="V484" s="382">
        <v>355736.85055522516</v>
      </c>
      <c r="W484" s="382">
        <v>121302121.07764079</v>
      </c>
      <c r="Z484" s="10"/>
      <c r="AU484" s="10"/>
      <c r="AV484" s="10"/>
      <c r="AW484" s="10"/>
      <c r="AX484" s="10"/>
      <c r="AY484" s="10"/>
      <c r="AZ484" s="10"/>
      <c r="BA484" s="10"/>
      <c r="BB484" s="10"/>
      <c r="BC484" s="10"/>
      <c r="BD484" s="10"/>
      <c r="BE484" s="10"/>
      <c r="BF484" s="10"/>
      <c r="BG484" s="10"/>
      <c r="BH484" s="10"/>
      <c r="BI484" s="10"/>
      <c r="BJ484" s="10"/>
      <c r="BK484" s="10"/>
      <c r="BL484" s="10"/>
      <c r="BM484" s="10"/>
    </row>
    <row r="485" spans="3:65">
      <c r="C485" s="426" t="s">
        <v>653</v>
      </c>
      <c r="D485" s="426" t="s">
        <v>927</v>
      </c>
      <c r="E485" s="382">
        <v>563266.34058075654</v>
      </c>
      <c r="F485" s="382">
        <v>88614.53354492475</v>
      </c>
      <c r="G485" s="382">
        <v>70837.966611490338</v>
      </c>
      <c r="H485" s="382">
        <v>74020.702503239896</v>
      </c>
      <c r="I485" s="382">
        <v>140976.96907232038</v>
      </c>
      <c r="J485" s="382">
        <v>39352.898642157306</v>
      </c>
      <c r="K485" s="382">
        <v>166513.71768401001</v>
      </c>
      <c r="L485" s="382">
        <v>138720.0949940288</v>
      </c>
      <c r="M485" s="382">
        <v>503781.50427597208</v>
      </c>
      <c r="N485" s="382">
        <v>334765.67663846881</v>
      </c>
      <c r="O485" s="382">
        <v>73508.03715756876</v>
      </c>
      <c r="P485" s="382">
        <v>183752.30784514619</v>
      </c>
      <c r="Q485" s="382">
        <v>432186.27341990813</v>
      </c>
      <c r="R485" s="382">
        <v>98366.104284968169</v>
      </c>
      <c r="S485" s="382">
        <v>42954.530263318375</v>
      </c>
      <c r="T485" s="382">
        <v>146780.86243538154</v>
      </c>
      <c r="U485" s="382">
        <v>21323.787368614299</v>
      </c>
      <c r="V485" s="382">
        <v>11375.692677725725</v>
      </c>
      <c r="W485" s="382">
        <v>3131097.9999999995</v>
      </c>
      <c r="Z485" s="10"/>
      <c r="AU485" s="10"/>
      <c r="AV485" s="10"/>
      <c r="AW485" s="10"/>
      <c r="AX485" s="10"/>
      <c r="AY485" s="10"/>
      <c r="AZ485" s="10"/>
      <c r="BA485" s="10"/>
      <c r="BB485" s="10"/>
      <c r="BC485" s="10"/>
      <c r="BD485" s="10"/>
      <c r="BE485" s="10"/>
      <c r="BF485" s="10"/>
      <c r="BG485" s="10"/>
      <c r="BH485" s="10"/>
      <c r="BI485" s="10"/>
      <c r="BJ485" s="10"/>
      <c r="BK485" s="10"/>
      <c r="BL485" s="10"/>
      <c r="BM485" s="10"/>
    </row>
    <row r="486" spans="3:65">
      <c r="C486" s="426" t="s">
        <v>462</v>
      </c>
      <c r="D486" s="426" t="s">
        <v>461</v>
      </c>
      <c r="E486" s="382">
        <v>7665.2159050471673</v>
      </c>
      <c r="F486" s="382">
        <v>1368.9124318527156</v>
      </c>
      <c r="G486" s="382">
        <v>1097.1457218410783</v>
      </c>
      <c r="H486" s="382">
        <v>1177.4281276111531</v>
      </c>
      <c r="I486" s="382">
        <v>1929.7850704033201</v>
      </c>
      <c r="J486" s="382">
        <v>614.42945096172923</v>
      </c>
      <c r="K486" s="382">
        <v>2466.6125342650598</v>
      </c>
      <c r="L486" s="382">
        <v>1877.4633193723992</v>
      </c>
      <c r="M486" s="382">
        <v>8474.7000606387355</v>
      </c>
      <c r="N486" s="382">
        <v>4952.1852612855073</v>
      </c>
      <c r="O486" s="382">
        <v>962.1669022906467</v>
      </c>
      <c r="P486" s="382">
        <v>2695.6737301834564</v>
      </c>
      <c r="Q486" s="382">
        <v>7488.8607155793379</v>
      </c>
      <c r="R486" s="382">
        <v>1329.292715562251</v>
      </c>
      <c r="S486" s="382">
        <v>707.33143678605427</v>
      </c>
      <c r="T486" s="382">
        <v>2515.0351862120024</v>
      </c>
      <c r="U486" s="382">
        <v>327.45573691908993</v>
      </c>
      <c r="V486" s="382">
        <v>153.30569318829706</v>
      </c>
      <c r="W486" s="382">
        <v>47802.999999999993</v>
      </c>
      <c r="Z486" s="10"/>
      <c r="AU486" s="10"/>
      <c r="AV486" s="10"/>
      <c r="AW486" s="10"/>
      <c r="AX486" s="10"/>
      <c r="AY486" s="10"/>
      <c r="AZ486" s="10"/>
      <c r="BA486" s="10"/>
      <c r="BB486" s="10"/>
      <c r="BC486" s="10"/>
      <c r="BD486" s="10"/>
      <c r="BE486" s="10"/>
      <c r="BF486" s="10"/>
      <c r="BG486" s="10"/>
      <c r="BH486" s="10"/>
      <c r="BI486" s="10"/>
      <c r="BJ486" s="10"/>
      <c r="BK486" s="10"/>
      <c r="BL486" s="10"/>
      <c r="BM486" s="10"/>
    </row>
    <row r="487" spans="3:65">
      <c r="C487" s="426" t="s">
        <v>1231</v>
      </c>
      <c r="D487" s="426" t="s">
        <v>1232</v>
      </c>
      <c r="E487" s="382">
        <v>-73.61358366934725</v>
      </c>
      <c r="F487" s="382">
        <v>-13.498081456900618</v>
      </c>
      <c r="G487" s="382">
        <v>-10.682856957503166</v>
      </c>
      <c r="H487" s="382">
        <v>-11.443829235545557</v>
      </c>
      <c r="I487" s="382">
        <v>-18.657315405001828</v>
      </c>
      <c r="J487" s="382">
        <v>-5.9097569434313471</v>
      </c>
      <c r="K487" s="382">
        <v>-24.159979086746581</v>
      </c>
      <c r="L487" s="382">
        <v>-18.1767304230086</v>
      </c>
      <c r="M487" s="382">
        <v>-82.255371327522852</v>
      </c>
      <c r="N487" s="382">
        <v>-47.351102028287329</v>
      </c>
      <c r="O487" s="382">
        <v>-9.2343489669131245</v>
      </c>
      <c r="P487" s="382">
        <v>-26.115131938091061</v>
      </c>
      <c r="Q487" s="382">
        <v>-73.876245670876614</v>
      </c>
      <c r="R487" s="382">
        <v>-12.81226075841165</v>
      </c>
      <c r="S487" s="382">
        <v>-7.0214429215232474</v>
      </c>
      <c r="T487" s="382">
        <v>-25.001742029398372</v>
      </c>
      <c r="U487" s="382">
        <v>-3.188222164025817</v>
      </c>
      <c r="V487" s="382">
        <v>-1.4757990174650313</v>
      </c>
      <c r="W487" s="382">
        <v>-464.47379999999998</v>
      </c>
      <c r="Z487" s="10"/>
      <c r="AU487" s="10"/>
      <c r="AV487" s="10"/>
      <c r="AW487" s="10"/>
      <c r="AX487" s="10"/>
      <c r="AY487" s="10"/>
      <c r="AZ487" s="10"/>
      <c r="BA487" s="10"/>
      <c r="BB487" s="10"/>
      <c r="BC487" s="10"/>
      <c r="BD487" s="10"/>
      <c r="BE487" s="10"/>
      <c r="BF487" s="10"/>
      <c r="BG487" s="10"/>
      <c r="BH487" s="10"/>
      <c r="BI487" s="10"/>
      <c r="BJ487" s="10"/>
      <c r="BK487" s="10"/>
      <c r="BL487" s="10"/>
      <c r="BM487" s="10"/>
    </row>
    <row r="488" spans="3:65">
      <c r="C488" s="426" t="s">
        <v>460</v>
      </c>
      <c r="D488" s="426" t="s">
        <v>928</v>
      </c>
      <c r="E488" s="426">
        <v>3641585.5088957339</v>
      </c>
      <c r="F488" s="426">
        <v>572903.75438027293</v>
      </c>
      <c r="G488" s="426">
        <v>457976.0836162701</v>
      </c>
      <c r="H488" s="426">
        <v>478552.85887695308</v>
      </c>
      <c r="I488" s="426">
        <v>911433.27885078848</v>
      </c>
      <c r="J488" s="426">
        <v>254421.28368715558</v>
      </c>
      <c r="K488" s="426">
        <v>1076531.4695091553</v>
      </c>
      <c r="L488" s="426">
        <v>896842.3130024916</v>
      </c>
      <c r="M488" s="426">
        <v>3257008.7957493518</v>
      </c>
      <c r="N488" s="426">
        <v>2164300.8805841142</v>
      </c>
      <c r="O488" s="426">
        <v>475238.41496435547</v>
      </c>
      <c r="P488" s="426">
        <v>1187981.054903981</v>
      </c>
      <c r="Q488" s="426">
        <v>2794136.9065420693</v>
      </c>
      <c r="R488" s="426">
        <v>635948.84714988503</v>
      </c>
      <c r="S488" s="426">
        <v>277706.27086831373</v>
      </c>
      <c r="T488" s="426">
        <v>948956.15647260426</v>
      </c>
      <c r="U488" s="426">
        <v>137860.88299942814</v>
      </c>
      <c r="V488" s="426">
        <v>73545.238947076839</v>
      </c>
      <c r="W488" s="426">
        <v>20242930.000000004</v>
      </c>
    </row>
    <row r="489" spans="3:65">
      <c r="C489" s="426" t="s">
        <v>463</v>
      </c>
      <c r="D489" s="426" t="s">
        <v>929</v>
      </c>
      <c r="E489" s="426">
        <v>555455.69461076928</v>
      </c>
      <c r="F489" s="426">
        <v>87385.74229742834</v>
      </c>
      <c r="G489" s="426">
        <v>69855.677703785215</v>
      </c>
      <c r="H489" s="426">
        <v>72994.27954832578</v>
      </c>
      <c r="I489" s="426">
        <v>139022.0835838489</v>
      </c>
      <c r="J489" s="426">
        <v>38807.203760283541</v>
      </c>
      <c r="K489" s="426">
        <v>164204.72173613348</v>
      </c>
      <c r="L489" s="426">
        <v>136796.5049037631</v>
      </c>
      <c r="M489" s="426">
        <v>496795.71674947045</v>
      </c>
      <c r="N489" s="426">
        <v>330123.58107062354</v>
      </c>
      <c r="O489" s="426">
        <v>72488.723179754175</v>
      </c>
      <c r="P489" s="426">
        <v>181204.26952056465</v>
      </c>
      <c r="Q489" s="426">
        <v>426193.27555802529</v>
      </c>
      <c r="R489" s="426">
        <v>97002.090921015741</v>
      </c>
      <c r="S489" s="426">
        <v>42358.892632374613</v>
      </c>
      <c r="T489" s="426">
        <v>144745.49609257802</v>
      </c>
      <c r="U489" s="426">
        <v>21028.096783404097</v>
      </c>
      <c r="V489" s="426">
        <v>11217.949347851829</v>
      </c>
      <c r="W489" s="426">
        <v>3087680</v>
      </c>
    </row>
    <row r="490" spans="3:65">
      <c r="C490" s="426"/>
      <c r="D490" s="426" t="s">
        <v>668</v>
      </c>
      <c r="E490" s="426">
        <v>25030109.64979995</v>
      </c>
      <c r="F490" s="426">
        <v>5215485.3672057735</v>
      </c>
      <c r="G490" s="426">
        <v>3880379.4571905243</v>
      </c>
      <c r="H490" s="426">
        <v>4484232.3099354282</v>
      </c>
      <c r="I490" s="426">
        <v>6798059.7326156022</v>
      </c>
      <c r="J490" s="426">
        <v>2222150.9691545861</v>
      </c>
      <c r="K490" s="426">
        <v>8876505.822949335</v>
      </c>
      <c r="L490" s="426">
        <v>6691885.8888401808</v>
      </c>
      <c r="M490" s="426">
        <v>31912702.648072746</v>
      </c>
      <c r="N490" s="426">
        <v>16545416.835405022</v>
      </c>
      <c r="O490" s="426">
        <v>3117232.7393072657</v>
      </c>
      <c r="P490" s="426">
        <v>9160573.1981622148</v>
      </c>
      <c r="Q490" s="426">
        <v>29237116.527058434</v>
      </c>
      <c r="R490" s="426">
        <v>4566762.9706331892</v>
      </c>
      <c r="S490" s="426">
        <v>2824032.11233168</v>
      </c>
      <c r="T490" s="426">
        <v>10059762.803796504</v>
      </c>
      <c r="U490" s="426">
        <v>1224018.6295394069</v>
      </c>
      <c r="V490" s="426">
        <v>485299.5812120504</v>
      </c>
      <c r="W490" s="426">
        <v>172331727.2432099</v>
      </c>
    </row>
  </sheetData>
  <autoFilter ref="B8:W475"/>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AG146"/>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10" max="11" width="11.25" bestFit="1" customWidth="1"/>
    <col min="12" max="12" width="13.5" bestFit="1" customWidth="1"/>
    <col min="13" max="13" width="11.5" bestFit="1" customWidth="1"/>
    <col min="15" max="15" width="15.125" customWidth="1"/>
    <col min="16" max="16" width="21.125" customWidth="1"/>
  </cols>
  <sheetData>
    <row r="1" spans="2:33" ht="29.25">
      <c r="B1" s="464" t="s">
        <v>1180</v>
      </c>
    </row>
    <row r="3" spans="2:33" ht="18">
      <c r="B3" s="455" t="str">
        <f>"Gráfico 1: Índices agregados de cargas fiscales per cápita, beneficios fiscales per cápita y PIB per cápita (promedio España = 100). Año "&amp;Resumen!C2</f>
        <v>Gráfico 1: Índices agregados de cargas fiscales per cápita, beneficios fiscales per cápita y PIB per cápita (promedio España = 100). Año 2014</v>
      </c>
    </row>
    <row r="5" spans="2:33">
      <c r="G5" s="383"/>
    </row>
    <row r="6" spans="2:33" ht="27.75" thickBot="1">
      <c r="B6" s="257" t="s">
        <v>467</v>
      </c>
      <c r="C6" s="257" t="s">
        <v>1176</v>
      </c>
      <c r="D6" s="257" t="s">
        <v>1177</v>
      </c>
      <c r="E6" s="257" t="s">
        <v>1178</v>
      </c>
      <c r="F6" s="2"/>
      <c r="G6" s="257" t="s">
        <v>1178</v>
      </c>
      <c r="H6" s="257" t="s">
        <v>1176</v>
      </c>
      <c r="I6" s="257" t="s">
        <v>1177</v>
      </c>
      <c r="J6" s="257" t="s">
        <v>1132</v>
      </c>
    </row>
    <row r="7" spans="2:33">
      <c r="B7" s="2">
        <f t="shared" ref="B7:B24" si="0">+C39/+$D$61*100</f>
        <v>74.371460486275396</v>
      </c>
      <c r="C7" s="2">
        <f t="array" ref="C7:C24">TRANSPOSE(Indices_per_capita!E481:V481)</f>
        <v>91.799359189390856</v>
      </c>
      <c r="D7" s="2">
        <f t="array" ref="D7:D24">TRANSPOSE(Indices_per_capita!E548:V548)</f>
        <v>79.605711513164863</v>
      </c>
      <c r="E7" s="448" t="str">
        <f>+'Cuadros Informe Corto'!B498</f>
        <v>Andalucía</v>
      </c>
      <c r="F7" s="2"/>
      <c r="G7" s="448" t="str">
        <f t="shared" ref="G7:G24" si="1">VLOOKUP(J7,$B$7:$E$24,4,FALSE)</f>
        <v>Extremadura</v>
      </c>
      <c r="H7" s="452">
        <f t="shared" ref="H7:H24" si="2">VLOOKUP(J7,$B$7:$E$24,2,FALSE)</f>
        <v>107.1532491819727</v>
      </c>
      <c r="I7" s="452">
        <f t="shared" ref="I7:I24" si="3">VLOOKUP(J7,$B$7:$E$24,3,FALSE)</f>
        <v>75.736217131175323</v>
      </c>
      <c r="J7" s="10">
        <f>SMALL($B$7:$B$24,1)</f>
        <v>68.452930967423356</v>
      </c>
      <c r="AE7" s="439"/>
      <c r="AF7" s="439"/>
      <c r="AG7" s="439"/>
    </row>
    <row r="8" spans="2:33">
      <c r="B8" s="2">
        <f t="shared" si="0"/>
        <v>111.63560150608016</v>
      </c>
      <c r="C8" s="2">
        <v>113.53234443271344</v>
      </c>
      <c r="D8" s="2">
        <v>106.89124607182328</v>
      </c>
      <c r="E8" s="448" t="str">
        <f>+'Cuadros Informe Corto'!B499</f>
        <v>Aragón</v>
      </c>
      <c r="F8" s="2"/>
      <c r="G8" s="448" t="str">
        <f t="shared" si="1"/>
        <v>Andalucía</v>
      </c>
      <c r="H8" s="453">
        <f t="shared" si="2"/>
        <v>91.799359189390856</v>
      </c>
      <c r="I8" s="453">
        <f t="shared" si="3"/>
        <v>79.605711513164863</v>
      </c>
      <c r="J8" s="10">
        <f>SMALL($B$7:$B$24,2)</f>
        <v>74.371460486275396</v>
      </c>
      <c r="AE8" s="439"/>
      <c r="AF8" s="439"/>
      <c r="AG8" s="439"/>
    </row>
    <row r="9" spans="2:33">
      <c r="B9" s="2">
        <f t="shared" si="0"/>
        <v>87.706407406041038</v>
      </c>
      <c r="C9" s="2">
        <v>124.34667586618812</v>
      </c>
      <c r="D9" s="2">
        <v>101.97025560957371</v>
      </c>
      <c r="E9" s="448" t="str">
        <f>+'Cuadros Informe Corto'!B500</f>
        <v>Asturias</v>
      </c>
      <c r="F9" s="2"/>
      <c r="G9" s="448" t="str">
        <f t="shared" si="1"/>
        <v>Cast. - La Mancha</v>
      </c>
      <c r="H9" s="453">
        <f t="shared" si="2"/>
        <v>93.448313096001641</v>
      </c>
      <c r="I9" s="453">
        <f t="shared" si="3"/>
        <v>82.97967852625483</v>
      </c>
      <c r="J9" s="10">
        <f>SMALL($B$7:$B$24,3)</f>
        <v>77.762031857626752</v>
      </c>
      <c r="AE9" s="439"/>
      <c r="AF9" s="439"/>
      <c r="AG9" s="439"/>
    </row>
    <row r="10" spans="2:33">
      <c r="B10" s="2">
        <f t="shared" si="0"/>
        <v>107.21246051337414</v>
      </c>
      <c r="C10" s="2">
        <v>91.977498469606758</v>
      </c>
      <c r="D10" s="2">
        <v>108.30068961360121</v>
      </c>
      <c r="E10" s="448" t="str">
        <f>+'Cuadros Informe Corto'!B501</f>
        <v>Baleares</v>
      </c>
      <c r="F10" s="2"/>
      <c r="G10" s="448" t="str">
        <f t="shared" si="1"/>
        <v>Ceuta y Melilla</v>
      </c>
      <c r="H10" s="453">
        <f t="shared" si="2"/>
        <v>126.13064774831165</v>
      </c>
      <c r="I10" s="453">
        <f t="shared" si="3"/>
        <v>68.260425869588445</v>
      </c>
      <c r="J10" s="10">
        <f>SMALL($B$7:$B$24,4)</f>
        <v>78.321837523864318</v>
      </c>
      <c r="AE10" s="439"/>
      <c r="AF10" s="439"/>
      <c r="AG10" s="439"/>
    </row>
    <row r="11" spans="2:33">
      <c r="B11" s="2">
        <f t="shared" si="0"/>
        <v>85.177104264475616</v>
      </c>
      <c r="C11" s="2">
        <v>98.122924287307541</v>
      </c>
      <c r="D11" s="2">
        <v>72.510694184887697</v>
      </c>
      <c r="E11" s="448" t="str">
        <f>+'Cuadros Informe Corto'!B502</f>
        <v>Canarias</v>
      </c>
      <c r="F11" s="2"/>
      <c r="G11" s="448" t="str">
        <f t="shared" si="1"/>
        <v>Murcia</v>
      </c>
      <c r="H11" s="453">
        <f t="shared" si="2"/>
        <v>85.319281774654897</v>
      </c>
      <c r="I11" s="453">
        <f t="shared" si="3"/>
        <v>82.983027167813589</v>
      </c>
      <c r="J11" s="10">
        <f>SMALL($B$7:$B$24,5)</f>
        <v>81.589743102110788</v>
      </c>
      <c r="AE11" s="439"/>
      <c r="AF11" s="439"/>
      <c r="AG11" s="439"/>
    </row>
    <row r="12" spans="2:33">
      <c r="B12" s="2">
        <f t="shared" si="0"/>
        <v>91.657162828038778</v>
      </c>
      <c r="C12" s="2">
        <v>112.13399789418376</v>
      </c>
      <c r="D12" s="2">
        <v>102.37025250718041</v>
      </c>
      <c r="E12" s="448" t="str">
        <f>+'Cuadros Informe Corto'!B503</f>
        <v>Cantabria</v>
      </c>
      <c r="F12" s="2"/>
      <c r="G12" s="448" t="str">
        <f t="shared" si="1"/>
        <v>Canarias</v>
      </c>
      <c r="H12" s="453">
        <f t="shared" si="2"/>
        <v>98.122924287307541</v>
      </c>
      <c r="I12" s="453">
        <f t="shared" si="3"/>
        <v>72.510694184887697</v>
      </c>
      <c r="J12" s="10">
        <f>SMALL($B$7:$B$24,6)</f>
        <v>85.177104264475616</v>
      </c>
      <c r="AE12" s="439"/>
      <c r="AF12" s="439"/>
      <c r="AG12" s="439"/>
    </row>
    <row r="13" spans="2:33">
      <c r="B13" s="2">
        <f t="shared" si="0"/>
        <v>94.15786911769419</v>
      </c>
      <c r="C13" s="2">
        <v>115.91476802477594</v>
      </c>
      <c r="D13" s="2">
        <v>95.993662377471395</v>
      </c>
      <c r="E13" s="448" t="str">
        <f>+'Cuadros Informe Corto'!B504</f>
        <v>Castilla y León</v>
      </c>
      <c r="F13" s="2"/>
      <c r="G13" s="448" t="str">
        <f t="shared" si="1"/>
        <v>Asturias</v>
      </c>
      <c r="H13" s="453">
        <f t="shared" si="2"/>
        <v>124.34667586618812</v>
      </c>
      <c r="I13" s="453">
        <f t="shared" si="3"/>
        <v>101.97025560957371</v>
      </c>
      <c r="J13" s="10">
        <f>SMALL($B$7:$B$24,7)</f>
        <v>87.706407406041038</v>
      </c>
      <c r="AE13" s="439"/>
      <c r="AF13" s="439"/>
      <c r="AG13" s="439"/>
    </row>
    <row r="14" spans="2:33">
      <c r="B14" s="2">
        <f t="shared" si="0"/>
        <v>77.762031857626752</v>
      </c>
      <c r="C14" s="2">
        <v>93.448313096001641</v>
      </c>
      <c r="D14" s="2">
        <v>82.97967852625483</v>
      </c>
      <c r="E14" s="448" t="str">
        <f>+'Cuadros Informe Corto'!B505</f>
        <v>Cast. - La Mancha</v>
      </c>
      <c r="F14" s="2"/>
      <c r="G14" s="448" t="str">
        <f t="shared" si="1"/>
        <v>Valencia</v>
      </c>
      <c r="H14" s="453">
        <f t="shared" si="2"/>
        <v>87.106800788022028</v>
      </c>
      <c r="I14" s="453">
        <f t="shared" si="3"/>
        <v>90.184188699889759</v>
      </c>
      <c r="J14" s="10">
        <f>SMALL($B$7:$B$24,8)</f>
        <v>87.779350706921875</v>
      </c>
      <c r="AE14" s="439"/>
      <c r="AF14" s="439"/>
      <c r="AG14" s="439"/>
    </row>
    <row r="15" spans="2:33">
      <c r="B15" s="2">
        <f t="shared" si="0"/>
        <v>117.99324830423951</v>
      </c>
      <c r="C15" s="2">
        <v>100.22954970551096</v>
      </c>
      <c r="D15" s="2">
        <v>116.64824675703281</v>
      </c>
      <c r="E15" s="448" t="str">
        <f>+'Cuadros Informe Corto'!B506</f>
        <v>Cataluña</v>
      </c>
      <c r="F15" s="2"/>
      <c r="G15" s="448" t="str">
        <f t="shared" si="1"/>
        <v>Galicia</v>
      </c>
      <c r="H15" s="453">
        <f t="shared" si="2"/>
        <v>108.02232529580162</v>
      </c>
      <c r="I15" s="453">
        <f t="shared" si="3"/>
        <v>92.023277157274848</v>
      </c>
      <c r="J15" s="10">
        <f>SMALL($B$7:$B$24,9)</f>
        <v>88.579593985117938</v>
      </c>
      <c r="AE15" s="439"/>
      <c r="AF15" s="439"/>
      <c r="AG15" s="439"/>
    </row>
    <row r="16" spans="2:33">
      <c r="B16" s="2">
        <f t="shared" si="0"/>
        <v>87.779350706921875</v>
      </c>
      <c r="C16" s="2">
        <v>87.106800788022028</v>
      </c>
      <c r="D16" s="2">
        <v>90.184188699889759</v>
      </c>
      <c r="E16" s="448" t="str">
        <f>+'Cuadros Informe Corto'!B507</f>
        <v>Valencia</v>
      </c>
      <c r="F16" s="2"/>
      <c r="G16" s="448" t="str">
        <f t="shared" si="1"/>
        <v>Cantabria</v>
      </c>
      <c r="H16" s="453">
        <f t="shared" si="2"/>
        <v>112.13399789418376</v>
      </c>
      <c r="I16" s="453">
        <f t="shared" si="3"/>
        <v>102.37025250718041</v>
      </c>
      <c r="J16" s="10">
        <f>SMALL($B$7:$B$24,10)</f>
        <v>91.657162828038778</v>
      </c>
      <c r="AE16" s="439"/>
      <c r="AF16" s="439"/>
      <c r="AG16" s="439"/>
    </row>
    <row r="17" spans="2:33">
      <c r="B17" s="2">
        <f t="shared" si="0"/>
        <v>68.452930967423356</v>
      </c>
      <c r="C17" s="2">
        <v>107.1532491819727</v>
      </c>
      <c r="D17" s="2">
        <v>75.736217131175323</v>
      </c>
      <c r="E17" s="448" t="str">
        <f>+'Cuadros Informe Corto'!B508</f>
        <v>Extremadura</v>
      </c>
      <c r="F17" s="2"/>
      <c r="G17" s="448" t="str">
        <f t="shared" si="1"/>
        <v>Castilla y León</v>
      </c>
      <c r="H17" s="453">
        <f t="shared" si="2"/>
        <v>115.91476802477594</v>
      </c>
      <c r="I17" s="453">
        <f t="shared" si="3"/>
        <v>95.993662377471395</v>
      </c>
      <c r="J17" s="10">
        <f>SMALL($B$7:$B$24,11)</f>
        <v>94.15786911769419</v>
      </c>
      <c r="AE17" s="439"/>
      <c r="AF17" s="439"/>
      <c r="AG17" s="439"/>
    </row>
    <row r="18" spans="2:33">
      <c r="B18" s="2">
        <f t="shared" si="0"/>
        <v>88.579593985117938</v>
      </c>
      <c r="C18" s="2">
        <v>108.02232529580162</v>
      </c>
      <c r="D18" s="2">
        <v>92.023277157274848</v>
      </c>
      <c r="E18" s="448" t="str">
        <f>+'Cuadros Informe Corto'!B509</f>
        <v>Galicia</v>
      </c>
      <c r="F18" s="2"/>
      <c r="G18" s="448" t="str">
        <f t="shared" si="1"/>
        <v>Baleares</v>
      </c>
      <c r="H18" s="453">
        <f t="shared" si="2"/>
        <v>91.977498469606758</v>
      </c>
      <c r="I18" s="453">
        <f t="shared" si="3"/>
        <v>108.30068961360121</v>
      </c>
      <c r="J18" s="10">
        <f>SMALL($B$7:$B$24,12)</f>
        <v>107.21246051337414</v>
      </c>
      <c r="AE18" s="439"/>
      <c r="AF18" s="439"/>
      <c r="AG18" s="439"/>
    </row>
    <row r="19" spans="2:33">
      <c r="B19" s="2">
        <f t="shared" si="0"/>
        <v>136.59786495965673</v>
      </c>
      <c r="C19" s="2">
        <v>95.005142489884747</v>
      </c>
      <c r="D19" s="2">
        <v>131.62598328899546</v>
      </c>
      <c r="E19" s="448" t="str">
        <f>+'Cuadros Informe Corto'!B510</f>
        <v>Madrid</v>
      </c>
      <c r="F19" s="2"/>
      <c r="G19" s="448" t="str">
        <f t="shared" si="1"/>
        <v>La Rioja</v>
      </c>
      <c r="H19" s="453">
        <f t="shared" si="2"/>
        <v>103.89852913296941</v>
      </c>
      <c r="I19" s="453">
        <f t="shared" si="3"/>
        <v>102.63934223981005</v>
      </c>
      <c r="J19" s="10">
        <f>SMALL($B$7:$B$24,13)</f>
        <v>108.20182602691571</v>
      </c>
      <c r="AE19" s="439"/>
      <c r="AF19" s="439"/>
      <c r="AG19" s="439"/>
    </row>
    <row r="20" spans="2:33">
      <c r="B20" s="2">
        <f t="shared" si="0"/>
        <v>81.589743102110788</v>
      </c>
      <c r="C20" s="2">
        <v>85.319281774654897</v>
      </c>
      <c r="D20" s="2">
        <v>82.983027167813589</v>
      </c>
      <c r="E20" s="448" t="str">
        <f>+'Cuadros Informe Corto'!B511</f>
        <v>Murcia</v>
      </c>
      <c r="F20" s="2"/>
      <c r="G20" s="448" t="str">
        <f t="shared" si="1"/>
        <v>Aragón</v>
      </c>
      <c r="H20" s="453">
        <f t="shared" si="2"/>
        <v>113.53234443271344</v>
      </c>
      <c r="I20" s="453">
        <f t="shared" si="3"/>
        <v>106.89124607182328</v>
      </c>
      <c r="J20" s="10">
        <f>SMALL($B$7:$B$24,14)</f>
        <v>111.63560150608016</v>
      </c>
      <c r="AE20" s="439"/>
      <c r="AF20" s="439"/>
      <c r="AG20" s="439"/>
    </row>
    <row r="21" spans="2:33">
      <c r="B21" s="2">
        <f t="shared" si="0"/>
        <v>125.45335453336854</v>
      </c>
      <c r="C21" s="2">
        <v>112.44657953010426</v>
      </c>
      <c r="D21" s="2">
        <v>111.42052312774909</v>
      </c>
      <c r="E21" s="448" t="str">
        <f>+'Cuadros Informe Corto'!B512</f>
        <v>Navarra</v>
      </c>
      <c r="F21" s="2"/>
      <c r="G21" s="448" t="str">
        <f t="shared" si="1"/>
        <v>Cataluña</v>
      </c>
      <c r="H21" s="453">
        <f t="shared" si="2"/>
        <v>100.22954970551096</v>
      </c>
      <c r="I21" s="453">
        <f t="shared" si="3"/>
        <v>116.64824675703281</v>
      </c>
      <c r="J21" s="10">
        <f>SMALL($B$7:$B$24,15)</f>
        <v>117.99324830423951</v>
      </c>
      <c r="AE21" s="439"/>
      <c r="AF21" s="439"/>
      <c r="AG21" s="439"/>
    </row>
    <row r="22" spans="2:33">
      <c r="B22" s="2">
        <f t="shared" si="0"/>
        <v>131.56639461534976</v>
      </c>
      <c r="C22" s="2">
        <v>135.5868702895356</v>
      </c>
      <c r="D22" s="2">
        <v>119.76448892327214</v>
      </c>
      <c r="E22" s="448" t="str">
        <f>+'Cuadros Informe Corto'!B513</f>
        <v>País Vasco</v>
      </c>
      <c r="F22" s="2"/>
      <c r="G22" s="448" t="str">
        <f t="shared" si="1"/>
        <v>Navarra</v>
      </c>
      <c r="H22" s="453">
        <f t="shared" si="2"/>
        <v>112.44657953010426</v>
      </c>
      <c r="I22" s="453">
        <f t="shared" si="3"/>
        <v>111.42052312774909</v>
      </c>
      <c r="J22" s="10">
        <f>SMALL($B$7:$B$24,16)</f>
        <v>125.45335453336854</v>
      </c>
      <c r="AE22" s="439"/>
      <c r="AF22" s="439"/>
      <c r="AG22" s="439"/>
    </row>
    <row r="23" spans="2:33">
      <c r="B23" s="2">
        <f t="shared" si="0"/>
        <v>108.20182602691571</v>
      </c>
      <c r="C23" s="371">
        <v>103.89852913296941</v>
      </c>
      <c r="D23" s="371">
        <v>102.63934223981005</v>
      </c>
      <c r="E23" s="448" t="str">
        <f>+'Cuadros Informe Corto'!B514</f>
        <v>La Rioja</v>
      </c>
      <c r="F23" s="2"/>
      <c r="G23" s="448" t="str">
        <f t="shared" si="1"/>
        <v>País Vasco</v>
      </c>
      <c r="H23" s="453">
        <f t="shared" si="2"/>
        <v>135.5868702895356</v>
      </c>
      <c r="I23" s="453">
        <f t="shared" si="3"/>
        <v>119.76448892327214</v>
      </c>
      <c r="J23" s="10">
        <f>SMALL($B$7:$B$24,17)</f>
        <v>131.56639461534976</v>
      </c>
      <c r="AE23" s="439"/>
      <c r="AF23" s="439"/>
      <c r="AG23" s="439"/>
    </row>
    <row r="24" spans="2:33" ht="13.5" thickBot="1">
      <c r="B24" s="372">
        <f t="shared" si="0"/>
        <v>78.321837523864318</v>
      </c>
      <c r="C24" s="372">
        <v>126.13064774831165</v>
      </c>
      <c r="D24" s="372">
        <v>68.260425869588445</v>
      </c>
      <c r="E24" s="449" t="str">
        <f>+'Cuadros Informe Corto'!B515</f>
        <v>Ceuta y Melilla</v>
      </c>
      <c r="F24" s="371"/>
      <c r="G24" s="449" t="str">
        <f t="shared" si="1"/>
        <v>Madrid</v>
      </c>
      <c r="H24" s="447">
        <f t="shared" si="2"/>
        <v>95.005142489884747</v>
      </c>
      <c r="I24" s="447">
        <f t="shared" si="3"/>
        <v>131.62598328899546</v>
      </c>
      <c r="J24" s="447">
        <f>SMALL($B$7:$B$24,18)</f>
        <v>136.59786495965673</v>
      </c>
      <c r="AE24" s="439"/>
      <c r="AF24" s="439"/>
      <c r="AG24" s="439"/>
    </row>
    <row r="25" spans="2:33">
      <c r="C25" s="208"/>
      <c r="D25" s="2"/>
      <c r="E25" s="2"/>
      <c r="F25" s="2"/>
      <c r="G25" s="2"/>
      <c r="H25" s="2"/>
      <c r="I25" s="2"/>
    </row>
    <row r="26" spans="2:33">
      <c r="C26" s="208"/>
      <c r="D26" s="2"/>
      <c r="E26" s="2"/>
      <c r="F26" s="2"/>
      <c r="G26" s="2"/>
      <c r="H26" s="2"/>
      <c r="I26" s="2"/>
    </row>
    <row r="27" spans="2:33">
      <c r="C27" s="208"/>
      <c r="D27" s="2"/>
      <c r="E27" s="2"/>
      <c r="F27" s="2"/>
      <c r="G27" s="2"/>
      <c r="H27" s="2"/>
      <c r="I27" s="2"/>
      <c r="J27" s="2"/>
    </row>
    <row r="28" spans="2:33">
      <c r="D28" s="208"/>
      <c r="E28" s="208"/>
      <c r="F28" s="208"/>
      <c r="G28" s="208"/>
      <c r="H28" s="208"/>
      <c r="I28" s="208"/>
      <c r="J28" s="208"/>
      <c r="K28" s="208"/>
    </row>
    <row r="29" spans="2:33">
      <c r="D29" s="208"/>
      <c r="E29" s="208"/>
      <c r="F29" s="208"/>
      <c r="G29" s="208"/>
      <c r="H29" s="208"/>
      <c r="I29" s="208"/>
      <c r="J29" s="208"/>
    </row>
    <row r="35" spans="1:18" ht="22.5">
      <c r="B35" s="455" t="str">
        <f>"Gráfico 2: Saldo relativo total per cápita vs PIB per cápita, euros, "&amp;Resumen!C2</f>
        <v>Gráfico 2: Saldo relativo total per cápita vs PIB per cápita, euros, 2014</v>
      </c>
      <c r="R35" s="454"/>
    </row>
    <row r="37" spans="1:18">
      <c r="H37" s="101" t="s">
        <v>1175</v>
      </c>
    </row>
    <row r="38" spans="1:18" ht="41.25" thickBot="1">
      <c r="A38" s="257" t="s">
        <v>1138</v>
      </c>
      <c r="B38" s="257" t="s">
        <v>1139</v>
      </c>
      <c r="C38" s="257" t="s">
        <v>1128</v>
      </c>
      <c r="D38" s="257" t="s">
        <v>1137</v>
      </c>
      <c r="E38" s="257" t="s">
        <v>467</v>
      </c>
      <c r="F38" s="257" t="s">
        <v>1127</v>
      </c>
      <c r="I38" s="257" t="s">
        <v>1139</v>
      </c>
      <c r="J38" s="257" t="s">
        <v>1128</v>
      </c>
      <c r="K38" s="257" t="s">
        <v>1137</v>
      </c>
      <c r="L38" s="257" t="s">
        <v>1157</v>
      </c>
      <c r="M38" s="257" t="s">
        <v>1144</v>
      </c>
    </row>
    <row r="39" spans="1:18">
      <c r="A39" s="374">
        <v>1</v>
      </c>
      <c r="B39" s="208" t="s">
        <v>9</v>
      </c>
      <c r="C39" s="2">
        <f>+E39/F39*1000</f>
        <v>16515.759251797801</v>
      </c>
      <c r="D39" s="2">
        <f>+'Cuadros Informe Corto'!I45</f>
        <v>915.31868830303574</v>
      </c>
      <c r="E39" s="2">
        <f>+Resumen!AD111</f>
        <v>138743509.33683723</v>
      </c>
      <c r="F39" s="2">
        <f>+Resumen!C7</f>
        <v>8400674</v>
      </c>
      <c r="I39" t="str">
        <f>+B39</f>
        <v>Andalucía</v>
      </c>
      <c r="J39" s="2">
        <f t="shared" ref="J39:K52" si="4">+C39</f>
        <v>16515.759251797801</v>
      </c>
      <c r="K39" s="2">
        <f t="shared" si="4"/>
        <v>915.31868830303574</v>
      </c>
      <c r="L39" s="398">
        <f t="shared" ref="L39:L53" si="5">+J39*$J$63+$J$62</f>
        <v>1769.6479899256829</v>
      </c>
      <c r="M39" s="398">
        <f>+K39-L39</f>
        <v>-854.32930162264711</v>
      </c>
      <c r="O39" t="s">
        <v>1145</v>
      </c>
      <c r="P39" s="407">
        <f>SUMSQ(M39:M53)</f>
        <v>12059011.199026886</v>
      </c>
    </row>
    <row r="40" spans="1:18">
      <c r="A40" s="374">
        <v>2</v>
      </c>
      <c r="B40" s="208" t="s">
        <v>10</v>
      </c>
      <c r="C40" s="2">
        <f t="shared" ref="C40:C56" si="6">+E40/F40*1000</f>
        <v>24791.051652727776</v>
      </c>
      <c r="D40" s="2">
        <f>+'Cuadros Informe Corto'!I46</f>
        <v>638.56285684651266</v>
      </c>
      <c r="E40" s="2">
        <f>+Resumen!AD112</f>
        <v>32764250.521071475</v>
      </c>
      <c r="F40" s="2">
        <f>+Resumen!C8</f>
        <v>1321616</v>
      </c>
      <c r="I40" t="str">
        <f t="shared" ref="I40:I52" si="7">+B40</f>
        <v>Aragón</v>
      </c>
      <c r="J40" s="2">
        <f t="shared" si="4"/>
        <v>24791.051652727776</v>
      </c>
      <c r="K40" s="2">
        <f t="shared" si="4"/>
        <v>638.56285684651266</v>
      </c>
      <c r="L40" s="398">
        <f t="shared" si="5"/>
        <v>-620.91132971867046</v>
      </c>
      <c r="M40" s="398">
        <f t="shared" ref="M40:M53" si="8">+K40-L40</f>
        <v>1259.4741865651831</v>
      </c>
      <c r="O40" t="s">
        <v>1167</v>
      </c>
      <c r="P40" s="407">
        <f>DEVSQ(J39:J53)</f>
        <v>232717490.42402163</v>
      </c>
    </row>
    <row r="41" spans="1:18">
      <c r="A41" s="374">
        <v>3</v>
      </c>
      <c r="B41" s="208" t="s">
        <v>11</v>
      </c>
      <c r="C41" s="2">
        <f t="shared" si="6"/>
        <v>19477.066876017376</v>
      </c>
      <c r="D41" s="2">
        <f>+'Cuadros Informe Corto'!I47</f>
        <v>1986.2264742391671</v>
      </c>
      <c r="E41" s="2">
        <f>+Resumen!AD113</f>
        <v>20577375.076510787</v>
      </c>
      <c r="F41" s="2">
        <f>+Resumen!C9</f>
        <v>1056492.5</v>
      </c>
      <c r="I41" t="str">
        <f t="shared" si="7"/>
        <v>Asturias</v>
      </c>
      <c r="J41" s="2">
        <f t="shared" si="4"/>
        <v>19477.066876017376</v>
      </c>
      <c r="K41" s="2">
        <f t="shared" si="4"/>
        <v>1986.2264742391671</v>
      </c>
      <c r="L41" s="398">
        <f t="shared" si="5"/>
        <v>914.18800175457909</v>
      </c>
      <c r="M41" s="398">
        <f t="shared" si="8"/>
        <v>1072.0384724845881</v>
      </c>
      <c r="O41" t="s">
        <v>1168</v>
      </c>
      <c r="P41" s="407">
        <f>SUMSQ(J39:J53)</f>
        <v>6851548160.8499069</v>
      </c>
    </row>
    <row r="42" spans="1:18">
      <c r="A42" s="374">
        <v>4</v>
      </c>
      <c r="B42" s="208" t="s">
        <v>31</v>
      </c>
      <c r="C42" s="2">
        <f t="shared" si="6"/>
        <v>23808.799438038895</v>
      </c>
      <c r="D42" s="2">
        <f>+'Cuadros Informe Corto'!I48</f>
        <v>-1373.1452955870618</v>
      </c>
      <c r="E42" s="2">
        <f>+Resumen!AD114</f>
        <v>26283974.132017139</v>
      </c>
      <c r="F42" s="2">
        <f>+Resumen!C10</f>
        <v>1103960.5</v>
      </c>
      <c r="I42" t="str">
        <f t="shared" si="7"/>
        <v>Baleares</v>
      </c>
      <c r="J42" s="2">
        <f t="shared" si="4"/>
        <v>23808.799438038895</v>
      </c>
      <c r="K42" s="2">
        <f t="shared" si="4"/>
        <v>-1373.1452955870618</v>
      </c>
      <c r="L42" s="398">
        <f t="shared" si="5"/>
        <v>-337.15915852023318</v>
      </c>
      <c r="M42" s="398">
        <f t="shared" si="8"/>
        <v>-1035.9861370668286</v>
      </c>
      <c r="P42" s="398"/>
    </row>
    <row r="43" spans="1:18">
      <c r="A43" s="374">
        <v>5</v>
      </c>
      <c r="B43" s="208" t="s">
        <v>12</v>
      </c>
      <c r="C43" s="2">
        <f t="shared" si="6"/>
        <v>18915.381499829025</v>
      </c>
      <c r="D43" s="2">
        <f>+'Cuadros Informe Corto'!I49</f>
        <v>2042.0098322218391</v>
      </c>
      <c r="E43" s="2">
        <f>+Resumen!AD115</f>
        <v>39770733.98397126</v>
      </c>
      <c r="F43" s="2">
        <f>+Resumen!C11</f>
        <v>2102560.5</v>
      </c>
      <c r="I43" t="str">
        <f t="shared" si="7"/>
        <v>Canarias</v>
      </c>
      <c r="J43" s="2">
        <f t="shared" si="4"/>
        <v>18915.381499829025</v>
      </c>
      <c r="K43" s="2">
        <f t="shared" si="4"/>
        <v>2042.0098322218391</v>
      </c>
      <c r="L43" s="398">
        <f t="shared" si="5"/>
        <v>1076.4471879803259</v>
      </c>
      <c r="M43" s="398">
        <f t="shared" si="8"/>
        <v>965.56264424151323</v>
      </c>
      <c r="O43" t="s">
        <v>1146</v>
      </c>
      <c r="P43" s="398">
        <f>(+P39/(COUNT(J39:J53)-2))^0.5/(P40^0.5)</f>
        <v>6.3134923798346829E-2</v>
      </c>
    </row>
    <row r="44" spans="1:18">
      <c r="A44" s="374">
        <v>6</v>
      </c>
      <c r="B44" s="208" t="s">
        <v>13</v>
      </c>
      <c r="C44" s="2">
        <f t="shared" si="6"/>
        <v>20354.415861580066</v>
      </c>
      <c r="D44" s="2">
        <f>+'Cuadros Informe Corto'!I50</f>
        <v>878.42521599219072</v>
      </c>
      <c r="E44" s="2">
        <f>+Resumen!AD116</f>
        <v>11946362.871438919</v>
      </c>
      <c r="F44" s="2">
        <f>+Resumen!C12</f>
        <v>586917.5</v>
      </c>
      <c r="I44" t="str">
        <f t="shared" si="7"/>
        <v>Cantabria</v>
      </c>
      <c r="J44" s="2">
        <f t="shared" si="4"/>
        <v>20354.415861580066</v>
      </c>
      <c r="K44" s="2">
        <f t="shared" si="4"/>
        <v>878.42521599219072</v>
      </c>
      <c r="L44" s="398">
        <f t="shared" si="5"/>
        <v>660.74018475880621</v>
      </c>
      <c r="M44" s="398">
        <f t="shared" si="8"/>
        <v>217.68503123338451</v>
      </c>
      <c r="O44" t="s">
        <v>1147</v>
      </c>
      <c r="P44" s="398">
        <f>+J63/P43</f>
        <v>-4.5755838244019156</v>
      </c>
    </row>
    <row r="45" spans="1:18">
      <c r="A45" s="374">
        <v>7</v>
      </c>
      <c r="B45" s="208" t="s">
        <v>14</v>
      </c>
      <c r="C45" s="2">
        <f t="shared" si="6"/>
        <v>20909.750700634719</v>
      </c>
      <c r="D45" s="2">
        <f>+'Cuadros Informe Corto'!I51</f>
        <v>1723.4607603951281</v>
      </c>
      <c r="E45" s="2">
        <f>+Resumen!AD117</f>
        <v>51927713.994720966</v>
      </c>
      <c r="F45" s="2">
        <f>+Resumen!C13</f>
        <v>2483421</v>
      </c>
      <c r="I45" t="str">
        <f t="shared" si="7"/>
        <v>Castilla y León</v>
      </c>
      <c r="J45" s="2">
        <f t="shared" si="4"/>
        <v>20909.750700634719</v>
      </c>
      <c r="K45" s="2">
        <f t="shared" si="4"/>
        <v>1723.4607603951281</v>
      </c>
      <c r="L45" s="398">
        <f t="shared" si="5"/>
        <v>500.31553621392777</v>
      </c>
      <c r="M45" s="398">
        <f t="shared" si="8"/>
        <v>1223.1452241812003</v>
      </c>
      <c r="P45" s="398"/>
    </row>
    <row r="46" spans="1:18">
      <c r="A46" s="374">
        <v>8</v>
      </c>
      <c r="B46" s="208" t="s">
        <v>491</v>
      </c>
      <c r="C46" s="2">
        <f t="shared" si="6"/>
        <v>17268.70749470088</v>
      </c>
      <c r="D46" s="2">
        <f>+'Cuadros Informe Corto'!I52</f>
        <v>789.63374936816035</v>
      </c>
      <c r="E46" s="2">
        <f>+Resumen!AD118</f>
        <v>35727246.204494148</v>
      </c>
      <c r="F46" s="2">
        <f>+Resumen!C14</f>
        <v>2068901</v>
      </c>
      <c r="I46" t="str">
        <f t="shared" si="7"/>
        <v>C. - La Mancha</v>
      </c>
      <c r="J46" s="2">
        <f t="shared" si="4"/>
        <v>17268.70749470088</v>
      </c>
      <c r="K46" s="2">
        <f t="shared" si="4"/>
        <v>789.63374936816035</v>
      </c>
      <c r="L46" s="398">
        <f t="shared" si="5"/>
        <v>1552.1369519979453</v>
      </c>
      <c r="M46" s="398">
        <f t="shared" si="8"/>
        <v>-762.50320262978494</v>
      </c>
      <c r="O46" t="s">
        <v>1148</v>
      </c>
      <c r="P46" s="398">
        <f>+P43*(P41/COUNT(J39:J53))^0.5</f>
        <v>1349.3306594667881</v>
      </c>
    </row>
    <row r="47" spans="1:18">
      <c r="A47" s="374">
        <v>9</v>
      </c>
      <c r="B47" s="208" t="s">
        <v>16</v>
      </c>
      <c r="C47" s="2">
        <f t="shared" si="6"/>
        <v>26202.901887210399</v>
      </c>
      <c r="D47" s="2">
        <f>+'Cuadros Informe Corto'!I53</f>
        <v>-1316.6052701230474</v>
      </c>
      <c r="E47" s="2">
        <f>+Resumen!AD119</f>
        <v>196875621.24261382</v>
      </c>
      <c r="F47" s="2">
        <f>+Resumen!C15</f>
        <v>7513504.5</v>
      </c>
      <c r="I47" t="str">
        <f t="shared" si="7"/>
        <v>Cataluña</v>
      </c>
      <c r="J47" s="2">
        <f t="shared" si="4"/>
        <v>26202.901887210399</v>
      </c>
      <c r="K47" s="2">
        <f t="shared" si="4"/>
        <v>-1316.6052701230474</v>
      </c>
      <c r="L47" s="398">
        <f t="shared" si="5"/>
        <v>-1028.7654057396221</v>
      </c>
      <c r="M47" s="398">
        <f t="shared" si="8"/>
        <v>-287.83986438342527</v>
      </c>
      <c r="O47" t="s">
        <v>1149</v>
      </c>
      <c r="P47" s="398">
        <f>+J62/P46</f>
        <v>4.8473709601939765</v>
      </c>
    </row>
    <row r="48" spans="1:18">
      <c r="A48" s="374">
        <v>10</v>
      </c>
      <c r="B48" s="208" t="s">
        <v>17</v>
      </c>
      <c r="C48" s="2">
        <f t="shared" si="6"/>
        <v>19493.265482156105</v>
      </c>
      <c r="D48" s="2">
        <f>+'Cuadros Informe Corto'!I54</f>
        <v>-347.43024500308184</v>
      </c>
      <c r="E48" s="2">
        <f>+Resumen!AD120</f>
        <v>97325322.874915347</v>
      </c>
      <c r="F48" s="2">
        <f>+Resumen!C16</f>
        <v>4992766.5</v>
      </c>
      <c r="I48" t="str">
        <f t="shared" si="7"/>
        <v>Valencia</v>
      </c>
      <c r="J48" s="2">
        <f t="shared" si="4"/>
        <v>19493.265482156105</v>
      </c>
      <c r="K48" s="2">
        <f t="shared" si="4"/>
        <v>-347.43024500308184</v>
      </c>
      <c r="L48" s="398">
        <f t="shared" si="5"/>
        <v>909.50856240741632</v>
      </c>
      <c r="M48" s="398">
        <f t="shared" si="8"/>
        <v>-1256.9388074104982</v>
      </c>
    </row>
    <row r="49" spans="1:13">
      <c r="A49" s="374">
        <v>11</v>
      </c>
      <c r="B49" s="208" t="s">
        <v>18</v>
      </c>
      <c r="C49" s="2">
        <f t="shared" si="6"/>
        <v>15201.424317148269</v>
      </c>
      <c r="D49" s="2">
        <f>+'Cuadros Informe Corto'!I55</f>
        <v>2578.3895286784746</v>
      </c>
      <c r="E49" s="2">
        <f>+Resumen!AD121</f>
        <v>16665541.899542244</v>
      </c>
      <c r="F49" s="2">
        <f>+Resumen!C17</f>
        <v>1096314.5</v>
      </c>
      <c r="I49" t="str">
        <f t="shared" si="7"/>
        <v>Extremadura</v>
      </c>
      <c r="J49" s="2">
        <f t="shared" si="4"/>
        <v>15201.424317148269</v>
      </c>
      <c r="K49" s="2">
        <f t="shared" si="4"/>
        <v>2578.3895286784746</v>
      </c>
      <c r="L49" s="398">
        <f t="shared" si="5"/>
        <v>2149.3319303756298</v>
      </c>
      <c r="M49" s="398">
        <f t="shared" si="8"/>
        <v>429.05759830284478</v>
      </c>
    </row>
    <row r="50" spans="1:13">
      <c r="A50" s="374">
        <v>12</v>
      </c>
      <c r="B50" s="208" t="s">
        <v>19</v>
      </c>
      <c r="C50" s="2">
        <f t="shared" si="6"/>
        <v>19670.976464825249</v>
      </c>
      <c r="D50" s="2">
        <f>+'Cuadros Informe Corto'!I56</f>
        <v>1347.1158329132413</v>
      </c>
      <c r="E50" s="2">
        <f>+Resumen!AD122</f>
        <v>53908724.092359357</v>
      </c>
      <c r="F50" s="2">
        <f>+Resumen!C18</f>
        <v>2740521</v>
      </c>
      <c r="I50" t="str">
        <f t="shared" si="7"/>
        <v>Galicia</v>
      </c>
      <c r="J50" s="2">
        <f t="shared" si="4"/>
        <v>19670.976464825249</v>
      </c>
      <c r="K50" s="2">
        <f t="shared" si="4"/>
        <v>1347.1158329132413</v>
      </c>
      <c r="L50" s="398">
        <f t="shared" si="5"/>
        <v>858.17156726085977</v>
      </c>
      <c r="M50" s="398">
        <f t="shared" si="8"/>
        <v>488.94426565238155</v>
      </c>
    </row>
    <row r="51" spans="1:13">
      <c r="A51" s="374">
        <v>13</v>
      </c>
      <c r="B51" s="208" t="s">
        <v>20</v>
      </c>
      <c r="C51" s="2">
        <f t="shared" si="6"/>
        <v>30334.451377347978</v>
      </c>
      <c r="D51" s="2">
        <f>+'Cuadros Informe Corto'!I57</f>
        <v>-2979.4514840371285</v>
      </c>
      <c r="E51" s="2">
        <f>+Resumen!AD123</f>
        <v>195527319.26309666</v>
      </c>
      <c r="F51" s="2">
        <f>+Resumen!C19</f>
        <v>6445718</v>
      </c>
      <c r="I51" t="str">
        <f t="shared" si="7"/>
        <v>Madrid</v>
      </c>
      <c r="J51" s="2">
        <f t="shared" si="4"/>
        <v>30334.451377347978</v>
      </c>
      <c r="K51" s="2">
        <f t="shared" si="4"/>
        <v>-2979.4514840371285</v>
      </c>
      <c r="L51" s="398">
        <f t="shared" si="5"/>
        <v>-2222.2838531494463</v>
      </c>
      <c r="M51" s="398">
        <f t="shared" si="8"/>
        <v>-757.16763088768221</v>
      </c>
    </row>
    <row r="52" spans="1:13">
      <c r="A52" s="374">
        <v>14</v>
      </c>
      <c r="B52" s="208" t="s">
        <v>60</v>
      </c>
      <c r="C52" s="2">
        <f t="shared" si="6"/>
        <v>18118.731912480926</v>
      </c>
      <c r="D52" s="2">
        <f>+'Cuadros Informe Corto'!I58</f>
        <v>73.36672850872128</v>
      </c>
      <c r="E52" s="2">
        <f>+Resumen!AD124</f>
        <v>26581140.008400876</v>
      </c>
      <c r="F52" s="2">
        <f>+Resumen!C20</f>
        <v>1467053</v>
      </c>
      <c r="I52" t="str">
        <f t="shared" si="7"/>
        <v>Murcia</v>
      </c>
      <c r="J52" s="2">
        <f t="shared" si="4"/>
        <v>18118.731912480926</v>
      </c>
      <c r="K52" s="2">
        <f t="shared" si="4"/>
        <v>73.36672850872128</v>
      </c>
      <c r="L52" s="398">
        <f t="shared" si="5"/>
        <v>1306.5826325371627</v>
      </c>
      <c r="M52" s="398">
        <f t="shared" si="8"/>
        <v>-1233.2159040284414</v>
      </c>
    </row>
    <row r="53" spans="1:13">
      <c r="A53" s="374">
        <v>15</v>
      </c>
      <c r="B53" s="208" t="s">
        <v>61</v>
      </c>
      <c r="C53" s="2">
        <f t="shared" si="6"/>
        <v>27859.57660715716</v>
      </c>
      <c r="D53" s="2">
        <f>+'Cuadros Informe Corto'!I59</f>
        <v>179.23693586467562</v>
      </c>
      <c r="E53" s="2">
        <f>+Resumen!AD125</f>
        <v>17847764.140572913</v>
      </c>
      <c r="F53" s="2">
        <f>+Resumen!C21</f>
        <v>640633</v>
      </c>
      <c r="I53" s="399" t="s">
        <v>63</v>
      </c>
      <c r="J53" s="400">
        <f>+C55</f>
        <v>24028.50902188792</v>
      </c>
      <c r="K53" s="400">
        <f>+D55</f>
        <v>131.44475207575124</v>
      </c>
      <c r="L53" s="401">
        <f t="shared" si="5"/>
        <v>-400.62867329247729</v>
      </c>
      <c r="M53" s="401">
        <f t="shared" si="8"/>
        <v>532.07342536822853</v>
      </c>
    </row>
    <row r="54" spans="1:13">
      <c r="A54" s="374">
        <v>16</v>
      </c>
      <c r="B54" s="208" t="s">
        <v>62</v>
      </c>
      <c r="C54" s="2">
        <f t="shared" si="6"/>
        <v>29217.106735387246</v>
      </c>
      <c r="D54" s="2">
        <f>+'Cuadros Informe Corto'!I60</f>
        <v>1547.4087525475716</v>
      </c>
      <c r="E54" s="2">
        <f>+Resumen!AD126</f>
        <v>63959781.913677663</v>
      </c>
      <c r="F54" s="2">
        <f>+Resumen!C22</f>
        <v>2189121</v>
      </c>
    </row>
    <row r="55" spans="1:13">
      <c r="A55" s="374">
        <v>17</v>
      </c>
      <c r="B55" s="208" t="s">
        <v>63</v>
      </c>
      <c r="C55" s="371">
        <f t="shared" si="6"/>
        <v>24028.50902188792</v>
      </c>
      <c r="D55" s="371">
        <f>+'Cuadros Informe Corto'!I61</f>
        <v>131.44475207575124</v>
      </c>
      <c r="E55" s="371">
        <f>+Resumen!AD127</f>
        <v>7641726.6529584611</v>
      </c>
      <c r="F55" s="371">
        <f>+Resumen!C23</f>
        <v>318027.5</v>
      </c>
      <c r="I55" s="402" t="s">
        <v>1155</v>
      </c>
      <c r="J55" s="403">
        <f>MAX(J39:J53)</f>
        <v>30334.451377347978</v>
      </c>
      <c r="K55" s="402"/>
      <c r="L55" s="404">
        <f>+J55*$J$63+$J$62</f>
        <v>-2222.2838531494463</v>
      </c>
    </row>
    <row r="56" spans="1:13">
      <c r="A56" s="374">
        <v>18</v>
      </c>
      <c r="B56" s="208" t="s">
        <v>64</v>
      </c>
      <c r="C56" s="2">
        <f t="shared" si="6"/>
        <v>17393.024209081905</v>
      </c>
      <c r="D56" s="2">
        <f>+'Cuadros Informe Corto'!I62</f>
        <v>4850.1949609930552</v>
      </c>
      <c r="E56" s="2">
        <f>+Resumen!AD128</f>
        <v>2950891.7908007316</v>
      </c>
      <c r="F56" s="2">
        <f>+Resumen!C24</f>
        <v>169659.5</v>
      </c>
      <c r="I56" s="399" t="s">
        <v>1156</v>
      </c>
      <c r="J56" s="400">
        <f>MIN(J39:J53)</f>
        <v>15201.424317148269</v>
      </c>
      <c r="K56" s="399"/>
      <c r="L56" s="401">
        <f>+J56*$J$63+$J$62</f>
        <v>2149.3319303756298</v>
      </c>
    </row>
    <row r="57" spans="1:13">
      <c r="A57" s="374"/>
      <c r="B57" s="208" t="str">
        <f>+I55</f>
        <v xml:space="preserve">Máximo </v>
      </c>
      <c r="C57" s="2">
        <f>+J55</f>
        <v>30334.451377347978</v>
      </c>
      <c r="D57" s="2">
        <f>+L55</f>
        <v>-2222.2838531494463</v>
      </c>
      <c r="E57" s="2"/>
      <c r="F57" s="2"/>
      <c r="J57" s="2"/>
      <c r="L57" s="398"/>
    </row>
    <row r="58" spans="1:13" ht="13.5" thickBot="1">
      <c r="A58" s="375"/>
      <c r="B58" s="54" t="str">
        <f>+I56</f>
        <v>Mínimo</v>
      </c>
      <c r="C58" s="372">
        <f>+J56</f>
        <v>15201.424317148269</v>
      </c>
      <c r="D58" s="372">
        <f>+L56</f>
        <v>2149.3319303756298</v>
      </c>
      <c r="E58" s="372"/>
      <c r="F58" s="372"/>
      <c r="J58" s="2"/>
      <c r="L58" s="398"/>
    </row>
    <row r="59" spans="1:13">
      <c r="A59" s="208"/>
      <c r="B59" s="208"/>
      <c r="C59" s="371"/>
      <c r="D59" s="371"/>
      <c r="E59" s="371"/>
      <c r="F59" s="371"/>
      <c r="J59" s="2"/>
      <c r="L59" s="398"/>
    </row>
    <row r="61" spans="1:13" ht="25.5">
      <c r="A61" t="s">
        <v>1141</v>
      </c>
      <c r="D61" s="407">
        <f>SUM(E39:E56)/SUM(F39:F56)*1000</f>
        <v>22207.119698618317</v>
      </c>
      <c r="I61" s="389" t="s">
        <v>1150</v>
      </c>
      <c r="J61" s="390" t="s">
        <v>1166</v>
      </c>
      <c r="K61" s="391" t="s">
        <v>1151</v>
      </c>
    </row>
    <row r="62" spans="1:13">
      <c r="I62" s="392" t="s">
        <v>1152</v>
      </c>
      <c r="J62" s="393">
        <f>INTERCEPT(K39:K53,J39:J53)</f>
        <v>6540.7062543986967</v>
      </c>
      <c r="K62" s="394">
        <f>+P47</f>
        <v>4.8473709601939765</v>
      </c>
    </row>
    <row r="63" spans="1:13">
      <c r="I63" s="392" t="s">
        <v>1153</v>
      </c>
      <c r="J63" s="393">
        <f>SLOPE(K39:K53,J39:J53)</f>
        <v>-0.28887913608656329</v>
      </c>
      <c r="K63" s="394">
        <f>+P44</f>
        <v>-4.5755838244019156</v>
      </c>
    </row>
    <row r="64" spans="1:13">
      <c r="I64" s="395" t="s">
        <v>1154</v>
      </c>
      <c r="J64" s="396">
        <f>RSQ(K39:K53,J39:J53)</f>
        <v>0.616925609575117</v>
      </c>
      <c r="K64" s="397"/>
    </row>
    <row r="72" spans="2:9" ht="18">
      <c r="B72" s="455" t="str">
        <f>"Cuadro 1: Saldos fiscales relativos o neutralizados "&amp;Resumen!C2</f>
        <v>Cuadro 1: Saldos fiscales relativos o neutralizados 2014</v>
      </c>
    </row>
    <row r="73" spans="2:9" s="9" customFormat="1" ht="13.5" thickBot="1"/>
    <row r="74" spans="2:9" s="9" customFormat="1" ht="15">
      <c r="B74" s="441"/>
      <c r="C74" s="493" t="s">
        <v>1238</v>
      </c>
      <c r="D74" s="493"/>
      <c r="E74" s="493"/>
      <c r="F74" s="493" t="s">
        <v>1239</v>
      </c>
      <c r="G74" s="493"/>
      <c r="H74" s="493"/>
      <c r="I74" s="493"/>
    </row>
    <row r="75" spans="2:9" s="9" customFormat="1" ht="30">
      <c r="B75" s="442"/>
      <c r="C75" s="443" t="s">
        <v>527</v>
      </c>
      <c r="D75" s="443" t="s">
        <v>489</v>
      </c>
      <c r="E75" s="443" t="s">
        <v>485</v>
      </c>
      <c r="F75" s="443" t="s">
        <v>490</v>
      </c>
      <c r="G75" s="443" t="s">
        <v>527</v>
      </c>
      <c r="H75" s="443" t="s">
        <v>489</v>
      </c>
      <c r="I75" s="443" t="s">
        <v>485</v>
      </c>
    </row>
    <row r="76" spans="2:9" s="9" customFormat="1" ht="15">
      <c r="B76" s="208" t="s">
        <v>9</v>
      </c>
      <c r="C76" s="458">
        <f>'Cuadros Informe Corto'!C45</f>
        <v>13757.146383218696</v>
      </c>
      <c r="D76" s="458">
        <f>'Cuadros Informe Corto'!D45</f>
        <v>-6067.8524766772798</v>
      </c>
      <c r="E76" s="458">
        <f>'Cuadros Informe Corto'!E45</f>
        <v>7689.2939065414166</v>
      </c>
      <c r="F76" s="459">
        <f>'Cuadros Informe Corto'!F45</f>
        <v>5.5420927027826465E-2</v>
      </c>
      <c r="G76" s="458">
        <f>'Cuadros Informe Corto'!G45</f>
        <v>1637.6241219714866</v>
      </c>
      <c r="H76" s="458">
        <f>'Cuadros Informe Corto'!H45</f>
        <v>-722.30543366845086</v>
      </c>
      <c r="I76" s="458">
        <f>'Cuadros Informe Corto'!I45</f>
        <v>915.31868830303574</v>
      </c>
    </row>
    <row r="77" spans="2:9" s="9" customFormat="1" ht="15">
      <c r="B77" s="208" t="s">
        <v>10</v>
      </c>
      <c r="C77" s="458">
        <f>'Cuadros Informe Corto'!C46</f>
        <v>-731.32212776860069</v>
      </c>
      <c r="D77" s="458">
        <f>'Cuadros Informe Corto'!D46</f>
        <v>1575.2570163826613</v>
      </c>
      <c r="E77" s="458">
        <f>'Cuadros Informe Corto'!E46</f>
        <v>843.93488861406058</v>
      </c>
      <c r="F77" s="459">
        <f>'Cuadros Informe Corto'!F46</f>
        <v>2.5757796231942062E-2</v>
      </c>
      <c r="G77" s="458">
        <f>'Cuadros Informe Corto'!G46</f>
        <v>-553.35447495233166</v>
      </c>
      <c r="H77" s="458">
        <f>'Cuadros Informe Corto'!H46</f>
        <v>1191.9173317988443</v>
      </c>
      <c r="I77" s="458">
        <f>'Cuadros Informe Corto'!I46</f>
        <v>638.56285684651266</v>
      </c>
    </row>
    <row r="78" spans="2:9" s="9" customFormat="1" ht="15">
      <c r="B78" s="208" t="s">
        <v>11</v>
      </c>
      <c r="C78" s="458">
        <f>'Cuadros Informe Corto'!C47</f>
        <v>-167.14548875872558</v>
      </c>
      <c r="D78" s="458">
        <f>'Cuadros Informe Corto'!D47</f>
        <v>2265.5788620938488</v>
      </c>
      <c r="E78" s="458">
        <f>'Cuadros Informe Corto'!E47</f>
        <v>2098.4333733351232</v>
      </c>
      <c r="F78" s="459">
        <f>'Cuadros Informe Corto'!F47</f>
        <v>0.10197769956239457</v>
      </c>
      <c r="G78" s="458">
        <f>'Cuadros Informe Corto'!G47</f>
        <v>-158.20792741900732</v>
      </c>
      <c r="H78" s="458">
        <f>'Cuadros Informe Corto'!H47</f>
        <v>2144.4344016581745</v>
      </c>
      <c r="I78" s="458">
        <f>'Cuadros Informe Corto'!I47</f>
        <v>1986.2264742391671</v>
      </c>
    </row>
    <row r="79" spans="2:9" s="9" customFormat="1" ht="15">
      <c r="B79" s="208" t="s">
        <v>31</v>
      </c>
      <c r="C79" s="458">
        <f>'Cuadros Informe Corto'!C48</f>
        <v>-735.82303214087119</v>
      </c>
      <c r="D79" s="458">
        <f>'Cuadros Informe Corto'!D48</f>
        <v>-780.07513494806938</v>
      </c>
      <c r="E79" s="458">
        <f>'Cuadros Informe Corto'!E48</f>
        <v>-1515.8981670889407</v>
      </c>
      <c r="F79" s="459">
        <f>'Cuadros Informe Corto'!F48</f>
        <v>-5.7673857061150767E-2</v>
      </c>
      <c r="G79" s="458">
        <f>'Cuadros Informe Corto'!G48</f>
        <v>-666.53021746780905</v>
      </c>
      <c r="H79" s="458">
        <f>'Cuadros Informe Corto'!H48</f>
        <v>-706.61507811925276</v>
      </c>
      <c r="I79" s="458">
        <f>'Cuadros Informe Corto'!I48</f>
        <v>-1373.1452955870618</v>
      </c>
    </row>
    <row r="80" spans="2:9" s="9" customFormat="1" ht="15">
      <c r="B80" s="208" t="s">
        <v>12</v>
      </c>
      <c r="C80" s="458">
        <f>'Cuadros Informe Corto'!C49</f>
        <v>4641.0681158357484</v>
      </c>
      <c r="D80" s="458">
        <f>'Cuadros Informe Corto'!D49</f>
        <v>-347.61890199448197</v>
      </c>
      <c r="E80" s="458">
        <f>'Cuadros Informe Corto'!E49</f>
        <v>4293.4492138412661</v>
      </c>
      <c r="F80" s="459">
        <f>'Cuadros Informe Corto'!F49</f>
        <v>0.10795499061122805</v>
      </c>
      <c r="G80" s="458">
        <f>'Cuadros Informe Corto'!G49</f>
        <v>2207.3410566952762</v>
      </c>
      <c r="H80" s="458">
        <f>'Cuadros Informe Corto'!H49</f>
        <v>-165.33122447343703</v>
      </c>
      <c r="I80" s="458">
        <f>'Cuadros Informe Corto'!I49</f>
        <v>2042.0098322218391</v>
      </c>
    </row>
    <row r="81" spans="2:9" s="9" customFormat="1" ht="15">
      <c r="B81" s="208" t="s">
        <v>13</v>
      </c>
      <c r="C81" s="458">
        <f>'Cuadros Informe Corto'!C50</f>
        <v>-111.70621640468848</v>
      </c>
      <c r="D81" s="458">
        <f>'Cuadros Informe Corto'!D50</f>
        <v>627.26934811178501</v>
      </c>
      <c r="E81" s="458">
        <f>'Cuadros Informe Corto'!E50</f>
        <v>515.56313170709655</v>
      </c>
      <c r="F81" s="459">
        <f>'Cuadros Informe Corto'!F50</f>
        <v>4.3156493508136495E-2</v>
      </c>
      <c r="G81" s="458">
        <f>'Cuadros Informe Corto'!G50</f>
        <v>-190.32694783285297</v>
      </c>
      <c r="H81" s="458">
        <f>'Cuadros Informe Corto'!H50</f>
        <v>1068.7521638250437</v>
      </c>
      <c r="I81" s="458">
        <f>'Cuadros Informe Corto'!I50</f>
        <v>878.42521599219072</v>
      </c>
    </row>
    <row r="82" spans="2:9" s="9" customFormat="1" ht="15">
      <c r="B82" s="208" t="s">
        <v>14</v>
      </c>
      <c r="C82" s="458">
        <f>'Cuadros Informe Corto'!C51</f>
        <v>798.920496307127</v>
      </c>
      <c r="D82" s="458">
        <f>'Cuadros Informe Corto'!D51</f>
        <v>3481.1581487341023</v>
      </c>
      <c r="E82" s="458">
        <f>'Cuadros Informe Corto'!E51</f>
        <v>4280.0786450412288</v>
      </c>
      <c r="F82" s="459">
        <f>'Cuadros Informe Corto'!F51</f>
        <v>8.2423783289908487E-2</v>
      </c>
      <c r="G82" s="458">
        <f>'Cuadros Informe Corto'!G51</f>
        <v>321.70159481905284</v>
      </c>
      <c r="H82" s="458">
        <f>'Cuadros Informe Corto'!H51</f>
        <v>1401.7591655760752</v>
      </c>
      <c r="I82" s="458">
        <f>'Cuadros Informe Corto'!I51</f>
        <v>1723.4607603951281</v>
      </c>
    </row>
    <row r="83" spans="2:9" s="9" customFormat="1" ht="15">
      <c r="B83" s="208" t="s">
        <v>491</v>
      </c>
      <c r="C83" s="458">
        <f>'Cuadros Informe Corto'!C52</f>
        <v>2827.5685116972986</v>
      </c>
      <c r="D83" s="458">
        <f>'Cuadros Informe Corto'!D52</f>
        <v>-1193.8944579957624</v>
      </c>
      <c r="E83" s="458">
        <f>'Cuadros Informe Corto'!E52</f>
        <v>1633.6740537015362</v>
      </c>
      <c r="F83" s="459">
        <f>'Cuadros Informe Corto'!F52</f>
        <v>4.5726279723625481E-2</v>
      </c>
      <c r="G83" s="458">
        <f>'Cuadros Informe Corto'!G52</f>
        <v>1366.700732271529</v>
      </c>
      <c r="H83" s="458">
        <f>'Cuadros Informe Corto'!H52</f>
        <v>-577.06698290336863</v>
      </c>
      <c r="I83" s="458">
        <f>'Cuadros Informe Corto'!I52</f>
        <v>789.63374936816035</v>
      </c>
    </row>
    <row r="84" spans="2:9" s="9" customFormat="1" ht="15">
      <c r="B84" s="208" t="s">
        <v>16</v>
      </c>
      <c r="C84" s="458">
        <f>'Cuadros Informe Corto'!C53</f>
        <v>-10044.231727114558</v>
      </c>
      <c r="D84" s="458">
        <f>'Cuadros Informe Corto'!D53</f>
        <v>151.91210532132646</v>
      </c>
      <c r="E84" s="458">
        <f>'Cuadros Informe Corto'!E53</f>
        <v>-9892.3196217932327</v>
      </c>
      <c r="F84" s="459">
        <f>'Cuadros Informe Corto'!F53</f>
        <v>-5.0246544286977647E-2</v>
      </c>
      <c r="G84" s="458">
        <f>'Cuadros Informe Corto'!G53</f>
        <v>-1336.8238119927337</v>
      </c>
      <c r="H84" s="458">
        <f>'Cuadros Informe Corto'!H53</f>
        <v>20.218541869686305</v>
      </c>
      <c r="I84" s="458">
        <f>'Cuadros Informe Corto'!I53</f>
        <v>-1316.6052701230474</v>
      </c>
    </row>
    <row r="85" spans="2:9" s="9" customFormat="1" ht="15">
      <c r="B85" s="208" t="s">
        <v>17</v>
      </c>
      <c r="C85" s="458">
        <f>'Cuadros Informe Corto'!C54</f>
        <v>3935.2572252713271</v>
      </c>
      <c r="D85" s="458">
        <f>'Cuadros Informe Corto'!D54</f>
        <v>-5669.895313609507</v>
      </c>
      <c r="E85" s="458">
        <f>'Cuadros Informe Corto'!E54</f>
        <v>-1734.6380883381798</v>
      </c>
      <c r="F85" s="459">
        <f>'Cuadros Informe Corto'!F54</f>
        <v>-1.782309102192833E-2</v>
      </c>
      <c r="G85" s="458">
        <f>'Cuadros Informe Corto'!G54</f>
        <v>788.19172201850961</v>
      </c>
      <c r="H85" s="458">
        <f>'Cuadros Informe Corto'!H54</f>
        <v>-1135.6219670215914</v>
      </c>
      <c r="I85" s="458">
        <f>'Cuadros Informe Corto'!I54</f>
        <v>-347.43024500308184</v>
      </c>
    </row>
    <row r="86" spans="2:9" s="9" customFormat="1" ht="15">
      <c r="B86" s="208" t="s">
        <v>18</v>
      </c>
      <c r="C86" s="458">
        <f>'Cuadros Informe Corto'!C55</f>
        <v>2135.9906022338523</v>
      </c>
      <c r="D86" s="458">
        <f>'Cuadros Informe Corto'!D55</f>
        <v>690.73522470452508</v>
      </c>
      <c r="E86" s="458">
        <f>'Cuadros Informe Corto'!E55</f>
        <v>2826.7258269383774</v>
      </c>
      <c r="F86" s="459">
        <f>'Cuadros Informe Corto'!F55</f>
        <v>0.16961499625859869</v>
      </c>
      <c r="G86" s="458">
        <f>'Cuadros Informe Corto'!G55</f>
        <v>1948.3374544748358</v>
      </c>
      <c r="H86" s="458">
        <f>'Cuadros Informe Corto'!H55</f>
        <v>630.05207420363877</v>
      </c>
      <c r="I86" s="458">
        <f>'Cuadros Informe Corto'!I55</f>
        <v>2578.3895286784746</v>
      </c>
    </row>
    <row r="87" spans="2:9" s="9" customFormat="1" ht="15">
      <c r="B87" s="208" t="s">
        <v>19</v>
      </c>
      <c r="C87" s="458">
        <f>'Cuadros Informe Corto'!C56</f>
        <v>1755.3483090186894</v>
      </c>
      <c r="D87" s="458">
        <f>'Cuadros Informe Corto'!D56</f>
        <v>1936.4509205125396</v>
      </c>
      <c r="E87" s="458">
        <f>'Cuadros Informe Corto'!E56</f>
        <v>3691.7992295312288</v>
      </c>
      <c r="F87" s="459">
        <f>'Cuadros Informe Corto'!F56</f>
        <v>6.8482407841933657E-2</v>
      </c>
      <c r="G87" s="458">
        <f>'Cuadros Informe Corto'!G56</f>
        <v>640.51627738619391</v>
      </c>
      <c r="H87" s="458">
        <f>'Cuadros Informe Corto'!H56</f>
        <v>706.59955552704741</v>
      </c>
      <c r="I87" s="458">
        <f>'Cuadros Informe Corto'!I56</f>
        <v>1347.1158329132413</v>
      </c>
    </row>
    <row r="88" spans="2:9" s="9" customFormat="1" ht="15">
      <c r="B88" s="208" t="s">
        <v>20</v>
      </c>
      <c r="C88" s="458">
        <f>'Cuadros Informe Corto'!C57</f>
        <v>-16368.956961660098</v>
      </c>
      <c r="D88" s="458">
        <f>'Cuadros Informe Corto'!D57</f>
        <v>-2835.7470991247328</v>
      </c>
      <c r="E88" s="458">
        <f>'Cuadros Informe Corto'!E57</f>
        <v>-19204.704060784832</v>
      </c>
      <c r="F88" s="459">
        <f>'Cuadros Informe Corto'!F57</f>
        <v>-9.8220055044806617E-2</v>
      </c>
      <c r="G88" s="458">
        <f>'Cuadros Informe Corto'!G57</f>
        <v>-2539.5087035548404</v>
      </c>
      <c r="H88" s="458">
        <f>'Cuadros Informe Corto'!H57</f>
        <v>-439.94278048228807</v>
      </c>
      <c r="I88" s="458">
        <f>'Cuadros Informe Corto'!I57</f>
        <v>-2979.4514840371285</v>
      </c>
    </row>
    <row r="89" spans="2:9" s="9" customFormat="1" ht="15">
      <c r="B89" s="208" t="s">
        <v>60</v>
      </c>
      <c r="C89" s="458">
        <f>'Cuadros Informe Corto'!C58</f>
        <v>2004.6279337904996</v>
      </c>
      <c r="D89" s="458">
        <f>'Cuadros Informe Corto'!D58</f>
        <v>-1896.9950546315947</v>
      </c>
      <c r="E89" s="458">
        <f>'Cuadros Informe Corto'!E58</f>
        <v>107.63287915890487</v>
      </c>
      <c r="F89" s="459">
        <f>'Cuadros Informe Corto'!F58</f>
        <v>4.0492198274749642E-3</v>
      </c>
      <c r="G89" s="458">
        <f>'Cuadros Informe Corto'!G58</f>
        <v>1366.431842469563</v>
      </c>
      <c r="H89" s="458">
        <f>'Cuadros Informe Corto'!H58</f>
        <v>-1293.0651139608417</v>
      </c>
      <c r="I89" s="458">
        <f>'Cuadros Informe Corto'!I58</f>
        <v>73.36672850872128</v>
      </c>
    </row>
    <row r="90" spans="2:9" s="9" customFormat="1" ht="15">
      <c r="B90" s="208" t="s">
        <v>61</v>
      </c>
      <c r="C90" s="458">
        <f>'Cuadros Informe Corto'!C59</f>
        <v>-587.49066767539898</v>
      </c>
      <c r="D90" s="458">
        <f>'Cuadros Informe Corto'!D59</f>
        <v>702.31576360919371</v>
      </c>
      <c r="E90" s="458">
        <f>'Cuadros Informe Corto'!E59</f>
        <v>114.82509593379473</v>
      </c>
      <c r="F90" s="459">
        <f>'Cuadros Informe Corto'!F59</f>
        <v>6.4335843430811295E-3</v>
      </c>
      <c r="G90" s="458">
        <f>'Cuadros Informe Corto'!G59</f>
        <v>-917.04715129473334</v>
      </c>
      <c r="H90" s="458">
        <f>'Cuadros Informe Corto'!H59</f>
        <v>1096.284087159409</v>
      </c>
      <c r="I90" s="458">
        <f>'Cuadros Informe Corto'!I59</f>
        <v>179.23693586467562</v>
      </c>
    </row>
    <row r="91" spans="2:9" s="9" customFormat="1" ht="15">
      <c r="B91" s="208" t="s">
        <v>62</v>
      </c>
      <c r="C91" s="458">
        <f>'Cuadros Informe Corto'!C60</f>
        <v>-3474.2496650081312</v>
      </c>
      <c r="D91" s="458">
        <f>'Cuadros Informe Corto'!D60</f>
        <v>6861.714660793823</v>
      </c>
      <c r="E91" s="458">
        <f>'Cuadros Informe Corto'!E60</f>
        <v>3387.4649957856918</v>
      </c>
      <c r="F91" s="459">
        <f>'Cuadros Informe Corto'!F60</f>
        <v>5.2962422547930696E-2</v>
      </c>
      <c r="G91" s="458">
        <f>'Cuadros Informe Corto'!G60</f>
        <v>-1587.0523671410265</v>
      </c>
      <c r="H91" s="458">
        <f>'Cuadros Informe Corto'!H60</f>
        <v>3134.461119688598</v>
      </c>
      <c r="I91" s="458">
        <f>'Cuadros Informe Corto'!I60</f>
        <v>1547.4087525475716</v>
      </c>
    </row>
    <row r="92" spans="2:9" s="9" customFormat="1" ht="15">
      <c r="B92" s="208" t="s">
        <v>63</v>
      </c>
      <c r="C92" s="458">
        <f>'Cuadros Informe Corto'!C61</f>
        <v>-67.40095529769718</v>
      </c>
      <c r="D92" s="458">
        <f>'Cuadros Informe Corto'!D61</f>
        <v>109.20400118846815</v>
      </c>
      <c r="E92" s="458">
        <f>'Cuadros Informe Corto'!E61</f>
        <v>41.803045890770974</v>
      </c>
      <c r="F92" s="459">
        <f>'Cuadros Informe Corto'!F61</f>
        <v>5.4703665531646711E-3</v>
      </c>
      <c r="G92" s="458">
        <f>'Cuadros Informe Corto'!G61</f>
        <v>-211.93436195831237</v>
      </c>
      <c r="H92" s="458">
        <f>'Cuadros Informe Corto'!H61</f>
        <v>343.3791140340636</v>
      </c>
      <c r="I92" s="458">
        <f>'Cuadros Informe Corto'!I61</f>
        <v>131.44475207575124</v>
      </c>
    </row>
    <row r="93" spans="2:9" s="9" customFormat="1" ht="15">
      <c r="B93" s="208" t="s">
        <v>64</v>
      </c>
      <c r="C93" s="458">
        <f>'Cuadros Informe Corto'!C62</f>
        <v>432.39926445551021</v>
      </c>
      <c r="D93" s="458">
        <f>'Cuadros Informe Corto'!D62</f>
        <v>390.48238752909106</v>
      </c>
      <c r="E93" s="458">
        <f>'Cuadros Informe Corto'!E62</f>
        <v>822.88165198460126</v>
      </c>
      <c r="F93" s="459">
        <f>'Cuadros Informe Corto'!F62</f>
        <v>0.27885863336293681</v>
      </c>
      <c r="G93" s="458">
        <f>'Cuadros Informe Corto'!G62</f>
        <v>2548.6298406839005</v>
      </c>
      <c r="H93" s="458">
        <f>'Cuadros Informe Corto'!H62</f>
        <v>2301.5651203091547</v>
      </c>
      <c r="I93" s="458">
        <f>'Cuadros Informe Corto'!I62</f>
        <v>4850.1949609930552</v>
      </c>
    </row>
    <row r="94" spans="2:9" s="9" customFormat="1" ht="15">
      <c r="B94" s="208" t="s">
        <v>573</v>
      </c>
      <c r="C94" s="458">
        <f>'Cuadros Informe Corto'!C63</f>
        <v>0</v>
      </c>
      <c r="D94" s="458">
        <f>'Cuadros Informe Corto'!D63</f>
        <v>0</v>
      </c>
      <c r="E94" s="458">
        <f>'Cuadros Informe Corto'!E63</f>
        <v>0</v>
      </c>
      <c r="F94" s="459"/>
      <c r="G94" s="458">
        <f>'Cuadros Informe Corto'!G63</f>
        <v>0</v>
      </c>
      <c r="H94" s="458">
        <f>'Cuadros Informe Corto'!H63</f>
        <v>0</v>
      </c>
      <c r="I94" s="458">
        <f>'Cuadros Informe Corto'!I63</f>
        <v>0</v>
      </c>
    </row>
    <row r="95" spans="2:9" s="9" customFormat="1" ht="15.75" thickBot="1">
      <c r="B95" s="54" t="s">
        <v>493</v>
      </c>
      <c r="C95" s="460"/>
      <c r="D95" s="460"/>
      <c r="E95" s="461">
        <f>'Cuadros Informe Corto'!E64</f>
        <v>32347.559938005099</v>
      </c>
      <c r="F95" s="462">
        <f>'Cuadros Informe Corto'!F64</f>
        <v>3.1192651997787032E-2</v>
      </c>
      <c r="G95" s="463"/>
      <c r="H95" s="460"/>
      <c r="I95" s="460"/>
    </row>
    <row r="100" spans="2:4" ht="18">
      <c r="B100" s="455" t="str">
        <f>"Gráfico 3: Pesos medios de distintas partidas en los saldos fiscales relativos agregados, "&amp;Resumen!C2</f>
        <v>Gráfico 3: Pesos medios de distintas partidas en los saldos fiscales relativos agregados, 2014</v>
      </c>
    </row>
    <row r="102" spans="2:4">
      <c r="D102" s="101"/>
    </row>
    <row r="105" spans="2:4" ht="14.25" thickBot="1">
      <c r="B105" s="257"/>
      <c r="C105" s="257">
        <f>+'Cuadros Informe Corto'!C305</f>
        <v>2014</v>
      </c>
      <c r="D105" s="257">
        <f>+'Cuadros Informe Corto'!D305</f>
        <v>2013</v>
      </c>
    </row>
    <row r="106" spans="2:4">
      <c r="B106" s="65" t="s">
        <v>527</v>
      </c>
      <c r="C106" s="423">
        <f>+'Cuadros Informe Corto'!C307</f>
        <v>0.71763541176317081</v>
      </c>
      <c r="D106" s="423">
        <f>+'Cuadros Informe Corto'!D307</f>
        <v>0.72219258407475562</v>
      </c>
    </row>
    <row r="107" spans="2:4">
      <c r="B107" s="65" t="s">
        <v>1179</v>
      </c>
      <c r="C107" s="423">
        <f>+'Cuadros Informe Corto'!C310</f>
        <v>0.17577941156266505</v>
      </c>
      <c r="D107" s="423">
        <f>+'Cuadros Informe Corto'!D310</f>
        <v>0.14102716660768264</v>
      </c>
    </row>
    <row r="108" spans="2:4">
      <c r="B108" s="65" t="s">
        <v>530</v>
      </c>
      <c r="C108" s="423">
        <f>+'Cuadros Informe Corto'!C311</f>
        <v>3.0979547145594723E-2</v>
      </c>
      <c r="D108" s="423">
        <f>+'Cuadros Informe Corto'!D311</f>
        <v>2.9289551501043159E-2</v>
      </c>
    </row>
    <row r="109" spans="2:4">
      <c r="B109" s="65" t="s">
        <v>517</v>
      </c>
      <c r="C109" s="423">
        <f>+'Cuadros Informe Corto'!C312</f>
        <v>4.2602287407567122E-2</v>
      </c>
      <c r="D109" s="423">
        <f>+'Cuadros Informe Corto'!D312</f>
        <v>5.4559499669422737E-2</v>
      </c>
    </row>
    <row r="110" spans="2:4">
      <c r="B110" s="65" t="s">
        <v>531</v>
      </c>
      <c r="C110" s="423">
        <f>+'Cuadros Informe Corto'!C313</f>
        <v>-1.7430332580715377E-4</v>
      </c>
      <c r="D110" s="423">
        <f>+'Cuadros Informe Corto'!D313</f>
        <v>-1.5917339419661196E-3</v>
      </c>
    </row>
    <row r="111" spans="2:4">
      <c r="B111" s="65" t="s">
        <v>508</v>
      </c>
      <c r="C111" s="423">
        <f>+'Cuadros Informe Corto'!C314</f>
        <v>-1.471042048850359E-2</v>
      </c>
      <c r="D111" s="423">
        <f>+'Cuadros Informe Corto'!D314</f>
        <v>-3.3179704410890142E-3</v>
      </c>
    </row>
    <row r="112" spans="2:4">
      <c r="B112" s="65" t="s">
        <v>509</v>
      </c>
      <c r="C112" s="423">
        <f>+'Cuadros Informe Corto'!C315</f>
        <v>8.1041918248589265E-2</v>
      </c>
      <c r="D112" s="423">
        <f>+'Cuadros Informe Corto'!D315</f>
        <v>9.0610728358639286E-2</v>
      </c>
    </row>
    <row r="113" spans="2:4" ht="13.5" thickBot="1">
      <c r="B113" s="435" t="s">
        <v>532</v>
      </c>
      <c r="C113" s="424">
        <f>+'Cuadros Informe Corto'!C316</f>
        <v>3.7818045219948401E-2</v>
      </c>
      <c r="D113" s="424">
        <f>+'Cuadros Informe Corto'!D316</f>
        <v>3.698113562029634E-2</v>
      </c>
    </row>
    <row r="117" spans="2:4">
      <c r="C117" s="425"/>
      <c r="D117" s="425"/>
    </row>
    <row r="118" spans="2:4">
      <c r="C118" s="425"/>
      <c r="D118" s="425"/>
    </row>
    <row r="119" spans="2:4">
      <c r="C119" s="425"/>
      <c r="D119" s="425"/>
    </row>
    <row r="120" spans="2:4">
      <c r="C120" s="425"/>
      <c r="D120" s="425"/>
    </row>
    <row r="121" spans="2:4">
      <c r="C121" s="425"/>
      <c r="D121" s="425"/>
    </row>
    <row r="122" spans="2:4">
      <c r="C122" s="425"/>
      <c r="D122" s="425"/>
    </row>
    <row r="123" spans="2:4">
      <c r="C123" s="425"/>
      <c r="D123" s="425"/>
    </row>
    <row r="124" spans="2:4">
      <c r="C124" s="425"/>
      <c r="D124" s="425"/>
    </row>
    <row r="130" spans="2:2" ht="15">
      <c r="B130" s="444"/>
    </row>
    <row r="146" spans="2:2" ht="18">
      <c r="B146" s="373"/>
    </row>
  </sheetData>
  <mergeCells count="2">
    <mergeCell ref="C74:E74"/>
    <mergeCell ref="F74:I7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I184"/>
  <sheetViews>
    <sheetView tabSelected="1" zoomScaleNormal="100" workbookViewId="0">
      <pane xSplit="2" topLeftCell="C1" activePane="topRight" state="frozen"/>
      <selection activeCell="C29" sqref="C29"/>
      <selection pane="topRight" activeCell="C1" sqref="C1"/>
    </sheetView>
  </sheetViews>
  <sheetFormatPr baseColWidth="10" defaultColWidth="11" defaultRowHeight="12.75"/>
  <cols>
    <col min="1" max="1" width="3.25" style="29" customWidth="1"/>
    <col min="2" max="2" width="20.875" style="29" customWidth="1"/>
    <col min="3" max="3" width="27.125" style="29" bestFit="1" customWidth="1"/>
    <col min="4" max="4" width="25.5" style="29" customWidth="1"/>
    <col min="5" max="5" width="25.625" style="29" customWidth="1"/>
    <col min="6" max="6" width="16.125" style="29" customWidth="1"/>
    <col min="7" max="7" width="10.25" style="29" bestFit="1" customWidth="1"/>
    <col min="8" max="8" width="16.125" style="29" customWidth="1"/>
    <col min="9" max="9" width="23.625" style="29" customWidth="1"/>
    <col min="10" max="10" width="11" style="29" bestFit="1" customWidth="1"/>
    <col min="11" max="11" width="16.5" style="29" customWidth="1"/>
    <col min="12" max="12" width="13.25" style="29" customWidth="1"/>
    <col min="13" max="13" width="19.75" style="29" customWidth="1"/>
    <col min="14" max="14" width="15.875" style="29" customWidth="1"/>
    <col min="15" max="15" width="10" style="29" bestFit="1" customWidth="1"/>
    <col min="16" max="16" width="16.375" style="29" customWidth="1"/>
    <col min="17" max="17" width="13.625" style="29" bestFit="1" customWidth="1"/>
    <col min="18" max="18" width="26.625" style="29" bestFit="1" customWidth="1"/>
    <col min="19" max="19" width="19.875" style="29" customWidth="1"/>
    <col min="20" max="20" width="25.125" style="29" customWidth="1"/>
    <col min="21" max="21" width="14.625" style="29" customWidth="1"/>
    <col min="22" max="22" width="23.625" style="29" customWidth="1"/>
    <col min="23" max="23" width="21.125" style="29" customWidth="1"/>
    <col min="24" max="24" width="19.625" style="29" customWidth="1"/>
    <col min="25" max="25" width="23.875" style="29" customWidth="1"/>
    <col min="26" max="26" width="10" style="29" bestFit="1" customWidth="1"/>
    <col min="27" max="27" width="10.375" style="29" customWidth="1"/>
    <col min="28" max="28" width="16.5" style="29" customWidth="1"/>
    <col min="29" max="29" width="20" style="29" customWidth="1"/>
    <col min="30" max="30" width="17.375" style="29" customWidth="1"/>
    <col min="31" max="31" width="10.375" style="29" bestFit="1" customWidth="1"/>
    <col min="32" max="32" width="18.125" style="29" customWidth="1"/>
    <col min="33" max="33" width="11.625" style="29" bestFit="1" customWidth="1"/>
    <col min="34" max="16384" width="11" style="29"/>
  </cols>
  <sheetData>
    <row r="2" spans="2:8">
      <c r="B2" s="169" t="s">
        <v>931</v>
      </c>
      <c r="C2" s="170">
        <v>2014</v>
      </c>
    </row>
    <row r="5" spans="2:8">
      <c r="C5" s="168" t="s">
        <v>932</v>
      </c>
    </row>
    <row r="6" spans="2:8" ht="34.5" customHeight="1" thickBot="1">
      <c r="B6" s="173"/>
      <c r="C6" s="427" t="str">
        <f>"Población media padrón "&amp;C2</f>
        <v>Población media padrón 2014</v>
      </c>
      <c r="D6" s="427" t="s">
        <v>1021</v>
      </c>
    </row>
    <row r="7" spans="2:8">
      <c r="B7" s="222" t="s">
        <v>66</v>
      </c>
      <c r="C7" s="325">
        <v>8400674</v>
      </c>
      <c r="D7" s="325">
        <v>8133641.6604539501</v>
      </c>
      <c r="E7" s="428"/>
      <c r="F7" s="223" t="s">
        <v>9</v>
      </c>
      <c r="G7" s="233" t="s">
        <v>66</v>
      </c>
      <c r="H7" s="35"/>
    </row>
    <row r="8" spans="2:8">
      <c r="B8" s="222" t="s">
        <v>67</v>
      </c>
      <c r="C8" s="325">
        <v>1321616</v>
      </c>
      <c r="D8" s="325">
        <v>1417184.89575786</v>
      </c>
      <c r="E8" s="428"/>
      <c r="F8" s="223" t="s">
        <v>10</v>
      </c>
      <c r="G8" s="233" t="s">
        <v>67</v>
      </c>
      <c r="H8" s="35"/>
    </row>
    <row r="9" spans="2:8">
      <c r="B9" s="222" t="s">
        <v>56</v>
      </c>
      <c r="C9" s="325">
        <v>1056492.5</v>
      </c>
      <c r="D9" s="325">
        <v>1119246.77586799</v>
      </c>
      <c r="E9" s="428"/>
      <c r="F9" s="223" t="s">
        <v>11</v>
      </c>
      <c r="G9" s="233" t="s">
        <v>56</v>
      </c>
      <c r="H9" s="35"/>
    </row>
    <row r="10" spans="2:8">
      <c r="B10" s="222" t="s">
        <v>48</v>
      </c>
      <c r="C10" s="325">
        <v>1103960.5</v>
      </c>
      <c r="D10" s="325">
        <v>1103865.5370713901</v>
      </c>
      <c r="E10" s="428"/>
      <c r="F10" s="223" t="s">
        <v>31</v>
      </c>
      <c r="G10" s="233" t="s">
        <v>48</v>
      </c>
      <c r="H10" s="35"/>
    </row>
    <row r="11" spans="2:8">
      <c r="B11" s="222" t="s">
        <v>49</v>
      </c>
      <c r="C11" s="325">
        <v>2102560.5</v>
      </c>
      <c r="D11" s="325">
        <v>2148999.3951816</v>
      </c>
      <c r="E11" s="428"/>
      <c r="F11" s="223" t="s">
        <v>12</v>
      </c>
      <c r="G11" s="233" t="s">
        <v>49</v>
      </c>
      <c r="H11" s="35"/>
    </row>
    <row r="12" spans="2:8">
      <c r="B12" s="222" t="s">
        <v>50</v>
      </c>
      <c r="C12" s="325">
        <v>586917.5</v>
      </c>
      <c r="D12" s="325">
        <v>592280.38454244996</v>
      </c>
      <c r="E12" s="428"/>
      <c r="F12" s="223" t="s">
        <v>13</v>
      </c>
      <c r="G12" s="233" t="s">
        <v>50</v>
      </c>
      <c r="H12" s="35"/>
    </row>
    <row r="13" spans="2:8">
      <c r="B13" s="222" t="s">
        <v>51</v>
      </c>
      <c r="C13" s="325">
        <v>2483421</v>
      </c>
      <c r="D13" s="325">
        <v>2703201.9531199401</v>
      </c>
      <c r="E13" s="428"/>
      <c r="F13" s="223" t="s">
        <v>14</v>
      </c>
      <c r="G13" s="233" t="s">
        <v>51</v>
      </c>
      <c r="H13" s="35"/>
    </row>
    <row r="14" spans="2:8">
      <c r="B14" s="222" t="s">
        <v>24</v>
      </c>
      <c r="C14" s="325">
        <v>2068901</v>
      </c>
      <c r="D14" s="325">
        <v>2181867.7092055501</v>
      </c>
      <c r="E14" s="428"/>
      <c r="F14" s="223" t="s">
        <v>15</v>
      </c>
      <c r="G14" s="233" t="s">
        <v>24</v>
      </c>
      <c r="H14" s="35"/>
    </row>
    <row r="15" spans="2:8">
      <c r="B15" s="222" t="s">
        <v>46</v>
      </c>
      <c r="C15" s="325">
        <v>7513504.5</v>
      </c>
      <c r="D15" s="325">
        <v>7424128.3831106396</v>
      </c>
      <c r="E15" s="428"/>
      <c r="F15" s="223" t="s">
        <v>16</v>
      </c>
      <c r="G15" s="233" t="s">
        <v>46</v>
      </c>
      <c r="H15" s="35"/>
    </row>
    <row r="16" spans="2:8">
      <c r="B16" s="222" t="s">
        <v>72</v>
      </c>
      <c r="C16" s="325">
        <v>4992766.5</v>
      </c>
      <c r="D16" s="325">
        <v>4834678.0247471603</v>
      </c>
      <c r="E16" s="428"/>
      <c r="F16" s="223" t="s">
        <v>17</v>
      </c>
      <c r="G16" s="233" t="s">
        <v>72</v>
      </c>
      <c r="H16" s="35"/>
    </row>
    <row r="17" spans="2:21">
      <c r="B17" s="222" t="s">
        <v>73</v>
      </c>
      <c r="C17" s="325">
        <v>1096314.5</v>
      </c>
      <c r="D17" s="325">
        <v>1161818.79487767</v>
      </c>
      <c r="E17" s="428"/>
      <c r="F17" s="223" t="s">
        <v>18</v>
      </c>
      <c r="G17" s="233" t="s">
        <v>73</v>
      </c>
      <c r="H17" s="35"/>
    </row>
    <row r="18" spans="2:21">
      <c r="B18" s="222" t="s">
        <v>74</v>
      </c>
      <c r="C18" s="325">
        <v>2740521</v>
      </c>
      <c r="D18" s="325">
        <v>2945022.5165192001</v>
      </c>
      <c r="E18" s="428"/>
      <c r="F18" s="223" t="s">
        <v>19</v>
      </c>
      <c r="G18" s="233" t="s">
        <v>74</v>
      </c>
      <c r="H18" s="35"/>
    </row>
    <row r="19" spans="2:21">
      <c r="B19" s="222" t="s">
        <v>37</v>
      </c>
      <c r="C19" s="325">
        <v>6445718</v>
      </c>
      <c r="D19" s="325">
        <v>6213787.9006398702</v>
      </c>
      <c r="E19" s="428"/>
      <c r="F19" s="223" t="s">
        <v>20</v>
      </c>
      <c r="G19" s="233" t="s">
        <v>37</v>
      </c>
      <c r="H19" s="35"/>
    </row>
    <row r="20" spans="2:21">
      <c r="B20" s="222" t="s">
        <v>38</v>
      </c>
      <c r="C20" s="325">
        <v>1467053</v>
      </c>
      <c r="D20" s="325">
        <v>1432602.3742976401</v>
      </c>
      <c r="E20" s="428"/>
      <c r="F20" s="223" t="s">
        <v>60</v>
      </c>
      <c r="G20" s="233" t="s">
        <v>38</v>
      </c>
      <c r="H20" s="35"/>
    </row>
    <row r="21" spans="2:21">
      <c r="B21" s="222" t="s">
        <v>33</v>
      </c>
      <c r="C21" s="325">
        <v>640633</v>
      </c>
      <c r="D21" s="325">
        <v>651729.59698301996</v>
      </c>
      <c r="E21" s="428"/>
      <c r="F21" s="223" t="s">
        <v>61</v>
      </c>
      <c r="G21" s="233" t="s">
        <v>33</v>
      </c>
      <c r="H21" s="35"/>
    </row>
    <row r="22" spans="2:21">
      <c r="B22" s="222" t="s">
        <v>34</v>
      </c>
      <c r="C22" s="325">
        <v>2189121</v>
      </c>
      <c r="D22" s="325">
        <v>2221184.1484919302</v>
      </c>
      <c r="E22" s="428"/>
      <c r="F22" s="223" t="s">
        <v>62</v>
      </c>
      <c r="G22" s="233" t="s">
        <v>34</v>
      </c>
      <c r="H22" s="35"/>
    </row>
    <row r="23" spans="2:21">
      <c r="B23" s="222" t="s">
        <v>88</v>
      </c>
      <c r="C23" s="325">
        <v>318027.5</v>
      </c>
      <c r="D23" s="325">
        <v>328231.53432843002</v>
      </c>
      <c r="E23" s="428"/>
      <c r="F23" s="223" t="s">
        <v>63</v>
      </c>
      <c r="G23" s="233" t="s">
        <v>88</v>
      </c>
      <c r="H23" s="35"/>
    </row>
    <row r="24" spans="2:21">
      <c r="B24" s="222" t="s">
        <v>89</v>
      </c>
      <c r="C24" s="325">
        <v>169659.5</v>
      </c>
      <c r="D24" s="325">
        <v>157869.41480368999</v>
      </c>
      <c r="E24" s="428"/>
      <c r="F24" s="223" t="s">
        <v>64</v>
      </c>
      <c r="G24" s="233" t="s">
        <v>89</v>
      </c>
      <c r="H24" s="35"/>
    </row>
    <row r="25" spans="2:21" ht="13.5" thickBot="1">
      <c r="B25" s="166" t="s">
        <v>84</v>
      </c>
      <c r="C25" s="326">
        <v>46697861.5</v>
      </c>
      <c r="D25" s="213">
        <f>SUM(D7:D24)</f>
        <v>46771340.999999978</v>
      </c>
      <c r="E25" s="428"/>
      <c r="H25" s="35"/>
    </row>
    <row r="26" spans="2:21" ht="14.25">
      <c r="B26" s="242" t="s">
        <v>1233</v>
      </c>
      <c r="C26" s="175"/>
      <c r="D26" s="108"/>
      <c r="H26" s="35"/>
    </row>
    <row r="27" spans="2:21">
      <c r="B27" s="174"/>
      <c r="C27" s="175"/>
      <c r="D27" s="108"/>
    </row>
    <row r="28" spans="2:21">
      <c r="B28" s="174"/>
      <c r="C28" s="175"/>
      <c r="D28" s="108"/>
    </row>
    <row r="29" spans="2:21">
      <c r="B29" s="174"/>
      <c r="C29" s="175"/>
    </row>
    <row r="30" spans="2:21">
      <c r="B30" s="176" t="s">
        <v>934</v>
      </c>
      <c r="C30" s="175"/>
      <c r="Q30" s="176" t="s">
        <v>1000</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3"/>
      <c r="D32" s="183"/>
      <c r="E32" s="183"/>
      <c r="F32" s="183"/>
      <c r="G32" s="183"/>
      <c r="H32" s="183"/>
      <c r="I32" s="183"/>
      <c r="J32" s="183"/>
      <c r="K32" s="183"/>
      <c r="L32" s="183"/>
      <c r="M32" s="183"/>
      <c r="N32" s="183"/>
      <c r="O32" s="183"/>
      <c r="P32" s="183"/>
      <c r="Q32" s="183"/>
      <c r="R32" s="183"/>
      <c r="S32" s="183"/>
      <c r="T32" s="183"/>
    </row>
    <row r="33" spans="1:29" s="33" customFormat="1" ht="39" thickBot="1">
      <c r="A33" s="32"/>
      <c r="B33" s="158">
        <f>C2</f>
        <v>2014</v>
      </c>
      <c r="C33" s="159" t="s">
        <v>83</v>
      </c>
      <c r="D33" s="184" t="s">
        <v>980</v>
      </c>
      <c r="E33" s="160" t="s">
        <v>26</v>
      </c>
      <c r="F33" s="160" t="s">
        <v>1</v>
      </c>
      <c r="G33" s="160" t="s">
        <v>55</v>
      </c>
      <c r="H33" s="160" t="s">
        <v>22</v>
      </c>
      <c r="I33" s="159" t="s">
        <v>79</v>
      </c>
      <c r="J33" s="161" t="s">
        <v>68</v>
      </c>
      <c r="K33" s="162" t="s">
        <v>65</v>
      </c>
      <c r="L33" s="163" t="s">
        <v>560</v>
      </c>
      <c r="M33" s="163" t="s">
        <v>930</v>
      </c>
      <c r="N33" s="184" t="s">
        <v>978</v>
      </c>
      <c r="O33" s="162" t="s">
        <v>27</v>
      </c>
      <c r="Q33" s="160"/>
      <c r="R33" s="171" t="s">
        <v>87</v>
      </c>
      <c r="S33" s="160" t="s">
        <v>109</v>
      </c>
      <c r="T33" s="163" t="s">
        <v>86</v>
      </c>
      <c r="U33" s="163" t="s">
        <v>102</v>
      </c>
      <c r="V33" s="163" t="s">
        <v>466</v>
      </c>
      <c r="W33" s="163" t="s">
        <v>105</v>
      </c>
      <c r="X33" s="162" t="s">
        <v>106</v>
      </c>
      <c r="Y33" s="184" t="s">
        <v>997</v>
      </c>
      <c r="Z33" s="162" t="s">
        <v>108</v>
      </c>
      <c r="AB33" s="160"/>
      <c r="AC33" s="163" t="s">
        <v>998</v>
      </c>
    </row>
    <row r="34" spans="1:29">
      <c r="A34" s="183"/>
      <c r="B34" s="29" t="s">
        <v>9</v>
      </c>
      <c r="C34" s="157">
        <f>Gasto_o_ing_total!D$8</f>
        <v>2865936.6582108741</v>
      </c>
      <c r="D34" s="157">
        <f>Gasto_o_ing_total!D$195</f>
        <v>16087887.942672832</v>
      </c>
      <c r="E34" s="157">
        <f>Gasto_o_ing_total!D$213</f>
        <v>6940200.2924267063</v>
      </c>
      <c r="F34" s="157">
        <f>Gasto_o_ing_total!D$238</f>
        <v>1102008.5810048033</v>
      </c>
      <c r="G34" s="157">
        <f>Gasto_o_ing_total!D$277</f>
        <v>1194299.1299668963</v>
      </c>
      <c r="H34" s="157">
        <f>Gasto_o_ing_total!D$293</f>
        <v>3251455.5108248563</v>
      </c>
      <c r="I34" s="157">
        <f>SUM(D34:H34)</f>
        <v>28575851.456896093</v>
      </c>
      <c r="J34" s="157">
        <f>Gasto_o_ing_total!D$381</f>
        <v>26305730.024757903</v>
      </c>
      <c r="K34" s="157">
        <f>Gasto_o_ing_total!D$431</f>
        <v>3995314.2222933378</v>
      </c>
      <c r="L34" s="157">
        <f>Gasto_o_ing_total!D$477</f>
        <v>5577196.8683537683</v>
      </c>
      <c r="M34" s="157">
        <f t="shared" ref="M34:M51" si="0">C34+I34+J34+K34+L34</f>
        <v>67320029.230511978</v>
      </c>
      <c r="N34" s="157">
        <f>Gasto_o_ing_total!D$197</f>
        <v>604536.89535857644</v>
      </c>
      <c r="O34" s="157">
        <f>M34+N34</f>
        <v>67924566.125870556</v>
      </c>
      <c r="P34" s="35"/>
      <c r="Q34" s="29" t="s">
        <v>9</v>
      </c>
      <c r="R34" s="157">
        <f>Gasto_o_ing_total!D$494</f>
        <v>12442033.490199281</v>
      </c>
      <c r="S34" s="157">
        <f>Gasto_o_ing_total!D$503</f>
        <v>15805300.36159618</v>
      </c>
      <c r="T34" s="177">
        <f>SUM(R34:S34)</f>
        <v>28247333.851795461</v>
      </c>
      <c r="U34" s="177">
        <f>Gasto_o_ing_total!D$538</f>
        <v>16633414.167091312</v>
      </c>
      <c r="V34" s="177">
        <f>Gasto_o_ing_total!D$533</f>
        <v>3628796.3362999996</v>
      </c>
      <c r="W34" s="177">
        <f>Gasto_o_ing_total!D$540</f>
        <v>4767899.1464086371</v>
      </c>
      <c r="X34" s="157">
        <f t="shared" ref="X34:X51" si="1">T34+U34+V34+W34</f>
        <v>53277443.501595415</v>
      </c>
      <c r="Y34" s="157">
        <f>Gasto_o_ing_total!D$518</f>
        <v>421288.22585972032</v>
      </c>
      <c r="Z34" s="157">
        <f>X34+Y34</f>
        <v>53698731.727455139</v>
      </c>
      <c r="AB34" s="29" t="s">
        <v>9</v>
      </c>
      <c r="AC34" s="157">
        <f t="shared" ref="AC34:AC51" si="2">O34-Z34</f>
        <v>14225834.398415416</v>
      </c>
    </row>
    <row r="35" spans="1:29">
      <c r="A35" s="183"/>
      <c r="B35" s="29" t="s">
        <v>10</v>
      </c>
      <c r="C35" s="157">
        <f>Gasto_o_ing_total!E$8</f>
        <v>450876.6490019756</v>
      </c>
      <c r="D35" s="157">
        <f>Gasto_o_ing_total!E$195</f>
        <v>3010139.2183412411</v>
      </c>
      <c r="E35" s="157">
        <f>Gasto_o_ing_total!E$213</f>
        <v>1350333.4740572982</v>
      </c>
      <c r="F35" s="157">
        <f>Gasto_o_ing_total!E$238</f>
        <v>375407.93206297653</v>
      </c>
      <c r="G35" s="157">
        <f>Gasto_o_ing_total!E$277</f>
        <v>79339.944929647914</v>
      </c>
      <c r="H35" s="157">
        <f>Gasto_o_ing_total!E$293</f>
        <v>610167.76960163249</v>
      </c>
      <c r="I35" s="157">
        <f t="shared" ref="I35:I51" si="3">SUM(D35:H35)</f>
        <v>5425388.3389927959</v>
      </c>
      <c r="J35" s="157">
        <f>Gasto_o_ing_total!E$381</f>
        <v>5402765.6218221551</v>
      </c>
      <c r="K35" s="157">
        <f>Gasto_o_ing_total!E$431</f>
        <v>767992.3058519453</v>
      </c>
      <c r="L35" s="157">
        <f>Gasto_o_ing_total!E$477</f>
        <v>1040797.4527491501</v>
      </c>
      <c r="M35" s="157">
        <f t="shared" si="0"/>
        <v>13087820.368418023</v>
      </c>
      <c r="N35" s="157">
        <f>Gasto_o_ing_total!E$197</f>
        <v>128117.41998660399</v>
      </c>
      <c r="O35" s="157">
        <f t="shared" ref="O35:O51" si="4">M35+N35</f>
        <v>13215937.788404627</v>
      </c>
      <c r="P35" s="35"/>
      <c r="Q35" s="29" t="s">
        <v>10</v>
      </c>
      <c r="R35" s="157">
        <f>Gasto_o_ing_total!E$494</f>
        <v>3230970.5843267217</v>
      </c>
      <c r="S35" s="157">
        <f>Gasto_o_ing_total!E$503</f>
        <v>2775121.7250716439</v>
      </c>
      <c r="T35" s="177">
        <f t="shared" ref="T35:T51" si="5">SUM(R35:S35)</f>
        <v>6006092.3093983661</v>
      </c>
      <c r="U35" s="177">
        <f>Gasto_o_ing_total!E$538</f>
        <v>3739095.3121327511</v>
      </c>
      <c r="V35" s="177">
        <f>Gasto_o_ing_total!E$533</f>
        <v>726130.61050000007</v>
      </c>
      <c r="W35" s="177">
        <f>Gasto_o_ing_total!E$540</f>
        <v>750259.44457302184</v>
      </c>
      <c r="X35" s="157">
        <f t="shared" si="1"/>
        <v>11221577.676604141</v>
      </c>
      <c r="Y35" s="157">
        <f>Gasto_o_ing_total!E$518</f>
        <v>122079.58107383431</v>
      </c>
      <c r="Z35" s="157">
        <f t="shared" ref="Z35:Z51" si="6">X35+Y35</f>
        <v>11343657.257677974</v>
      </c>
      <c r="AB35" s="29" t="s">
        <v>10</v>
      </c>
      <c r="AC35" s="157">
        <f t="shared" si="2"/>
        <v>1872280.5307266526</v>
      </c>
    </row>
    <row r="36" spans="1:29">
      <c r="A36" s="35"/>
      <c r="B36" s="29" t="s">
        <v>11</v>
      </c>
      <c r="C36" s="157">
        <f>Gasto_o_ing_total!F$8</f>
        <v>360428.29240544891</v>
      </c>
      <c r="D36" s="157">
        <f>Gasto_o_ing_total!F$195</f>
        <v>2375689.7873795368</v>
      </c>
      <c r="E36" s="157">
        <f>Gasto_o_ing_total!F$213</f>
        <v>944342.95633348729</v>
      </c>
      <c r="F36" s="157">
        <f>Gasto_o_ing_total!F$238</f>
        <v>275906.00633327657</v>
      </c>
      <c r="G36" s="157">
        <f>Gasto_o_ing_total!F$277</f>
        <v>106350.33957519766</v>
      </c>
      <c r="H36" s="157">
        <f>Gasto_o_ing_total!F$293</f>
        <v>424799.40675058414</v>
      </c>
      <c r="I36" s="157">
        <f t="shared" si="3"/>
        <v>4127088.4963720823</v>
      </c>
      <c r="J36" s="157">
        <f>Gasto_o_ing_total!F$381</f>
        <v>5693134.7563095316</v>
      </c>
      <c r="K36" s="157">
        <f>Gasto_o_ing_total!F$431</f>
        <v>300133.77194083901</v>
      </c>
      <c r="L36" s="157">
        <f>Gasto_o_ing_total!F$477</f>
        <v>993088.1857995512</v>
      </c>
      <c r="M36" s="157">
        <f t="shared" si="0"/>
        <v>11473873.502827451</v>
      </c>
      <c r="N36" s="157">
        <f>Gasto_o_ing_total!F$197</f>
        <v>97201.002884073954</v>
      </c>
      <c r="O36" s="157">
        <f>M36+N36</f>
        <v>11571074.505711524</v>
      </c>
      <c r="P36" s="35"/>
      <c r="Q36" s="29" t="s">
        <v>11</v>
      </c>
      <c r="R36" s="157">
        <f>Gasto_o_ing_total!F$494</f>
        <v>2515124.3533216184</v>
      </c>
      <c r="S36" s="157">
        <f>Gasto_o_ing_total!F$503</f>
        <v>2170364.7788383206</v>
      </c>
      <c r="T36" s="177">
        <f t="shared" si="5"/>
        <v>4685489.132159939</v>
      </c>
      <c r="U36" s="177">
        <f>Gasto_o_ing_total!F$538</f>
        <v>2767057.2563540949</v>
      </c>
      <c r="V36" s="177">
        <f>Gasto_o_ing_total!F$533</f>
        <v>513566.01003999996</v>
      </c>
      <c r="W36" s="177">
        <f>Gasto_o_ing_total!F$540</f>
        <v>599756.19079642929</v>
      </c>
      <c r="X36" s="157">
        <f t="shared" si="1"/>
        <v>8565868.5893504638</v>
      </c>
      <c r="Y36" s="157">
        <f>Gasto_o_ing_total!F$518</f>
        <v>84718.740484473878</v>
      </c>
      <c r="Z36" s="157">
        <f t="shared" si="6"/>
        <v>8650587.329834938</v>
      </c>
      <c r="AB36" s="29" t="s">
        <v>11</v>
      </c>
      <c r="AC36" s="157">
        <f t="shared" si="2"/>
        <v>2920487.1758765858</v>
      </c>
    </row>
    <row r="37" spans="1:29">
      <c r="A37" s="35"/>
      <c r="B37" s="29" t="s">
        <v>31</v>
      </c>
      <c r="C37" s="157">
        <f>Gasto_o_ing_total!G$8</f>
        <v>376622.26461433992</v>
      </c>
      <c r="D37" s="157">
        <f>Gasto_o_ing_total!G$195</f>
        <v>2290375.6424425025</v>
      </c>
      <c r="E37" s="157">
        <f>Gasto_o_ing_total!G$213</f>
        <v>1130528.5029096908</v>
      </c>
      <c r="F37" s="157">
        <f>Gasto_o_ing_total!G$238</f>
        <v>108375.73149018457</v>
      </c>
      <c r="G37" s="157">
        <f>Gasto_o_ing_total!G$277</f>
        <v>336326.36899469595</v>
      </c>
      <c r="H37" s="157">
        <f>Gasto_o_ing_total!G$293</f>
        <v>438652.1922002174</v>
      </c>
      <c r="I37" s="157">
        <f t="shared" si="3"/>
        <v>4304258.4380372912</v>
      </c>
      <c r="J37" s="157">
        <f>Gasto_o_ing_total!G$381</f>
        <v>3271219.618432139</v>
      </c>
      <c r="K37" s="157">
        <f>Gasto_o_ing_total!G$431</f>
        <v>196864.84376580419</v>
      </c>
      <c r="L37" s="157">
        <f>Gasto_o_ing_total!G$477</f>
        <v>596149.45301428798</v>
      </c>
      <c r="M37" s="157">
        <f t="shared" si="0"/>
        <v>8745114.6178638618</v>
      </c>
      <c r="N37" s="157">
        <f>Gasto_o_ing_total!G$197</f>
        <v>198399.97780706559</v>
      </c>
      <c r="O37" s="157">
        <f t="shared" si="4"/>
        <v>8943514.5956709273</v>
      </c>
      <c r="P37" s="35"/>
      <c r="Q37" s="29" t="s">
        <v>31</v>
      </c>
      <c r="R37" s="157">
        <f>Gasto_o_ing_total!G$494</f>
        <v>2497301.6671640668</v>
      </c>
      <c r="S37" s="157">
        <f>Gasto_o_ing_total!G$503</f>
        <v>2434578.9536273708</v>
      </c>
      <c r="T37" s="177">
        <f t="shared" si="5"/>
        <v>4931880.6207914371</v>
      </c>
      <c r="U37" s="177">
        <f>Gasto_o_ing_total!G$538</f>
        <v>3095102.0491085346</v>
      </c>
      <c r="V37" s="177">
        <f>Gasto_o_ing_total!G$533</f>
        <v>762396.43560000008</v>
      </c>
      <c r="W37" s="177">
        <f>Gasto_o_ing_total!G$540</f>
        <v>626733.82522689435</v>
      </c>
      <c r="X37" s="157">
        <f t="shared" si="1"/>
        <v>9416112.9307268653</v>
      </c>
      <c r="Y37" s="157">
        <f>Gasto_o_ing_total!G$518</f>
        <v>184311.31400701278</v>
      </c>
      <c r="Z37" s="157">
        <f t="shared" si="6"/>
        <v>9600424.2447338775</v>
      </c>
      <c r="AB37" s="29" t="s">
        <v>31</v>
      </c>
      <c r="AC37" s="157">
        <f t="shared" si="2"/>
        <v>-656909.64906295016</v>
      </c>
    </row>
    <row r="38" spans="1:29">
      <c r="A38" s="35"/>
      <c r="B38" s="29" t="s">
        <v>12</v>
      </c>
      <c r="C38" s="157">
        <f>Gasto_o_ing_total!H$8</f>
        <v>717300.20865661313</v>
      </c>
      <c r="D38" s="157">
        <f>Gasto_o_ing_total!H$195</f>
        <v>4719088.1711857785</v>
      </c>
      <c r="E38" s="157">
        <f>Gasto_o_ing_total!H$213</f>
        <v>2375563.3931871434</v>
      </c>
      <c r="F38" s="157">
        <f>Gasto_o_ing_total!H$238</f>
        <v>262635.47653236223</v>
      </c>
      <c r="G38" s="157">
        <f>Gasto_o_ing_total!H$277</f>
        <v>1214578.8380730604</v>
      </c>
      <c r="H38" s="157">
        <f>Gasto_o_ing_total!H$293</f>
        <v>803198.83571674884</v>
      </c>
      <c r="I38" s="157">
        <f t="shared" si="3"/>
        <v>9375064.7146950923</v>
      </c>
      <c r="J38" s="157">
        <f>Gasto_o_ing_total!H$381</f>
        <v>5860907.2869332973</v>
      </c>
      <c r="K38" s="157">
        <f>Gasto_o_ing_total!H$431</f>
        <v>539706.13465152658</v>
      </c>
      <c r="L38" s="157">
        <f>Gasto_o_ing_total!H$477</f>
        <v>1576873.5530182456</v>
      </c>
      <c r="M38" s="157">
        <f t="shared" si="0"/>
        <v>18069851.897954773</v>
      </c>
      <c r="N38" s="157">
        <f>Gasto_o_ing_total!H$197</f>
        <v>101702.38224806225</v>
      </c>
      <c r="O38" s="157">
        <f t="shared" si="4"/>
        <v>18171554.280202836</v>
      </c>
      <c r="P38" s="35"/>
      <c r="Q38" s="29" t="s">
        <v>12</v>
      </c>
      <c r="R38" s="157">
        <f>Gasto_o_ing_total!H$494</f>
        <v>3414676.5089788181</v>
      </c>
      <c r="S38" s="157">
        <f>Gasto_o_ing_total!H$503</f>
        <v>3647675.2741010864</v>
      </c>
      <c r="T38" s="177">
        <f t="shared" si="5"/>
        <v>7062351.7830799045</v>
      </c>
      <c r="U38" s="177">
        <f>Gasto_o_ing_total!H$538</f>
        <v>4736932.0671536466</v>
      </c>
      <c r="V38" s="177">
        <f>Gasto_o_ing_total!H$533</f>
        <v>867784.20620000013</v>
      </c>
      <c r="W38" s="177">
        <f>Gasto_o_ing_total!H$540</f>
        <v>1193343.4592619562</v>
      </c>
      <c r="X38" s="157">
        <f t="shared" si="1"/>
        <v>13860411.515695507</v>
      </c>
      <c r="Y38" s="157">
        <f>Gasto_o_ing_total!H$518</f>
        <v>-1618302.7806836397</v>
      </c>
      <c r="Z38" s="157">
        <f t="shared" si="6"/>
        <v>12242108.735011866</v>
      </c>
      <c r="AB38" s="29" t="s">
        <v>12</v>
      </c>
      <c r="AC38" s="157">
        <f t="shared" si="2"/>
        <v>5929445.5451909695</v>
      </c>
    </row>
    <row r="39" spans="1:29">
      <c r="A39" s="35"/>
      <c r="B39" s="29" t="s">
        <v>13</v>
      </c>
      <c r="C39" s="157">
        <f>Gasto_o_ing_total!I$8</f>
        <v>200230.16945967436</v>
      </c>
      <c r="D39" s="157">
        <f>Gasto_o_ing_total!I$195</f>
        <v>1477747.0406190846</v>
      </c>
      <c r="E39" s="157">
        <f>Gasto_o_ing_total!I$213</f>
        <v>554003.64579400991</v>
      </c>
      <c r="F39" s="157">
        <f>Gasto_o_ing_total!I$238</f>
        <v>120362.22540694827</v>
      </c>
      <c r="G39" s="157">
        <f>Gasto_o_ing_total!I$277</f>
        <v>47602.969981202354</v>
      </c>
      <c r="H39" s="157">
        <f>Gasto_o_ing_total!I$293</f>
        <v>235831.602699863</v>
      </c>
      <c r="I39" s="157">
        <f t="shared" si="3"/>
        <v>2435547.4845011081</v>
      </c>
      <c r="J39" s="157">
        <f>Gasto_o_ing_total!I$381</f>
        <v>2457622.0809384286</v>
      </c>
      <c r="K39" s="157">
        <f>Gasto_o_ing_total!I$431</f>
        <v>187551.40437967156</v>
      </c>
      <c r="L39" s="157">
        <f>Gasto_o_ing_total!I$477</f>
        <v>476831.95388224401</v>
      </c>
      <c r="M39" s="157">
        <f t="shared" si="0"/>
        <v>5757783.0931611275</v>
      </c>
      <c r="N39" s="157">
        <f>Gasto_o_ing_total!I$197</f>
        <v>39005.432240583119</v>
      </c>
      <c r="O39" s="157">
        <f t="shared" si="4"/>
        <v>5796788.5254017105</v>
      </c>
      <c r="P39" s="35"/>
      <c r="Q39" s="29" t="s">
        <v>13</v>
      </c>
      <c r="R39" s="157">
        <f>Gasto_o_ing_total!I$494</f>
        <v>1350089.988791747</v>
      </c>
      <c r="S39" s="157">
        <f>Gasto_o_ing_total!I$503</f>
        <v>1221096.2631636434</v>
      </c>
      <c r="T39" s="177">
        <f t="shared" si="5"/>
        <v>2571186.2519553904</v>
      </c>
      <c r="U39" s="177">
        <f>Gasto_o_ing_total!I$538</f>
        <v>1557687.0967209714</v>
      </c>
      <c r="V39" s="177">
        <f>Gasto_o_ing_total!I$533</f>
        <v>331273.96665000002</v>
      </c>
      <c r="W39" s="177">
        <f>Gasto_o_ing_total!I$540</f>
        <v>333189.90578361473</v>
      </c>
      <c r="X39" s="157">
        <f t="shared" si="1"/>
        <v>4793337.221109977</v>
      </c>
      <c r="Y39" s="157">
        <f>Gasto_o_ing_total!I$518</f>
        <v>31209.338941115086</v>
      </c>
      <c r="Z39" s="157">
        <f t="shared" si="6"/>
        <v>4824546.5600510919</v>
      </c>
      <c r="AB39" s="29" t="s">
        <v>13</v>
      </c>
      <c r="AC39" s="157">
        <f t="shared" si="2"/>
        <v>972241.96535061859</v>
      </c>
    </row>
    <row r="40" spans="1:29">
      <c r="A40" s="35"/>
      <c r="B40" s="29" t="s">
        <v>14</v>
      </c>
      <c r="C40" s="157">
        <f>Gasto_o_ing_total!J$8</f>
        <v>847232.8865125234</v>
      </c>
      <c r="D40" s="157">
        <f>Gasto_o_ing_total!J$195</f>
        <v>5811442.985639195</v>
      </c>
      <c r="E40" s="157">
        <f>Gasto_o_ing_total!J$213</f>
        <v>2299949.9802188496</v>
      </c>
      <c r="F40" s="157">
        <f>Gasto_o_ing_total!J$238</f>
        <v>852208.15464220382</v>
      </c>
      <c r="G40" s="157">
        <f>Gasto_o_ing_total!J$277</f>
        <v>265320.46092255582</v>
      </c>
      <c r="H40" s="157">
        <f>Gasto_o_ing_total!J$293</f>
        <v>1127884.0076763956</v>
      </c>
      <c r="I40" s="157">
        <f t="shared" si="3"/>
        <v>10356805.589099199</v>
      </c>
      <c r="J40" s="157">
        <f>Gasto_o_ing_total!J$381</f>
        <v>10476591.714273999</v>
      </c>
      <c r="K40" s="157">
        <f>Gasto_o_ing_total!J$431</f>
        <v>1430466.5500026597</v>
      </c>
      <c r="L40" s="157">
        <f>Gasto_o_ing_total!J$477</f>
        <v>2083264.1350974804</v>
      </c>
      <c r="M40" s="157">
        <f t="shared" si="0"/>
        <v>25194360.874985863</v>
      </c>
      <c r="N40" s="157">
        <f>Gasto_o_ing_total!J$197</f>
        <v>160557.18853102336</v>
      </c>
      <c r="O40" s="157">
        <f t="shared" si="4"/>
        <v>25354918.063516885</v>
      </c>
      <c r="P40" s="35"/>
      <c r="Q40" s="29" t="s">
        <v>14</v>
      </c>
      <c r="R40" s="157">
        <f>Gasto_o_ing_total!J$494</f>
        <v>5213998.366232303</v>
      </c>
      <c r="S40" s="157">
        <f>Gasto_o_ing_total!J$503</f>
        <v>4919164.396239562</v>
      </c>
      <c r="T40" s="177">
        <f t="shared" si="5"/>
        <v>10133162.762471866</v>
      </c>
      <c r="U40" s="177">
        <f>Gasto_o_ing_total!J$538</f>
        <v>6254572.3055648571</v>
      </c>
      <c r="V40" s="177">
        <f>Gasto_o_ing_total!J$533</f>
        <v>1212241.1559000001</v>
      </c>
      <c r="W40" s="177">
        <f>Gasto_o_ing_total!J$540</f>
        <v>1409692.3614844771</v>
      </c>
      <c r="X40" s="157">
        <f t="shared" si="1"/>
        <v>19009668.585421201</v>
      </c>
      <c r="Y40" s="157">
        <f>Gasto_o_ing_total!J$518</f>
        <v>132828.03236129042</v>
      </c>
      <c r="Z40" s="157">
        <f t="shared" si="6"/>
        <v>19142496.617782492</v>
      </c>
      <c r="AB40" s="29" t="s">
        <v>14</v>
      </c>
      <c r="AC40" s="157">
        <f t="shared" si="2"/>
        <v>6212421.4457343929</v>
      </c>
    </row>
    <row r="41" spans="1:29">
      <c r="A41" s="35"/>
      <c r="B41" s="29" t="s">
        <v>15</v>
      </c>
      <c r="C41" s="157">
        <f>Gasto_o_ing_total!K$8</f>
        <v>705817.08302323543</v>
      </c>
      <c r="D41" s="157">
        <f>Gasto_o_ing_total!K$195</f>
        <v>4404130.5788138462</v>
      </c>
      <c r="E41" s="157">
        <f>Gasto_o_ing_total!K$213</f>
        <v>1772727.9802658372</v>
      </c>
      <c r="F41" s="157">
        <f>Gasto_o_ing_total!K$238</f>
        <v>333514.17367116606</v>
      </c>
      <c r="G41" s="157">
        <f>Gasto_o_ing_total!K$277</f>
        <v>208362.92142381248</v>
      </c>
      <c r="H41" s="157">
        <f>Gasto_o_ing_total!K$293</f>
        <v>759960.77874413109</v>
      </c>
      <c r="I41" s="157">
        <f t="shared" si="3"/>
        <v>7478696.4329187935</v>
      </c>
      <c r="J41" s="157">
        <f>Gasto_o_ing_total!K$381</f>
        <v>6485902.3852052707</v>
      </c>
      <c r="K41" s="157">
        <f>Gasto_o_ing_total!K$431</f>
        <v>964225.7995253047</v>
      </c>
      <c r="L41" s="157">
        <f>Gasto_o_ing_total!K$477</f>
        <v>1372932.64366791</v>
      </c>
      <c r="M41" s="157">
        <f t="shared" si="0"/>
        <v>17007574.344340514</v>
      </c>
      <c r="N41" s="157">
        <f>Gasto_o_ing_total!K$197</f>
        <v>21234.380673775857</v>
      </c>
      <c r="O41" s="157">
        <f t="shared" si="4"/>
        <v>17028808.725014292</v>
      </c>
      <c r="P41" s="35"/>
      <c r="Q41" s="29" t="s">
        <v>15</v>
      </c>
      <c r="R41" s="157">
        <f>Gasto_o_ing_total!K$494</f>
        <v>3254090.3887430541</v>
      </c>
      <c r="S41" s="157">
        <f>Gasto_o_ing_total!K$503</f>
        <v>3840842.3785794941</v>
      </c>
      <c r="T41" s="177">
        <f t="shared" si="5"/>
        <v>7094932.7673225477</v>
      </c>
      <c r="U41" s="177">
        <f>Gasto_o_ing_total!K$538</f>
        <v>4539915.0624509482</v>
      </c>
      <c r="V41" s="177">
        <f>Gasto_o_ing_total!K$533</f>
        <v>977752.62690000003</v>
      </c>
      <c r="W41" s="177">
        <f>Gasto_o_ing_total!K$540</f>
        <v>1174218.1994892329</v>
      </c>
      <c r="X41" s="157">
        <f t="shared" si="1"/>
        <v>13786818.656162729</v>
      </c>
      <c r="Y41" s="157">
        <f>Gasto_o_ing_total!K$518</f>
        <v>-1489.9552017093665</v>
      </c>
      <c r="Z41" s="157">
        <f t="shared" si="6"/>
        <v>13785328.70096102</v>
      </c>
      <c r="AB41" s="29" t="s">
        <v>15</v>
      </c>
      <c r="AC41" s="157">
        <f t="shared" si="2"/>
        <v>3243480.0240532719</v>
      </c>
    </row>
    <row r="42" spans="1:29">
      <c r="A42" s="35"/>
      <c r="B42" s="29" t="s">
        <v>16</v>
      </c>
      <c r="C42" s="157">
        <f>Gasto_o_ing_total!L$8</f>
        <v>2563273.8490009685</v>
      </c>
      <c r="D42" s="157">
        <f>Gasto_o_ing_total!L$195</f>
        <v>14443361.251093598</v>
      </c>
      <c r="E42" s="157">
        <f>Gasto_o_ing_total!L$213</f>
        <v>8146500.7279898822</v>
      </c>
      <c r="F42" s="157">
        <f>Gasto_o_ing_total!L$238</f>
        <v>851669.81243342906</v>
      </c>
      <c r="G42" s="157">
        <f>Gasto_o_ing_total!L$277</f>
        <v>117635.84104418907</v>
      </c>
      <c r="H42" s="157">
        <f>Gasto_o_ing_total!L$293</f>
        <v>3326740.3690493768</v>
      </c>
      <c r="I42" s="157">
        <f t="shared" si="3"/>
        <v>26885908.001610473</v>
      </c>
      <c r="J42" s="157">
        <f>Gasto_o_ing_total!L$381</f>
        <v>29412571.993138824</v>
      </c>
      <c r="K42" s="157">
        <f>Gasto_o_ing_total!L$431</f>
        <v>1626854.2461912087</v>
      </c>
      <c r="L42" s="157">
        <f>Gasto_o_ing_total!L$477</f>
        <v>4963429.0865163831</v>
      </c>
      <c r="M42" s="157">
        <f t="shared" si="0"/>
        <v>65452037.17645786</v>
      </c>
      <c r="N42" s="157">
        <f>Gasto_o_ing_total!L$197</f>
        <v>878180.40008242661</v>
      </c>
      <c r="O42" s="157">
        <f t="shared" si="4"/>
        <v>66330217.576540284</v>
      </c>
      <c r="P42" s="365"/>
      <c r="Q42" s="29" t="s">
        <v>16</v>
      </c>
      <c r="R42" s="157">
        <f>Gasto_o_ing_total!L$494</f>
        <v>20754912.923647646</v>
      </c>
      <c r="S42" s="157">
        <f>Gasto_o_ing_total!L$503</f>
        <v>16940305.088448402</v>
      </c>
      <c r="T42" s="177">
        <f t="shared" si="5"/>
        <v>37695218.012096047</v>
      </c>
      <c r="U42" s="177">
        <f>Gasto_o_ing_total!L$538</f>
        <v>22753718.847508639</v>
      </c>
      <c r="V42" s="177">
        <f>Gasto_o_ing_total!L$533</f>
        <v>4893005.3390999995</v>
      </c>
      <c r="W42" s="177">
        <f>Gasto_o_ing_total!L$540</f>
        <v>4265978.4614641052</v>
      </c>
      <c r="X42" s="157">
        <f>T42+U42+V42+W42</f>
        <v>69607920.660168797</v>
      </c>
      <c r="Y42" s="157">
        <f>Gasto_o_ing_total!L$518</f>
        <v>768380.10521571501</v>
      </c>
      <c r="Z42" s="157">
        <f t="shared" si="6"/>
        <v>70376300.76538451</v>
      </c>
      <c r="AB42" s="29" t="s">
        <v>16</v>
      </c>
      <c r="AC42" s="157">
        <f t="shared" si="2"/>
        <v>-4046083.1888442263</v>
      </c>
    </row>
    <row r="43" spans="1:29">
      <c r="A43" s="35"/>
      <c r="B43" s="29" t="s">
        <v>17</v>
      </c>
      <c r="C43" s="157">
        <f>Gasto_o_ing_total!M$8</f>
        <v>1703310.0603876787</v>
      </c>
      <c r="D43" s="157">
        <f>Gasto_o_ing_total!M$195</f>
        <v>8975999.6766008381</v>
      </c>
      <c r="E43" s="157">
        <f>Gasto_o_ing_total!M$213</f>
        <v>4367062.8845905345</v>
      </c>
      <c r="F43" s="157">
        <f>Gasto_o_ing_total!M$238</f>
        <v>402798.04455083481</v>
      </c>
      <c r="G43" s="157">
        <f>Gasto_o_ing_total!M$277</f>
        <v>164759.16294049239</v>
      </c>
      <c r="H43" s="157">
        <f>Gasto_o_ing_total!M$293</f>
        <v>1765452.5050077746</v>
      </c>
      <c r="I43" s="157">
        <f t="shared" si="3"/>
        <v>15676072.273690473</v>
      </c>
      <c r="J43" s="157">
        <f>Gasto_o_ing_total!M$381</f>
        <v>16375833.375108974</v>
      </c>
      <c r="K43" s="157">
        <f>Gasto_o_ing_total!M$431</f>
        <v>986361.23981727986</v>
      </c>
      <c r="L43" s="157">
        <f>Gasto_o_ing_total!M$477</f>
        <v>3023620.6883299844</v>
      </c>
      <c r="M43" s="157">
        <f t="shared" si="0"/>
        <v>37765197.637334391</v>
      </c>
      <c r="N43" s="157">
        <f>Gasto_o_ing_total!M$197</f>
        <v>540767.65890450694</v>
      </c>
      <c r="O43" s="157">
        <f t="shared" si="4"/>
        <v>38305965.296238899</v>
      </c>
      <c r="P43" s="35"/>
      <c r="Q43" s="29" t="s">
        <v>17</v>
      </c>
      <c r="R43" s="157">
        <f>Gasto_o_ing_total!M$494</f>
        <v>9255490.88940279</v>
      </c>
      <c r="S43" s="157">
        <f>Gasto_o_ing_total!M$503</f>
        <v>9913802.7382457294</v>
      </c>
      <c r="T43" s="177">
        <f t="shared" si="5"/>
        <v>19169293.627648517</v>
      </c>
      <c r="U43" s="177">
        <f>Gasto_o_ing_total!M$538</f>
        <v>11214076.685152559</v>
      </c>
      <c r="V43" s="177">
        <f>Gasto_o_ing_total!M$533</f>
        <v>2497245.1778000002</v>
      </c>
      <c r="W43" s="177">
        <f>Gasto_o_ing_total!M$540</f>
        <v>2834094.9724524636</v>
      </c>
      <c r="X43" s="157">
        <f t="shared" si="1"/>
        <v>35714710.463053539</v>
      </c>
      <c r="Y43" s="157">
        <f>Gasto_o_ing_total!M$518</f>
        <v>441035.54058933852</v>
      </c>
      <c r="Z43" s="157">
        <f t="shared" si="6"/>
        <v>36155746.003642879</v>
      </c>
      <c r="AB43" s="29" t="s">
        <v>17</v>
      </c>
      <c r="AC43" s="157">
        <f t="shared" si="2"/>
        <v>2150219.2925960198</v>
      </c>
    </row>
    <row r="44" spans="1:29">
      <c r="A44" s="35"/>
      <c r="B44" s="29" t="s">
        <v>18</v>
      </c>
      <c r="C44" s="157">
        <f>Gasto_o_ing_total!N$8</f>
        <v>374013.78918859665</v>
      </c>
      <c r="D44" s="157">
        <f>Gasto_o_ing_total!N$195</f>
        <v>2635234.7375345267</v>
      </c>
      <c r="E44" s="157">
        <f>Gasto_o_ing_total!N$213</f>
        <v>858894.79396294081</v>
      </c>
      <c r="F44" s="157">
        <f>Gasto_o_ing_total!N$238</f>
        <v>216373.36827468016</v>
      </c>
      <c r="G44" s="157">
        <f>Gasto_o_ing_total!N$277</f>
        <v>274160.37240649236</v>
      </c>
      <c r="H44" s="157">
        <f>Gasto_o_ing_total!N$293</f>
        <v>436000.22894837207</v>
      </c>
      <c r="I44" s="157">
        <f t="shared" si="3"/>
        <v>4420663.5011270121</v>
      </c>
      <c r="J44" s="157">
        <f>Gasto_o_ing_total!N$381</f>
        <v>3646966.3981492436</v>
      </c>
      <c r="K44" s="157">
        <f>Gasto_o_ing_total!N$431</f>
        <v>871470.29498670297</v>
      </c>
      <c r="L44" s="157">
        <f>Gasto_o_ing_total!N$477</f>
        <v>869092.23339773016</v>
      </c>
      <c r="M44" s="157">
        <f t="shared" si="0"/>
        <v>10182206.216849284</v>
      </c>
      <c r="N44" s="157">
        <f>Gasto_o_ing_total!N$197</f>
        <v>164773.42396315117</v>
      </c>
      <c r="O44" s="157">
        <f t="shared" si="4"/>
        <v>10346979.640812436</v>
      </c>
      <c r="P44" s="35"/>
      <c r="Q44" s="29" t="s">
        <v>18</v>
      </c>
      <c r="R44" s="157">
        <f>Gasto_o_ing_total!N$494</f>
        <v>1505096.6049095208</v>
      </c>
      <c r="S44" s="157">
        <f>Gasto_o_ing_total!N$503</f>
        <v>1893610.1328091221</v>
      </c>
      <c r="T44" s="177">
        <f t="shared" si="5"/>
        <v>3398706.7377186427</v>
      </c>
      <c r="U44" s="177">
        <f>Gasto_o_ing_total!N$538</f>
        <v>2099916.7252522632</v>
      </c>
      <c r="V44" s="177">
        <f>Gasto_o_ing_total!N$533</f>
        <v>395127.90620000003</v>
      </c>
      <c r="W44" s="177">
        <f>Gasto_o_ing_total!N$540</f>
        <v>622188.10785500216</v>
      </c>
      <c r="X44" s="157">
        <f t="shared" si="1"/>
        <v>6515939.4770259084</v>
      </c>
      <c r="Y44" s="157">
        <f>Gasto_o_ing_total!N$518</f>
        <v>151275.14962596088</v>
      </c>
      <c r="Z44" s="157">
        <f t="shared" si="6"/>
        <v>6667214.6266518692</v>
      </c>
      <c r="AB44" s="29" t="s">
        <v>18</v>
      </c>
      <c r="AC44" s="157">
        <f t="shared" si="2"/>
        <v>3679765.014160567</v>
      </c>
    </row>
    <row r="45" spans="1:29">
      <c r="A45" s="35"/>
      <c r="B45" s="29" t="s">
        <v>19</v>
      </c>
      <c r="C45" s="157">
        <f>Gasto_o_ing_total!O$8</f>
        <v>934943.98145871656</v>
      </c>
      <c r="D45" s="157">
        <f>Gasto_o_ing_total!O$195</f>
        <v>6253931.6504978919</v>
      </c>
      <c r="E45" s="157">
        <f>Gasto_o_ing_total!O$213</f>
        <v>2116569.092480673</v>
      </c>
      <c r="F45" s="157">
        <f>Gasto_o_ing_total!O$238</f>
        <v>716624.04677882767</v>
      </c>
      <c r="G45" s="157">
        <f>Gasto_o_ing_total!O$277</f>
        <v>355647.6930544434</v>
      </c>
      <c r="H45" s="157">
        <f>Gasto_o_ing_total!O$293</f>
        <v>1110755.595507656</v>
      </c>
      <c r="I45" s="157">
        <f t="shared" si="3"/>
        <v>10553528.078319492</v>
      </c>
      <c r="J45" s="157">
        <f>Gasto_o_ing_total!O$381</f>
        <v>11294136.978863107</v>
      </c>
      <c r="K45" s="157">
        <f>Gasto_o_ing_total!O$431</f>
        <v>817246.47380932211</v>
      </c>
      <c r="L45" s="157">
        <f>Gasto_o_ing_total!O$477</f>
        <v>2215199.6197474226</v>
      </c>
      <c r="M45" s="157">
        <f t="shared" si="0"/>
        <v>25815055.132198058</v>
      </c>
      <c r="N45" s="157">
        <f>Gasto_o_ing_total!O$197</f>
        <v>259670.52925467002</v>
      </c>
      <c r="O45" s="157">
        <f t="shared" si="4"/>
        <v>26074725.661452729</v>
      </c>
      <c r="P45" s="35"/>
      <c r="Q45" s="29" t="s">
        <v>19</v>
      </c>
      <c r="R45" s="157">
        <f>Gasto_o_ing_total!O$494</f>
        <v>5376348.3355108881</v>
      </c>
      <c r="S45" s="157">
        <f>Gasto_o_ing_total!O$503</f>
        <v>5482764.8210957702</v>
      </c>
      <c r="T45" s="177">
        <f t="shared" si="5"/>
        <v>10859113.156606659</v>
      </c>
      <c r="U45" s="177">
        <f>Gasto_o_ing_total!O$538</f>
        <v>6537967.7925942782</v>
      </c>
      <c r="V45" s="177">
        <f>Gasto_o_ing_total!O$533</f>
        <v>1066998.2146999999</v>
      </c>
      <c r="W45" s="177">
        <f>Gasto_o_ing_total!O$540</f>
        <v>1555607.1908679374</v>
      </c>
      <c r="X45" s="157">
        <f t="shared" si="1"/>
        <v>20019686.354768872</v>
      </c>
      <c r="Y45" s="157">
        <f>Gasto_o_ing_total!O$518</f>
        <v>230848.49936600908</v>
      </c>
      <c r="Z45" s="157">
        <f t="shared" si="6"/>
        <v>20250534.85413488</v>
      </c>
      <c r="AB45" s="29" t="s">
        <v>19</v>
      </c>
      <c r="AC45" s="157">
        <f t="shared" si="2"/>
        <v>5824190.8073178492</v>
      </c>
    </row>
    <row r="46" spans="1:29">
      <c r="A46" s="35"/>
      <c r="B46" s="29" t="s">
        <v>20</v>
      </c>
      <c r="C46" s="157">
        <f>Gasto_o_ing_total!P$8</f>
        <v>2198992.5456802254</v>
      </c>
      <c r="D46" s="157">
        <f>Gasto_o_ing_total!P$195</f>
        <v>12136448.730129238</v>
      </c>
      <c r="E46" s="157">
        <f>Gasto_o_ing_total!P$213</f>
        <v>7196788.8305208199</v>
      </c>
      <c r="F46" s="157">
        <f>Gasto_o_ing_total!P$238</f>
        <v>715782.45728155843</v>
      </c>
      <c r="G46" s="157">
        <f>Gasto_o_ing_total!P$277</f>
        <v>25840.073889923933</v>
      </c>
      <c r="H46" s="157">
        <f>Gasto_o_ing_total!P$293</f>
        <v>2786597.8323573638</v>
      </c>
      <c r="I46" s="157">
        <f t="shared" si="3"/>
        <v>22861457.924178906</v>
      </c>
      <c r="J46" s="157">
        <f>Gasto_o_ing_total!P$381</f>
        <v>24472841.346768651</v>
      </c>
      <c r="K46" s="157">
        <f>Gasto_o_ing_total!P$431</f>
        <v>1056615.7364770013</v>
      </c>
      <c r="L46" s="157">
        <f>Gasto_o_ing_total!P$477</f>
        <v>3824459.5135091767</v>
      </c>
      <c r="M46" s="157">
        <f t="shared" si="0"/>
        <v>54414367.066613965</v>
      </c>
      <c r="N46" s="157">
        <f>Gasto_o_ing_total!P$197</f>
        <v>-476780.92486095818</v>
      </c>
      <c r="O46" s="157">
        <f t="shared" si="4"/>
        <v>53937586.141753003</v>
      </c>
      <c r="P46" s="35"/>
      <c r="Q46" s="29" t="s">
        <v>20</v>
      </c>
      <c r="R46" s="157">
        <f>Gasto_o_ing_total!P$494</f>
        <v>23585021.605900124</v>
      </c>
      <c r="S46" s="157">
        <f>Gasto_o_ing_total!P$503</f>
        <v>15773362.134891378</v>
      </c>
      <c r="T46" s="177">
        <f t="shared" si="5"/>
        <v>39358383.7407915</v>
      </c>
      <c r="U46" s="177">
        <f>Gasto_o_ing_total!P$538</f>
        <v>21309340.663408522</v>
      </c>
      <c r="V46" s="177">
        <f>Gasto_o_ing_total!P$533</f>
        <v>4267844.4236599989</v>
      </c>
      <c r="W46" s="177">
        <f>Gasto_o_ing_total!P$540</f>
        <v>3659931.4399899109</v>
      </c>
      <c r="X46" s="157">
        <f t="shared" si="1"/>
        <v>68595500.267849922</v>
      </c>
      <c r="Y46" s="157">
        <f>Gasto_o_ing_total!P$518</f>
        <v>-468604.86651507078</v>
      </c>
      <c r="Z46" s="157">
        <f t="shared" si="6"/>
        <v>68126895.401334852</v>
      </c>
      <c r="AB46" s="29" t="s">
        <v>20</v>
      </c>
      <c r="AC46" s="157">
        <f t="shared" si="2"/>
        <v>-14189309.259581849</v>
      </c>
    </row>
    <row r="47" spans="1:29">
      <c r="A47" s="35"/>
      <c r="B47" s="29" t="s">
        <v>60</v>
      </c>
      <c r="C47" s="157">
        <f>Gasto_o_ing_total!Q$8</f>
        <v>500493.29044767574</v>
      </c>
      <c r="D47" s="157">
        <f>Gasto_o_ing_total!Q$195</f>
        <v>2698862.8178471224</v>
      </c>
      <c r="E47" s="157">
        <f>Gasto_o_ing_total!Q$213</f>
        <v>1182830.90376781</v>
      </c>
      <c r="F47" s="157">
        <f>Gasto_o_ing_total!Q$238</f>
        <v>169134.92467224548</v>
      </c>
      <c r="G47" s="157">
        <f>Gasto_o_ing_total!Q$277</f>
        <v>97043.294615865962</v>
      </c>
      <c r="H47" s="157">
        <f>Gasto_o_ing_total!Q$293</f>
        <v>539739.45701803092</v>
      </c>
      <c r="I47" s="157">
        <f t="shared" si="3"/>
        <v>4687611.3979210751</v>
      </c>
      <c r="J47" s="157">
        <f>Gasto_o_ing_total!Q$381</f>
        <v>4417266.0882212138</v>
      </c>
      <c r="K47" s="157">
        <f>Gasto_o_ing_total!Q$431</f>
        <v>361292.10599889816</v>
      </c>
      <c r="L47" s="157">
        <f>Gasto_o_ing_total!Q$477</f>
        <v>885497.98411080858</v>
      </c>
      <c r="M47" s="157">
        <f t="shared" si="0"/>
        <v>10852160.86669967</v>
      </c>
      <c r="N47" s="157">
        <f>Gasto_o_ing_total!Q$197</f>
        <v>172521.51646998938</v>
      </c>
      <c r="O47" s="157">
        <f t="shared" si="4"/>
        <v>11024682.383169658</v>
      </c>
      <c r="P47" s="35"/>
      <c r="Q47" s="29" t="s">
        <v>60</v>
      </c>
      <c r="R47" s="157">
        <f>Gasto_o_ing_total!Q$494</f>
        <v>2278924.9954542639</v>
      </c>
      <c r="S47" s="157">
        <f>Gasto_o_ing_total!Q$503</f>
        <v>2774698.9503000383</v>
      </c>
      <c r="T47" s="177">
        <f t="shared" si="5"/>
        <v>5053623.9457543027</v>
      </c>
      <c r="U47" s="177">
        <f>Gasto_o_ing_total!Q$538</f>
        <v>3054327.5852825167</v>
      </c>
      <c r="V47" s="177">
        <f>Gasto_o_ing_total!Q$533</f>
        <v>679801.86254</v>
      </c>
      <c r="W47" s="177">
        <f>Gasto_o_ing_total!Q$540</f>
        <v>832633.52281067276</v>
      </c>
      <c r="X47" s="157">
        <f t="shared" si="1"/>
        <v>9620386.9163874928</v>
      </c>
      <c r="Y47" s="157">
        <f>Gasto_o_ing_total!Q$518</f>
        <v>155152.83040315824</v>
      </c>
      <c r="Z47" s="157">
        <f t="shared" si="6"/>
        <v>9775539.7467906512</v>
      </c>
      <c r="AB47" s="29" t="s">
        <v>60</v>
      </c>
      <c r="AC47" s="157">
        <f t="shared" si="2"/>
        <v>1249142.6363790073</v>
      </c>
    </row>
    <row r="48" spans="1:29">
      <c r="A48" s="35"/>
      <c r="B48" s="29" t="s">
        <v>61</v>
      </c>
      <c r="C48" s="157">
        <f>Gasto_o_ing_total!R$8</f>
        <v>218555.51104109106</v>
      </c>
      <c r="D48" s="157">
        <f>Gasto_o_ing_total!R$195</f>
        <v>2391967.8360032272</v>
      </c>
      <c r="E48" s="157">
        <f>Gasto_o_ing_total!R$213</f>
        <v>639424.27883052721</v>
      </c>
      <c r="F48" s="157">
        <f>Gasto_o_ing_total!R$238</f>
        <v>105393.53195345182</v>
      </c>
      <c r="G48" s="157">
        <f>Gasto_o_ing_total!R$277</f>
        <v>4207.1495567568209</v>
      </c>
      <c r="H48" s="157">
        <f>Gasto_o_ing_total!R$293</f>
        <v>302583.49360628898</v>
      </c>
      <c r="I48" s="157">
        <f t="shared" si="3"/>
        <v>3443576.289950252</v>
      </c>
      <c r="J48" s="157">
        <f>Gasto_o_ing_total!R$381</f>
        <v>2525936.4880091506</v>
      </c>
      <c r="K48" s="157">
        <f>Gasto_o_ing_total!R$431</f>
        <v>255274.33742779496</v>
      </c>
      <c r="L48" s="157">
        <f>Gasto_o_ing_total!R$477</f>
        <v>336462.55239634041</v>
      </c>
      <c r="M48" s="157">
        <f t="shared" si="0"/>
        <v>6779805.1788246296</v>
      </c>
      <c r="N48" s="157">
        <f>Gasto_o_ing_total!R$197</f>
        <v>-434848.70488600049</v>
      </c>
      <c r="O48" s="157">
        <f t="shared" si="4"/>
        <v>6344956.473938629</v>
      </c>
      <c r="P48" s="35"/>
      <c r="Q48" s="29" t="s">
        <v>61</v>
      </c>
      <c r="R48" s="157">
        <f>Gasto_o_ing_total!R$494</f>
        <v>1840057.8787372992</v>
      </c>
      <c r="S48" s="157">
        <f>Gasto_o_ing_total!R$503</f>
        <v>1428491.011703162</v>
      </c>
      <c r="T48" s="177">
        <f t="shared" si="5"/>
        <v>3268548.8904404612</v>
      </c>
      <c r="U48" s="177">
        <f>Gasto_o_ing_total!R$538</f>
        <v>2081716.0070846977</v>
      </c>
      <c r="V48" s="177">
        <f>Gasto_o_ing_total!R$533</f>
        <v>378596.10148911155</v>
      </c>
      <c r="W48" s="177">
        <f>Gasto_o_ing_total!R$540</f>
        <v>363720.00375787122</v>
      </c>
      <c r="X48" s="157">
        <f t="shared" si="1"/>
        <v>6092581.0027721412</v>
      </c>
      <c r="Y48" s="157">
        <f>Gasto_o_ing_total!R$518</f>
        <v>-360924.33583581366</v>
      </c>
      <c r="Z48" s="157">
        <f t="shared" si="6"/>
        <v>5731656.6669363277</v>
      </c>
      <c r="AB48" s="29" t="s">
        <v>61</v>
      </c>
      <c r="AC48" s="157">
        <f t="shared" si="2"/>
        <v>613299.80700230133</v>
      </c>
    </row>
    <row r="49" spans="1:29">
      <c r="A49" s="35"/>
      <c r="B49" s="29" t="s">
        <v>62</v>
      </c>
      <c r="C49" s="157">
        <f>Gasto_o_ing_total!S$8</f>
        <v>746830.80466629774</v>
      </c>
      <c r="D49" s="157">
        <f>Gasto_o_ing_total!S$195</f>
        <v>10188704.637513464</v>
      </c>
      <c r="E49" s="157">
        <f>Gasto_o_ing_total!S$213</f>
        <v>2008834.6515957168</v>
      </c>
      <c r="F49" s="157">
        <f>Gasto_o_ing_total!S$238</f>
        <v>458999.49004660023</v>
      </c>
      <c r="G49" s="157">
        <f>Gasto_o_ing_total!S$277</f>
        <v>78044.830351823693</v>
      </c>
      <c r="H49" s="157">
        <f>Gasto_o_ing_total!S$293</f>
        <v>1120058.5521062638</v>
      </c>
      <c r="I49" s="157">
        <f t="shared" si="3"/>
        <v>13854642.161613869</v>
      </c>
      <c r="J49" s="157">
        <f>Gasto_o_ing_total!S$381</f>
        <v>10412717.660542592</v>
      </c>
      <c r="K49" s="157">
        <f>Gasto_o_ing_total!S$431</f>
        <v>558993.14752895862</v>
      </c>
      <c r="L49" s="157">
        <f>Gasto_o_ing_total!S$477</f>
        <v>1459247.0687167868</v>
      </c>
      <c r="M49" s="157">
        <f t="shared" si="0"/>
        <v>27032430.843068503</v>
      </c>
      <c r="N49" s="157">
        <f>Gasto_o_ing_total!S$197</f>
        <v>-889125.51423683669</v>
      </c>
      <c r="O49" s="157">
        <f t="shared" si="4"/>
        <v>26143305.328831665</v>
      </c>
      <c r="P49" s="35"/>
      <c r="Q49" s="29" t="s">
        <v>62</v>
      </c>
      <c r="R49" s="157">
        <f>Gasto_o_ing_total!S$494</f>
        <v>6863078.8871011324</v>
      </c>
      <c r="S49" s="157">
        <f>Gasto_o_ing_total!S$503</f>
        <v>4985808.3218933335</v>
      </c>
      <c r="T49" s="177">
        <f t="shared" si="5"/>
        <v>11848887.208994467</v>
      </c>
      <c r="U49" s="177">
        <f>Gasto_o_ing_total!S$538</f>
        <v>7699329.1664517559</v>
      </c>
      <c r="V49" s="177">
        <f>Gasto_o_ing_total!S$533</f>
        <v>1117461.0888999999</v>
      </c>
      <c r="W49" s="177">
        <f>Gasto_o_ing_total!S$540</f>
        <v>1242972.5484447463</v>
      </c>
      <c r="X49" s="157">
        <f t="shared" si="1"/>
        <v>21908650.012790971</v>
      </c>
      <c r="Y49" s="157">
        <f>Gasto_o_ing_total!S$518</f>
        <v>-856158.48938952258</v>
      </c>
      <c r="Z49" s="157">
        <f t="shared" si="6"/>
        <v>21052491.523401447</v>
      </c>
      <c r="AB49" s="29" t="s">
        <v>62</v>
      </c>
      <c r="AC49" s="157">
        <f t="shared" si="2"/>
        <v>5090813.8054302186</v>
      </c>
    </row>
    <row r="50" spans="1:29">
      <c r="A50" s="35"/>
      <c r="B50" s="29" t="s">
        <v>63</v>
      </c>
      <c r="C50" s="157">
        <f>Gasto_o_ing_total!T$8</f>
        <v>108496.85043951933</v>
      </c>
      <c r="D50" s="157">
        <f>Gasto_o_ing_total!T$195</f>
        <v>769348.5268714308</v>
      </c>
      <c r="E50" s="157">
        <f>Gasto_o_ing_total!T$213</f>
        <v>287003.56401854334</v>
      </c>
      <c r="F50" s="157">
        <f>Gasto_o_ing_total!T$238</f>
        <v>63155.775818632035</v>
      </c>
      <c r="G50" s="157">
        <f>Gasto_o_ing_total!T$277</f>
        <v>2473.8205374537756</v>
      </c>
      <c r="H50" s="157">
        <f>Gasto_o_ing_total!T$293</f>
        <v>165125.6216832028</v>
      </c>
      <c r="I50" s="157">
        <f t="shared" si="3"/>
        <v>1287107.3089292627</v>
      </c>
      <c r="J50" s="157">
        <f>Gasto_o_ing_total!T$381</f>
        <v>1158614.7270956202</v>
      </c>
      <c r="K50" s="157">
        <f>Gasto_o_ing_total!T$431</f>
        <v>98250.693385953142</v>
      </c>
      <c r="L50" s="157">
        <f>Gasto_o_ing_total!T$477</f>
        <v>238143.75159033659</v>
      </c>
      <c r="M50" s="157">
        <f t="shared" si="0"/>
        <v>2890613.3314406918</v>
      </c>
      <c r="N50" s="157">
        <f>Gasto_o_ing_total!T$197</f>
        <v>19749.708548922608</v>
      </c>
      <c r="O50" s="157">
        <f t="shared" si="4"/>
        <v>2910363.0399896144</v>
      </c>
      <c r="P50" s="35"/>
      <c r="Q50" s="29" t="s">
        <v>63</v>
      </c>
      <c r="R50" s="157">
        <f>Gasto_o_ing_total!T$494</f>
        <v>730578.78744911763</v>
      </c>
      <c r="S50" s="157">
        <f>Gasto_o_ing_total!T$503</f>
        <v>648344.07391258795</v>
      </c>
      <c r="T50" s="177">
        <f t="shared" si="5"/>
        <v>1378922.8613617057</v>
      </c>
      <c r="U50" s="177">
        <f>Gasto_o_ing_total!T$538</f>
        <v>872215.43777320546</v>
      </c>
      <c r="V50" s="177">
        <f>Gasto_o_ing_total!T$533</f>
        <v>171266.15709999998</v>
      </c>
      <c r="W50" s="177">
        <f>Gasto_o_ing_total!T$540</f>
        <v>180537.03466620159</v>
      </c>
      <c r="X50" s="157">
        <f t="shared" si="1"/>
        <v>2602941.4909011126</v>
      </c>
      <c r="Y50" s="157">
        <f>Gasto_o_ing_total!T$518</f>
        <v>18162.212038300378</v>
      </c>
      <c r="Z50" s="157">
        <f t="shared" si="6"/>
        <v>2621103.702939413</v>
      </c>
      <c r="AB50" s="29" t="s">
        <v>63</v>
      </c>
      <c r="AC50" s="157">
        <f t="shared" si="2"/>
        <v>289259.33705020137</v>
      </c>
    </row>
    <row r="51" spans="1:29">
      <c r="A51" s="35"/>
      <c r="B51" s="164" t="s">
        <v>64</v>
      </c>
      <c r="C51" s="165">
        <f>Gasto_o_ing_total!U$8</f>
        <v>57880.282042098974</v>
      </c>
      <c r="D51" s="165">
        <f>Gasto_o_ing_total!U$195</f>
        <v>689167.85863156826</v>
      </c>
      <c r="E51" s="165">
        <f>Gasto_o_ing_total!U$213</f>
        <v>78511.675534216396</v>
      </c>
      <c r="F51" s="165">
        <f>Gasto_o_ing_total!U$238</f>
        <v>42779.316967691753</v>
      </c>
      <c r="G51" s="165">
        <f>Gasto_o_ing_total!U$277</f>
        <v>137483.75718658688</v>
      </c>
      <c r="H51" s="165">
        <f>Gasto_o_ing_total!U$293</f>
        <v>148031.63557042627</v>
      </c>
      <c r="I51" s="157">
        <f t="shared" si="3"/>
        <v>1095974.2438904897</v>
      </c>
      <c r="J51" s="165">
        <f>Gasto_o_ing_total!U$381</f>
        <v>432777.47872263379</v>
      </c>
      <c r="K51" s="165">
        <f>Gasto_o_ing_total!U$431</f>
        <v>92388.694250261775</v>
      </c>
      <c r="L51" s="165">
        <f>Gasto_o_ing_total!U$477</f>
        <v>205808.06415239943</v>
      </c>
      <c r="M51" s="157">
        <f t="shared" si="0"/>
        <v>1884828.7630578838</v>
      </c>
      <c r="N51" s="165">
        <f>Gasto_o_ing_total!U$197</f>
        <v>0</v>
      </c>
      <c r="O51" s="165">
        <f t="shared" si="4"/>
        <v>1884828.7630578838</v>
      </c>
      <c r="P51" s="35"/>
      <c r="Q51" s="29" t="s">
        <v>64</v>
      </c>
      <c r="R51" s="157">
        <f>Gasto_o_ing_total!U$494</f>
        <v>251272.03259309198</v>
      </c>
      <c r="S51" s="157">
        <f>Gasto_o_ing_total!U$503</f>
        <v>303405.00071060326</v>
      </c>
      <c r="T51" s="177">
        <f t="shared" si="5"/>
        <v>554677.03330369527</v>
      </c>
      <c r="U51" s="177">
        <f>Gasto_o_ing_total!U$538</f>
        <v>355736.85055522516</v>
      </c>
      <c r="V51" s="177">
        <f>Gasto_o_ing_total!U$533</f>
        <v>33272.019790000006</v>
      </c>
      <c r="W51" s="177">
        <f>Gasto_o_ing_total!U$540</f>
        <v>96290.710866825219</v>
      </c>
      <c r="X51" s="157">
        <f t="shared" si="1"/>
        <v>1039976.6145157457</v>
      </c>
      <c r="Y51" s="157">
        <f>Gasto_o_ing_total!U$518</f>
        <v>-110041.07674968799</v>
      </c>
      <c r="Z51" s="157">
        <f t="shared" si="6"/>
        <v>929935.53776605765</v>
      </c>
      <c r="AB51" s="29" t="s">
        <v>64</v>
      </c>
      <c r="AC51" s="157">
        <f t="shared" si="2"/>
        <v>954893.22529182618</v>
      </c>
    </row>
    <row r="52" spans="1:29" ht="14.25" thickBot="1">
      <c r="A52" s="35"/>
      <c r="B52" s="166" t="s">
        <v>84</v>
      </c>
      <c r="C52" s="167">
        <f>SUM(C34:C51)</f>
        <v>15931235.176237553</v>
      </c>
      <c r="D52" s="167">
        <f>SUM(D34:D51)</f>
        <v>101359529.08981691</v>
      </c>
      <c r="E52" s="167">
        <f t="shared" ref="E52:O52" si="7">SUM(E34:E51)</f>
        <v>44250071.628484696</v>
      </c>
      <c r="F52" s="167">
        <f t="shared" ref="F52:I52" si="8">SUM(F34:F51)</f>
        <v>7173129.049921873</v>
      </c>
      <c r="G52" s="167">
        <f t="shared" si="8"/>
        <v>4709476.9694510978</v>
      </c>
      <c r="H52" s="167">
        <f t="shared" si="8"/>
        <v>19353035.395069186</v>
      </c>
      <c r="I52" s="167">
        <f t="shared" si="8"/>
        <v>176845242.13274378</v>
      </c>
      <c r="J52" s="167">
        <f t="shared" si="7"/>
        <v>170103536.02329275</v>
      </c>
      <c r="K52" s="167">
        <f t="shared" si="7"/>
        <v>15107002.002284471</v>
      </c>
      <c r="L52" s="167">
        <f t="shared" si="7"/>
        <v>31738094.80805001</v>
      </c>
      <c r="M52" s="167">
        <f t="shared" si="7"/>
        <v>409725110.14260846</v>
      </c>
      <c r="N52" s="167">
        <f t="shared" si="7"/>
        <v>1585662.7729696361</v>
      </c>
      <c r="O52" s="167">
        <f t="shared" si="7"/>
        <v>411310772.91557819</v>
      </c>
      <c r="P52" s="36"/>
      <c r="Q52" s="166" t="s">
        <v>84</v>
      </c>
      <c r="R52" s="167">
        <f>SUM(R34:R51)</f>
        <v>106359068.28846349</v>
      </c>
      <c r="S52" s="167">
        <f t="shared" ref="S52:Z52" si="9">SUM(S34:S51)</f>
        <v>96958736.405227438</v>
      </c>
      <c r="T52" s="178">
        <f t="shared" si="9"/>
        <v>203317804.69369093</v>
      </c>
      <c r="U52" s="178">
        <f t="shared" si="9"/>
        <v>121302121.07764079</v>
      </c>
      <c r="V52" s="178">
        <f t="shared" si="9"/>
        <v>24520559.639369108</v>
      </c>
      <c r="W52" s="178">
        <f t="shared" si="9"/>
        <v>26509046.5262</v>
      </c>
      <c r="X52" s="167">
        <f t="shared" si="9"/>
        <v>375649531.93690073</v>
      </c>
      <c r="Y52" s="167">
        <f t="shared" si="9"/>
        <v>-674231.93440951547</v>
      </c>
      <c r="Z52" s="167">
        <f t="shared" si="9"/>
        <v>374975300.0024913</v>
      </c>
      <c r="AA52" s="36"/>
      <c r="AB52" s="166" t="s">
        <v>84</v>
      </c>
      <c r="AC52" s="172">
        <f>SUM(AC34:AC51)</f>
        <v>36335472.913086869</v>
      </c>
    </row>
    <row r="53" spans="1:29">
      <c r="B53" s="9" t="s">
        <v>979</v>
      </c>
      <c r="D53" s="35"/>
      <c r="Y53" s="31"/>
    </row>
    <row r="54" spans="1:29">
      <c r="I54" s="35"/>
      <c r="Y54" s="31"/>
    </row>
    <row r="55" spans="1:29">
      <c r="B55" s="410" t="s">
        <v>1169</v>
      </c>
      <c r="C55" s="408"/>
      <c r="D55" s="409"/>
      <c r="E55" s="412">
        <f>+D52/I52</f>
        <v>0.57315383703528933</v>
      </c>
      <c r="Y55" s="31"/>
    </row>
    <row r="56" spans="1:29">
      <c r="B56" s="410" t="s">
        <v>1170</v>
      </c>
      <c r="C56" s="408"/>
      <c r="D56" s="409"/>
      <c r="E56" s="411">
        <f>D52/M52</f>
        <v>0.24738422562028925</v>
      </c>
    </row>
    <row r="58" spans="1:29">
      <c r="B58" s="176" t="s">
        <v>40</v>
      </c>
      <c r="Q58" s="176" t="s">
        <v>1001</v>
      </c>
    </row>
    <row r="59" spans="1:29">
      <c r="B59" s="164"/>
      <c r="C59" s="164"/>
      <c r="D59" s="164"/>
      <c r="E59" s="164"/>
      <c r="F59" s="164"/>
      <c r="G59" s="164"/>
      <c r="H59" s="164"/>
      <c r="I59" s="164"/>
      <c r="J59" s="164"/>
      <c r="K59" s="164"/>
      <c r="L59" s="164"/>
      <c r="M59" s="164"/>
      <c r="N59" s="164"/>
      <c r="O59" s="164"/>
    </row>
    <row r="60" spans="1:29" s="34" customFormat="1" ht="39" thickBot="1">
      <c r="B60" s="171"/>
      <c r="C60" s="159" t="s">
        <v>39</v>
      </c>
      <c r="D60" s="184" t="s">
        <v>980</v>
      </c>
      <c r="E60" s="160" t="s">
        <v>26</v>
      </c>
      <c r="F60" s="160" t="s">
        <v>1</v>
      </c>
      <c r="G60" s="160" t="s">
        <v>55</v>
      </c>
      <c r="H60" s="160" t="s">
        <v>22</v>
      </c>
      <c r="I60" s="186" t="s">
        <v>79</v>
      </c>
      <c r="J60" s="161" t="s">
        <v>68</v>
      </c>
      <c r="K60" s="162" t="s">
        <v>65</v>
      </c>
      <c r="L60" s="163" t="s">
        <v>560</v>
      </c>
      <c r="M60" s="163" t="s">
        <v>930</v>
      </c>
      <c r="N60" s="160" t="s">
        <v>42</v>
      </c>
      <c r="O60" s="162" t="s">
        <v>27</v>
      </c>
      <c r="P60" s="187"/>
      <c r="Q60" s="189"/>
      <c r="R60" s="171" t="s">
        <v>87</v>
      </c>
      <c r="S60" s="160" t="s">
        <v>109</v>
      </c>
      <c r="T60" s="162" t="s">
        <v>86</v>
      </c>
      <c r="U60" s="162" t="s">
        <v>102</v>
      </c>
      <c r="V60" s="162" t="s">
        <v>103</v>
      </c>
      <c r="W60" s="162" t="s">
        <v>105</v>
      </c>
      <c r="X60" s="162" t="s">
        <v>106</v>
      </c>
      <c r="Y60" s="184" t="s">
        <v>997</v>
      </c>
      <c r="Z60" s="162" t="s">
        <v>108</v>
      </c>
      <c r="AA60" s="188"/>
      <c r="AB60" s="160"/>
      <c r="AC60" s="163" t="s">
        <v>999</v>
      </c>
    </row>
    <row r="61" spans="1:29" s="31" customFormat="1">
      <c r="B61" s="31" t="s">
        <v>9</v>
      </c>
      <c r="C61" s="157">
        <f t="shared" ref="C61:O61" si="10">C34*1000/$C7</f>
        <v>341.15556182883353</v>
      </c>
      <c r="D61" s="157">
        <f t="shared" si="10"/>
        <v>1915.0710934233173</v>
      </c>
      <c r="E61" s="157">
        <f t="shared" si="10"/>
        <v>826.14803198251786</v>
      </c>
      <c r="F61" s="157">
        <f t="shared" si="10"/>
        <v>131.18097202734012</v>
      </c>
      <c r="G61" s="157">
        <f t="shared" si="10"/>
        <v>142.16706063905067</v>
      </c>
      <c r="H61" s="157">
        <f t="shared" si="10"/>
        <v>387.04698109042874</v>
      </c>
      <c r="I61" s="157">
        <f t="shared" si="10"/>
        <v>3401.6141391626543</v>
      </c>
      <c r="J61" s="157">
        <f t="shared" si="10"/>
        <v>3131.383270527806</v>
      </c>
      <c r="K61" s="157">
        <f t="shared" si="10"/>
        <v>475.59448471555231</v>
      </c>
      <c r="L61" s="157">
        <f t="shared" si="10"/>
        <v>663.89873816717181</v>
      </c>
      <c r="M61" s="157">
        <f t="shared" si="10"/>
        <v>8013.6461944020184</v>
      </c>
      <c r="N61" s="157">
        <f t="shared" si="10"/>
        <v>71.96290385254521</v>
      </c>
      <c r="O61" s="157">
        <f t="shared" si="10"/>
        <v>8085.6090982545629</v>
      </c>
      <c r="P61" s="14"/>
      <c r="Q61" s="14" t="s">
        <v>9</v>
      </c>
      <c r="R61" s="157">
        <f>R34*1000/$C7</f>
        <v>1481.0756244319541</v>
      </c>
      <c r="S61" s="157">
        <f t="shared" ref="S61:Z61" si="11">S34*1000/$C7</f>
        <v>1881.432413827293</v>
      </c>
      <c r="T61" s="157">
        <f t="shared" si="11"/>
        <v>3362.5080382592469</v>
      </c>
      <c r="U61" s="157">
        <f t="shared" si="11"/>
        <v>1980.0094810358446</v>
      </c>
      <c r="V61" s="157">
        <f t="shared" si="11"/>
        <v>431.96490380414713</v>
      </c>
      <c r="W61" s="157">
        <f t="shared" si="11"/>
        <v>567.56150118533787</v>
      </c>
      <c r="X61" s="157">
        <f t="shared" si="11"/>
        <v>6342.0439242845769</v>
      </c>
      <c r="Y61" s="157">
        <f t="shared" si="11"/>
        <v>50.149336334170364</v>
      </c>
      <c r="Z61" s="157">
        <f t="shared" si="11"/>
        <v>6392.1932606187474</v>
      </c>
      <c r="AA61" s="157"/>
      <c r="AB61" s="31" t="s">
        <v>9</v>
      </c>
      <c r="AC61" s="157">
        <f t="shared" ref="AC61:AC79" si="12">AC34*1000/$C7</f>
        <v>1693.4158376358155</v>
      </c>
    </row>
    <row r="62" spans="1:29" s="31" customFormat="1">
      <c r="B62" s="31" t="s">
        <v>10</v>
      </c>
      <c r="C62" s="157">
        <f t="shared" ref="C62:N62" si="13">C35*1000/$C8</f>
        <v>341.15556182883347</v>
      </c>
      <c r="D62" s="157">
        <f t="shared" si="13"/>
        <v>2277.6201395422281</v>
      </c>
      <c r="E62" s="157">
        <f t="shared" si="13"/>
        <v>1021.7290605268839</v>
      </c>
      <c r="F62" s="157">
        <f t="shared" si="13"/>
        <v>284.0521997788893</v>
      </c>
      <c r="G62" s="157">
        <f t="shared" si="13"/>
        <v>60.032524522741788</v>
      </c>
      <c r="H62" s="157">
        <f t="shared" si="13"/>
        <v>461.68309826881068</v>
      </c>
      <c r="I62" s="157">
        <f t="shared" si="13"/>
        <v>4105.1170226395534</v>
      </c>
      <c r="J62" s="157">
        <f t="shared" si="13"/>
        <v>4087.9995564688647</v>
      </c>
      <c r="K62" s="157">
        <f t="shared" si="13"/>
        <v>581.10094448912946</v>
      </c>
      <c r="L62" s="157">
        <f t="shared" si="13"/>
        <v>787.5188048186086</v>
      </c>
      <c r="M62" s="157">
        <f t="shared" si="13"/>
        <v>9902.8918902449896</v>
      </c>
      <c r="N62" s="157">
        <f t="shared" si="13"/>
        <v>96.939973476867706</v>
      </c>
      <c r="O62" s="157">
        <f>O35*1000/$C8</f>
        <v>9999.8318637218581</v>
      </c>
      <c r="P62" s="14"/>
      <c r="Q62" s="14" t="s">
        <v>10</v>
      </c>
      <c r="R62" s="157">
        <f>R35*1000/$C8</f>
        <v>2444.7120678977267</v>
      </c>
      <c r="S62" s="157">
        <f t="shared" ref="S62:Z62" si="14">S35*1000/$C8</f>
        <v>2099.794285989004</v>
      </c>
      <c r="T62" s="157">
        <f t="shared" si="14"/>
        <v>4544.5063538867307</v>
      </c>
      <c r="U62" s="157">
        <f t="shared" si="14"/>
        <v>2829.1843562220424</v>
      </c>
      <c r="V62" s="157">
        <f t="shared" si="14"/>
        <v>549.42631634302256</v>
      </c>
      <c r="W62" s="157">
        <f t="shared" si="14"/>
        <v>567.68338501729841</v>
      </c>
      <c r="X62" s="157">
        <f t="shared" si="14"/>
        <v>8490.8004114690957</v>
      </c>
      <c r="Y62" s="157">
        <f t="shared" si="14"/>
        <v>92.371446073469386</v>
      </c>
      <c r="Z62" s="157">
        <f t="shared" si="14"/>
        <v>8583.1718575425657</v>
      </c>
      <c r="AA62" s="157"/>
      <c r="AB62" s="31" t="s">
        <v>10</v>
      </c>
      <c r="AC62" s="157">
        <f t="shared" si="12"/>
        <v>1416.6600061792931</v>
      </c>
    </row>
    <row r="63" spans="1:29" s="31" customFormat="1">
      <c r="B63" s="31" t="s">
        <v>11</v>
      </c>
      <c r="C63" s="157">
        <f t="shared" ref="C63:O63" si="15">C36*1000/$C9</f>
        <v>341.15556182883353</v>
      </c>
      <c r="D63" s="157">
        <f t="shared" si="15"/>
        <v>2248.6575033703853</v>
      </c>
      <c r="E63" s="157">
        <f t="shared" si="15"/>
        <v>893.84728839389516</v>
      </c>
      <c r="F63" s="157">
        <f t="shared" si="15"/>
        <v>261.15283007998312</v>
      </c>
      <c r="G63" s="157">
        <f t="shared" si="15"/>
        <v>100.66360109058765</v>
      </c>
      <c r="H63" s="157">
        <f t="shared" si="15"/>
        <v>402.08464021333242</v>
      </c>
      <c r="I63" s="157">
        <f t="shared" si="15"/>
        <v>3906.4058631481835</v>
      </c>
      <c r="J63" s="157">
        <f t="shared" si="15"/>
        <v>5388.7128931909419</v>
      </c>
      <c r="K63" s="157">
        <f t="shared" si="15"/>
        <v>284.08509472697534</v>
      </c>
      <c r="L63" s="157">
        <f t="shared" si="15"/>
        <v>939.98602526714694</v>
      </c>
      <c r="M63" s="157">
        <f t="shared" si="15"/>
        <v>10860.345438162078</v>
      </c>
      <c r="N63" s="157">
        <f t="shared" si="15"/>
        <v>92.003495419109896</v>
      </c>
      <c r="O63" s="157">
        <f t="shared" si="15"/>
        <v>10952.348933581188</v>
      </c>
      <c r="P63" s="14"/>
      <c r="Q63" s="14" t="s">
        <v>11</v>
      </c>
      <c r="R63" s="157">
        <f t="shared" ref="R63:Z63" si="16">R36*1000/$C9</f>
        <v>2380.6362594354609</v>
      </c>
      <c r="S63" s="157">
        <f t="shared" si="16"/>
        <v>2054.3115818032979</v>
      </c>
      <c r="T63" s="157">
        <f t="shared" si="16"/>
        <v>4434.947841238758</v>
      </c>
      <c r="U63" s="157">
        <f t="shared" si="16"/>
        <v>2619.097869936696</v>
      </c>
      <c r="V63" s="157">
        <f t="shared" si="16"/>
        <v>486.10473812166197</v>
      </c>
      <c r="W63" s="157">
        <f t="shared" si="16"/>
        <v>567.686179311665</v>
      </c>
      <c r="X63" s="157">
        <f t="shared" si="16"/>
        <v>8107.8366286087821</v>
      </c>
      <c r="Y63" s="157">
        <f t="shared" si="16"/>
        <v>80.188681400458478</v>
      </c>
      <c r="Z63" s="157">
        <f t="shared" si="16"/>
        <v>8188.0253100092414</v>
      </c>
      <c r="AA63" s="157"/>
      <c r="AB63" s="31" t="s">
        <v>11</v>
      </c>
      <c r="AC63" s="157">
        <f t="shared" si="12"/>
        <v>2764.3236235719478</v>
      </c>
    </row>
    <row r="64" spans="1:29" s="31" customFormat="1">
      <c r="B64" s="31" t="s">
        <v>31</v>
      </c>
      <c r="C64" s="157">
        <f t="shared" ref="C64:O64" si="17">C37*1000/$C10</f>
        <v>341.15556182883353</v>
      </c>
      <c r="D64" s="157">
        <f t="shared" si="17"/>
        <v>2074.6898484524604</v>
      </c>
      <c r="E64" s="157">
        <f t="shared" si="17"/>
        <v>1024.0660810868603</v>
      </c>
      <c r="F64" s="157">
        <f t="shared" si="17"/>
        <v>98.169935871966942</v>
      </c>
      <c r="G64" s="157">
        <f t="shared" si="17"/>
        <v>304.6543503999427</v>
      </c>
      <c r="H64" s="157">
        <f t="shared" si="17"/>
        <v>397.34410080815155</v>
      </c>
      <c r="I64" s="157">
        <f t="shared" si="17"/>
        <v>3898.9243166193824</v>
      </c>
      <c r="J64" s="157">
        <f t="shared" si="17"/>
        <v>2963.1672676985627</v>
      </c>
      <c r="K64" s="157">
        <f t="shared" si="17"/>
        <v>178.32598518316934</v>
      </c>
      <c r="L64" s="157">
        <f t="shared" si="17"/>
        <v>540.00976757256069</v>
      </c>
      <c r="M64" s="157">
        <f t="shared" si="17"/>
        <v>7921.5828989025067</v>
      </c>
      <c r="N64" s="157">
        <f t="shared" si="17"/>
        <v>179.71655490125377</v>
      </c>
      <c r="O64" s="157">
        <f t="shared" si="17"/>
        <v>8101.299453803761</v>
      </c>
      <c r="P64" s="14"/>
      <c r="Q64" s="14" t="s">
        <v>31</v>
      </c>
      <c r="R64" s="157">
        <f t="shared" ref="R64:Z64" si="18">R37*1000/$C10</f>
        <v>2262.1295482619776</v>
      </c>
      <c r="S64" s="157">
        <f t="shared" si="18"/>
        <v>2205.3134633235254</v>
      </c>
      <c r="T64" s="157">
        <f t="shared" si="18"/>
        <v>4467.4430115855021</v>
      </c>
      <c r="U64" s="157">
        <f t="shared" si="18"/>
        <v>2803.6347759802411</v>
      </c>
      <c r="V64" s="157">
        <f t="shared" si="18"/>
        <v>690.60119053172662</v>
      </c>
      <c r="W64" s="157">
        <f t="shared" si="18"/>
        <v>567.71399450151921</v>
      </c>
      <c r="X64" s="157">
        <f t="shared" si="18"/>
        <v>8529.3929725989892</v>
      </c>
      <c r="Y64" s="157">
        <f t="shared" si="18"/>
        <v>166.95462745905564</v>
      </c>
      <c r="Z64" s="157">
        <f t="shared" si="18"/>
        <v>8696.3476000580431</v>
      </c>
      <c r="AA64" s="157"/>
      <c r="AB64" s="31" t="s">
        <v>31</v>
      </c>
      <c r="AC64" s="157">
        <f t="shared" si="12"/>
        <v>-595.04814625428185</v>
      </c>
    </row>
    <row r="65" spans="2:29" s="31" customFormat="1">
      <c r="B65" s="31" t="s">
        <v>12</v>
      </c>
      <c r="C65" s="157">
        <f t="shared" ref="C65:O65" si="19">C38*1000/$C11</f>
        <v>341.15556182883353</v>
      </c>
      <c r="D65" s="157">
        <f t="shared" si="19"/>
        <v>2244.4482197709785</v>
      </c>
      <c r="E65" s="157">
        <f t="shared" si="19"/>
        <v>1129.8430619176681</v>
      </c>
      <c r="F65" s="157">
        <f t="shared" si="19"/>
        <v>124.91220896253031</v>
      </c>
      <c r="G65" s="157">
        <f t="shared" si="19"/>
        <v>577.66653471948143</v>
      </c>
      <c r="H65" s="157">
        <f t="shared" si="19"/>
        <v>382.00985689436703</v>
      </c>
      <c r="I65" s="157">
        <f t="shared" si="19"/>
        <v>4458.8798822650251</v>
      </c>
      <c r="J65" s="157">
        <f t="shared" si="19"/>
        <v>2787.5094614082673</v>
      </c>
      <c r="K65" s="157">
        <f t="shared" si="19"/>
        <v>256.68994288227452</v>
      </c>
      <c r="L65" s="157">
        <f t="shared" si="19"/>
        <v>749.97773097052175</v>
      </c>
      <c r="M65" s="157">
        <f t="shared" si="19"/>
        <v>8594.2125793549221</v>
      </c>
      <c r="N65" s="157">
        <f t="shared" si="19"/>
        <v>48.370728094655185</v>
      </c>
      <c r="O65" s="157">
        <f t="shared" si="19"/>
        <v>8642.5833074495768</v>
      </c>
      <c r="P65" s="14"/>
      <c r="Q65" s="14" t="s">
        <v>12</v>
      </c>
      <c r="R65" s="157">
        <f t="shared" ref="R65:Z65" si="20">R38*1000/$C11</f>
        <v>1624.0562442692221</v>
      </c>
      <c r="S65" s="157">
        <f t="shared" si="20"/>
        <v>1734.8729199949712</v>
      </c>
      <c r="T65" s="157">
        <f t="shared" si="20"/>
        <v>3358.9291642641933</v>
      </c>
      <c r="U65" s="157">
        <f t="shared" si="20"/>
        <v>2252.9349653214003</v>
      </c>
      <c r="V65" s="157">
        <f t="shared" si="20"/>
        <v>412.72734182916503</v>
      </c>
      <c r="W65" s="157">
        <f t="shared" si="20"/>
        <v>567.56676407739815</v>
      </c>
      <c r="X65" s="157">
        <f t="shared" si="20"/>
        <v>6592.1582354921566</v>
      </c>
      <c r="Y65" s="157">
        <f t="shared" si="20"/>
        <v>-769.68190959719811</v>
      </c>
      <c r="Z65" s="157">
        <f t="shared" si="20"/>
        <v>5822.4763258949579</v>
      </c>
      <c r="AA65" s="157"/>
      <c r="AB65" s="31" t="s">
        <v>12</v>
      </c>
      <c r="AC65" s="157">
        <f t="shared" si="12"/>
        <v>2820.1069815546184</v>
      </c>
    </row>
    <row r="66" spans="2:29" s="31" customFormat="1">
      <c r="B66" s="31" t="s">
        <v>13</v>
      </c>
      <c r="C66" s="157">
        <f t="shared" ref="C66:O66" si="21">C39*1000/$C12</f>
        <v>341.15556182883347</v>
      </c>
      <c r="D66" s="157">
        <f t="shared" si="21"/>
        <v>2517.8104940116536</v>
      </c>
      <c r="E66" s="157">
        <f t="shared" si="21"/>
        <v>943.92081645888891</v>
      </c>
      <c r="F66" s="157">
        <f t="shared" si="21"/>
        <v>205.07520291514271</v>
      </c>
      <c r="G66" s="157">
        <f t="shared" si="21"/>
        <v>81.106748361059871</v>
      </c>
      <c r="H66" s="157">
        <f t="shared" si="21"/>
        <v>401.81388815270117</v>
      </c>
      <c r="I66" s="157">
        <f t="shared" si="21"/>
        <v>4149.727149899446</v>
      </c>
      <c r="J66" s="157">
        <f t="shared" si="21"/>
        <v>4187.3382220472704</v>
      </c>
      <c r="K66" s="157">
        <f t="shared" si="21"/>
        <v>319.55326665105667</v>
      </c>
      <c r="L66" s="157">
        <f t="shared" si="21"/>
        <v>812.43437771448964</v>
      </c>
      <c r="M66" s="157">
        <f t="shared" si="21"/>
        <v>9810.208578141097</v>
      </c>
      <c r="N66" s="157">
        <f t="shared" si="21"/>
        <v>66.4581176069603</v>
      </c>
      <c r="O66" s="157">
        <f t="shared" si="21"/>
        <v>9876.6666957480575</v>
      </c>
      <c r="P66" s="14"/>
      <c r="Q66" s="14" t="s">
        <v>13</v>
      </c>
      <c r="R66" s="157">
        <f t="shared" ref="R66:Z66" si="22">R39*1000/$C12</f>
        <v>2300.3062420046208</v>
      </c>
      <c r="S66" s="157">
        <f t="shared" si="22"/>
        <v>2080.5245424844948</v>
      </c>
      <c r="T66" s="157">
        <f t="shared" si="22"/>
        <v>4380.8307844891151</v>
      </c>
      <c r="U66" s="157">
        <f t="shared" si="22"/>
        <v>2654.0137186588768</v>
      </c>
      <c r="V66" s="157">
        <f t="shared" si="22"/>
        <v>564.43020807864821</v>
      </c>
      <c r="W66" s="157">
        <f t="shared" si="22"/>
        <v>567.69461769944621</v>
      </c>
      <c r="X66" s="157">
        <f t="shared" si="22"/>
        <v>8166.9693289260867</v>
      </c>
      <c r="Y66" s="157">
        <f t="shared" si="22"/>
        <v>53.1750014969993</v>
      </c>
      <c r="Z66" s="157">
        <f t="shared" si="22"/>
        <v>8220.144330423087</v>
      </c>
      <c r="AA66" s="157"/>
      <c r="AB66" s="31" t="s">
        <v>13</v>
      </c>
      <c r="AC66" s="157">
        <f t="shared" si="12"/>
        <v>1656.5223653249709</v>
      </c>
    </row>
    <row r="67" spans="2:29" s="31" customFormat="1">
      <c r="B67" s="31" t="s">
        <v>14</v>
      </c>
      <c r="C67" s="157">
        <f t="shared" ref="C67:O67" si="23">C40*1000/$C13</f>
        <v>341.15556182883347</v>
      </c>
      <c r="D67" s="157">
        <f t="shared" si="23"/>
        <v>2340.0957733864675</v>
      </c>
      <c r="E67" s="157">
        <f t="shared" si="23"/>
        <v>926.12166049125369</v>
      </c>
      <c r="F67" s="157">
        <f t="shared" si="23"/>
        <v>343.15895478140993</v>
      </c>
      <c r="G67" s="157">
        <f t="shared" si="23"/>
        <v>106.83668251277405</v>
      </c>
      <c r="H67" s="157">
        <f t="shared" si="23"/>
        <v>454.16544664653946</v>
      </c>
      <c r="I67" s="157">
        <f t="shared" si="23"/>
        <v>4170.3785178184444</v>
      </c>
      <c r="J67" s="157">
        <f t="shared" si="23"/>
        <v>4218.6128386101263</v>
      </c>
      <c r="K67" s="157">
        <f t="shared" si="23"/>
        <v>576.00646447084875</v>
      </c>
      <c r="L67" s="157">
        <f t="shared" si="23"/>
        <v>838.86869568127202</v>
      </c>
      <c r="M67" s="157">
        <f t="shared" si="23"/>
        <v>10145.022078409525</v>
      </c>
      <c r="N67" s="157">
        <f t="shared" si="23"/>
        <v>64.651619089563695</v>
      </c>
      <c r="O67" s="157">
        <f t="shared" si="23"/>
        <v>10209.673697499089</v>
      </c>
      <c r="P67" s="14"/>
      <c r="Q67" s="14" t="s">
        <v>14</v>
      </c>
      <c r="R67" s="157">
        <f t="shared" ref="R67:Z67" si="24">R40*1000/$C13</f>
        <v>2099.5225401703146</v>
      </c>
      <c r="S67" s="157">
        <f t="shared" si="24"/>
        <v>1980.8016426693509</v>
      </c>
      <c r="T67" s="157">
        <f t="shared" si="24"/>
        <v>4080.3241828396663</v>
      </c>
      <c r="U67" s="157">
        <f t="shared" si="24"/>
        <v>2518.5308111531863</v>
      </c>
      <c r="V67" s="157">
        <f t="shared" si="24"/>
        <v>488.1335689357544</v>
      </c>
      <c r="W67" s="157">
        <f t="shared" si="24"/>
        <v>567.64131473659802</v>
      </c>
      <c r="X67" s="157">
        <f t="shared" si="24"/>
        <v>7654.6298776652047</v>
      </c>
      <c r="Y67" s="157">
        <f t="shared" si="24"/>
        <v>53.485910105974952</v>
      </c>
      <c r="Z67" s="157">
        <f t="shared" si="24"/>
        <v>7708.1157877711812</v>
      </c>
      <c r="AA67" s="157"/>
      <c r="AB67" s="31" t="s">
        <v>14</v>
      </c>
      <c r="AC67" s="157">
        <f t="shared" si="12"/>
        <v>2501.5579097279087</v>
      </c>
    </row>
    <row r="68" spans="2:29" s="31" customFormat="1">
      <c r="B68" s="31" t="s">
        <v>15</v>
      </c>
      <c r="C68" s="157">
        <f t="shared" ref="C68:O68" si="25">C41*1000/$C14</f>
        <v>341.15556182883347</v>
      </c>
      <c r="D68" s="157">
        <f t="shared" si="25"/>
        <v>2128.7294939747462</v>
      </c>
      <c r="E68" s="157">
        <f t="shared" si="25"/>
        <v>856.84524308598486</v>
      </c>
      <c r="F68" s="157">
        <f t="shared" si="25"/>
        <v>161.2035441382483</v>
      </c>
      <c r="G68" s="157">
        <f t="shared" si="25"/>
        <v>100.71188588715094</v>
      </c>
      <c r="H68" s="157">
        <f t="shared" si="25"/>
        <v>367.32583083682164</v>
      </c>
      <c r="I68" s="157">
        <f t="shared" si="25"/>
        <v>3614.8159979229522</v>
      </c>
      <c r="J68" s="157">
        <f t="shared" si="25"/>
        <v>3134.9505777247296</v>
      </c>
      <c r="K68" s="157">
        <f t="shared" si="25"/>
        <v>466.05700298144023</v>
      </c>
      <c r="L68" s="157">
        <f t="shared" si="25"/>
        <v>663.60480451597732</v>
      </c>
      <c r="M68" s="157">
        <f t="shared" si="25"/>
        <v>8220.5839449739324</v>
      </c>
      <c r="N68" s="157">
        <f t="shared" si="25"/>
        <v>10.263604045711155</v>
      </c>
      <c r="O68" s="157">
        <f t="shared" si="25"/>
        <v>8230.8475490196452</v>
      </c>
      <c r="P68" s="14"/>
      <c r="Q68" s="14" t="s">
        <v>15</v>
      </c>
      <c r="R68" s="157">
        <f t="shared" ref="R68:Z68" si="26">R41*1000/$C14</f>
        <v>1572.859401558148</v>
      </c>
      <c r="S68" s="157">
        <f t="shared" si="26"/>
        <v>1856.4650404149324</v>
      </c>
      <c r="T68" s="157">
        <f t="shared" si="26"/>
        <v>3429.3244419730804</v>
      </c>
      <c r="U68" s="157">
        <f t="shared" si="26"/>
        <v>2194.3607076660255</v>
      </c>
      <c r="V68" s="157">
        <f t="shared" si="26"/>
        <v>472.5951734278247</v>
      </c>
      <c r="W68" s="157">
        <f t="shared" si="26"/>
        <v>567.55649472315633</v>
      </c>
      <c r="X68" s="157">
        <f t="shared" si="26"/>
        <v>6663.8368177900875</v>
      </c>
      <c r="Y68" s="157">
        <f t="shared" si="26"/>
        <v>-0.72016747138184301</v>
      </c>
      <c r="Z68" s="157">
        <f t="shared" si="26"/>
        <v>6663.1166503187051</v>
      </c>
      <c r="AA68" s="157"/>
      <c r="AB68" s="31" t="s">
        <v>15</v>
      </c>
      <c r="AC68" s="157">
        <f t="shared" si="12"/>
        <v>1567.7308987009392</v>
      </c>
    </row>
    <row r="69" spans="2:29" s="31" customFormat="1">
      <c r="B69" s="31" t="s">
        <v>16</v>
      </c>
      <c r="C69" s="157">
        <f t="shared" ref="C69:O69" si="27">C42*1000/$C15</f>
        <v>341.15556182883347</v>
      </c>
      <c r="D69" s="157">
        <f t="shared" si="27"/>
        <v>1922.3201704469063</v>
      </c>
      <c r="E69" s="157">
        <f t="shared" si="27"/>
        <v>1084.2478004757809</v>
      </c>
      <c r="F69" s="157">
        <f t="shared" si="27"/>
        <v>113.35187360750619</v>
      </c>
      <c r="G69" s="157">
        <f t="shared" si="27"/>
        <v>15.656587554341531</v>
      </c>
      <c r="H69" s="157">
        <f t="shared" si="27"/>
        <v>442.76813423740907</v>
      </c>
      <c r="I69" s="157">
        <f t="shared" si="27"/>
        <v>3578.3445663219441</v>
      </c>
      <c r="J69" s="157">
        <f t="shared" si="27"/>
        <v>3914.6275873181185</v>
      </c>
      <c r="K69" s="157">
        <f t="shared" si="27"/>
        <v>216.52402633035072</v>
      </c>
      <c r="L69" s="157">
        <f t="shared" si="27"/>
        <v>660.60106658835207</v>
      </c>
      <c r="M69" s="157">
        <f t="shared" si="27"/>
        <v>8711.2528083875986</v>
      </c>
      <c r="N69" s="157">
        <f t="shared" si="27"/>
        <v>116.8802654051018</v>
      </c>
      <c r="O69" s="157">
        <f t="shared" si="27"/>
        <v>8828.1330737927001</v>
      </c>
      <c r="P69" s="14"/>
      <c r="Q69" s="14" t="s">
        <v>16</v>
      </c>
      <c r="R69" s="157">
        <f t="shared" ref="R69:Z69" si="28">R42*1000/$C15</f>
        <v>2762.347839632976</v>
      </c>
      <c r="S69" s="157">
        <f t="shared" si="28"/>
        <v>2254.6476266099799</v>
      </c>
      <c r="T69" s="157">
        <f t="shared" si="28"/>
        <v>5016.9954662429554</v>
      </c>
      <c r="U69" s="157">
        <f t="shared" si="28"/>
        <v>3028.3762853284561</v>
      </c>
      <c r="V69" s="157">
        <f t="shared" si="28"/>
        <v>651.22811054415411</v>
      </c>
      <c r="W69" s="157">
        <f t="shared" si="28"/>
        <v>567.77479290311271</v>
      </c>
      <c r="X69" s="157">
        <f t="shared" si="28"/>
        <v>9264.3746550186788</v>
      </c>
      <c r="Y69" s="157">
        <f t="shared" si="28"/>
        <v>102.26653956428922</v>
      </c>
      <c r="Z69" s="157">
        <f t="shared" si="28"/>
        <v>9366.6411945829677</v>
      </c>
      <c r="AA69" s="406"/>
      <c r="AB69" s="31" t="s">
        <v>16</v>
      </c>
      <c r="AC69" s="157">
        <f t="shared" si="12"/>
        <v>-538.50812079026855</v>
      </c>
    </row>
    <row r="70" spans="2:29" s="31" customFormat="1">
      <c r="B70" s="31" t="s">
        <v>17</v>
      </c>
      <c r="C70" s="157">
        <f t="shared" ref="C70:O70" si="29">C43*1000/$C16</f>
        <v>341.15556182883347</v>
      </c>
      <c r="D70" s="157">
        <f t="shared" si="29"/>
        <v>1797.8008137574304</v>
      </c>
      <c r="E70" s="157">
        <f t="shared" si="29"/>
        <v>874.67797354243066</v>
      </c>
      <c r="F70" s="157">
        <f t="shared" si="29"/>
        <v>80.6763233471533</v>
      </c>
      <c r="G70" s="157">
        <f t="shared" si="29"/>
        <v>32.999573070459512</v>
      </c>
      <c r="H70" s="157">
        <f t="shared" si="29"/>
        <v>353.60205709755797</v>
      </c>
      <c r="I70" s="157">
        <f t="shared" si="29"/>
        <v>3139.7567408150317</v>
      </c>
      <c r="J70" s="157">
        <f t="shared" si="29"/>
        <v>3279.91172331191</v>
      </c>
      <c r="K70" s="157">
        <f t="shared" si="29"/>
        <v>197.55805520191657</v>
      </c>
      <c r="L70" s="157">
        <f t="shared" si="29"/>
        <v>605.60025956150457</v>
      </c>
      <c r="M70" s="157">
        <f t="shared" si="29"/>
        <v>7563.9823407191961</v>
      </c>
      <c r="N70" s="157">
        <f t="shared" si="29"/>
        <v>108.31022418222581</v>
      </c>
      <c r="O70" s="157">
        <f t="shared" si="29"/>
        <v>7672.2925649014223</v>
      </c>
      <c r="P70" s="14"/>
      <c r="Q70" s="14" t="s">
        <v>17</v>
      </c>
      <c r="R70" s="157">
        <f t="shared" ref="R70:Z70" si="30">R43*1000/$C16</f>
        <v>1853.7800414665476</v>
      </c>
      <c r="S70" s="157">
        <f t="shared" si="30"/>
        <v>1985.6331631462697</v>
      </c>
      <c r="T70" s="157">
        <f t="shared" si="30"/>
        <v>3839.413204612817</v>
      </c>
      <c r="U70" s="157">
        <f t="shared" si="30"/>
        <v>2246.0647188592857</v>
      </c>
      <c r="V70" s="157">
        <f t="shared" si="30"/>
        <v>500.17263531150519</v>
      </c>
      <c r="W70" s="157">
        <f t="shared" si="30"/>
        <v>567.64019956720665</v>
      </c>
      <c r="X70" s="157">
        <f t="shared" si="30"/>
        <v>7153.2907583508149</v>
      </c>
      <c r="Y70" s="157">
        <f t="shared" si="30"/>
        <v>88.334902220910706</v>
      </c>
      <c r="Z70" s="157">
        <f t="shared" si="30"/>
        <v>7241.6256605717244</v>
      </c>
      <c r="AA70" s="157"/>
      <c r="AB70" s="31" t="s">
        <v>17</v>
      </c>
      <c r="AC70" s="157">
        <f t="shared" si="12"/>
        <v>430.66690432969773</v>
      </c>
    </row>
    <row r="71" spans="2:29" s="31" customFormat="1">
      <c r="B71" s="31" t="s">
        <v>18</v>
      </c>
      <c r="C71" s="157">
        <f t="shared" ref="C71:O71" si="31">C44*1000/$C17</f>
        <v>341.15556182883347</v>
      </c>
      <c r="D71" s="157">
        <f t="shared" si="31"/>
        <v>2403.7215028484316</v>
      </c>
      <c r="E71" s="157">
        <f t="shared" si="31"/>
        <v>783.43832354943845</v>
      </c>
      <c r="F71" s="157">
        <f t="shared" si="31"/>
        <v>197.36432225851266</v>
      </c>
      <c r="G71" s="157">
        <f t="shared" si="31"/>
        <v>250.07456565291469</v>
      </c>
      <c r="H71" s="157">
        <f t="shared" si="31"/>
        <v>397.69630790103758</v>
      </c>
      <c r="I71" s="157">
        <f t="shared" si="31"/>
        <v>4032.295022210335</v>
      </c>
      <c r="J71" s="157">
        <f t="shared" si="31"/>
        <v>3326.5695182807885</v>
      </c>
      <c r="K71" s="157">
        <f t="shared" si="31"/>
        <v>794.90902928557716</v>
      </c>
      <c r="L71" s="157">
        <f t="shared" si="31"/>
        <v>792.73988750283797</v>
      </c>
      <c r="M71" s="157">
        <f t="shared" si="31"/>
        <v>9287.6690191083726</v>
      </c>
      <c r="N71" s="157">
        <f t="shared" si="31"/>
        <v>150.29758701827913</v>
      </c>
      <c r="O71" s="157">
        <f t="shared" si="31"/>
        <v>9437.9666061266526</v>
      </c>
      <c r="P71" s="14"/>
      <c r="Q71" s="14" t="s">
        <v>18</v>
      </c>
      <c r="R71" s="157">
        <f t="shared" ref="R71:Z71" si="32">R44*1000/$C17</f>
        <v>1372.8693772722343</v>
      </c>
      <c r="S71" s="157">
        <f t="shared" si="32"/>
        <v>1727.2508325020988</v>
      </c>
      <c r="T71" s="157">
        <f t="shared" si="32"/>
        <v>3100.1202097743326</v>
      </c>
      <c r="U71" s="157">
        <f t="shared" si="32"/>
        <v>1915.4327752230436</v>
      </c>
      <c r="V71" s="157">
        <f t="shared" si="32"/>
        <v>360.41474066064075</v>
      </c>
      <c r="W71" s="157">
        <f t="shared" si="32"/>
        <v>567.52702609972062</v>
      </c>
      <c r="X71" s="157">
        <f t="shared" si="32"/>
        <v>5943.4947517577375</v>
      </c>
      <c r="Y71" s="157">
        <f t="shared" si="32"/>
        <v>137.98517635766095</v>
      </c>
      <c r="Z71" s="157">
        <f t="shared" si="32"/>
        <v>6081.4799281153983</v>
      </c>
      <c r="AA71" s="157"/>
      <c r="AB71" s="31" t="s">
        <v>18</v>
      </c>
      <c r="AC71" s="157">
        <f t="shared" si="12"/>
        <v>3356.486678011252</v>
      </c>
    </row>
    <row r="72" spans="2:29" s="31" customFormat="1">
      <c r="B72" s="31" t="s">
        <v>19</v>
      </c>
      <c r="C72" s="157">
        <f t="shared" ref="C72:O72" si="33">C45*1000/$C18</f>
        <v>341.15556182883347</v>
      </c>
      <c r="D72" s="157">
        <f t="shared" si="33"/>
        <v>2282.0228892600685</v>
      </c>
      <c r="E72" s="157">
        <f t="shared" si="33"/>
        <v>772.3236174729816</v>
      </c>
      <c r="F72" s="157">
        <f t="shared" si="33"/>
        <v>261.49190127673813</v>
      </c>
      <c r="G72" s="157">
        <f t="shared" si="33"/>
        <v>129.77375216407515</v>
      </c>
      <c r="H72" s="157">
        <f t="shared" si="33"/>
        <v>405.30818611047175</v>
      </c>
      <c r="I72" s="157">
        <f t="shared" si="33"/>
        <v>3850.9203462843352</v>
      </c>
      <c r="J72" s="157">
        <f t="shared" si="33"/>
        <v>4121.1641796808372</v>
      </c>
      <c r="K72" s="157">
        <f t="shared" si="33"/>
        <v>298.20843329035688</v>
      </c>
      <c r="L72" s="157">
        <f t="shared" si="33"/>
        <v>808.31331697418943</v>
      </c>
      <c r="M72" s="157">
        <f t="shared" si="33"/>
        <v>9419.7618380585518</v>
      </c>
      <c r="N72" s="157">
        <f t="shared" si="33"/>
        <v>94.752249391509878</v>
      </c>
      <c r="O72" s="157">
        <f t="shared" si="33"/>
        <v>9514.5140874500612</v>
      </c>
      <c r="P72" s="14"/>
      <c r="Q72" s="14" t="s">
        <v>19</v>
      </c>
      <c r="R72" s="157">
        <f t="shared" ref="R72:Z72" si="34">R45*1000/$C18</f>
        <v>1961.7978973745824</v>
      </c>
      <c r="S72" s="157">
        <f t="shared" si="34"/>
        <v>2000.6286472885156</v>
      </c>
      <c r="T72" s="157">
        <f t="shared" si="34"/>
        <v>3962.4265446630984</v>
      </c>
      <c r="U72" s="157">
        <f t="shared" si="34"/>
        <v>2385.6660075198397</v>
      </c>
      <c r="V72" s="157">
        <f t="shared" si="34"/>
        <v>389.34137512538672</v>
      </c>
      <c r="W72" s="157">
        <f t="shared" si="34"/>
        <v>567.63191775138284</v>
      </c>
      <c r="X72" s="157">
        <f t="shared" si="34"/>
        <v>7305.0658450597066</v>
      </c>
      <c r="Y72" s="157">
        <f t="shared" si="34"/>
        <v>84.235260144333537</v>
      </c>
      <c r="Z72" s="157">
        <f t="shared" si="34"/>
        <v>7389.3011052040401</v>
      </c>
      <c r="AA72" s="157"/>
      <c r="AB72" s="31" t="s">
        <v>19</v>
      </c>
      <c r="AC72" s="157">
        <f t="shared" si="12"/>
        <v>2125.2129822460215</v>
      </c>
    </row>
    <row r="73" spans="2:29" s="31" customFormat="1">
      <c r="B73" s="31" t="s">
        <v>20</v>
      </c>
      <c r="C73" s="157">
        <f t="shared" ref="C73:O73" si="35">C46*1000/$C19</f>
        <v>341.15556182883358</v>
      </c>
      <c r="D73" s="157">
        <f t="shared" si="35"/>
        <v>1882.8699502722952</v>
      </c>
      <c r="E73" s="157">
        <f t="shared" si="35"/>
        <v>1116.5224464552778</v>
      </c>
      <c r="F73" s="157">
        <f t="shared" si="35"/>
        <v>111.04774631492697</v>
      </c>
      <c r="G73" s="157">
        <f t="shared" si="35"/>
        <v>4.0088744015676658</v>
      </c>
      <c r="H73" s="157">
        <f t="shared" si="35"/>
        <v>432.31767700004309</v>
      </c>
      <c r="I73" s="157">
        <f t="shared" si="35"/>
        <v>3546.7666944441107</v>
      </c>
      <c r="J73" s="157">
        <f t="shared" si="35"/>
        <v>3796.7595459138379</v>
      </c>
      <c r="K73" s="157">
        <f t="shared" si="35"/>
        <v>163.92521926603078</v>
      </c>
      <c r="L73" s="157">
        <f t="shared" si="35"/>
        <v>593.33335921757305</v>
      </c>
      <c r="M73" s="157">
        <f t="shared" si="35"/>
        <v>8441.9403806703867</v>
      </c>
      <c r="N73" s="157">
        <f t="shared" si="35"/>
        <v>-73.968629229661943</v>
      </c>
      <c r="O73" s="157">
        <f t="shared" si="35"/>
        <v>8367.9717514407257</v>
      </c>
      <c r="P73" s="14"/>
      <c r="Q73" s="14" t="s">
        <v>20</v>
      </c>
      <c r="R73" s="157">
        <f t="shared" ref="R73:Z73" si="36">R46*1000/$C19</f>
        <v>3659.0216335713294</v>
      </c>
      <c r="S73" s="157">
        <f t="shared" si="36"/>
        <v>2447.1070771155951</v>
      </c>
      <c r="T73" s="157">
        <f t="shared" si="36"/>
        <v>6106.128710686924</v>
      </c>
      <c r="U73" s="157">
        <f t="shared" si="36"/>
        <v>3305.9684993058213</v>
      </c>
      <c r="V73" s="157">
        <f t="shared" si="36"/>
        <v>662.1208721293732</v>
      </c>
      <c r="W73" s="157">
        <f t="shared" si="36"/>
        <v>567.80818521534934</v>
      </c>
      <c r="X73" s="157">
        <f t="shared" si="36"/>
        <v>10642.026267337467</v>
      </c>
      <c r="Y73" s="157">
        <f t="shared" si="36"/>
        <v>-72.700181192393273</v>
      </c>
      <c r="Z73" s="157">
        <f t="shared" si="36"/>
        <v>10569.326086145074</v>
      </c>
      <c r="AA73" s="157"/>
      <c r="AB73" s="31" t="s">
        <v>20</v>
      </c>
      <c r="AC73" s="157">
        <f t="shared" si="12"/>
        <v>-2201.3543347043492</v>
      </c>
    </row>
    <row r="74" spans="2:29" s="31" customFormat="1">
      <c r="B74" s="31" t="s">
        <v>60</v>
      </c>
      <c r="C74" s="157">
        <f t="shared" ref="C74:O74" si="37">C47*1000/$C20</f>
        <v>341.15556182883358</v>
      </c>
      <c r="D74" s="157">
        <f t="shared" si="37"/>
        <v>1839.6491591286222</v>
      </c>
      <c r="E74" s="157">
        <f t="shared" si="37"/>
        <v>806.26323913847</v>
      </c>
      <c r="F74" s="157">
        <f t="shared" si="37"/>
        <v>115.28889867799288</v>
      </c>
      <c r="G74" s="157">
        <f t="shared" si="37"/>
        <v>66.148458587294371</v>
      </c>
      <c r="H74" s="157">
        <f t="shared" si="37"/>
        <v>367.90726512132204</v>
      </c>
      <c r="I74" s="157">
        <f t="shared" si="37"/>
        <v>3195.2570206537016</v>
      </c>
      <c r="J74" s="157">
        <f t="shared" si="37"/>
        <v>3010.9792135807047</v>
      </c>
      <c r="K74" s="157">
        <f t="shared" si="37"/>
        <v>246.27065688758222</v>
      </c>
      <c r="L74" s="157">
        <f t="shared" si="37"/>
        <v>603.58963453318222</v>
      </c>
      <c r="M74" s="157">
        <f t="shared" si="37"/>
        <v>7397.2520874840029</v>
      </c>
      <c r="N74" s="157">
        <f t="shared" si="37"/>
        <v>117.59733047816908</v>
      </c>
      <c r="O74" s="157">
        <f t="shared" si="37"/>
        <v>7514.8494179621721</v>
      </c>
      <c r="P74" s="14"/>
      <c r="Q74" s="14" t="s">
        <v>60</v>
      </c>
      <c r="R74" s="157">
        <f t="shared" ref="R74:Z74" si="38">R47*1000/$C20</f>
        <v>1553.4033163452607</v>
      </c>
      <c r="S74" s="157">
        <f t="shared" si="38"/>
        <v>1891.341996710438</v>
      </c>
      <c r="T74" s="157">
        <f t="shared" si="38"/>
        <v>3444.7453130556996</v>
      </c>
      <c r="U74" s="157">
        <f t="shared" si="38"/>
        <v>2081.9476769295429</v>
      </c>
      <c r="V74" s="157">
        <f t="shared" si="38"/>
        <v>463.3792116167582</v>
      </c>
      <c r="W74" s="157">
        <f t="shared" si="38"/>
        <v>567.55517545083421</v>
      </c>
      <c r="X74" s="157">
        <f t="shared" si="38"/>
        <v>6557.6273770528351</v>
      </c>
      <c r="Y74" s="157">
        <f t="shared" si="38"/>
        <v>105.75816306783616</v>
      </c>
      <c r="Z74" s="157">
        <f t="shared" si="38"/>
        <v>6663.3855401206711</v>
      </c>
      <c r="AA74" s="157"/>
      <c r="AB74" s="31" t="s">
        <v>60</v>
      </c>
      <c r="AC74" s="157">
        <f t="shared" si="12"/>
        <v>851.46387784150079</v>
      </c>
    </row>
    <row r="75" spans="2:29" s="31" customFormat="1">
      <c r="B75" s="31" t="s">
        <v>61</v>
      </c>
      <c r="C75" s="157">
        <f t="shared" ref="C75:O75" si="39">C48*1000/$C21</f>
        <v>341.15556182883347</v>
      </c>
      <c r="D75" s="157">
        <f t="shared" si="39"/>
        <v>3733.7568248954194</v>
      </c>
      <c r="E75" s="157">
        <f t="shared" si="39"/>
        <v>998.11323929695664</v>
      </c>
      <c r="F75" s="157">
        <f t="shared" si="39"/>
        <v>164.51467837818507</v>
      </c>
      <c r="G75" s="157">
        <f t="shared" si="39"/>
        <v>6.5671758350831455</v>
      </c>
      <c r="H75" s="157">
        <f t="shared" si="39"/>
        <v>472.31955519976174</v>
      </c>
      <c r="I75" s="157">
        <f t="shared" si="39"/>
        <v>5375.2714736054058</v>
      </c>
      <c r="J75" s="157">
        <f t="shared" si="39"/>
        <v>3942.8760117089669</v>
      </c>
      <c r="K75" s="157">
        <f t="shared" si="39"/>
        <v>398.47203848037014</v>
      </c>
      <c r="L75" s="157">
        <f t="shared" si="39"/>
        <v>525.20327925089782</v>
      </c>
      <c r="M75" s="157">
        <f t="shared" si="39"/>
        <v>10582.978364874476</v>
      </c>
      <c r="N75" s="157">
        <f t="shared" si="39"/>
        <v>-678.7797457920534</v>
      </c>
      <c r="O75" s="157">
        <f t="shared" si="39"/>
        <v>9904.1986190824227</v>
      </c>
      <c r="P75" s="14"/>
      <c r="Q75" s="14" t="s">
        <v>61</v>
      </c>
      <c r="R75" s="157">
        <f t="shared" ref="R75:Z75" si="40">R48*1000/$C21</f>
        <v>2872.2496011558869</v>
      </c>
      <c r="S75" s="157">
        <f t="shared" si="40"/>
        <v>2229.8117825699924</v>
      </c>
      <c r="T75" s="157">
        <f t="shared" si="40"/>
        <v>5102.0613837258788</v>
      </c>
      <c r="U75" s="157">
        <f t="shared" si="40"/>
        <v>3249.4673347840303</v>
      </c>
      <c r="V75" s="157">
        <f t="shared" si="40"/>
        <v>590.97190043146634</v>
      </c>
      <c r="W75" s="157">
        <f t="shared" si="40"/>
        <v>567.75096468316679</v>
      </c>
      <c r="X75" s="157">
        <f t="shared" si="40"/>
        <v>9510.251583624542</v>
      </c>
      <c r="Y75" s="157">
        <f t="shared" si="40"/>
        <v>-563.38704973957579</v>
      </c>
      <c r="Z75" s="157">
        <f t="shared" si="40"/>
        <v>8946.8645338849674</v>
      </c>
      <c r="AA75" s="157"/>
      <c r="AB75" s="31" t="s">
        <v>61</v>
      </c>
      <c r="AC75" s="157">
        <f t="shared" si="12"/>
        <v>957.33408519745524</v>
      </c>
    </row>
    <row r="76" spans="2:29" s="31" customFormat="1">
      <c r="B76" s="31" t="s">
        <v>62</v>
      </c>
      <c r="C76" s="157">
        <f t="shared" ref="C76:O76" si="41">C49*1000/$C22</f>
        <v>341.15556182883347</v>
      </c>
      <c r="D76" s="157">
        <f t="shared" si="41"/>
        <v>4654.2446203354975</v>
      </c>
      <c r="E76" s="157">
        <f t="shared" si="41"/>
        <v>917.64441143075999</v>
      </c>
      <c r="F76" s="157">
        <f t="shared" si="41"/>
        <v>209.67296464955578</v>
      </c>
      <c r="G76" s="157">
        <f t="shared" si="41"/>
        <v>35.651218160998724</v>
      </c>
      <c r="H76" s="157">
        <f t="shared" si="41"/>
        <v>511.64762117135774</v>
      </c>
      <c r="I76" s="157">
        <f t="shared" si="41"/>
        <v>6328.8608357481698</v>
      </c>
      <c r="J76" s="157">
        <f t="shared" si="41"/>
        <v>4756.574744174759</v>
      </c>
      <c r="K76" s="157">
        <f t="shared" si="41"/>
        <v>255.35050256653636</v>
      </c>
      <c r="L76" s="157">
        <f t="shared" si="41"/>
        <v>666.59041172999889</v>
      </c>
      <c r="M76" s="157">
        <f t="shared" si="41"/>
        <v>12348.532056048298</v>
      </c>
      <c r="N76" s="157">
        <f t="shared" si="41"/>
        <v>-406.15640443668332</v>
      </c>
      <c r="O76" s="157">
        <f t="shared" si="41"/>
        <v>11942.375651611612</v>
      </c>
      <c r="P76" s="14"/>
      <c r="Q76" s="14" t="s">
        <v>62</v>
      </c>
      <c r="R76" s="157">
        <f t="shared" ref="R76:Z76" si="42">R49*1000/$C22</f>
        <v>3135.0843042029801</v>
      </c>
      <c r="S76" s="157">
        <f t="shared" si="42"/>
        <v>2277.5389400098638</v>
      </c>
      <c r="T76" s="157">
        <f t="shared" si="42"/>
        <v>5412.6232442128448</v>
      </c>
      <c r="U76" s="157">
        <f t="shared" si="42"/>
        <v>3517.0870712271071</v>
      </c>
      <c r="V76" s="157">
        <f t="shared" si="42"/>
        <v>510.46108867440398</v>
      </c>
      <c r="W76" s="157">
        <f t="shared" si="42"/>
        <v>567.79526962865293</v>
      </c>
      <c r="X76" s="157">
        <f t="shared" si="42"/>
        <v>10007.966673743009</v>
      </c>
      <c r="Y76" s="157">
        <f t="shared" si="42"/>
        <v>-391.09692401174834</v>
      </c>
      <c r="Z76" s="157">
        <f t="shared" si="42"/>
        <v>9616.8697497312605</v>
      </c>
      <c r="AA76" s="157"/>
      <c r="AB76" s="31" t="s">
        <v>62</v>
      </c>
      <c r="AC76" s="157">
        <f t="shared" si="12"/>
        <v>2325.5059018803522</v>
      </c>
    </row>
    <row r="77" spans="2:29" s="31" customFormat="1">
      <c r="B77" s="31" t="s">
        <v>63</v>
      </c>
      <c r="C77" s="157">
        <f t="shared" ref="C77:O77" si="43">C50*1000/$C23</f>
        <v>341.15556182883347</v>
      </c>
      <c r="D77" s="157">
        <f t="shared" si="43"/>
        <v>2419.1257890321772</v>
      </c>
      <c r="E77" s="157">
        <f t="shared" si="43"/>
        <v>902.44888891225878</v>
      </c>
      <c r="F77" s="157">
        <f t="shared" si="43"/>
        <v>198.58589530349431</v>
      </c>
      <c r="G77" s="157">
        <f t="shared" si="43"/>
        <v>7.7786371853181748</v>
      </c>
      <c r="H77" s="157">
        <f t="shared" si="43"/>
        <v>519.21806033504276</v>
      </c>
      <c r="I77" s="157">
        <f t="shared" si="43"/>
        <v>4047.1572707682908</v>
      </c>
      <c r="J77" s="157">
        <f t="shared" si="43"/>
        <v>3643.1274877034853</v>
      </c>
      <c r="K77" s="157">
        <f t="shared" si="43"/>
        <v>308.93772829693387</v>
      </c>
      <c r="L77" s="157">
        <f t="shared" si="43"/>
        <v>748.81496597098237</v>
      </c>
      <c r="M77" s="157">
        <f t="shared" si="43"/>
        <v>9089.1930145685255</v>
      </c>
      <c r="N77" s="157">
        <f t="shared" si="43"/>
        <v>62.100631388551648</v>
      </c>
      <c r="O77" s="157">
        <f t="shared" si="43"/>
        <v>9151.2936459570774</v>
      </c>
      <c r="P77" s="14"/>
      <c r="Q77" s="14" t="s">
        <v>63</v>
      </c>
      <c r="R77" s="157">
        <f t="shared" ref="R77:Z77" si="44">R50*1000/$C23</f>
        <v>2297.2189117265571</v>
      </c>
      <c r="S77" s="157">
        <f t="shared" si="44"/>
        <v>2038.6415448745406</v>
      </c>
      <c r="T77" s="157">
        <f t="shared" si="44"/>
        <v>4335.8604566010981</v>
      </c>
      <c r="U77" s="157">
        <f t="shared" si="44"/>
        <v>2742.5786693704331</v>
      </c>
      <c r="V77" s="157">
        <f t="shared" si="44"/>
        <v>538.52625040287398</v>
      </c>
      <c r="W77" s="157">
        <f t="shared" si="44"/>
        <v>567.67743250568458</v>
      </c>
      <c r="X77" s="157">
        <f t="shared" si="44"/>
        <v>8184.6428088800894</v>
      </c>
      <c r="Y77" s="157">
        <f t="shared" si="44"/>
        <v>57.108935668457541</v>
      </c>
      <c r="Z77" s="157">
        <f t="shared" si="44"/>
        <v>8241.7517445485464</v>
      </c>
      <c r="AA77" s="157"/>
      <c r="AB77" s="31" t="s">
        <v>63</v>
      </c>
      <c r="AC77" s="157">
        <f t="shared" si="12"/>
        <v>909.54190140853029</v>
      </c>
    </row>
    <row r="78" spans="2:29" s="31" customFormat="1">
      <c r="B78" s="31" t="s">
        <v>64</v>
      </c>
      <c r="C78" s="157">
        <f t="shared" ref="C78:O78" si="45">C51*1000/$C24</f>
        <v>341.15556182883347</v>
      </c>
      <c r="D78" s="157">
        <f t="shared" si="45"/>
        <v>4062.0646567481826</v>
      </c>
      <c r="E78" s="157">
        <f t="shared" si="45"/>
        <v>462.76026708917794</v>
      </c>
      <c r="F78" s="157">
        <f t="shared" si="45"/>
        <v>252.1480787559303</v>
      </c>
      <c r="G78" s="157">
        <f t="shared" si="45"/>
        <v>810.35106897395599</v>
      </c>
      <c r="H78" s="157">
        <f t="shared" si="45"/>
        <v>872.52193699985116</v>
      </c>
      <c r="I78" s="157">
        <f t="shared" si="45"/>
        <v>6459.8460085670977</v>
      </c>
      <c r="J78" s="157">
        <f t="shared" si="45"/>
        <v>2550.8590955568875</v>
      </c>
      <c r="K78" s="157">
        <f t="shared" si="45"/>
        <v>544.55361621519432</v>
      </c>
      <c r="L78" s="157">
        <f t="shared" si="45"/>
        <v>1213.0653700641544</v>
      </c>
      <c r="M78" s="157">
        <f t="shared" si="45"/>
        <v>11109.479652232169</v>
      </c>
      <c r="N78" s="157">
        <f t="shared" si="45"/>
        <v>0</v>
      </c>
      <c r="O78" s="157">
        <f t="shared" si="45"/>
        <v>11109.479652232169</v>
      </c>
      <c r="P78" s="14"/>
      <c r="Q78" s="14" t="s">
        <v>64</v>
      </c>
      <c r="R78" s="157">
        <f t="shared" ref="R78:Z78" si="46">R51*1000/$C24</f>
        <v>1481.0372103719035</v>
      </c>
      <c r="S78" s="157">
        <f t="shared" si="46"/>
        <v>1788.3171924389924</v>
      </c>
      <c r="T78" s="157">
        <f t="shared" si="46"/>
        <v>3269.3544028108968</v>
      </c>
      <c r="U78" s="157">
        <f t="shared" si="46"/>
        <v>2096.7694149471449</v>
      </c>
      <c r="V78" s="157">
        <f t="shared" si="46"/>
        <v>196.11056138913534</v>
      </c>
      <c r="W78" s="157">
        <f t="shared" si="46"/>
        <v>567.55272099013155</v>
      </c>
      <c r="X78" s="157">
        <f t="shared" si="46"/>
        <v>6129.7871001373078</v>
      </c>
      <c r="Y78" s="157">
        <f t="shared" si="46"/>
        <v>-648.59955823097425</v>
      </c>
      <c r="Z78" s="157">
        <f t="shared" si="46"/>
        <v>5481.1875419063335</v>
      </c>
      <c r="AA78" s="157"/>
      <c r="AB78" s="31" t="s">
        <v>64</v>
      </c>
      <c r="AC78" s="157">
        <f t="shared" si="12"/>
        <v>5628.2921103258359</v>
      </c>
    </row>
    <row r="79" spans="2:29" s="31" customFormat="1" ht="13.5" thickBot="1">
      <c r="B79" s="191" t="s">
        <v>84</v>
      </c>
      <c r="C79" s="172">
        <f t="shared" ref="C79:O79" si="47">C52*1000/$C25</f>
        <v>341.15556182883347</v>
      </c>
      <c r="D79" s="172">
        <f t="shared" si="47"/>
        <v>2170.5389890245169</v>
      </c>
      <c r="E79" s="172">
        <f t="shared" si="47"/>
        <v>947.58239900310411</v>
      </c>
      <c r="F79" s="172">
        <f t="shared" si="47"/>
        <v>153.60722781538664</v>
      </c>
      <c r="G79" s="172">
        <f t="shared" si="47"/>
        <v>100.84994940188209</v>
      </c>
      <c r="H79" s="172">
        <f t="shared" si="47"/>
        <v>414.43087056714978</v>
      </c>
      <c r="I79" s="172">
        <f t="shared" si="47"/>
        <v>3787.00943581204</v>
      </c>
      <c r="J79" s="172">
        <f t="shared" si="47"/>
        <v>3642.6408096501968</v>
      </c>
      <c r="K79" s="172">
        <f t="shared" si="47"/>
        <v>323.50522094645538</v>
      </c>
      <c r="L79" s="172">
        <f t="shared" si="47"/>
        <v>679.64771380483899</v>
      </c>
      <c r="M79" s="172">
        <f t="shared" si="47"/>
        <v>8773.9587420423632</v>
      </c>
      <c r="N79" s="172">
        <f t="shared" si="47"/>
        <v>33.955789880648737</v>
      </c>
      <c r="O79" s="172">
        <f t="shared" si="47"/>
        <v>8807.9145319230138</v>
      </c>
      <c r="P79" s="14"/>
      <c r="Q79" s="190" t="s">
        <v>84</v>
      </c>
      <c r="R79" s="172">
        <f t="shared" ref="R79:Z79" si="48">R52*1000/$C25</f>
        <v>2277.600405501727</v>
      </c>
      <c r="S79" s="172">
        <f t="shared" si="48"/>
        <v>2076.2992841808705</v>
      </c>
      <c r="T79" s="172">
        <f t="shared" si="48"/>
        <v>4353.8996896825975</v>
      </c>
      <c r="U79" s="172">
        <f t="shared" si="48"/>
        <v>2597.5947758901293</v>
      </c>
      <c r="V79" s="172">
        <f t="shared" si="48"/>
        <v>525.08956195711676</v>
      </c>
      <c r="W79" s="172">
        <f t="shared" si="48"/>
        <v>567.671530872993</v>
      </c>
      <c r="X79" s="172">
        <f t="shared" si="48"/>
        <v>8044.255558402835</v>
      </c>
      <c r="Y79" s="172">
        <f t="shared" si="48"/>
        <v>-14.438175812601514</v>
      </c>
      <c r="Z79" s="172">
        <f t="shared" si="48"/>
        <v>8029.817382590234</v>
      </c>
      <c r="AA79" s="157"/>
      <c r="AB79" s="191" t="s">
        <v>84</v>
      </c>
      <c r="AC79" s="172">
        <f t="shared" si="12"/>
        <v>778.09714933277769</v>
      </c>
    </row>
    <row r="80" spans="2:29">
      <c r="D80" s="35"/>
      <c r="P80" s="31"/>
      <c r="Q80" s="31"/>
      <c r="AA80" s="31"/>
    </row>
    <row r="81" spans="1:31">
      <c r="P81" s="31"/>
    </row>
    <row r="82" spans="1:31">
      <c r="E82" s="29" t="s">
        <v>81</v>
      </c>
    </row>
    <row r="83" spans="1:31">
      <c r="B83" s="176" t="s">
        <v>41</v>
      </c>
      <c r="Q83" s="176" t="s">
        <v>41</v>
      </c>
    </row>
    <row r="84" spans="1:31">
      <c r="Y84" s="198"/>
      <c r="AB84" s="34"/>
    </row>
    <row r="85" spans="1:31" s="34" customFormat="1" ht="39" thickBot="1">
      <c r="A85" s="187"/>
      <c r="B85" s="189"/>
      <c r="C85" s="192" t="s">
        <v>39</v>
      </c>
      <c r="D85" s="193" t="s">
        <v>980</v>
      </c>
      <c r="E85" s="194" t="s">
        <v>26</v>
      </c>
      <c r="F85" s="194" t="s">
        <v>1</v>
      </c>
      <c r="G85" s="194" t="s">
        <v>55</v>
      </c>
      <c r="H85" s="194" t="s">
        <v>22</v>
      </c>
      <c r="I85" s="195" t="s">
        <v>79</v>
      </c>
      <c r="J85" s="196" t="s">
        <v>68</v>
      </c>
      <c r="K85" s="197" t="s">
        <v>65</v>
      </c>
      <c r="L85" s="234" t="s">
        <v>560</v>
      </c>
      <c r="M85" s="234" t="s">
        <v>930</v>
      </c>
      <c r="N85" s="194" t="s">
        <v>42</v>
      </c>
      <c r="O85" s="197" t="s">
        <v>27</v>
      </c>
      <c r="P85" s="187"/>
      <c r="Q85" s="171"/>
      <c r="R85" s="171" t="s">
        <v>87</v>
      </c>
      <c r="S85" s="160" t="s">
        <v>109</v>
      </c>
      <c r="T85" s="162" t="s">
        <v>86</v>
      </c>
      <c r="U85" s="162" t="s">
        <v>102</v>
      </c>
      <c r="V85" s="162" t="s">
        <v>103</v>
      </c>
      <c r="W85" s="162" t="s">
        <v>105</v>
      </c>
      <c r="X85" s="162" t="s">
        <v>106</v>
      </c>
      <c r="Y85" s="184" t="s">
        <v>997</v>
      </c>
      <c r="Z85" s="162" t="s">
        <v>108</v>
      </c>
      <c r="AA85" s="187"/>
      <c r="AB85" s="171"/>
      <c r="AC85" s="162" t="s">
        <v>2</v>
      </c>
      <c r="AD85" s="211" t="s">
        <v>1002</v>
      </c>
    </row>
    <row r="86" spans="1:31">
      <c r="A86" s="31"/>
      <c r="B86" s="31" t="s">
        <v>9</v>
      </c>
      <c r="C86" s="203">
        <f t="shared" ref="C86:C102" si="49">C61-C$79</f>
        <v>0</v>
      </c>
      <c r="D86" s="157">
        <f t="shared" ref="D86:I101" si="50">D61-D$79</f>
        <v>-255.46789560119964</v>
      </c>
      <c r="E86" s="157">
        <f t="shared" si="50"/>
        <v>-121.43436702058625</v>
      </c>
      <c r="F86" s="157">
        <f t="shared" si="50"/>
        <v>-22.426255788046518</v>
      </c>
      <c r="G86" s="157">
        <f t="shared" si="50"/>
        <v>41.317111237168589</v>
      </c>
      <c r="H86" s="157">
        <f t="shared" si="50"/>
        <v>-27.383889476721038</v>
      </c>
      <c r="I86" s="157">
        <f t="shared" si="50"/>
        <v>-385.39529664938573</v>
      </c>
      <c r="J86" s="157">
        <f t="shared" ref="J86:J102" si="51">J61-J$79</f>
        <v>-511.25753912239088</v>
      </c>
      <c r="K86" s="157">
        <f t="shared" ref="K86:O101" si="52">K61-K$79</f>
        <v>152.08926376909693</v>
      </c>
      <c r="L86" s="157">
        <f t="shared" si="52"/>
        <v>-15.748975637667172</v>
      </c>
      <c r="M86" s="157">
        <f t="shared" si="52"/>
        <v>-760.31254764034475</v>
      </c>
      <c r="N86" s="157">
        <f t="shared" si="52"/>
        <v>38.007113971896473</v>
      </c>
      <c r="O86" s="157">
        <f>O61-O$79</f>
        <v>-722.30543366845086</v>
      </c>
      <c r="P86" s="14"/>
      <c r="Q86" s="14" t="s">
        <v>9</v>
      </c>
      <c r="R86" s="157">
        <f>R$79-R61</f>
        <v>796.52478106977287</v>
      </c>
      <c r="S86" s="157">
        <f t="shared" ref="S86:Y86" si="53">S$79-S61</f>
        <v>194.8668703535775</v>
      </c>
      <c r="T86" s="157">
        <f t="shared" si="53"/>
        <v>991.39165142335059</v>
      </c>
      <c r="U86" s="157">
        <f t="shared" si="53"/>
        <v>617.58529485428471</v>
      </c>
      <c r="V86" s="157">
        <f t="shared" si="53"/>
        <v>93.12465815296963</v>
      </c>
      <c r="W86" s="157">
        <f t="shared" si="53"/>
        <v>0.11002968765512833</v>
      </c>
      <c r="X86" s="157">
        <f t="shared" si="53"/>
        <v>1702.2116341182582</v>
      </c>
      <c r="Y86" s="157">
        <f t="shared" si="53"/>
        <v>-64.587512146771871</v>
      </c>
      <c r="Z86" s="157">
        <f>Z$79-Z61</f>
        <v>1637.6241219714866</v>
      </c>
      <c r="AA86" s="14"/>
      <c r="AB86" s="31" t="s">
        <v>9</v>
      </c>
      <c r="AC86" s="157">
        <f t="shared" ref="AC86:AC104" si="54">O86+Z86</f>
        <v>915.31868830303574</v>
      </c>
      <c r="AD86" s="44">
        <f t="shared" ref="AD86:AD104" si="55">T86+U86+W86</f>
        <v>1609.0869759652905</v>
      </c>
      <c r="AE86" s="9"/>
    </row>
    <row r="87" spans="1:31">
      <c r="A87" s="31"/>
      <c r="B87" s="31" t="s">
        <v>10</v>
      </c>
      <c r="C87" s="203">
        <f t="shared" si="49"/>
        <v>0</v>
      </c>
      <c r="D87" s="157">
        <f t="shared" ref="D87:D102" si="56">D62-D$79</f>
        <v>107.08115051771119</v>
      </c>
      <c r="E87" s="157">
        <f t="shared" si="50"/>
        <v>74.146661523779812</v>
      </c>
      <c r="F87" s="157">
        <f t="shared" si="50"/>
        <v>130.44497196350267</v>
      </c>
      <c r="G87" s="157">
        <f t="shared" si="50"/>
        <v>-40.817424879140297</v>
      </c>
      <c r="H87" s="157">
        <f t="shared" si="50"/>
        <v>47.2522277016609</v>
      </c>
      <c r="I87" s="157">
        <f t="shared" si="50"/>
        <v>318.10758682751339</v>
      </c>
      <c r="J87" s="157">
        <f t="shared" si="51"/>
        <v>445.3587468186679</v>
      </c>
      <c r="K87" s="157">
        <f t="shared" si="52"/>
        <v>257.59572354267408</v>
      </c>
      <c r="L87" s="157">
        <f t="shared" si="52"/>
        <v>107.87109101376961</v>
      </c>
      <c r="M87" s="157">
        <f t="shared" si="52"/>
        <v>1128.9331482026264</v>
      </c>
      <c r="N87" s="157">
        <f t="shared" si="52"/>
        <v>62.984183596218969</v>
      </c>
      <c r="O87" s="157">
        <f t="shared" si="52"/>
        <v>1191.9173317988443</v>
      </c>
      <c r="P87" s="14"/>
      <c r="Q87" s="14" t="s">
        <v>10</v>
      </c>
      <c r="R87" s="157">
        <f t="shared" ref="R87:Z102" si="57">R$79-R62</f>
        <v>-167.1116623959997</v>
      </c>
      <c r="S87" s="157">
        <f t="shared" si="57"/>
        <v>-23.495001808133566</v>
      </c>
      <c r="T87" s="157">
        <f t="shared" si="57"/>
        <v>-190.60666420413327</v>
      </c>
      <c r="U87" s="157">
        <f t="shared" si="57"/>
        <v>-231.58958033191311</v>
      </c>
      <c r="V87" s="157">
        <f t="shared" si="57"/>
        <v>-24.336754385905806</v>
      </c>
      <c r="W87" s="157">
        <f t="shared" si="57"/>
        <v>-1.185414430540277E-2</v>
      </c>
      <c r="X87" s="157">
        <f t="shared" si="57"/>
        <v>-446.54485306626066</v>
      </c>
      <c r="Y87" s="157">
        <f t="shared" si="57"/>
        <v>-106.8096218860709</v>
      </c>
      <c r="Z87" s="157">
        <f t="shared" si="57"/>
        <v>-553.35447495233166</v>
      </c>
      <c r="AA87" s="14"/>
      <c r="AB87" s="31" t="s">
        <v>10</v>
      </c>
      <c r="AC87" s="157">
        <f t="shared" si="54"/>
        <v>638.56285684651266</v>
      </c>
      <c r="AD87" s="44">
        <f t="shared" si="55"/>
        <v>-422.20809868035178</v>
      </c>
    </row>
    <row r="88" spans="1:31">
      <c r="A88" s="31"/>
      <c r="B88" s="31" t="s">
        <v>11</v>
      </c>
      <c r="C88" s="203">
        <f t="shared" si="49"/>
        <v>0</v>
      </c>
      <c r="D88" s="157">
        <f t="shared" si="56"/>
        <v>78.118514345868334</v>
      </c>
      <c r="E88" s="157">
        <f t="shared" si="50"/>
        <v>-53.735110609208959</v>
      </c>
      <c r="F88" s="157">
        <f t="shared" si="50"/>
        <v>107.54560226459648</v>
      </c>
      <c r="G88" s="157">
        <f t="shared" si="50"/>
        <v>-0.18634831129443796</v>
      </c>
      <c r="H88" s="157">
        <f t="shared" si="50"/>
        <v>-12.346230353817361</v>
      </c>
      <c r="I88" s="157">
        <f t="shared" si="50"/>
        <v>119.39642733614346</v>
      </c>
      <c r="J88" s="157">
        <f t="shared" si="51"/>
        <v>1746.0720835407451</v>
      </c>
      <c r="K88" s="157">
        <f t="shared" si="52"/>
        <v>-39.420126219480039</v>
      </c>
      <c r="L88" s="157">
        <f t="shared" si="52"/>
        <v>260.33831146230796</v>
      </c>
      <c r="M88" s="157">
        <f t="shared" si="52"/>
        <v>2086.3866961197145</v>
      </c>
      <c r="N88" s="157">
        <f t="shared" si="52"/>
        <v>58.047705538461159</v>
      </c>
      <c r="O88" s="157">
        <f t="shared" si="52"/>
        <v>2144.4344016581745</v>
      </c>
      <c r="P88" s="14"/>
      <c r="Q88" s="14" t="s">
        <v>11</v>
      </c>
      <c r="R88" s="157">
        <f t="shared" si="57"/>
        <v>-103.03585393373396</v>
      </c>
      <c r="S88" s="157">
        <f t="shared" si="57"/>
        <v>21.987702377572532</v>
      </c>
      <c r="T88" s="157">
        <f t="shared" si="57"/>
        <v>-81.048151556160519</v>
      </c>
      <c r="U88" s="157">
        <f t="shared" si="57"/>
        <v>-21.50309404656673</v>
      </c>
      <c r="V88" s="157">
        <f t="shared" si="57"/>
        <v>38.98482383545479</v>
      </c>
      <c r="W88" s="157">
        <f t="shared" si="57"/>
        <v>-1.464843867199761E-2</v>
      </c>
      <c r="X88" s="157">
        <f t="shared" si="57"/>
        <v>-63.581070205947071</v>
      </c>
      <c r="Y88" s="157">
        <f t="shared" si="57"/>
        <v>-94.626857213059992</v>
      </c>
      <c r="Z88" s="157">
        <f t="shared" si="57"/>
        <v>-158.20792741900732</v>
      </c>
      <c r="AA88" s="14"/>
      <c r="AB88" s="31" t="s">
        <v>11</v>
      </c>
      <c r="AC88" s="157">
        <f t="shared" si="54"/>
        <v>1986.2264742391671</v>
      </c>
      <c r="AD88" s="44">
        <f t="shared" si="55"/>
        <v>-102.56589404139925</v>
      </c>
    </row>
    <row r="89" spans="1:31">
      <c r="A89" s="31"/>
      <c r="B89" s="31" t="s">
        <v>31</v>
      </c>
      <c r="C89" s="203">
        <f t="shared" si="49"/>
        <v>0</v>
      </c>
      <c r="D89" s="157">
        <f t="shared" si="56"/>
        <v>-95.849140572056513</v>
      </c>
      <c r="E89" s="157">
        <f t="shared" si="50"/>
        <v>76.483682083756207</v>
      </c>
      <c r="F89" s="157">
        <f t="shared" si="50"/>
        <v>-55.437291943419694</v>
      </c>
      <c r="G89" s="157">
        <f t="shared" si="50"/>
        <v>203.8044009980606</v>
      </c>
      <c r="H89" s="157">
        <f t="shared" si="50"/>
        <v>-17.08676975899823</v>
      </c>
      <c r="I89" s="157">
        <f t="shared" si="50"/>
        <v>111.91488080734234</v>
      </c>
      <c r="J89" s="157">
        <f t="shared" si="51"/>
        <v>-679.47354195163416</v>
      </c>
      <c r="K89" s="157">
        <f t="shared" si="52"/>
        <v>-145.17923576328604</v>
      </c>
      <c r="L89" s="157">
        <f t="shared" si="52"/>
        <v>-139.6379462322783</v>
      </c>
      <c r="M89" s="157">
        <f t="shared" si="52"/>
        <v>-852.37584313985644</v>
      </c>
      <c r="N89" s="157">
        <f t="shared" si="52"/>
        <v>145.76076502060505</v>
      </c>
      <c r="O89" s="157">
        <f t="shared" si="52"/>
        <v>-706.61507811925276</v>
      </c>
      <c r="P89" s="14"/>
      <c r="Q89" s="14" t="s">
        <v>31</v>
      </c>
      <c r="R89" s="157">
        <f t="shared" si="57"/>
        <v>15.470857239749421</v>
      </c>
      <c r="S89" s="157">
        <f t="shared" si="57"/>
        <v>-129.01417914265494</v>
      </c>
      <c r="T89" s="157">
        <f t="shared" si="57"/>
        <v>-113.54332190290461</v>
      </c>
      <c r="U89" s="157">
        <f t="shared" si="57"/>
        <v>-206.04000009011179</v>
      </c>
      <c r="V89" s="157">
        <f t="shared" si="57"/>
        <v>-165.51162857460986</v>
      </c>
      <c r="W89" s="157">
        <f t="shared" si="57"/>
        <v>-4.2463628526206776E-2</v>
      </c>
      <c r="X89" s="157">
        <f t="shared" si="57"/>
        <v>-485.13741419615417</v>
      </c>
      <c r="Y89" s="157">
        <f t="shared" si="57"/>
        <v>-181.39280327165716</v>
      </c>
      <c r="Z89" s="157">
        <f t="shared" si="57"/>
        <v>-666.53021746780905</v>
      </c>
      <c r="AA89" s="14"/>
      <c r="AB89" s="31" t="s">
        <v>31</v>
      </c>
      <c r="AC89" s="157">
        <f t="shared" si="54"/>
        <v>-1373.1452955870618</v>
      </c>
      <c r="AD89" s="44">
        <f t="shared" si="55"/>
        <v>-319.6257856215426</v>
      </c>
    </row>
    <row r="90" spans="1:31">
      <c r="A90" s="31"/>
      <c r="B90" s="31" t="s">
        <v>12</v>
      </c>
      <c r="C90" s="203">
        <f t="shared" si="49"/>
        <v>0</v>
      </c>
      <c r="D90" s="157">
        <f t="shared" si="56"/>
        <v>73.909230746461617</v>
      </c>
      <c r="E90" s="157">
        <f t="shared" si="50"/>
        <v>182.26066291456402</v>
      </c>
      <c r="F90" s="157">
        <f t="shared" si="50"/>
        <v>-28.695018852856322</v>
      </c>
      <c r="G90" s="157">
        <f t="shared" si="50"/>
        <v>476.81658531759933</v>
      </c>
      <c r="H90" s="157">
        <f t="shared" si="50"/>
        <v>-32.421013672782749</v>
      </c>
      <c r="I90" s="157">
        <f t="shared" si="50"/>
        <v>671.87044645298511</v>
      </c>
      <c r="J90" s="157">
        <f t="shared" si="51"/>
        <v>-855.13134824192957</v>
      </c>
      <c r="K90" s="157">
        <f t="shared" si="52"/>
        <v>-66.815278064180859</v>
      </c>
      <c r="L90" s="157">
        <f t="shared" si="52"/>
        <v>70.330017165682762</v>
      </c>
      <c r="M90" s="157">
        <f t="shared" si="52"/>
        <v>-179.74616268744103</v>
      </c>
      <c r="N90" s="157">
        <f t="shared" si="52"/>
        <v>14.414938214006447</v>
      </c>
      <c r="O90" s="157">
        <f t="shared" si="52"/>
        <v>-165.33122447343703</v>
      </c>
      <c r="P90" s="14"/>
      <c r="Q90" s="14" t="s">
        <v>12</v>
      </c>
      <c r="R90" s="157">
        <f t="shared" si="57"/>
        <v>653.54416123250485</v>
      </c>
      <c r="S90" s="157">
        <f t="shared" si="57"/>
        <v>341.42636418589927</v>
      </c>
      <c r="T90" s="157">
        <f t="shared" si="57"/>
        <v>994.97052541840412</v>
      </c>
      <c r="U90" s="157">
        <f t="shared" si="57"/>
        <v>344.65981056872897</v>
      </c>
      <c r="V90" s="157">
        <f t="shared" si="57"/>
        <v>112.36222012795173</v>
      </c>
      <c r="W90" s="157">
        <f t="shared" si="57"/>
        <v>0.10476679559485547</v>
      </c>
      <c r="X90" s="157">
        <f t="shared" si="57"/>
        <v>1452.0973229106785</v>
      </c>
      <c r="Y90" s="157">
        <f t="shared" si="57"/>
        <v>755.24373378459654</v>
      </c>
      <c r="Z90" s="157">
        <f t="shared" si="57"/>
        <v>2207.3410566952762</v>
      </c>
      <c r="AA90" s="14"/>
      <c r="AB90" s="31" t="s">
        <v>12</v>
      </c>
      <c r="AC90" s="157">
        <f t="shared" si="54"/>
        <v>2042.0098322218391</v>
      </c>
      <c r="AD90" s="44">
        <f t="shared" si="55"/>
        <v>1339.7351027827281</v>
      </c>
    </row>
    <row r="91" spans="1:31">
      <c r="A91" s="31"/>
      <c r="B91" s="31" t="s">
        <v>13</v>
      </c>
      <c r="C91" s="203">
        <f t="shared" si="49"/>
        <v>0</v>
      </c>
      <c r="D91" s="157">
        <f t="shared" si="56"/>
        <v>347.27150498713672</v>
      </c>
      <c r="E91" s="157">
        <f t="shared" si="50"/>
        <v>-3.6615825442152072</v>
      </c>
      <c r="F91" s="157">
        <f t="shared" si="50"/>
        <v>51.467975099756075</v>
      </c>
      <c r="G91" s="157">
        <f t="shared" si="50"/>
        <v>-19.743201040822214</v>
      </c>
      <c r="H91" s="157">
        <f t="shared" si="50"/>
        <v>-12.616982414448614</v>
      </c>
      <c r="I91" s="157">
        <f t="shared" si="50"/>
        <v>362.71771408740597</v>
      </c>
      <c r="J91" s="157">
        <f t="shared" si="51"/>
        <v>544.69741239707355</v>
      </c>
      <c r="K91" s="157">
        <f t="shared" si="52"/>
        <v>-3.951954295398707</v>
      </c>
      <c r="L91" s="157">
        <f t="shared" si="52"/>
        <v>132.78666390965066</v>
      </c>
      <c r="M91" s="157">
        <f t="shared" si="52"/>
        <v>1036.2498360987338</v>
      </c>
      <c r="N91" s="157">
        <f t="shared" si="52"/>
        <v>32.502327726311563</v>
      </c>
      <c r="O91" s="157">
        <f t="shared" si="52"/>
        <v>1068.7521638250437</v>
      </c>
      <c r="P91" s="14"/>
      <c r="Q91" s="14" t="s">
        <v>13</v>
      </c>
      <c r="R91" s="157">
        <f t="shared" si="57"/>
        <v>-22.705836502893817</v>
      </c>
      <c r="S91" s="157">
        <f t="shared" si="57"/>
        <v>-4.2252583036242868</v>
      </c>
      <c r="T91" s="157">
        <f t="shared" si="57"/>
        <v>-26.931094806517649</v>
      </c>
      <c r="U91" s="157">
        <f t="shared" si="57"/>
        <v>-56.418942768747456</v>
      </c>
      <c r="V91" s="157">
        <f t="shared" si="57"/>
        <v>-39.340646121531449</v>
      </c>
      <c r="W91" s="157">
        <f t="shared" si="57"/>
        <v>-2.3086826453209142E-2</v>
      </c>
      <c r="X91" s="157">
        <f t="shared" si="57"/>
        <v>-122.7137705232517</v>
      </c>
      <c r="Y91" s="157">
        <f t="shared" si="57"/>
        <v>-67.613177309600815</v>
      </c>
      <c r="Z91" s="157">
        <f t="shared" si="57"/>
        <v>-190.32694783285297</v>
      </c>
      <c r="AA91" s="14"/>
      <c r="AB91" s="31" t="s">
        <v>13</v>
      </c>
      <c r="AC91" s="157">
        <f t="shared" si="54"/>
        <v>878.42521599219072</v>
      </c>
      <c r="AD91" s="44">
        <f t="shared" si="55"/>
        <v>-83.373124401718314</v>
      </c>
    </row>
    <row r="92" spans="1:31">
      <c r="A92" s="31"/>
      <c r="B92" s="31" t="s">
        <v>14</v>
      </c>
      <c r="C92" s="203">
        <f t="shared" si="49"/>
        <v>0</v>
      </c>
      <c r="D92" s="157">
        <f t="shared" si="56"/>
        <v>169.55678436195058</v>
      </c>
      <c r="E92" s="157">
        <f t="shared" si="50"/>
        <v>-21.460738511850423</v>
      </c>
      <c r="F92" s="157">
        <f t="shared" si="50"/>
        <v>189.5517269660233</v>
      </c>
      <c r="G92" s="157">
        <f t="shared" si="50"/>
        <v>5.9867331108919615</v>
      </c>
      <c r="H92" s="157">
        <f t="shared" si="50"/>
        <v>39.734576079389683</v>
      </c>
      <c r="I92" s="157">
        <f t="shared" si="50"/>
        <v>383.36908200640437</v>
      </c>
      <c r="J92" s="157">
        <f t="shared" si="51"/>
        <v>575.9720289599295</v>
      </c>
      <c r="K92" s="157">
        <f t="shared" si="52"/>
        <v>252.50124352439337</v>
      </c>
      <c r="L92" s="157">
        <f t="shared" si="52"/>
        <v>159.22098187643303</v>
      </c>
      <c r="M92" s="157">
        <f t="shared" si="52"/>
        <v>1371.0633363671623</v>
      </c>
      <c r="N92" s="157">
        <f t="shared" si="52"/>
        <v>30.695829208914958</v>
      </c>
      <c r="O92" s="157">
        <f t="shared" si="52"/>
        <v>1401.7591655760752</v>
      </c>
      <c r="P92" s="14"/>
      <c r="Q92" s="14" t="s">
        <v>14</v>
      </c>
      <c r="R92" s="157">
        <f t="shared" si="57"/>
        <v>178.07786533141234</v>
      </c>
      <c r="S92" s="157">
        <f t="shared" si="57"/>
        <v>95.497641511519532</v>
      </c>
      <c r="T92" s="157">
        <f t="shared" si="57"/>
        <v>273.57550684293119</v>
      </c>
      <c r="U92" s="157">
        <f t="shared" si="57"/>
        <v>79.063964736943035</v>
      </c>
      <c r="V92" s="157">
        <f t="shared" si="57"/>
        <v>36.95599302136236</v>
      </c>
      <c r="W92" s="157">
        <f t="shared" si="57"/>
        <v>3.021613639498355E-2</v>
      </c>
      <c r="X92" s="157">
        <f t="shared" si="57"/>
        <v>389.62568073763032</v>
      </c>
      <c r="Y92" s="157">
        <f t="shared" si="57"/>
        <v>-67.924085918576466</v>
      </c>
      <c r="Z92" s="157">
        <f t="shared" si="57"/>
        <v>321.70159481905284</v>
      </c>
      <c r="AA92" s="14"/>
      <c r="AB92" s="31" t="s">
        <v>14</v>
      </c>
      <c r="AC92" s="157">
        <f t="shared" si="54"/>
        <v>1723.4607603951281</v>
      </c>
      <c r="AD92" s="44">
        <f t="shared" si="55"/>
        <v>352.66968771626921</v>
      </c>
    </row>
    <row r="93" spans="1:31">
      <c r="A93" s="31"/>
      <c r="B93" s="31" t="s">
        <v>15</v>
      </c>
      <c r="C93" s="203">
        <f t="shared" si="49"/>
        <v>0</v>
      </c>
      <c r="D93" s="157">
        <f t="shared" si="56"/>
        <v>-41.809495049770703</v>
      </c>
      <c r="E93" s="157">
        <f t="shared" si="50"/>
        <v>-90.737155917119253</v>
      </c>
      <c r="F93" s="157">
        <f t="shared" si="50"/>
        <v>7.5963163228616679</v>
      </c>
      <c r="G93" s="157">
        <f t="shared" si="50"/>
        <v>-0.13806351473114375</v>
      </c>
      <c r="H93" s="157">
        <f t="shared" si="50"/>
        <v>-47.105039730328144</v>
      </c>
      <c r="I93" s="157">
        <f t="shared" si="50"/>
        <v>-172.19343788908782</v>
      </c>
      <c r="J93" s="157">
        <f t="shared" si="51"/>
        <v>-507.69023192546729</v>
      </c>
      <c r="K93" s="157">
        <f t="shared" si="52"/>
        <v>142.55178203498485</v>
      </c>
      <c r="L93" s="157">
        <f t="shared" si="52"/>
        <v>-16.042909288861665</v>
      </c>
      <c r="M93" s="157">
        <f t="shared" si="52"/>
        <v>-553.37479706843078</v>
      </c>
      <c r="N93" s="157">
        <f t="shared" si="52"/>
        <v>-23.692185834937582</v>
      </c>
      <c r="O93" s="157">
        <f t="shared" si="52"/>
        <v>-577.06698290336863</v>
      </c>
      <c r="P93" s="14"/>
      <c r="Q93" s="14" t="s">
        <v>15</v>
      </c>
      <c r="R93" s="157">
        <f t="shared" si="57"/>
        <v>704.74100394357902</v>
      </c>
      <c r="S93" s="157">
        <f t="shared" si="57"/>
        <v>219.83424376593803</v>
      </c>
      <c r="T93" s="157">
        <f t="shared" si="57"/>
        <v>924.57524770951704</v>
      </c>
      <c r="U93" s="157">
        <f t="shared" si="57"/>
        <v>403.23406822410379</v>
      </c>
      <c r="V93" s="157">
        <f t="shared" si="57"/>
        <v>52.494388529292053</v>
      </c>
      <c r="W93" s="157">
        <f t="shared" si="57"/>
        <v>0.11503614983666921</v>
      </c>
      <c r="X93" s="157">
        <f t="shared" si="57"/>
        <v>1380.4187406127476</v>
      </c>
      <c r="Y93" s="157">
        <f t="shared" si="57"/>
        <v>-13.71800834121967</v>
      </c>
      <c r="Z93" s="157">
        <f t="shared" si="57"/>
        <v>1366.700732271529</v>
      </c>
      <c r="AA93" s="14"/>
      <c r="AB93" s="31" t="s">
        <v>15</v>
      </c>
      <c r="AC93" s="157">
        <f t="shared" si="54"/>
        <v>789.63374936816035</v>
      </c>
      <c r="AD93" s="44">
        <f t="shared" si="55"/>
        <v>1327.9243520834575</v>
      </c>
    </row>
    <row r="94" spans="1:31" s="38" customFormat="1">
      <c r="A94" s="30"/>
      <c r="B94" s="30" t="s">
        <v>16</v>
      </c>
      <c r="C94" s="204">
        <f t="shared" si="49"/>
        <v>0</v>
      </c>
      <c r="D94" s="177">
        <f t="shared" si="56"/>
        <v>-248.21881857761059</v>
      </c>
      <c r="E94" s="177">
        <f t="shared" si="50"/>
        <v>136.66540147267676</v>
      </c>
      <c r="F94" s="177">
        <f t="shared" si="50"/>
        <v>-40.255354207880444</v>
      </c>
      <c r="G94" s="177">
        <f t="shared" si="50"/>
        <v>-85.193361847540558</v>
      </c>
      <c r="H94" s="177">
        <f t="shared" si="50"/>
        <v>28.33726367025929</v>
      </c>
      <c r="I94" s="177">
        <f t="shared" si="50"/>
        <v>-208.66486949009595</v>
      </c>
      <c r="J94" s="177">
        <f t="shared" si="51"/>
        <v>271.98677766792161</v>
      </c>
      <c r="K94" s="177">
        <f t="shared" si="52"/>
        <v>-106.98119461610466</v>
      </c>
      <c r="L94" s="177">
        <f t="shared" si="52"/>
        <v>-19.046647216486917</v>
      </c>
      <c r="M94" s="177">
        <f t="shared" si="52"/>
        <v>-62.705933654764522</v>
      </c>
      <c r="N94" s="177">
        <f t="shared" si="52"/>
        <v>82.924475524453058</v>
      </c>
      <c r="O94" s="177">
        <f>O69-O$79</f>
        <v>20.218541869686305</v>
      </c>
      <c r="P94" s="26"/>
      <c r="Q94" s="14" t="s">
        <v>16</v>
      </c>
      <c r="R94" s="157">
        <f t="shared" si="57"/>
        <v>-484.74743413124907</v>
      </c>
      <c r="S94" s="157">
        <f t="shared" si="57"/>
        <v>-178.34834242910938</v>
      </c>
      <c r="T94" s="157">
        <f t="shared" si="57"/>
        <v>-663.09577656035799</v>
      </c>
      <c r="U94" s="157">
        <f t="shared" si="57"/>
        <v>-430.78150943832679</v>
      </c>
      <c r="V94" s="157">
        <f t="shared" si="57"/>
        <v>-126.13854858703735</v>
      </c>
      <c r="W94" s="157">
        <f t="shared" si="57"/>
        <v>-0.10326203011970847</v>
      </c>
      <c r="X94" s="157">
        <f t="shared" si="57"/>
        <v>-1220.1190966158438</v>
      </c>
      <c r="Y94" s="157">
        <f t="shared" si="57"/>
        <v>-116.70471537689073</v>
      </c>
      <c r="Z94" s="157">
        <f t="shared" si="57"/>
        <v>-1336.8238119927337</v>
      </c>
      <c r="AA94" s="26"/>
      <c r="AB94" s="31" t="s">
        <v>16</v>
      </c>
      <c r="AC94" s="157">
        <f t="shared" si="54"/>
        <v>-1316.6052701230474</v>
      </c>
      <c r="AD94" s="44">
        <f t="shared" si="55"/>
        <v>-1093.9805480288046</v>
      </c>
    </row>
    <row r="95" spans="1:31">
      <c r="A95" s="31"/>
      <c r="B95" s="31" t="s">
        <v>17</v>
      </c>
      <c r="C95" s="203">
        <f t="shared" si="49"/>
        <v>0</v>
      </c>
      <c r="D95" s="157">
        <f t="shared" si="56"/>
        <v>-372.73817526708649</v>
      </c>
      <c r="E95" s="157">
        <f t="shared" si="50"/>
        <v>-72.904425460673451</v>
      </c>
      <c r="F95" s="157">
        <f t="shared" si="50"/>
        <v>-72.930904468233337</v>
      </c>
      <c r="G95" s="157">
        <f t="shared" si="50"/>
        <v>-67.850376331422581</v>
      </c>
      <c r="H95" s="157">
        <f t="shared" si="50"/>
        <v>-60.828813469591807</v>
      </c>
      <c r="I95" s="157">
        <f t="shared" si="50"/>
        <v>-647.25269499700835</v>
      </c>
      <c r="J95" s="157">
        <f t="shared" si="51"/>
        <v>-362.72908633828683</v>
      </c>
      <c r="K95" s="157">
        <f t="shared" si="52"/>
        <v>-125.94716574453881</v>
      </c>
      <c r="L95" s="157">
        <f t="shared" si="52"/>
        <v>-74.047454243334414</v>
      </c>
      <c r="M95" s="157">
        <f t="shared" si="52"/>
        <v>-1209.976401323167</v>
      </c>
      <c r="N95" s="157">
        <f t="shared" si="52"/>
        <v>74.354434301577072</v>
      </c>
      <c r="O95" s="157">
        <f t="shared" si="52"/>
        <v>-1135.6219670215914</v>
      </c>
      <c r="P95" s="14"/>
      <c r="Q95" s="14" t="s">
        <v>17</v>
      </c>
      <c r="R95" s="157">
        <f t="shared" si="57"/>
        <v>423.82036403517941</v>
      </c>
      <c r="S95" s="157">
        <f t="shared" si="57"/>
        <v>90.666121034600792</v>
      </c>
      <c r="T95" s="157">
        <f t="shared" si="57"/>
        <v>514.48648506978043</v>
      </c>
      <c r="U95" s="157">
        <f t="shared" si="57"/>
        <v>351.53005703084364</v>
      </c>
      <c r="V95" s="157">
        <f t="shared" si="57"/>
        <v>24.916926645611568</v>
      </c>
      <c r="W95" s="157">
        <f t="shared" si="57"/>
        <v>3.1331305786352459E-2</v>
      </c>
      <c r="X95" s="157">
        <f t="shared" si="57"/>
        <v>890.96480005202011</v>
      </c>
      <c r="Y95" s="157">
        <f t="shared" si="57"/>
        <v>-102.77307803351222</v>
      </c>
      <c r="Z95" s="157">
        <f t="shared" si="57"/>
        <v>788.19172201850961</v>
      </c>
      <c r="AA95" s="14"/>
      <c r="AB95" s="31" t="s">
        <v>17</v>
      </c>
      <c r="AC95" s="157">
        <f t="shared" si="54"/>
        <v>-347.43024500308184</v>
      </c>
      <c r="AD95" s="44">
        <f t="shared" si="55"/>
        <v>866.04787340641042</v>
      </c>
    </row>
    <row r="96" spans="1:31">
      <c r="A96" s="31"/>
      <c r="B96" s="31" t="s">
        <v>18</v>
      </c>
      <c r="C96" s="203">
        <f t="shared" si="49"/>
        <v>0</v>
      </c>
      <c r="D96" s="157">
        <f t="shared" si="56"/>
        <v>233.18251382391463</v>
      </c>
      <c r="E96" s="157">
        <f t="shared" si="50"/>
        <v>-164.14407545366566</v>
      </c>
      <c r="F96" s="157">
        <f t="shared" si="50"/>
        <v>43.757094443126022</v>
      </c>
      <c r="G96" s="157">
        <f t="shared" si="50"/>
        <v>149.22461625103261</v>
      </c>
      <c r="H96" s="157">
        <f t="shared" si="50"/>
        <v>-16.734562666112197</v>
      </c>
      <c r="I96" s="157">
        <f t="shared" si="50"/>
        <v>245.28558639829498</v>
      </c>
      <c r="J96" s="157">
        <f t="shared" si="51"/>
        <v>-316.0712913694083</v>
      </c>
      <c r="K96" s="157">
        <f t="shared" si="52"/>
        <v>471.40380833912178</v>
      </c>
      <c r="L96" s="157">
        <f t="shared" si="52"/>
        <v>113.09217369799899</v>
      </c>
      <c r="M96" s="157">
        <f t="shared" si="52"/>
        <v>513.71027706600944</v>
      </c>
      <c r="N96" s="157">
        <f t="shared" si="52"/>
        <v>116.34179713763039</v>
      </c>
      <c r="O96" s="157">
        <f t="shared" si="52"/>
        <v>630.05207420363877</v>
      </c>
      <c r="P96" s="14"/>
      <c r="Q96" s="14" t="s">
        <v>18</v>
      </c>
      <c r="R96" s="157">
        <f t="shared" si="57"/>
        <v>904.73102822949272</v>
      </c>
      <c r="S96" s="157">
        <f t="shared" si="57"/>
        <v>349.0484516787717</v>
      </c>
      <c r="T96" s="157">
        <f t="shared" si="57"/>
        <v>1253.7794799082649</v>
      </c>
      <c r="U96" s="157">
        <f t="shared" si="57"/>
        <v>682.16200066708575</v>
      </c>
      <c r="V96" s="157">
        <f t="shared" si="57"/>
        <v>164.67482129647601</v>
      </c>
      <c r="W96" s="157">
        <f t="shared" si="57"/>
        <v>0.14450477327238787</v>
      </c>
      <c r="X96" s="157">
        <f t="shared" si="57"/>
        <v>2100.7608066450975</v>
      </c>
      <c r="Y96" s="157">
        <f t="shared" si="57"/>
        <v>-152.42335217026246</v>
      </c>
      <c r="Z96" s="157">
        <f t="shared" si="57"/>
        <v>1948.3374544748358</v>
      </c>
      <c r="AA96" s="14"/>
      <c r="AB96" s="31" t="s">
        <v>18</v>
      </c>
      <c r="AC96" s="157">
        <f t="shared" si="54"/>
        <v>2578.3895286784746</v>
      </c>
      <c r="AD96" s="44">
        <f t="shared" si="55"/>
        <v>1936.0859853486231</v>
      </c>
    </row>
    <row r="97" spans="1:35">
      <c r="A97" s="31"/>
      <c r="B97" s="31" t="s">
        <v>19</v>
      </c>
      <c r="C97" s="203">
        <f t="shared" si="49"/>
        <v>0</v>
      </c>
      <c r="D97" s="157">
        <f t="shared" si="56"/>
        <v>111.48390023555157</v>
      </c>
      <c r="E97" s="157">
        <f t="shared" si="50"/>
        <v>-175.25878153012252</v>
      </c>
      <c r="F97" s="157">
        <f t="shared" si="50"/>
        <v>107.8846734613515</v>
      </c>
      <c r="G97" s="157">
        <f t="shared" si="50"/>
        <v>28.923802762193063</v>
      </c>
      <c r="H97" s="157">
        <f t="shared" si="50"/>
        <v>-9.1226844566780301</v>
      </c>
      <c r="I97" s="157">
        <f t="shared" si="50"/>
        <v>63.9109104722952</v>
      </c>
      <c r="J97" s="157">
        <f t="shared" si="51"/>
        <v>478.52337003064031</v>
      </c>
      <c r="K97" s="157">
        <f t="shared" si="52"/>
        <v>-25.296787656098502</v>
      </c>
      <c r="L97" s="157">
        <f t="shared" si="52"/>
        <v>128.66560316935045</v>
      </c>
      <c r="M97" s="157">
        <f t="shared" si="52"/>
        <v>645.80309601618865</v>
      </c>
      <c r="N97" s="157">
        <f t="shared" si="52"/>
        <v>60.796459510861141</v>
      </c>
      <c r="O97" s="157">
        <f t="shared" si="52"/>
        <v>706.59955552704741</v>
      </c>
      <c r="P97" s="14"/>
      <c r="Q97" s="14" t="s">
        <v>19</v>
      </c>
      <c r="R97" s="157">
        <f t="shared" si="57"/>
        <v>315.80250812714462</v>
      </c>
      <c r="S97" s="157">
        <f t="shared" si="57"/>
        <v>75.670636892354878</v>
      </c>
      <c r="T97" s="157">
        <f t="shared" si="57"/>
        <v>391.47314501949904</v>
      </c>
      <c r="U97" s="157">
        <f t="shared" si="57"/>
        <v>211.92876837028962</v>
      </c>
      <c r="V97" s="157">
        <f t="shared" si="57"/>
        <v>135.74818683173004</v>
      </c>
      <c r="W97" s="157">
        <f t="shared" si="57"/>
        <v>3.9613121610159396E-2</v>
      </c>
      <c r="X97" s="157">
        <f t="shared" si="57"/>
        <v>739.18971334312846</v>
      </c>
      <c r="Y97" s="157">
        <f t="shared" si="57"/>
        <v>-98.673435956935052</v>
      </c>
      <c r="Z97" s="157">
        <f t="shared" si="57"/>
        <v>640.51627738619391</v>
      </c>
      <c r="AA97" s="14"/>
      <c r="AB97" s="31" t="s">
        <v>19</v>
      </c>
      <c r="AC97" s="157">
        <f t="shared" si="54"/>
        <v>1347.1158329132413</v>
      </c>
      <c r="AD97" s="44">
        <f t="shared" si="55"/>
        <v>603.44152651139882</v>
      </c>
    </row>
    <row r="98" spans="1:35" s="38" customFormat="1">
      <c r="A98" s="30"/>
      <c r="B98" s="30" t="s">
        <v>20</v>
      </c>
      <c r="C98" s="204">
        <f t="shared" si="49"/>
        <v>0</v>
      </c>
      <c r="D98" s="177">
        <f t="shared" si="56"/>
        <v>-287.6690387522217</v>
      </c>
      <c r="E98" s="177">
        <f t="shared" si="50"/>
        <v>168.94004745217364</v>
      </c>
      <c r="F98" s="177">
        <f t="shared" si="50"/>
        <v>-42.559481500459668</v>
      </c>
      <c r="G98" s="177">
        <f t="shared" si="50"/>
        <v>-96.841075000314419</v>
      </c>
      <c r="H98" s="177">
        <f t="shared" si="50"/>
        <v>17.886806432893309</v>
      </c>
      <c r="I98" s="177">
        <f t="shared" si="50"/>
        <v>-240.24274136792928</v>
      </c>
      <c r="J98" s="177">
        <f t="shared" si="51"/>
        <v>154.11873626364104</v>
      </c>
      <c r="K98" s="177">
        <f t="shared" si="52"/>
        <v>-159.5800016804246</v>
      </c>
      <c r="L98" s="177">
        <f t="shared" si="52"/>
        <v>-86.314354587265939</v>
      </c>
      <c r="M98" s="177">
        <f t="shared" si="52"/>
        <v>-332.01836137197643</v>
      </c>
      <c r="N98" s="177">
        <f t="shared" si="52"/>
        <v>-107.92441911031068</v>
      </c>
      <c r="O98" s="177">
        <f t="shared" si="52"/>
        <v>-439.94278048228807</v>
      </c>
      <c r="P98" s="26"/>
      <c r="Q98" s="14" t="s">
        <v>20</v>
      </c>
      <c r="R98" s="157">
        <f t="shared" si="57"/>
        <v>-1381.4212280696024</v>
      </c>
      <c r="S98" s="157">
        <f t="shared" si="57"/>
        <v>-370.8077929347246</v>
      </c>
      <c r="T98" s="157">
        <f t="shared" si="57"/>
        <v>-1752.2290210043266</v>
      </c>
      <c r="U98" s="157">
        <f t="shared" si="57"/>
        <v>-708.37372341569198</v>
      </c>
      <c r="V98" s="157">
        <f t="shared" si="57"/>
        <v>-137.03131017225644</v>
      </c>
      <c r="W98" s="157">
        <f t="shared" si="57"/>
        <v>-0.13665434235633711</v>
      </c>
      <c r="X98" s="157">
        <f t="shared" si="57"/>
        <v>-2597.7707089346322</v>
      </c>
      <c r="Y98" s="157">
        <f t="shared" si="57"/>
        <v>58.262005379791759</v>
      </c>
      <c r="Z98" s="157">
        <f t="shared" si="57"/>
        <v>-2539.5087035548404</v>
      </c>
      <c r="AA98" s="26"/>
      <c r="AB98" s="31" t="s">
        <v>20</v>
      </c>
      <c r="AC98" s="157">
        <f t="shared" si="54"/>
        <v>-2979.4514840371285</v>
      </c>
      <c r="AD98" s="44">
        <f t="shared" si="55"/>
        <v>-2460.739398762375</v>
      </c>
    </row>
    <row r="99" spans="1:35">
      <c r="A99" s="31"/>
      <c r="B99" s="31" t="s">
        <v>60</v>
      </c>
      <c r="C99" s="203">
        <f t="shared" si="49"/>
        <v>0</v>
      </c>
      <c r="D99" s="157">
        <f t="shared" si="56"/>
        <v>-330.88982989589476</v>
      </c>
      <c r="E99" s="157">
        <f t="shared" si="50"/>
        <v>-141.31915986463412</v>
      </c>
      <c r="F99" s="157">
        <f t="shared" si="50"/>
        <v>-38.318329137393761</v>
      </c>
      <c r="G99" s="157">
        <f t="shared" si="50"/>
        <v>-34.701490814587714</v>
      </c>
      <c r="H99" s="157">
        <f t="shared" si="50"/>
        <v>-46.523605445827741</v>
      </c>
      <c r="I99" s="157">
        <f t="shared" si="50"/>
        <v>-591.75241515833841</v>
      </c>
      <c r="J99" s="157">
        <f t="shared" si="51"/>
        <v>-631.66159606949213</v>
      </c>
      <c r="K99" s="157">
        <f t="shared" si="52"/>
        <v>-77.234564058873161</v>
      </c>
      <c r="L99" s="157">
        <f t="shared" si="52"/>
        <v>-76.058079271656766</v>
      </c>
      <c r="M99" s="157">
        <f t="shared" si="52"/>
        <v>-1376.7066545583602</v>
      </c>
      <c r="N99" s="157">
        <f t="shared" si="52"/>
        <v>83.641540597520347</v>
      </c>
      <c r="O99" s="157">
        <f t="shared" si="52"/>
        <v>-1293.0651139608417</v>
      </c>
      <c r="P99" s="14"/>
      <c r="Q99" s="14" t="s">
        <v>60</v>
      </c>
      <c r="R99" s="157">
        <f t="shared" si="57"/>
        <v>724.19708915646629</v>
      </c>
      <c r="S99" s="157">
        <f t="shared" si="57"/>
        <v>184.95728747043245</v>
      </c>
      <c r="T99" s="157">
        <f t="shared" si="57"/>
        <v>909.15437662689783</v>
      </c>
      <c r="U99" s="157">
        <f t="shared" si="57"/>
        <v>515.64709896058639</v>
      </c>
      <c r="V99" s="157">
        <f t="shared" si="57"/>
        <v>61.710350340358559</v>
      </c>
      <c r="W99" s="157">
        <f t="shared" si="57"/>
        <v>0.11635542215879013</v>
      </c>
      <c r="X99" s="157">
        <f t="shared" si="57"/>
        <v>1486.62818135</v>
      </c>
      <c r="Y99" s="157">
        <f t="shared" si="57"/>
        <v>-120.19633888043768</v>
      </c>
      <c r="Z99" s="157">
        <f t="shared" si="57"/>
        <v>1366.431842469563</v>
      </c>
      <c r="AA99" s="14"/>
      <c r="AB99" s="31" t="s">
        <v>60</v>
      </c>
      <c r="AC99" s="157">
        <f t="shared" si="54"/>
        <v>73.36672850872128</v>
      </c>
      <c r="AD99" s="44">
        <f t="shared" si="55"/>
        <v>1424.9178310096431</v>
      </c>
    </row>
    <row r="100" spans="1:35">
      <c r="A100" s="31"/>
      <c r="B100" s="31" t="s">
        <v>61</v>
      </c>
      <c r="C100" s="203">
        <f t="shared" si="49"/>
        <v>0</v>
      </c>
      <c r="D100" s="157">
        <f t="shared" si="56"/>
        <v>1563.2178358709025</v>
      </c>
      <c r="E100" s="157">
        <f t="shared" si="50"/>
        <v>50.530840293852521</v>
      </c>
      <c r="F100" s="157">
        <f t="shared" si="50"/>
        <v>10.907450562798431</v>
      </c>
      <c r="G100" s="157">
        <f t="shared" si="50"/>
        <v>-94.282773566798937</v>
      </c>
      <c r="H100" s="157">
        <f t="shared" si="50"/>
        <v>57.888684632611955</v>
      </c>
      <c r="I100" s="157">
        <f t="shared" si="50"/>
        <v>1588.2620377933658</v>
      </c>
      <c r="J100" s="157">
        <f t="shared" si="51"/>
        <v>300.23520205877003</v>
      </c>
      <c r="K100" s="157">
        <f t="shared" si="52"/>
        <v>74.966817533914764</v>
      </c>
      <c r="L100" s="157">
        <f t="shared" si="52"/>
        <v>-154.44443455394116</v>
      </c>
      <c r="M100" s="157">
        <f t="shared" si="52"/>
        <v>1809.0196228321129</v>
      </c>
      <c r="N100" s="157">
        <f t="shared" si="52"/>
        <v>-712.7355356727021</v>
      </c>
      <c r="O100" s="157">
        <f t="shared" si="52"/>
        <v>1096.284087159409</v>
      </c>
      <c r="P100" s="14"/>
      <c r="Q100" s="14" t="s">
        <v>61</v>
      </c>
      <c r="R100" s="157">
        <f t="shared" si="57"/>
        <v>-594.64919565415994</v>
      </c>
      <c r="S100" s="157">
        <f t="shared" si="57"/>
        <v>-153.5124983891219</v>
      </c>
      <c r="T100" s="157">
        <f t="shared" si="57"/>
        <v>-748.16169404328139</v>
      </c>
      <c r="U100" s="157">
        <f t="shared" si="57"/>
        <v>-651.87255889390099</v>
      </c>
      <c r="V100" s="157">
        <f t="shared" si="57"/>
        <v>-65.882338474349581</v>
      </c>
      <c r="W100" s="157">
        <f t="shared" si="57"/>
        <v>-7.9433810173782149E-2</v>
      </c>
      <c r="X100" s="157">
        <f t="shared" si="57"/>
        <v>-1465.996025221707</v>
      </c>
      <c r="Y100" s="157">
        <f t="shared" si="57"/>
        <v>548.94887392697433</v>
      </c>
      <c r="Z100" s="157">
        <f t="shared" si="57"/>
        <v>-917.04715129473334</v>
      </c>
      <c r="AA100" s="14"/>
      <c r="AB100" s="31" t="s">
        <v>61</v>
      </c>
      <c r="AC100" s="157">
        <f t="shared" si="54"/>
        <v>179.23693586467562</v>
      </c>
      <c r="AD100" s="44">
        <f t="shared" si="55"/>
        <v>-1400.113686747356</v>
      </c>
    </row>
    <row r="101" spans="1:35">
      <c r="A101" s="31"/>
      <c r="B101" s="31" t="s">
        <v>62</v>
      </c>
      <c r="C101" s="203">
        <f t="shared" si="49"/>
        <v>0</v>
      </c>
      <c r="D101" s="157">
        <f t="shared" si="56"/>
        <v>2483.7056313109806</v>
      </c>
      <c r="E101" s="157">
        <f t="shared" si="50"/>
        <v>-29.937987572344127</v>
      </c>
      <c r="F101" s="157">
        <f t="shared" si="50"/>
        <v>56.065736834169144</v>
      </c>
      <c r="G101" s="157">
        <f t="shared" si="50"/>
        <v>-65.198731240883362</v>
      </c>
      <c r="H101" s="157">
        <f t="shared" si="50"/>
        <v>97.216750604207959</v>
      </c>
      <c r="I101" s="157">
        <f t="shared" si="50"/>
        <v>2541.8513999361298</v>
      </c>
      <c r="J101" s="157">
        <f t="shared" si="51"/>
        <v>1113.9339345245621</v>
      </c>
      <c r="K101" s="157">
        <f t="shared" si="52"/>
        <v>-68.154718379919018</v>
      </c>
      <c r="L101" s="157">
        <f t="shared" si="52"/>
        <v>-13.057302074840095</v>
      </c>
      <c r="M101" s="157">
        <f t="shared" si="52"/>
        <v>3574.5733140059347</v>
      </c>
      <c r="N101" s="157">
        <f t="shared" si="52"/>
        <v>-440.11219431733207</v>
      </c>
      <c r="O101" s="157">
        <f t="shared" si="52"/>
        <v>3134.461119688598</v>
      </c>
      <c r="P101" s="14"/>
      <c r="Q101" s="14" t="s">
        <v>62</v>
      </c>
      <c r="R101" s="157">
        <f t="shared" si="57"/>
        <v>-857.48389870125311</v>
      </c>
      <c r="S101" s="157">
        <f t="shared" si="57"/>
        <v>-201.23965582899336</v>
      </c>
      <c r="T101" s="157">
        <f t="shared" si="57"/>
        <v>-1058.7235545302474</v>
      </c>
      <c r="U101" s="157">
        <f t="shared" si="57"/>
        <v>-919.4922953369778</v>
      </c>
      <c r="V101" s="157">
        <f t="shared" si="57"/>
        <v>14.628473282712775</v>
      </c>
      <c r="W101" s="157">
        <f t="shared" si="57"/>
        <v>-0.12373875565992876</v>
      </c>
      <c r="X101" s="157">
        <f t="shared" si="57"/>
        <v>-1963.7111153401738</v>
      </c>
      <c r="Y101" s="157">
        <f t="shared" si="57"/>
        <v>376.65874819914683</v>
      </c>
      <c r="Z101" s="157">
        <f t="shared" si="57"/>
        <v>-1587.0523671410265</v>
      </c>
      <c r="AA101" s="14"/>
      <c r="AB101" s="31" t="s">
        <v>62</v>
      </c>
      <c r="AC101" s="157">
        <f t="shared" si="54"/>
        <v>1547.4087525475716</v>
      </c>
      <c r="AD101" s="44">
        <f t="shared" si="55"/>
        <v>-1978.339588622885</v>
      </c>
    </row>
    <row r="102" spans="1:35">
      <c r="A102" s="31"/>
      <c r="B102" s="31" t="s">
        <v>63</v>
      </c>
      <c r="C102" s="203">
        <f t="shared" si="49"/>
        <v>0</v>
      </c>
      <c r="D102" s="157">
        <f t="shared" si="56"/>
        <v>248.58680000766026</v>
      </c>
      <c r="E102" s="157">
        <f>E77-E$79</f>
        <v>-45.133510090845334</v>
      </c>
      <c r="F102" s="157">
        <f>F77-F$79</f>
        <v>44.978667488107675</v>
      </c>
      <c r="G102" s="157">
        <f>G77-G$79</f>
        <v>-93.071312216563911</v>
      </c>
      <c r="H102" s="157">
        <f>H77-H$79</f>
        <v>104.78718976789298</v>
      </c>
      <c r="I102" s="157">
        <f>I77-I$79</f>
        <v>260.14783495625079</v>
      </c>
      <c r="J102" s="157">
        <f t="shared" si="51"/>
        <v>0.48667805328841496</v>
      </c>
      <c r="K102" s="157">
        <f>K77-K$79</f>
        <v>-14.567492649521512</v>
      </c>
      <c r="L102" s="157">
        <f>L77-L$79</f>
        <v>69.167252166143385</v>
      </c>
      <c r="M102" s="157">
        <f>M77-M$79</f>
        <v>315.23427252616239</v>
      </c>
      <c r="N102" s="157">
        <f>N77-N$79</f>
        <v>28.14484150790291</v>
      </c>
      <c r="O102" s="157">
        <f>O77-O$79</f>
        <v>343.3791140340636</v>
      </c>
      <c r="P102" s="14"/>
      <c r="Q102" s="14" t="s">
        <v>63</v>
      </c>
      <c r="R102" s="157">
        <f t="shared" si="57"/>
        <v>-19.618506224830071</v>
      </c>
      <c r="S102" s="157">
        <f t="shared" si="57"/>
        <v>37.657739306329859</v>
      </c>
      <c r="T102" s="157">
        <f t="shared" si="57"/>
        <v>18.039233081499333</v>
      </c>
      <c r="U102" s="157">
        <f t="shared" si="57"/>
        <v>-144.98389348030378</v>
      </c>
      <c r="V102" s="157">
        <f t="shared" si="57"/>
        <v>-13.436688445757227</v>
      </c>
      <c r="W102" s="157">
        <f t="shared" si="57"/>
        <v>-5.901632691575287E-3</v>
      </c>
      <c r="X102" s="157">
        <f t="shared" si="57"/>
        <v>-140.38725047725438</v>
      </c>
      <c r="Y102" s="157">
        <f t="shared" si="57"/>
        <v>-71.547111481059062</v>
      </c>
      <c r="Z102" s="157">
        <f t="shared" si="57"/>
        <v>-211.93436195831237</v>
      </c>
      <c r="AA102" s="14"/>
      <c r="AB102" s="31" t="s">
        <v>63</v>
      </c>
      <c r="AC102" s="157">
        <f t="shared" si="54"/>
        <v>131.44475207575124</v>
      </c>
      <c r="AD102" s="44">
        <f t="shared" si="55"/>
        <v>-126.95056203149602</v>
      </c>
    </row>
    <row r="103" spans="1:35">
      <c r="A103" s="31"/>
      <c r="B103" s="31" t="s">
        <v>64</v>
      </c>
      <c r="C103" s="203">
        <f t="shared" ref="C103:I104" si="58">C78-C$79</f>
        <v>0</v>
      </c>
      <c r="D103" s="157">
        <f t="shared" si="58"/>
        <v>1891.5256677236657</v>
      </c>
      <c r="E103" s="157">
        <f t="shared" si="58"/>
        <v>-484.82213191392617</v>
      </c>
      <c r="F103" s="157">
        <f t="shared" si="58"/>
        <v>98.540850940543663</v>
      </c>
      <c r="G103" s="157">
        <f t="shared" si="58"/>
        <v>709.50111957207389</v>
      </c>
      <c r="H103" s="157">
        <f t="shared" si="58"/>
        <v>458.09106643270138</v>
      </c>
      <c r="I103" s="157">
        <f t="shared" si="58"/>
        <v>2672.8365727550577</v>
      </c>
      <c r="J103" s="157">
        <f t="shared" ref="J103:O104" si="59">J78-J$79</f>
        <v>-1091.7817140933093</v>
      </c>
      <c r="K103" s="157">
        <f t="shared" si="59"/>
        <v>221.04839526873894</v>
      </c>
      <c r="L103" s="157">
        <f t="shared" si="59"/>
        <v>533.41765625931544</v>
      </c>
      <c r="M103" s="157">
        <f t="shared" si="59"/>
        <v>2335.5209101898054</v>
      </c>
      <c r="N103" s="157">
        <f t="shared" si="59"/>
        <v>-33.955789880648737</v>
      </c>
      <c r="O103" s="157">
        <f t="shared" si="59"/>
        <v>2301.5651203091547</v>
      </c>
      <c r="P103" s="14"/>
      <c r="Q103" s="14" t="s">
        <v>64</v>
      </c>
      <c r="R103" s="157">
        <f t="shared" ref="R103:Z104" si="60">R$79-R78</f>
        <v>796.5631951298235</v>
      </c>
      <c r="S103" s="157">
        <f t="shared" si="60"/>
        <v>287.98209174187809</v>
      </c>
      <c r="T103" s="157">
        <f t="shared" si="60"/>
        <v>1084.5452868717007</v>
      </c>
      <c r="U103" s="157">
        <f t="shared" si="60"/>
        <v>500.82536094298439</v>
      </c>
      <c r="V103" s="157">
        <f t="shared" si="60"/>
        <v>328.97900056798142</v>
      </c>
      <c r="W103" s="157">
        <f t="shared" si="60"/>
        <v>0.11880988286145566</v>
      </c>
      <c r="X103" s="157">
        <f t="shared" si="60"/>
        <v>1914.4684582655273</v>
      </c>
      <c r="Y103" s="157">
        <f t="shared" si="60"/>
        <v>634.1613824183728</v>
      </c>
      <c r="Z103" s="157">
        <f t="shared" si="60"/>
        <v>2548.6298406839005</v>
      </c>
      <c r="AA103" s="14"/>
      <c r="AB103" s="31" t="s">
        <v>64</v>
      </c>
      <c r="AC103" s="165">
        <f t="shared" si="54"/>
        <v>4850.1949609930552</v>
      </c>
      <c r="AD103" s="212">
        <f t="shared" si="55"/>
        <v>1585.4894576975466</v>
      </c>
    </row>
    <row r="104" spans="1:35" ht="13.5" thickBot="1">
      <c r="A104" s="31"/>
      <c r="B104" s="191" t="s">
        <v>84</v>
      </c>
      <c r="C104" s="205">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0"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1" t="s">
        <v>84</v>
      </c>
      <c r="AC104" s="172">
        <f t="shared" si="54"/>
        <v>0</v>
      </c>
      <c r="AD104" s="213">
        <f t="shared" si="55"/>
        <v>0</v>
      </c>
    </row>
    <row r="105" spans="1:35">
      <c r="P105" s="31"/>
      <c r="T105" s="31"/>
      <c r="U105" s="31"/>
      <c r="V105" s="31"/>
      <c r="W105" s="31"/>
      <c r="X105" s="31"/>
      <c r="Y105" s="31"/>
      <c r="Z105" s="31"/>
      <c r="AA105" s="31"/>
    </row>
    <row r="106" spans="1:35">
      <c r="P106" s="31"/>
    </row>
    <row r="107" spans="1:35">
      <c r="P107" s="31"/>
    </row>
    <row r="108" spans="1:35">
      <c r="B108" s="176" t="s">
        <v>112</v>
      </c>
      <c r="P108" s="31"/>
      <c r="Q108" s="176" t="s">
        <v>112</v>
      </c>
      <c r="AC108" s="438"/>
    </row>
    <row r="109" spans="1:35">
      <c r="P109" s="31"/>
      <c r="AB109" s="34"/>
      <c r="AD109" s="357" t="s">
        <v>1087</v>
      </c>
    </row>
    <row r="110" spans="1:35" s="34" customFormat="1" ht="39" thickBot="1">
      <c r="B110" s="171"/>
      <c r="C110" s="159" t="s">
        <v>39</v>
      </c>
      <c r="D110" s="184" t="s">
        <v>980</v>
      </c>
      <c r="E110" s="194" t="s">
        <v>26</v>
      </c>
      <c r="F110" s="160" t="s">
        <v>1</v>
      </c>
      <c r="G110" s="160" t="s">
        <v>55</v>
      </c>
      <c r="H110" s="160" t="s">
        <v>22</v>
      </c>
      <c r="I110" s="186" t="s">
        <v>79</v>
      </c>
      <c r="J110" s="161" t="s">
        <v>68</v>
      </c>
      <c r="K110" s="162" t="s">
        <v>65</v>
      </c>
      <c r="L110" s="163" t="s">
        <v>560</v>
      </c>
      <c r="M110" s="163" t="s">
        <v>930</v>
      </c>
      <c r="N110" s="160" t="s">
        <v>42</v>
      </c>
      <c r="O110" s="162" t="s">
        <v>27</v>
      </c>
      <c r="P110" s="187"/>
      <c r="Q110" s="171"/>
      <c r="R110" s="171" t="s">
        <v>87</v>
      </c>
      <c r="S110" s="160" t="s">
        <v>109</v>
      </c>
      <c r="T110" s="162" t="s">
        <v>86</v>
      </c>
      <c r="U110" s="162" t="s">
        <v>102</v>
      </c>
      <c r="V110" s="162" t="s">
        <v>103</v>
      </c>
      <c r="W110" s="162" t="s">
        <v>105</v>
      </c>
      <c r="X110" s="197" t="s">
        <v>106</v>
      </c>
      <c r="Y110" s="160" t="s">
        <v>107</v>
      </c>
      <c r="Z110" s="162" t="s">
        <v>108</v>
      </c>
      <c r="AA110" s="187"/>
      <c r="AB110" s="171"/>
      <c r="AC110" s="234" t="s">
        <v>1126</v>
      </c>
      <c r="AD110" s="430" t="s">
        <v>1125</v>
      </c>
      <c r="AE110" s="211" t="s">
        <v>1084</v>
      </c>
      <c r="AF110" s="355" t="s">
        <v>1085</v>
      </c>
    </row>
    <row r="111" spans="1:35">
      <c r="B111" s="29" t="s">
        <v>9</v>
      </c>
      <c r="C111" s="206">
        <f t="shared" ref="C111:C128" si="61">C86*$C7/1000</f>
        <v>0</v>
      </c>
      <c r="D111" s="157">
        <f t="shared" ref="D111:O111" si="62">D86*$C7/1000000</f>
        <v>-2146.1025084117123</v>
      </c>
      <c r="E111" s="157">
        <f t="shared" si="62"/>
        <v>-1020.1305297362965</v>
      </c>
      <c r="F111" s="157">
        <f t="shared" si="62"/>
        <v>-188.39566391599189</v>
      </c>
      <c r="G111" s="157">
        <f t="shared" si="62"/>
        <v>347.09158212519003</v>
      </c>
      <c r="H111" s="157">
        <f t="shared" si="62"/>
        <v>-230.04312834596402</v>
      </c>
      <c r="I111" s="157">
        <f t="shared" si="62"/>
        <v>-3237.5802482847821</v>
      </c>
      <c r="J111" s="157">
        <f t="shared" si="62"/>
        <v>-4294.9079162094513</v>
      </c>
      <c r="K111" s="157">
        <f t="shared" si="62"/>
        <v>1277.6523238241946</v>
      </c>
      <c r="L111" s="157">
        <f t="shared" si="62"/>
        <v>-132.30201016598403</v>
      </c>
      <c r="M111" s="157">
        <f t="shared" si="62"/>
        <v>-6387.1378508360049</v>
      </c>
      <c r="N111" s="157">
        <f t="shared" si="62"/>
        <v>319.28537415874746</v>
      </c>
      <c r="O111" s="157">
        <f t="shared" si="62"/>
        <v>-6067.8524766772798</v>
      </c>
      <c r="P111" s="157"/>
      <c r="Q111" s="14" t="s">
        <v>9</v>
      </c>
      <c r="R111" s="157">
        <f t="shared" ref="R111:Z111" si="63">R86*$C7/1000000</f>
        <v>6691.3450186885329</v>
      </c>
      <c r="S111" s="157">
        <f t="shared" si="63"/>
        <v>1637.0130512406693</v>
      </c>
      <c r="T111" s="157">
        <f t="shared" si="63"/>
        <v>8328.3580699292033</v>
      </c>
      <c r="U111" s="157">
        <f t="shared" si="63"/>
        <v>5188.1327292647238</v>
      </c>
      <c r="V111" s="157">
        <f t="shared" si="63"/>
        <v>782.30989450454001</v>
      </c>
      <c r="W111" s="157">
        <f>W86*$C7/1000000</f>
        <v>0.92432353631255748</v>
      </c>
      <c r="X111" s="157">
        <f t="shared" si="63"/>
        <v>14299.725017234765</v>
      </c>
      <c r="Y111" s="157">
        <f t="shared" si="63"/>
        <v>-542.57863401607062</v>
      </c>
      <c r="Z111" s="157">
        <f t="shared" si="63"/>
        <v>13757.146383218696</v>
      </c>
      <c r="AA111" s="14"/>
      <c r="AB111" s="31" t="s">
        <v>9</v>
      </c>
      <c r="AC111" s="157">
        <f t="shared" ref="AC111:AC128" si="64">O111+Z111</f>
        <v>7689.2939065414166</v>
      </c>
      <c r="AD111" s="325">
        <v>138743509.33683723</v>
      </c>
      <c r="AE111" s="37">
        <f>AC111/AD111</f>
        <v>5.5420927027826466E-5</v>
      </c>
      <c r="AF111" s="157">
        <f t="shared" ref="AF111:AF129" si="65">T111+U111+W111</f>
        <v>13517.415122730239</v>
      </c>
      <c r="AH111" s="29">
        <f>+AD111/1000</f>
        <v>138743.50933683722</v>
      </c>
      <c r="AI111" s="365">
        <f>+AC111/AH111</f>
        <v>5.5420927027826472E-2</v>
      </c>
    </row>
    <row r="112" spans="1:35">
      <c r="B112" s="29" t="s">
        <v>10</v>
      </c>
      <c r="C112" s="206">
        <f t="shared" si="61"/>
        <v>0</v>
      </c>
      <c r="D112" s="157">
        <f t="shared" ref="D112:O112" si="66">D87*$C8/1000000</f>
        <v>141.52016182261539</v>
      </c>
      <c r="E112" s="157">
        <f t="shared" si="66"/>
        <v>97.993414216411779</v>
      </c>
      <c r="F112" s="157">
        <f t="shared" si="66"/>
        <v>172.39816206651656</v>
      </c>
      <c r="G112" s="157">
        <f t="shared" si="66"/>
        <v>-53.94496179906988</v>
      </c>
      <c r="H112" s="157">
        <f t="shared" si="66"/>
        <v>62.449300166158274</v>
      </c>
      <c r="I112" s="157">
        <f t="shared" si="66"/>
        <v>420.41607647263089</v>
      </c>
      <c r="J112" s="157">
        <f t="shared" si="66"/>
        <v>588.59324553550061</v>
      </c>
      <c r="K112" s="157">
        <f t="shared" si="66"/>
        <v>340.44262976557474</v>
      </c>
      <c r="L112" s="157">
        <f t="shared" si="66"/>
        <v>142.56415982125412</v>
      </c>
      <c r="M112" s="157">
        <f t="shared" si="66"/>
        <v>1492.0161115949625</v>
      </c>
      <c r="N112" s="157">
        <f t="shared" si="66"/>
        <v>83.240904787700529</v>
      </c>
      <c r="O112" s="157">
        <f t="shared" si="66"/>
        <v>1575.2570163826613</v>
      </c>
      <c r="P112" s="157"/>
      <c r="Q112" s="14" t="s">
        <v>10</v>
      </c>
      <c r="R112" s="157">
        <f t="shared" ref="R112:Z112" si="67">R87*$C8/1000000</f>
        <v>-220.85744680915153</v>
      </c>
      <c r="S112" s="157">
        <f t="shared" si="67"/>
        <v>-31.051370309658253</v>
      </c>
      <c r="T112" s="157">
        <f t="shared" si="67"/>
        <v>-251.90881711880979</v>
      </c>
      <c r="U112" s="157">
        <f t="shared" si="67"/>
        <v>-306.07249479994164</v>
      </c>
      <c r="V112" s="157">
        <f t="shared" si="67"/>
        <v>-32.163843984483286</v>
      </c>
      <c r="W112" s="157">
        <f t="shared" si="67"/>
        <v>-1.5666626780329186E-2</v>
      </c>
      <c r="X112" s="157">
        <f t="shared" si="67"/>
        <v>-590.16082253001912</v>
      </c>
      <c r="Y112" s="157">
        <f t="shared" si="67"/>
        <v>-141.16130523858149</v>
      </c>
      <c r="Z112" s="157">
        <f t="shared" si="67"/>
        <v>-731.32212776860069</v>
      </c>
      <c r="AA112" s="14"/>
      <c r="AB112" s="31" t="s">
        <v>10</v>
      </c>
      <c r="AC112" s="157">
        <f t="shared" si="64"/>
        <v>843.93488861406058</v>
      </c>
      <c r="AD112" s="325">
        <v>32764250.521071475</v>
      </c>
      <c r="AE112" s="37">
        <f t="shared" ref="AE112:AE129" si="68">AC112/AD112</f>
        <v>2.5757796231942061E-5</v>
      </c>
      <c r="AF112" s="157">
        <f t="shared" si="65"/>
        <v>-557.99697854553176</v>
      </c>
      <c r="AH112" s="29">
        <f t="shared" ref="AH112:AH129" si="69">+AD112/1000</f>
        <v>32764.250521071473</v>
      </c>
      <c r="AI112" s="365">
        <f t="shared" ref="AI112:AI129" si="70">+AC112/AH112</f>
        <v>2.5757796231942062E-2</v>
      </c>
    </row>
    <row r="113" spans="2:35">
      <c r="B113" s="29" t="s">
        <v>11</v>
      </c>
      <c r="C113" s="206">
        <f t="shared" si="61"/>
        <v>0</v>
      </c>
      <c r="D113" s="157">
        <f t="shared" ref="D113:O113" si="71">D88*$C9/1000000</f>
        <v>82.531624517552302</v>
      </c>
      <c r="E113" s="157">
        <f t="shared" si="71"/>
        <v>-56.770741345299697</v>
      </c>
      <c r="F113" s="157">
        <f t="shared" si="71"/>
        <v>113.6211222005292</v>
      </c>
      <c r="G113" s="157">
        <f t="shared" si="71"/>
        <v>-0.19687559327023901</v>
      </c>
      <c r="H113" s="157">
        <f t="shared" si="71"/>
        <v>-13.043699772080387</v>
      </c>
      <c r="I113" s="157">
        <f t="shared" si="71"/>
        <v>126.14143000743054</v>
      </c>
      <c r="J113" s="157">
        <f t="shared" si="71"/>
        <v>1844.7120607201707</v>
      </c>
      <c r="K113" s="157">
        <f t="shared" si="71"/>
        <v>-41.647067699934013</v>
      </c>
      <c r="L113" s="157">
        <f t="shared" si="71"/>
        <v>275.04547352259237</v>
      </c>
      <c r="M113" s="157">
        <f t="shared" si="71"/>
        <v>2204.2518965502577</v>
      </c>
      <c r="N113" s="157">
        <f t="shared" si="71"/>
        <v>61.326965543592678</v>
      </c>
      <c r="O113" s="157">
        <f t="shared" si="71"/>
        <v>2265.5788620938488</v>
      </c>
      <c r="P113" s="157"/>
      <c r="Q113" s="14" t="s">
        <v>11</v>
      </c>
      <c r="R113" s="157">
        <f t="shared" ref="R113:Z113" si="72">R88*$C9/1000000</f>
        <v>-108.85660691208543</v>
      </c>
      <c r="S113" s="157">
        <f t="shared" si="72"/>
        <v>23.229842654137549</v>
      </c>
      <c r="T113" s="157">
        <f t="shared" si="72"/>
        <v>-85.626764257946917</v>
      </c>
      <c r="U113" s="157">
        <f t="shared" si="72"/>
        <v>-22.717857586992402</v>
      </c>
      <c r="V113" s="157">
        <f t="shared" si="72"/>
        <v>41.187173995979222</v>
      </c>
      <c r="W113" s="157">
        <f t="shared" si="72"/>
        <v>-1.5475965593675435E-2</v>
      </c>
      <c r="X113" s="157">
        <f t="shared" si="72"/>
        <v>-67.17292381455654</v>
      </c>
      <c r="Y113" s="157">
        <f t="shared" si="72"/>
        <v>-99.972564944168781</v>
      </c>
      <c r="Z113" s="157">
        <f t="shared" si="72"/>
        <v>-167.14548875872558</v>
      </c>
      <c r="AA113" s="14"/>
      <c r="AB113" s="31" t="s">
        <v>11</v>
      </c>
      <c r="AC113" s="157">
        <f t="shared" si="64"/>
        <v>2098.4333733351232</v>
      </c>
      <c r="AD113" s="325">
        <v>20577375.076510787</v>
      </c>
      <c r="AE113" s="37">
        <f t="shared" si="68"/>
        <v>1.0197769956239457E-4</v>
      </c>
      <c r="AF113" s="157">
        <f t="shared" si="65"/>
        <v>-108.36009781053301</v>
      </c>
      <c r="AH113" s="29">
        <f t="shared" si="69"/>
        <v>20577.375076510787</v>
      </c>
      <c r="AI113" s="365">
        <f t="shared" si="70"/>
        <v>0.10197769956239458</v>
      </c>
    </row>
    <row r="114" spans="2:35">
      <c r="B114" s="29" t="s">
        <v>31</v>
      </c>
      <c r="C114" s="206">
        <f t="shared" si="61"/>
        <v>0</v>
      </c>
      <c r="D114" s="157">
        <f t="shared" ref="D114:O114" si="73">D89*$C10/1000000</f>
        <v>-105.8136651504978</v>
      </c>
      <c r="E114" s="157">
        <f t="shared" si="73"/>
        <v>84.434963915024554</v>
      </c>
      <c r="F114" s="157">
        <f t="shared" si="73"/>
        <v>-61.200580532503572</v>
      </c>
      <c r="G114" s="157">
        <f t="shared" si="73"/>
        <v>224.99200842801949</v>
      </c>
      <c r="H114" s="157">
        <f t="shared" si="73"/>
        <v>-18.863118886528568</v>
      </c>
      <c r="I114" s="157">
        <f t="shared" si="73"/>
        <v>123.54960777351407</v>
      </c>
      <c r="J114" s="157">
        <f t="shared" si="73"/>
        <v>-750.11195110969697</v>
      </c>
      <c r="K114" s="157">
        <f t="shared" si="73"/>
        <v>-160.27214170285515</v>
      </c>
      <c r="L114" s="157">
        <f t="shared" si="73"/>
        <v>-154.15477694155908</v>
      </c>
      <c r="M114" s="157">
        <f t="shared" si="73"/>
        <v>-940.98926198059746</v>
      </c>
      <c r="N114" s="157">
        <f t="shared" si="73"/>
        <v>160.91412703252965</v>
      </c>
      <c r="O114" s="157">
        <f t="shared" si="73"/>
        <v>-780.07513494806938</v>
      </c>
      <c r="P114" s="157"/>
      <c r="Q114" s="14" t="s">
        <v>31</v>
      </c>
      <c r="R114" s="157">
        <f t="shared" ref="R114:Z114" si="74">R89*$C10/1000000</f>
        <v>17.07921529382239</v>
      </c>
      <c r="S114" s="157">
        <f t="shared" si="74"/>
        <v>-142.42655771341489</v>
      </c>
      <c r="T114" s="157">
        <f t="shared" si="74"/>
        <v>-125.34734241959151</v>
      </c>
      <c r="U114" s="157">
        <f t="shared" si="74"/>
        <v>-227.46002151947985</v>
      </c>
      <c r="V114" s="157">
        <f t="shared" si="74"/>
        <v>-182.71830023704058</v>
      </c>
      <c r="W114" s="157">
        <f t="shared" si="74"/>
        <v>-4.6878168579605493E-2</v>
      </c>
      <c r="X114" s="157">
        <f t="shared" si="74"/>
        <v>-535.57254234469349</v>
      </c>
      <c r="Y114" s="157">
        <f t="shared" si="74"/>
        <v>-200.25048979618029</v>
      </c>
      <c r="Z114" s="157">
        <f t="shared" si="74"/>
        <v>-735.82303214087119</v>
      </c>
      <c r="AA114" s="14"/>
      <c r="AB114" s="31" t="s">
        <v>31</v>
      </c>
      <c r="AC114" s="157">
        <f t="shared" si="64"/>
        <v>-1515.8981670889407</v>
      </c>
      <c r="AD114" s="325">
        <v>26283974.132017139</v>
      </c>
      <c r="AE114" s="37">
        <f t="shared" si="68"/>
        <v>-5.7673857061150764E-5</v>
      </c>
      <c r="AF114" s="157">
        <f t="shared" si="65"/>
        <v>-352.85424210765098</v>
      </c>
      <c r="AG114" s="365"/>
      <c r="AH114" s="29">
        <f t="shared" si="69"/>
        <v>26283.974132017138</v>
      </c>
      <c r="AI114" s="365">
        <f t="shared" si="70"/>
        <v>-5.7673857061150767E-2</v>
      </c>
    </row>
    <row r="115" spans="2:35">
      <c r="B115" s="29" t="s">
        <v>12</v>
      </c>
      <c r="C115" s="206">
        <f t="shared" si="61"/>
        <v>0</v>
      </c>
      <c r="D115" s="157">
        <f t="shared" ref="D115:O115" si="75">D90*$C11/1000000</f>
        <v>155.39862915289572</v>
      </c>
      <c r="E115" s="157">
        <f t="shared" si="75"/>
        <v>383.2140705479772</v>
      </c>
      <c r="F115" s="157">
        <f t="shared" si="75"/>
        <v>-60.333013186771012</v>
      </c>
      <c r="G115" s="157">
        <f t="shared" si="75"/>
        <v>1002.5357180336644</v>
      </c>
      <c r="H115" s="157">
        <f t="shared" si="75"/>
        <v>-68.167142718352935</v>
      </c>
      <c r="I115" s="157">
        <f t="shared" si="75"/>
        <v>1412.6482618294115</v>
      </c>
      <c r="J115" s="157">
        <f t="shared" si="75"/>
        <v>-1797.9653951252255</v>
      </c>
      <c r="K115" s="157">
        <f t="shared" si="75"/>
        <v>-140.48316445426315</v>
      </c>
      <c r="L115" s="157">
        <f t="shared" si="75"/>
        <v>147.87311605688652</v>
      </c>
      <c r="M115" s="157">
        <f t="shared" si="75"/>
        <v>-377.92718169318738</v>
      </c>
      <c r="N115" s="157">
        <f t="shared" si="75"/>
        <v>30.308279698710503</v>
      </c>
      <c r="O115" s="157">
        <f t="shared" si="75"/>
        <v>-347.61890199448197</v>
      </c>
      <c r="P115" s="157"/>
      <c r="Q115" s="14" t="s">
        <v>12</v>
      </c>
      <c r="R115" s="157">
        <f t="shared" ref="R115:Z115" si="76">R90*$C11/1000000</f>
        <v>1374.116138413096</v>
      </c>
      <c r="S115" s="157">
        <f t="shared" si="76"/>
        <v>717.86958699588649</v>
      </c>
      <c r="T115" s="157">
        <f t="shared" si="76"/>
        <v>2091.9857254089825</v>
      </c>
      <c r="U115" s="157">
        <f t="shared" si="76"/>
        <v>724.6681036392921</v>
      </c>
      <c r="V115" s="157">
        <f t="shared" si="76"/>
        <v>236.24836573333624</v>
      </c>
      <c r="W115" s="157">
        <f t="shared" si="76"/>
        <v>0.22027852612931711</v>
      </c>
      <c r="X115" s="157">
        <f t="shared" si="76"/>
        <v>3053.1224733077379</v>
      </c>
      <c r="Y115" s="157">
        <f t="shared" si="76"/>
        <v>1587.9456425280082</v>
      </c>
      <c r="Z115" s="157">
        <f t="shared" si="76"/>
        <v>4641.0681158357484</v>
      </c>
      <c r="AA115" s="14"/>
      <c r="AB115" s="31" t="s">
        <v>12</v>
      </c>
      <c r="AC115" s="157">
        <f t="shared" si="64"/>
        <v>4293.4492138412661</v>
      </c>
      <c r="AD115" s="325">
        <v>39770733.98397126</v>
      </c>
      <c r="AE115" s="37">
        <f t="shared" si="68"/>
        <v>1.0795499061122806E-4</v>
      </c>
      <c r="AF115" s="157">
        <f t="shared" si="65"/>
        <v>2816.8741075744038</v>
      </c>
      <c r="AG115" s="365"/>
      <c r="AH115" s="29">
        <f t="shared" si="69"/>
        <v>39770.733983971259</v>
      </c>
      <c r="AI115" s="365">
        <f t="shared" si="70"/>
        <v>0.10795499061122807</v>
      </c>
    </row>
    <row r="116" spans="2:35">
      <c r="B116" s="29" t="s">
        <v>13</v>
      </c>
      <c r="C116" s="206">
        <f t="shared" si="61"/>
        <v>0</v>
      </c>
      <c r="D116" s="157">
        <f t="shared" ref="D116:O116" si="77">D91*$C12/1000000</f>
        <v>203.81972352828782</v>
      </c>
      <c r="E116" s="157">
        <f t="shared" si="77"/>
        <v>-2.1490468728944285</v>
      </c>
      <c r="F116" s="157">
        <f t="shared" si="77"/>
        <v>30.207455275611089</v>
      </c>
      <c r="G116" s="157">
        <f t="shared" si="77"/>
        <v>-11.587630196876772</v>
      </c>
      <c r="H116" s="157">
        <f t="shared" si="77"/>
        <v>-7.4051277762321446</v>
      </c>
      <c r="I116" s="157">
        <f t="shared" si="77"/>
        <v>212.8853739578951</v>
      </c>
      <c r="J116" s="157">
        <f t="shared" si="77"/>
        <v>319.6924435405594</v>
      </c>
      <c r="K116" s="157">
        <f t="shared" si="77"/>
        <v>-2.3194711351696706</v>
      </c>
      <c r="L116" s="157">
        <f t="shared" si="77"/>
        <v>77.934816815192391</v>
      </c>
      <c r="M116" s="157">
        <f t="shared" si="77"/>
        <v>608.19316317847858</v>
      </c>
      <c r="N116" s="157">
        <f t="shared" si="77"/>
        <v>19.076184933307466</v>
      </c>
      <c r="O116" s="157">
        <f t="shared" si="77"/>
        <v>627.26934811178501</v>
      </c>
      <c r="P116" s="157"/>
      <c r="Q116" s="14" t="s">
        <v>13</v>
      </c>
      <c r="R116" s="157">
        <f t="shared" ref="R116:Z116" si="78">R91*$C12/1000000</f>
        <v>-13.326452795687182</v>
      </c>
      <c r="S116" s="157">
        <f t="shared" si="78"/>
        <v>-2.479878040417407</v>
      </c>
      <c r="T116" s="157">
        <f t="shared" si="78"/>
        <v>-15.806330836104323</v>
      </c>
      <c r="U116" s="157">
        <f t="shared" si="78"/>
        <v>-33.113264842476333</v>
      </c>
      <c r="V116" s="157">
        <f t="shared" si="78"/>
        <v>-23.089713670033934</v>
      </c>
      <c r="W116" s="157">
        <f t="shared" si="78"/>
        <v>-1.3550062464851376E-2</v>
      </c>
      <c r="X116" s="157">
        <f t="shared" si="78"/>
        <v>-72.022859411080589</v>
      </c>
      <c r="Y116" s="157">
        <f t="shared" si="78"/>
        <v>-39.683356993607632</v>
      </c>
      <c r="Z116" s="157">
        <f t="shared" si="78"/>
        <v>-111.70621640468848</v>
      </c>
      <c r="AA116" s="14"/>
      <c r="AB116" s="31" t="s">
        <v>13</v>
      </c>
      <c r="AC116" s="157">
        <f t="shared" si="64"/>
        <v>515.56313170709655</v>
      </c>
      <c r="AD116" s="325">
        <v>11946362.871438919</v>
      </c>
      <c r="AE116" s="37">
        <f t="shared" si="68"/>
        <v>4.3156493508136495E-5</v>
      </c>
      <c r="AF116" s="157">
        <f t="shared" si="65"/>
        <v>-48.933145741045507</v>
      </c>
      <c r="AH116" s="29">
        <f t="shared" si="69"/>
        <v>11946.362871438918</v>
      </c>
      <c r="AI116" s="365">
        <f t="shared" si="70"/>
        <v>4.3156493508136495E-2</v>
      </c>
    </row>
    <row r="117" spans="2:35">
      <c r="B117" s="29" t="s">
        <v>14</v>
      </c>
      <c r="C117" s="206">
        <f t="shared" si="61"/>
        <v>0</v>
      </c>
      <c r="D117" s="157">
        <f t="shared" ref="D117:O117" si="79">D92*$C13/1000000</f>
        <v>421.08087897693969</v>
      </c>
      <c r="E117" s="157">
        <f t="shared" si="79"/>
        <v>-53.296048695838088</v>
      </c>
      <c r="F117" s="157">
        <f t="shared" si="79"/>
        <v>470.73673933368855</v>
      </c>
      <c r="G117" s="157">
        <f t="shared" si="79"/>
        <v>14.867578728984427</v>
      </c>
      <c r="H117" s="157">
        <f t="shared" si="79"/>
        <v>98.677680661654009</v>
      </c>
      <c r="I117" s="157">
        <f t="shared" si="79"/>
        <v>952.06682900542671</v>
      </c>
      <c r="J117" s="157">
        <f t="shared" si="79"/>
        <v>1430.3810321316971</v>
      </c>
      <c r="K117" s="157">
        <f t="shared" si="79"/>
        <v>627.06689069459253</v>
      </c>
      <c r="L117" s="157">
        <f t="shared" si="79"/>
        <v>395.41273003255321</v>
      </c>
      <c r="M117" s="157">
        <f t="shared" si="79"/>
        <v>3404.9274818642743</v>
      </c>
      <c r="N117" s="157">
        <f t="shared" si="79"/>
        <v>76.230666869832802</v>
      </c>
      <c r="O117" s="157">
        <f t="shared" si="79"/>
        <v>3481.1581487341023</v>
      </c>
      <c r="P117" s="157"/>
      <c r="Q117" s="14" t="s">
        <v>14</v>
      </c>
      <c r="R117" s="157">
        <f t="shared" ref="R117:Z117" si="80">R92*$C13/1000000</f>
        <v>442.24231039920141</v>
      </c>
      <c r="S117" s="157">
        <f t="shared" si="80"/>
        <v>237.16084838017935</v>
      </c>
      <c r="T117" s="157">
        <f t="shared" si="80"/>
        <v>679.40315877937905</v>
      </c>
      <c r="U117" s="157">
        <f t="shared" si="80"/>
        <v>196.34911037098382</v>
      </c>
      <c r="V117" s="157">
        <f t="shared" si="80"/>
        <v>91.777289145104731</v>
      </c>
      <c r="W117" s="157">
        <f t="shared" si="80"/>
        <v>7.5039387662166432E-2</v>
      </c>
      <c r="X117" s="157">
        <f t="shared" si="80"/>
        <v>967.6045976831266</v>
      </c>
      <c r="Y117" s="157">
        <f t="shared" si="80"/>
        <v>-168.6841013759971</v>
      </c>
      <c r="Z117" s="157">
        <f t="shared" si="80"/>
        <v>798.920496307127</v>
      </c>
      <c r="AA117" s="14"/>
      <c r="AB117" s="31" t="s">
        <v>14</v>
      </c>
      <c r="AC117" s="157">
        <f t="shared" si="64"/>
        <v>4280.0786450412288</v>
      </c>
      <c r="AD117" s="325">
        <v>51927713.994720966</v>
      </c>
      <c r="AE117" s="37">
        <f t="shared" si="68"/>
        <v>8.2423783289908487E-5</v>
      </c>
      <c r="AF117" s="157">
        <f t="shared" si="65"/>
        <v>875.82730853802502</v>
      </c>
      <c r="AH117" s="29">
        <f t="shared" si="69"/>
        <v>51927.713994720965</v>
      </c>
      <c r="AI117" s="365">
        <f t="shared" si="70"/>
        <v>8.2423783289908487E-2</v>
      </c>
    </row>
    <row r="118" spans="2:35">
      <c r="B118" s="29" t="s">
        <v>15</v>
      </c>
      <c r="C118" s="206">
        <f t="shared" si="61"/>
        <v>0</v>
      </c>
      <c r="D118" s="157">
        <f t="shared" ref="D118:O118" si="81">D93*$C14/1000000</f>
        <v>-86.499706117965658</v>
      </c>
      <c r="E118" s="157">
        <f t="shared" si="81"/>
        <v>-187.72619261408394</v>
      </c>
      <c r="F118" s="157">
        <f t="shared" si="81"/>
        <v>15.716026436684828</v>
      </c>
      <c r="G118" s="157">
        <f t="shared" si="81"/>
        <v>-0.28563974369077805</v>
      </c>
      <c r="H118" s="157">
        <f t="shared" si="81"/>
        <v>-97.455663803115627</v>
      </c>
      <c r="I118" s="157">
        <f t="shared" si="81"/>
        <v>-356.25117584217168</v>
      </c>
      <c r="J118" s="157">
        <f t="shared" si="81"/>
        <v>-1050.3608285208313</v>
      </c>
      <c r="K118" s="157">
        <f t="shared" si="81"/>
        <v>294.92552440396219</v>
      </c>
      <c r="L118" s="157">
        <f t="shared" si="81"/>
        <v>-33.191191070635192</v>
      </c>
      <c r="M118" s="157">
        <f t="shared" si="81"/>
        <v>-1144.8776710296736</v>
      </c>
      <c r="N118" s="157">
        <f t="shared" si="81"/>
        <v>-49.016786966088198</v>
      </c>
      <c r="O118" s="157">
        <f t="shared" si="81"/>
        <v>-1193.8944579957624</v>
      </c>
      <c r="P118" s="157"/>
      <c r="Q118" s="14" t="s">
        <v>15</v>
      </c>
      <c r="R118" s="157">
        <f t="shared" ref="R118:Z118" si="82">R93*$C14/1000000</f>
        <v>1458.0393677998745</v>
      </c>
      <c r="S118" s="157">
        <f t="shared" si="82"/>
        <v>454.81528676159292</v>
      </c>
      <c r="T118" s="157">
        <f t="shared" si="82"/>
        <v>1912.8546545614674</v>
      </c>
      <c r="U118" s="157">
        <f t="shared" si="82"/>
        <v>834.25136698291658</v>
      </c>
      <c r="V118" s="157">
        <f t="shared" si="82"/>
        <v>108.60569292264086</v>
      </c>
      <c r="W118" s="157">
        <f t="shared" si="82"/>
        <v>0.23799840543323475</v>
      </c>
      <c r="X118" s="157">
        <f t="shared" si="82"/>
        <v>2855.9497128724543</v>
      </c>
      <c r="Y118" s="157">
        <f t="shared" si="82"/>
        <v>-28.381201175157717</v>
      </c>
      <c r="Z118" s="157">
        <f t="shared" si="82"/>
        <v>2827.5685116972986</v>
      </c>
      <c r="AA118" s="14"/>
      <c r="AB118" s="31" t="s">
        <v>15</v>
      </c>
      <c r="AC118" s="157">
        <f t="shared" si="64"/>
        <v>1633.6740537015362</v>
      </c>
      <c r="AD118" s="325">
        <v>35727246.204494148</v>
      </c>
      <c r="AE118" s="37">
        <f t="shared" si="68"/>
        <v>4.5726279723625484E-5</v>
      </c>
      <c r="AF118" s="157">
        <f t="shared" si="65"/>
        <v>2747.3440199498173</v>
      </c>
      <c r="AH118" s="29">
        <f t="shared" si="69"/>
        <v>35727.246204494149</v>
      </c>
      <c r="AI118" s="365">
        <f t="shared" si="70"/>
        <v>4.5726279723625481E-2</v>
      </c>
    </row>
    <row r="119" spans="2:35" s="38" customFormat="1">
      <c r="B119" s="29" t="s">
        <v>16</v>
      </c>
      <c r="C119" s="206">
        <f t="shared" si="61"/>
        <v>0</v>
      </c>
      <c r="D119" s="157">
        <f t="shared" ref="D119:O119" si="83">D94*$C15/1000000</f>
        <v>-1864.9932103675608</v>
      </c>
      <c r="E119" s="157">
        <f t="shared" si="83"/>
        <v>1026.8361089592634</v>
      </c>
      <c r="F119" s="157">
        <f t="shared" si="83"/>
        <v>-302.45878499000366</v>
      </c>
      <c r="G119" s="157">
        <f t="shared" si="83"/>
        <v>-640.10070761162422</v>
      </c>
      <c r="H119" s="157">
        <f t="shared" si="83"/>
        <v>212.91215810417967</v>
      </c>
      <c r="I119" s="157">
        <f t="shared" si="83"/>
        <v>-1567.8044359057485</v>
      </c>
      <c r="J119" s="157">
        <f t="shared" si="83"/>
        <v>2043.5738779484286</v>
      </c>
      <c r="K119" s="157">
        <f t="shared" si="83"/>
        <v>-803.80368716347812</v>
      </c>
      <c r="L119" s="157">
        <f t="shared" si="83"/>
        <v>-143.10706957098694</v>
      </c>
      <c r="M119" s="157">
        <f t="shared" si="83"/>
        <v>-471.14131469177465</v>
      </c>
      <c r="N119" s="157">
        <f t="shared" si="83"/>
        <v>623.05342001311794</v>
      </c>
      <c r="O119" s="157">
        <f t="shared" si="83"/>
        <v>151.91210532132646</v>
      </c>
      <c r="P119" s="177"/>
      <c r="Q119" s="14" t="s">
        <v>16</v>
      </c>
      <c r="R119" s="157">
        <f t="shared" ref="R119:Y119" si="84">R94*$C15/1000000</f>
        <v>-3642.1520277085933</v>
      </c>
      <c r="S119" s="157">
        <f t="shared" si="84"/>
        <v>-1340.0210734086543</v>
      </c>
      <c r="T119" s="157">
        <f t="shared" si="84"/>
        <v>-4982.1731011172451</v>
      </c>
      <c r="U119" s="157">
        <f t="shared" si="84"/>
        <v>-3236.6788096816608</v>
      </c>
      <c r="V119" s="157">
        <f t="shared" si="84"/>
        <v>-947.74255243217374</v>
      </c>
      <c r="W119" s="157">
        <f t="shared" si="84"/>
        <v>-0.77585972798356517</v>
      </c>
      <c r="X119" s="157">
        <f t="shared" si="84"/>
        <v>-9167.3703229590774</v>
      </c>
      <c r="Y119" s="157">
        <f t="shared" si="84"/>
        <v>-876.86140415548766</v>
      </c>
      <c r="Z119" s="157">
        <f>Z94*$C15/1000000</f>
        <v>-10044.231727114558</v>
      </c>
      <c r="AA119" s="26"/>
      <c r="AB119" s="31" t="s">
        <v>16</v>
      </c>
      <c r="AC119" s="157">
        <f t="shared" si="64"/>
        <v>-9892.3196217932327</v>
      </c>
      <c r="AD119" s="325">
        <v>196875621.24261382</v>
      </c>
      <c r="AE119" s="37">
        <f t="shared" si="68"/>
        <v>-5.024654428697765E-5</v>
      </c>
      <c r="AF119" s="157">
        <f t="shared" si="65"/>
        <v>-8219.6277705268894</v>
      </c>
      <c r="AH119" s="29">
        <f t="shared" si="69"/>
        <v>196875.62124261382</v>
      </c>
      <c r="AI119" s="365">
        <f t="shared" si="70"/>
        <v>-5.0246544286977647E-2</v>
      </c>
    </row>
    <row r="120" spans="2:35">
      <c r="B120" s="29" t="s">
        <v>17</v>
      </c>
      <c r="C120" s="206">
        <f t="shared" si="61"/>
        <v>0</v>
      </c>
      <c r="D120" s="157">
        <f t="shared" ref="D120:O120" si="85">D95*$C16/1000000</f>
        <v>-1860.9946747446379</v>
      </c>
      <c r="E120" s="157">
        <f t="shared" si="85"/>
        <v>-363.99477314179751</v>
      </c>
      <c r="F120" s="157">
        <f t="shared" si="85"/>
        <v>-364.12697664369568</v>
      </c>
      <c r="G120" s="157">
        <f t="shared" si="85"/>
        <v>-338.76108595991957</v>
      </c>
      <c r="H120" s="157">
        <f t="shared" si="85"/>
        <v>-303.70406212572675</v>
      </c>
      <c r="I120" s="157">
        <f t="shared" si="85"/>
        <v>-3231.5815726157807</v>
      </c>
      <c r="J120" s="157">
        <f t="shared" si="85"/>
        <v>-1811.021630845406</v>
      </c>
      <c r="K120" s="157">
        <f t="shared" si="85"/>
        <v>-628.82478989928086</v>
      </c>
      <c r="L120" s="157">
        <f t="shared" si="85"/>
        <v>-369.70164895640289</v>
      </c>
      <c r="M120" s="157">
        <f t="shared" si="85"/>
        <v>-6041.1296423168642</v>
      </c>
      <c r="N120" s="157">
        <f t="shared" si="85"/>
        <v>371.23432870736491</v>
      </c>
      <c r="O120" s="157">
        <f t="shared" si="85"/>
        <v>-5669.895313609507</v>
      </c>
      <c r="P120" s="157"/>
      <c r="Q120" s="14" t="s">
        <v>17</v>
      </c>
      <c r="R120" s="157">
        <f t="shared" ref="R120:Z120" si="86">R95*$C16/1000000</f>
        <v>2116.0361155726487</v>
      </c>
      <c r="S120" s="157">
        <f t="shared" si="86"/>
        <v>452.67477178650017</v>
      </c>
      <c r="T120" s="157">
        <f t="shared" si="86"/>
        <v>2568.7108873591501</v>
      </c>
      <c r="U120" s="157">
        <f t="shared" si="86"/>
        <v>1755.1074924866855</v>
      </c>
      <c r="V120" s="157">
        <f t="shared" si="86"/>
        <v>124.40439663916681</v>
      </c>
      <c r="W120" s="157">
        <f t="shared" si="86"/>
        <v>0.15642989393135673</v>
      </c>
      <c r="X120" s="157">
        <f t="shared" si="86"/>
        <v>4448.3792063789242</v>
      </c>
      <c r="Y120" s="157">
        <f t="shared" si="86"/>
        <v>-513.12198110760573</v>
      </c>
      <c r="Z120" s="157">
        <f t="shared" si="86"/>
        <v>3935.2572252713271</v>
      </c>
      <c r="AA120" s="14"/>
      <c r="AB120" s="31" t="s">
        <v>17</v>
      </c>
      <c r="AC120" s="157">
        <f t="shared" si="64"/>
        <v>-1734.6380883381798</v>
      </c>
      <c r="AD120" s="325">
        <v>97325322.874915347</v>
      </c>
      <c r="AE120" s="37">
        <f t="shared" si="68"/>
        <v>-1.7823091021928332E-5</v>
      </c>
      <c r="AF120" s="157">
        <f t="shared" si="65"/>
        <v>4323.9748097397669</v>
      </c>
      <c r="AH120" s="29">
        <f t="shared" si="69"/>
        <v>97325.32287491535</v>
      </c>
      <c r="AI120" s="365">
        <f t="shared" si="70"/>
        <v>-1.782309102192833E-2</v>
      </c>
    </row>
    <row r="121" spans="2:35">
      <c r="B121" s="29" t="s">
        <v>18</v>
      </c>
      <c r="C121" s="206">
        <f t="shared" si="61"/>
        <v>0</v>
      </c>
      <c r="D121" s="157">
        <f t="shared" ref="D121:O121" si="87">D96*$C17/1000000</f>
        <v>255.64137105160805</v>
      </c>
      <c r="E121" s="157">
        <f t="shared" si="87"/>
        <v>-179.95353000894775</v>
      </c>
      <c r="F121" s="157">
        <f t="shared" si="87"/>
        <v>47.971537115868486</v>
      </c>
      <c r="G121" s="157">
        <f t="shared" si="87"/>
        <v>163.59711055294269</v>
      </c>
      <c r="H121" s="157">
        <f t="shared" si="87"/>
        <v>-18.34634370201746</v>
      </c>
      <c r="I121" s="157">
        <f t="shared" si="87"/>
        <v>268.91014500945352</v>
      </c>
      <c r="J121" s="157">
        <f t="shared" si="87"/>
        <v>-346.51353976200716</v>
      </c>
      <c r="K121" s="157">
        <f t="shared" si="87"/>
        <v>516.80683043740009</v>
      </c>
      <c r="L121" s="157">
        <f t="shared" si="87"/>
        <v>123.98458986163492</v>
      </c>
      <c r="M121" s="157">
        <f t="shared" si="87"/>
        <v>563.18802554648369</v>
      </c>
      <c r="N121" s="157">
        <f t="shared" si="87"/>
        <v>127.5471991580427</v>
      </c>
      <c r="O121" s="157">
        <f t="shared" si="87"/>
        <v>690.73522470452508</v>
      </c>
      <c r="P121" s="157"/>
      <c r="Q121" s="14" t="s">
        <v>18</v>
      </c>
      <c r="R121" s="157">
        <f t="shared" ref="R121:Z121" si="88">R96*$C17/1000000</f>
        <v>991.86974484790221</v>
      </c>
      <c r="S121" s="157">
        <f t="shared" si="88"/>
        <v>382.66687877798677</v>
      </c>
      <c r="T121" s="157">
        <f t="shared" si="88"/>
        <v>1374.5366236258894</v>
      </c>
      <c r="U121" s="157">
        <f t="shared" si="88"/>
        <v>747.86409268033572</v>
      </c>
      <c r="V121" s="157">
        <f t="shared" si="88"/>
        <v>180.53539437223546</v>
      </c>
      <c r="W121" s="157">
        <f t="shared" si="88"/>
        <v>0.15842267825773126</v>
      </c>
      <c r="X121" s="157">
        <f t="shared" si="88"/>
        <v>2303.0945333567165</v>
      </c>
      <c r="Y121" s="157">
        <f t="shared" si="88"/>
        <v>-167.10393112286519</v>
      </c>
      <c r="Z121" s="157">
        <f t="shared" si="88"/>
        <v>2135.9906022338523</v>
      </c>
      <c r="AA121" s="14"/>
      <c r="AB121" s="31" t="s">
        <v>18</v>
      </c>
      <c r="AC121" s="157">
        <f t="shared" si="64"/>
        <v>2826.7258269383774</v>
      </c>
      <c r="AD121" s="325">
        <v>16665541.899542244</v>
      </c>
      <c r="AE121" s="37">
        <f t="shared" si="68"/>
        <v>1.6961499625859868E-4</v>
      </c>
      <c r="AF121" s="157">
        <f t="shared" si="65"/>
        <v>2122.5591389844831</v>
      </c>
      <c r="AH121" s="29">
        <f t="shared" si="69"/>
        <v>16665.541899542244</v>
      </c>
      <c r="AI121" s="365">
        <f t="shared" si="70"/>
        <v>0.16961499625859869</v>
      </c>
    </row>
    <row r="122" spans="2:35">
      <c r="B122" s="29" t="s">
        <v>19</v>
      </c>
      <c r="C122" s="206">
        <f t="shared" si="61"/>
        <v>0</v>
      </c>
      <c r="D122" s="157">
        <f t="shared" ref="D122:O122" si="89">D97*$C18/1000000</f>
        <v>305.52396975743403</v>
      </c>
      <c r="E122" s="157">
        <f t="shared" si="89"/>
        <v>-480.30037121771289</v>
      </c>
      <c r="F122" s="157">
        <f t="shared" si="89"/>
        <v>295.66021319897646</v>
      </c>
      <c r="G122" s="157">
        <f t="shared" si="89"/>
        <v>79.266288869648093</v>
      </c>
      <c r="H122" s="157">
        <f t="shared" si="89"/>
        <v>-25.000908329899733</v>
      </c>
      <c r="I122" s="157">
        <f t="shared" si="89"/>
        <v>175.14919227844493</v>
      </c>
      <c r="J122" s="157">
        <f t="shared" si="89"/>
        <v>1311.4033445597404</v>
      </c>
      <c r="K122" s="157">
        <f t="shared" si="89"/>
        <v>-69.326377804078732</v>
      </c>
      <c r="L122" s="157">
        <f t="shared" si="89"/>
        <v>352.61078746327144</v>
      </c>
      <c r="M122" s="157">
        <f t="shared" si="89"/>
        <v>1769.8369464973812</v>
      </c>
      <c r="N122" s="157">
        <f t="shared" si="89"/>
        <v>166.61397401516467</v>
      </c>
      <c r="O122" s="157">
        <f t="shared" si="89"/>
        <v>1936.4509205125396</v>
      </c>
      <c r="P122" s="157"/>
      <c r="Q122" s="14" t="s">
        <v>19</v>
      </c>
      <c r="R122" s="157">
        <f t="shared" ref="R122:Z122" si="90">R97*$C18/1000000</f>
        <v>865.46340537511048</v>
      </c>
      <c r="S122" s="157">
        <f t="shared" si="90"/>
        <v>207.37696948687326</v>
      </c>
      <c r="T122" s="157">
        <f t="shared" si="90"/>
        <v>1072.8403748619826</v>
      </c>
      <c r="U122" s="157">
        <f t="shared" si="90"/>
        <v>580.79524022291446</v>
      </c>
      <c r="V122" s="157">
        <f t="shared" si="90"/>
        <v>372.02075672427964</v>
      </c>
      <c r="W122" s="157">
        <f t="shared" si="90"/>
        <v>0.10856059164819563</v>
      </c>
      <c r="X122" s="157">
        <f t="shared" si="90"/>
        <v>2025.7649324008239</v>
      </c>
      <c r="Y122" s="157">
        <f t="shared" si="90"/>
        <v>-270.41662338213564</v>
      </c>
      <c r="Z122" s="157">
        <f t="shared" si="90"/>
        <v>1755.3483090186894</v>
      </c>
      <c r="AA122" s="14"/>
      <c r="AB122" s="31" t="s">
        <v>19</v>
      </c>
      <c r="AC122" s="157">
        <f t="shared" si="64"/>
        <v>3691.7992295312288</v>
      </c>
      <c r="AD122" s="325">
        <v>53908724.092359357</v>
      </c>
      <c r="AE122" s="37">
        <f t="shared" si="68"/>
        <v>6.8482407841933673E-5</v>
      </c>
      <c r="AF122" s="157">
        <f t="shared" si="65"/>
        <v>1653.7441756765452</v>
      </c>
      <c r="AH122" s="29">
        <f t="shared" si="69"/>
        <v>53908.724092359356</v>
      </c>
      <c r="AI122" s="365">
        <f t="shared" si="70"/>
        <v>6.8482407841933671E-2</v>
      </c>
    </row>
    <row r="123" spans="2:35" s="38" customFormat="1">
      <c r="B123" s="29" t="s">
        <v>20</v>
      </c>
      <c r="C123" s="206">
        <f t="shared" si="61"/>
        <v>0</v>
      </c>
      <c r="D123" s="157">
        <f t="shared" ref="D123:O123" si="91">D98*$C19/1000000</f>
        <v>-1854.2335011278931</v>
      </c>
      <c r="E123" s="157">
        <f t="shared" si="91"/>
        <v>1088.9399047833297</v>
      </c>
      <c r="F123" s="157">
        <f t="shared" si="91"/>
        <v>-274.32641597817985</v>
      </c>
      <c r="G123" s="157">
        <f t="shared" si="91"/>
        <v>-624.21026026887671</v>
      </c>
      <c r="H123" s="157">
        <f t="shared" si="91"/>
        <v>115.29331018701619</v>
      </c>
      <c r="I123" s="157">
        <f t="shared" si="91"/>
        <v>-1548.5369624046064</v>
      </c>
      <c r="J123" s="157">
        <f t="shared" si="91"/>
        <v>993.40591247180373</v>
      </c>
      <c r="K123" s="157">
        <f t="shared" si="91"/>
        <v>-1028.6076892715432</v>
      </c>
      <c r="L123" s="157">
        <f t="shared" si="91"/>
        <v>-556.3579890215226</v>
      </c>
      <c r="M123" s="157">
        <f t="shared" si="91"/>
        <v>-2140.096728225853</v>
      </c>
      <c r="N123" s="157">
        <f t="shared" si="91"/>
        <v>-695.65037089887358</v>
      </c>
      <c r="O123" s="157">
        <f t="shared" si="91"/>
        <v>-2835.7470991247328</v>
      </c>
      <c r="P123" s="177"/>
      <c r="Q123" s="14" t="s">
        <v>20</v>
      </c>
      <c r="R123" s="157">
        <f t="shared" ref="R123:Z123" si="92">R98*$C19/1000000</f>
        <v>-8904.2516753503423</v>
      </c>
      <c r="S123" s="157">
        <f t="shared" si="92"/>
        <v>-2390.1224654596272</v>
      </c>
      <c r="T123" s="157">
        <f t="shared" si="92"/>
        <v>-11294.374140809965</v>
      </c>
      <c r="U123" s="157">
        <f t="shared" si="92"/>
        <v>-4565.9772597475476</v>
      </c>
      <c r="V123" s="157">
        <f t="shared" si="92"/>
        <v>-883.26518254089638</v>
      </c>
      <c r="W123" s="157">
        <f t="shared" si="92"/>
        <v>-0.88083535430440463</v>
      </c>
      <c r="X123" s="157">
        <f t="shared" si="92"/>
        <v>-16744.49741845272</v>
      </c>
      <c r="Y123" s="157">
        <f t="shared" si="92"/>
        <v>375.5404567926206</v>
      </c>
      <c r="Z123" s="157">
        <f t="shared" si="92"/>
        <v>-16368.956961660098</v>
      </c>
      <c r="AA123" s="26"/>
      <c r="AB123" s="31" t="s">
        <v>20</v>
      </c>
      <c r="AC123" s="157">
        <f t="shared" si="64"/>
        <v>-19204.704060784832</v>
      </c>
      <c r="AD123" s="325">
        <v>195527319.26309666</v>
      </c>
      <c r="AE123" s="37">
        <f t="shared" si="68"/>
        <v>-9.8220055044806622E-5</v>
      </c>
      <c r="AF123" s="157">
        <f t="shared" si="65"/>
        <v>-15861.232235911817</v>
      </c>
      <c r="AH123" s="29">
        <f t="shared" si="69"/>
        <v>195527.31926309667</v>
      </c>
      <c r="AI123" s="365">
        <f t="shared" si="70"/>
        <v>-9.8220055044806617E-2</v>
      </c>
    </row>
    <row r="124" spans="2:35">
      <c r="B124" s="29" t="s">
        <v>60</v>
      </c>
      <c r="C124" s="206">
        <f t="shared" si="61"/>
        <v>0</v>
      </c>
      <c r="D124" s="157">
        <f t="shared" ref="D124:O124" si="93">D99*$C20/1000000</f>
        <v>-485.43291761826214</v>
      </c>
      <c r="E124" s="157">
        <f t="shared" si="93"/>
        <v>-207.32269743689108</v>
      </c>
      <c r="F124" s="157">
        <f t="shared" si="93"/>
        <v>-56.215019716000931</v>
      </c>
      <c r="G124" s="157">
        <f t="shared" si="93"/>
        <v>-50.908926204013348</v>
      </c>
      <c r="H124" s="157">
        <f t="shared" si="93"/>
        <v>-68.25259494011793</v>
      </c>
      <c r="I124" s="157">
        <f t="shared" si="93"/>
        <v>-868.13215591528581</v>
      </c>
      <c r="J124" s="157">
        <f t="shared" si="93"/>
        <v>-926.68103949853662</v>
      </c>
      <c r="K124" s="157">
        <f t="shared" si="93"/>
        <v>-113.30719890626206</v>
      </c>
      <c r="L124" s="157">
        <f t="shared" si="93"/>
        <v>-111.58123336972187</v>
      </c>
      <c r="M124" s="157">
        <f t="shared" si="93"/>
        <v>-2019.7016276898059</v>
      </c>
      <c r="N124" s="157">
        <f t="shared" si="93"/>
        <v>122.70657305821402</v>
      </c>
      <c r="O124" s="157">
        <f t="shared" si="93"/>
        <v>-1896.9950546315947</v>
      </c>
      <c r="P124" s="157"/>
      <c r="Q124" s="14" t="s">
        <v>60</v>
      </c>
      <c r="R124" s="157">
        <f t="shared" ref="R124:Z124" si="94">R99*$C20/1000000</f>
        <v>1062.4355122382613</v>
      </c>
      <c r="S124" s="157">
        <f t="shared" si="94"/>
        <v>271.34214345536037</v>
      </c>
      <c r="T124" s="157">
        <f t="shared" si="94"/>
        <v>1333.7776556936205</v>
      </c>
      <c r="U124" s="157">
        <f t="shared" si="94"/>
        <v>756.48162347142522</v>
      </c>
      <c r="V124" s="157">
        <f t="shared" si="94"/>
        <v>90.532354597874047</v>
      </c>
      <c r="W124" s="157">
        <f t="shared" si="94"/>
        <v>0.17069957114431955</v>
      </c>
      <c r="X124" s="157">
        <f t="shared" si="94"/>
        <v>2180.9623333340614</v>
      </c>
      <c r="Y124" s="157">
        <f t="shared" si="94"/>
        <v>-176.33439954356274</v>
      </c>
      <c r="Z124" s="157">
        <f t="shared" si="94"/>
        <v>2004.6279337904996</v>
      </c>
      <c r="AA124" s="14"/>
      <c r="AB124" s="31" t="s">
        <v>60</v>
      </c>
      <c r="AC124" s="157">
        <f t="shared" si="64"/>
        <v>107.63287915890487</v>
      </c>
      <c r="AD124" s="325">
        <v>26581140.008400876</v>
      </c>
      <c r="AE124" s="37">
        <f t="shared" si="68"/>
        <v>4.0492198274749646E-6</v>
      </c>
      <c r="AF124" s="157">
        <f t="shared" si="65"/>
        <v>2090.4299787361902</v>
      </c>
      <c r="AH124" s="29">
        <f t="shared" si="69"/>
        <v>26581.140008400875</v>
      </c>
      <c r="AI124" s="365">
        <f t="shared" si="70"/>
        <v>4.049219827474965E-3</v>
      </c>
    </row>
    <row r="125" spans="2:35">
      <c r="B125" s="29" t="s">
        <v>61</v>
      </c>
      <c r="C125" s="206">
        <f t="shared" si="61"/>
        <v>0</v>
      </c>
      <c r="D125" s="157">
        <f t="shared" ref="D125:O125" si="95">D100*$C21/1000000</f>
        <v>1001.4489318474839</v>
      </c>
      <c r="E125" s="157">
        <f t="shared" si="95"/>
        <v>32.37172380997162</v>
      </c>
      <c r="F125" s="157">
        <f t="shared" si="95"/>
        <v>6.9876727763972468</v>
      </c>
      <c r="G125" s="157">
        <f t="shared" si="95"/>
        <v>-60.400656078419104</v>
      </c>
      <c r="H125" s="157">
        <f t="shared" si="95"/>
        <v>37.085401702244098</v>
      </c>
      <c r="I125" s="157">
        <f t="shared" si="95"/>
        <v>1017.4930740576774</v>
      </c>
      <c r="J125" s="157">
        <f t="shared" si="95"/>
        <v>192.34057820051601</v>
      </c>
      <c r="K125" s="157">
        <f t="shared" si="95"/>
        <v>48.026217217204412</v>
      </c>
      <c r="L125" s="157">
        <f t="shared" si="95"/>
        <v>-98.942201441594989</v>
      </c>
      <c r="M125" s="157">
        <f t="shared" si="95"/>
        <v>1158.9176680338048</v>
      </c>
      <c r="N125" s="157">
        <f t="shared" si="95"/>
        <v>-456.60190442461015</v>
      </c>
      <c r="O125" s="157">
        <f t="shared" si="95"/>
        <v>702.31576360919371</v>
      </c>
      <c r="P125" s="157"/>
      <c r="Q125" s="14" t="s">
        <v>61</v>
      </c>
      <c r="R125" s="157">
        <f t="shared" ref="R125:Z125" si="96">R100*$C21/1000000</f>
        <v>-380.95189815951147</v>
      </c>
      <c r="S125" s="157">
        <f t="shared" si="96"/>
        <v>-98.345172380518335</v>
      </c>
      <c r="T125" s="157">
        <f t="shared" si="96"/>
        <v>-479.29707054002944</v>
      </c>
      <c r="U125" s="157">
        <f t="shared" si="96"/>
        <v>-417.61107302187645</v>
      </c>
      <c r="V125" s="157">
        <f t="shared" si="96"/>
        <v>-42.206400143837996</v>
      </c>
      <c r="W125" s="157">
        <f t="shared" si="96"/>
        <v>-5.0887920113060578E-2</v>
      </c>
      <c r="X125" s="157">
        <f t="shared" si="96"/>
        <v>-939.16543162585788</v>
      </c>
      <c r="Y125" s="157">
        <f t="shared" si="96"/>
        <v>351.67476395045935</v>
      </c>
      <c r="Z125" s="157">
        <f t="shared" si="96"/>
        <v>-587.49066767539898</v>
      </c>
      <c r="AA125" s="14"/>
      <c r="AB125" s="31" t="s">
        <v>61</v>
      </c>
      <c r="AC125" s="157">
        <f t="shared" si="64"/>
        <v>114.82509593379473</v>
      </c>
      <c r="AD125" s="325">
        <v>17847764.140572913</v>
      </c>
      <c r="AE125" s="37">
        <f t="shared" si="68"/>
        <v>6.4335843430811298E-6</v>
      </c>
      <c r="AF125" s="157">
        <f t="shared" si="65"/>
        <v>-896.95903148201899</v>
      </c>
      <c r="AH125" s="29">
        <f t="shared" si="69"/>
        <v>17847.764140572912</v>
      </c>
      <c r="AI125" s="365">
        <f t="shared" si="70"/>
        <v>6.4335843430811303E-3</v>
      </c>
    </row>
    <row r="126" spans="2:35">
      <c r="B126" s="29" t="s">
        <v>62</v>
      </c>
      <c r="C126" s="206">
        <f t="shared" si="61"/>
        <v>0</v>
      </c>
      <c r="D126" s="157">
        <f t="shared" ref="D126:O126" si="97">D101*$C22/1000000</f>
        <v>5437.1321553211246</v>
      </c>
      <c r="E126" s="157">
        <f t="shared" si="97"/>
        <v>-65.53787729235755</v>
      </c>
      <c r="F126" s="157">
        <f t="shared" si="97"/>
        <v>122.73468188415319</v>
      </c>
      <c r="G126" s="157">
        <f t="shared" si="97"/>
        <v>-142.72791173277383</v>
      </c>
      <c r="H126" s="157">
        <f t="shared" si="97"/>
        <v>212.81923029943434</v>
      </c>
      <c r="I126" s="157">
        <f t="shared" si="97"/>
        <v>5564.4202784795807</v>
      </c>
      <c r="J126" s="157">
        <f t="shared" si="97"/>
        <v>2438.536168680344</v>
      </c>
      <c r="K126" s="157">
        <f t="shared" si="97"/>
        <v>-149.19892525456669</v>
      </c>
      <c r="L126" s="157">
        <f t="shared" si="97"/>
        <v>-28.584014175376023</v>
      </c>
      <c r="M126" s="157">
        <f t="shared" si="97"/>
        <v>7825.1735077299854</v>
      </c>
      <c r="N126" s="157">
        <f t="shared" si="97"/>
        <v>-963.45884693615233</v>
      </c>
      <c r="O126" s="157">
        <f t="shared" si="97"/>
        <v>6861.714660793823</v>
      </c>
      <c r="P126" s="157"/>
      <c r="Q126" s="14" t="s">
        <v>62</v>
      </c>
      <c r="R126" s="157">
        <f t="shared" ref="R126:Z126" si="98">R101*$C22/1000000</f>
        <v>-1877.136009808786</v>
      </c>
      <c r="S126" s="157">
        <f t="shared" si="98"/>
        <v>-440.53795660802177</v>
      </c>
      <c r="T126" s="157">
        <f t="shared" si="98"/>
        <v>-2317.6739664168094</v>
      </c>
      <c r="U126" s="157">
        <f t="shared" si="98"/>
        <v>-2012.8798930603803</v>
      </c>
      <c r="V126" s="157">
        <f t="shared" si="98"/>
        <v>32.023498061125473</v>
      </c>
      <c r="W126" s="157">
        <f t="shared" si="98"/>
        <v>-0.27087910852901886</v>
      </c>
      <c r="X126" s="157">
        <f t="shared" si="98"/>
        <v>-4298.8012405245963</v>
      </c>
      <c r="Y126" s="157">
        <f t="shared" si="98"/>
        <v>824.55157551646448</v>
      </c>
      <c r="Z126" s="157">
        <f t="shared" si="98"/>
        <v>-3474.2496650081312</v>
      </c>
      <c r="AA126" s="14"/>
      <c r="AB126" s="31" t="s">
        <v>62</v>
      </c>
      <c r="AC126" s="157">
        <f t="shared" si="64"/>
        <v>3387.4649957856918</v>
      </c>
      <c r="AD126" s="325">
        <v>63959781.913677663</v>
      </c>
      <c r="AE126" s="37">
        <f t="shared" si="68"/>
        <v>5.2962422547930699E-5</v>
      </c>
      <c r="AF126" s="157">
        <f t="shared" si="65"/>
        <v>-4330.8247385857185</v>
      </c>
      <c r="AH126" s="29">
        <f t="shared" si="69"/>
        <v>63959.78191367766</v>
      </c>
      <c r="AI126" s="365">
        <f t="shared" si="70"/>
        <v>5.2962422547930703E-2</v>
      </c>
    </row>
    <row r="127" spans="2:35">
      <c r="B127" s="29" t="s">
        <v>63</v>
      </c>
      <c r="C127" s="206">
        <f t="shared" si="61"/>
        <v>0</v>
      </c>
      <c r="D127" s="157">
        <f t="shared" ref="D127:O127" si="99">D102*$C23/1000000</f>
        <v>79.057438539436177</v>
      </c>
      <c r="E127" s="157">
        <f t="shared" si="99"/>
        <v>-14.353697380416316</v>
      </c>
      <c r="F127" s="157">
        <f t="shared" si="99"/>
        <v>14.304453174574164</v>
      </c>
      <c r="G127" s="157">
        <f t="shared" si="99"/>
        <v>-29.599236745953281</v>
      </c>
      <c r="H127" s="157">
        <f t="shared" si="99"/>
        <v>33.325207993908585</v>
      </c>
      <c r="I127" s="157">
        <f t="shared" si="99"/>
        <v>82.73416558154905</v>
      </c>
      <c r="J127" s="157">
        <f t="shared" si="99"/>
        <v>0.15477700459218138</v>
      </c>
      <c r="K127" s="157">
        <f t="shared" si="99"/>
        <v>-4.6328632685957025</v>
      </c>
      <c r="L127" s="157">
        <f t="shared" si="99"/>
        <v>21.997088288268163</v>
      </c>
      <c r="M127" s="157">
        <f t="shared" si="99"/>
        <v>100.25316760581411</v>
      </c>
      <c r="N127" s="157">
        <f t="shared" si="99"/>
        <v>8.9508335826545942</v>
      </c>
      <c r="O127" s="157">
        <f t="shared" si="99"/>
        <v>109.20400118846815</v>
      </c>
      <c r="P127" s="157"/>
      <c r="Q127" s="14" t="s">
        <v>63</v>
      </c>
      <c r="R127" s="157">
        <f t="shared" ref="R127:Z127" si="100">R102*$C23/1000000</f>
        <v>-6.2392244884171459</v>
      </c>
      <c r="S127" s="157">
        <f t="shared" si="100"/>
        <v>11.976196687243819</v>
      </c>
      <c r="T127" s="157">
        <f t="shared" si="100"/>
        <v>5.7369721988265292</v>
      </c>
      <c r="U127" s="157">
        <f t="shared" si="100"/>
        <v>-46.108865183807303</v>
      </c>
      <c r="V127" s="157">
        <f t="shared" si="100"/>
        <v>-4.2732364346830565</v>
      </c>
      <c r="W127" s="157">
        <f t="shared" si="100"/>
        <v>-1.8768814908199597E-3</v>
      </c>
      <c r="X127" s="157">
        <f t="shared" si="100"/>
        <v>-44.647006301155017</v>
      </c>
      <c r="Y127" s="157">
        <f t="shared" si="100"/>
        <v>-22.753948996542508</v>
      </c>
      <c r="Z127" s="157">
        <f t="shared" si="100"/>
        <v>-67.40095529769718</v>
      </c>
      <c r="AA127" s="14"/>
      <c r="AB127" s="31" t="s">
        <v>63</v>
      </c>
      <c r="AC127" s="157">
        <f t="shared" si="64"/>
        <v>41.803045890770974</v>
      </c>
      <c r="AD127" s="325">
        <v>7641726.6529584611</v>
      </c>
      <c r="AE127" s="37">
        <f t="shared" si="68"/>
        <v>5.4703665531646711E-6</v>
      </c>
      <c r="AF127" s="157">
        <f t="shared" si="65"/>
        <v>-40.373769866471598</v>
      </c>
      <c r="AH127" s="29">
        <f t="shared" si="69"/>
        <v>7641.7266529584613</v>
      </c>
      <c r="AI127" s="365">
        <f t="shared" si="70"/>
        <v>5.4703665531646711E-3</v>
      </c>
    </row>
    <row r="128" spans="2:35">
      <c r="B128" s="29" t="s">
        <v>64</v>
      </c>
      <c r="C128" s="206">
        <f t="shared" si="61"/>
        <v>0</v>
      </c>
      <c r="D128" s="157">
        <f t="shared" ref="D128:O128" si="101">D103*$C24/1000000</f>
        <v>320.91529902316324</v>
      </c>
      <c r="E128" s="157">
        <f t="shared" si="101"/>
        <v>-82.254680489450749</v>
      </c>
      <c r="F128" s="157">
        <f t="shared" si="101"/>
        <v>16.718391500147167</v>
      </c>
      <c r="G128" s="157">
        <f t="shared" si="101"/>
        <v>120.37360519603827</v>
      </c>
      <c r="H128" s="157">
        <f t="shared" si="101"/>
        <v>77.719501285438895</v>
      </c>
      <c r="I128" s="157">
        <f t="shared" si="101"/>
        <v>453.47211651533667</v>
      </c>
      <c r="J128" s="157">
        <f t="shared" si="101"/>
        <v>-185.23113972221381</v>
      </c>
      <c r="K128" s="157">
        <f t="shared" si="101"/>
        <v>37.502960217096614</v>
      </c>
      <c r="L128" s="157">
        <f t="shared" si="101"/>
        <v>90.499372852127323</v>
      </c>
      <c r="M128" s="157">
        <f t="shared" si="101"/>
        <v>396.2433098623473</v>
      </c>
      <c r="N128" s="157">
        <f t="shared" si="101"/>
        <v>-5.7609223332559241</v>
      </c>
      <c r="O128" s="157">
        <f t="shared" si="101"/>
        <v>390.48238752909106</v>
      </c>
      <c r="P128" s="157"/>
      <c r="Q128" s="14" t="s">
        <v>64</v>
      </c>
      <c r="R128" s="157">
        <f t="shared" ref="R128:Z128" si="102">R103*$C24/1000000</f>
        <v>135.14451340412828</v>
      </c>
      <c r="S128" s="157">
        <f t="shared" si="102"/>
        <v>48.858897693881168</v>
      </c>
      <c r="T128" s="157">
        <f t="shared" si="102"/>
        <v>184.00341109800928</v>
      </c>
      <c r="U128" s="157">
        <f t="shared" si="102"/>
        <v>84.969780324906253</v>
      </c>
      <c r="V128" s="157">
        <f t="shared" si="102"/>
        <v>55.814412746863439</v>
      </c>
      <c r="W128" s="157">
        <f t="shared" si="102"/>
        <v>2.0157225321333138E-2</v>
      </c>
      <c r="X128" s="157">
        <f t="shared" si="102"/>
        <v>324.80776139510021</v>
      </c>
      <c r="Y128" s="157">
        <f t="shared" si="102"/>
        <v>107.59150306040992</v>
      </c>
      <c r="Z128" s="157">
        <f t="shared" si="102"/>
        <v>432.39926445551021</v>
      </c>
      <c r="AA128" s="14"/>
      <c r="AB128" s="199" t="s">
        <v>64</v>
      </c>
      <c r="AC128" s="165">
        <f t="shared" si="64"/>
        <v>822.88165198460126</v>
      </c>
      <c r="AD128" s="356">
        <v>2950891.7908007316</v>
      </c>
      <c r="AE128" s="200">
        <f>AC128/AD128</f>
        <v>2.788586333629368E-4</v>
      </c>
      <c r="AF128" s="165">
        <f t="shared" si="65"/>
        <v>268.99334864823686</v>
      </c>
      <c r="AH128" s="29">
        <f t="shared" si="69"/>
        <v>2950.8917908007315</v>
      </c>
      <c r="AI128" s="365">
        <f t="shared" si="70"/>
        <v>0.27885863336293681</v>
      </c>
    </row>
    <row r="129" spans="2:35" ht="13.5" thickBot="1">
      <c r="B129" s="166" t="s">
        <v>84</v>
      </c>
      <c r="C129" s="207">
        <f>SUM(C111:C128)</f>
        <v>0</v>
      </c>
      <c r="D129" s="172">
        <f t="shared" ref="D129:O129" si="103">D104*$C25/1000000</f>
        <v>0</v>
      </c>
      <c r="E129" s="172">
        <f t="shared" si="103"/>
        <v>0</v>
      </c>
      <c r="F129" s="172">
        <f t="shared" si="103"/>
        <v>0</v>
      </c>
      <c r="G129" s="172">
        <f t="shared" si="103"/>
        <v>0</v>
      </c>
      <c r="H129" s="172">
        <f t="shared" si="103"/>
        <v>0</v>
      </c>
      <c r="I129" s="172">
        <f t="shared" si="103"/>
        <v>0</v>
      </c>
      <c r="J129" s="172">
        <f t="shared" si="103"/>
        <v>0</v>
      </c>
      <c r="K129" s="172">
        <f t="shared" si="103"/>
        <v>0</v>
      </c>
      <c r="L129" s="172">
        <f t="shared" si="103"/>
        <v>0</v>
      </c>
      <c r="M129" s="172">
        <f t="shared" si="103"/>
        <v>0</v>
      </c>
      <c r="N129" s="172">
        <f t="shared" si="103"/>
        <v>0</v>
      </c>
      <c r="O129" s="172">
        <f t="shared" si="103"/>
        <v>0</v>
      </c>
      <c r="P129" s="14"/>
      <c r="Q129" s="190" t="s">
        <v>84</v>
      </c>
      <c r="R129" s="172">
        <f t="shared" ref="R129:Z129" si="104">R104*$C25/1000000</f>
        <v>0</v>
      </c>
      <c r="S129" s="172">
        <f t="shared" si="104"/>
        <v>0</v>
      </c>
      <c r="T129" s="172">
        <f t="shared" si="104"/>
        <v>0</v>
      </c>
      <c r="U129" s="172">
        <f t="shared" si="104"/>
        <v>0</v>
      </c>
      <c r="V129" s="172">
        <f t="shared" si="104"/>
        <v>0</v>
      </c>
      <c r="W129" s="172">
        <f t="shared" si="104"/>
        <v>0</v>
      </c>
      <c r="X129" s="172">
        <f t="shared" si="104"/>
        <v>0</v>
      </c>
      <c r="Y129" s="172">
        <f t="shared" si="104"/>
        <v>0</v>
      </c>
      <c r="Z129" s="172">
        <f t="shared" si="104"/>
        <v>0</v>
      </c>
      <c r="AA129" s="14"/>
      <c r="AB129" s="191" t="s">
        <v>84</v>
      </c>
      <c r="AC129" s="172">
        <f>SUM(AC111:AC128)</f>
        <v>-8.7993612396530807E-11</v>
      </c>
      <c r="AD129" s="326">
        <v>1037025000</v>
      </c>
      <c r="AE129" s="201">
        <f t="shared" si="68"/>
        <v>-8.4851968271286425E-20</v>
      </c>
      <c r="AF129" s="172">
        <f t="shared" si="65"/>
        <v>0</v>
      </c>
      <c r="AH129" s="29">
        <f t="shared" si="69"/>
        <v>1037025</v>
      </c>
      <c r="AI129" s="365">
        <f t="shared" si="70"/>
        <v>-8.4851968271286432E-17</v>
      </c>
    </row>
    <row r="130" spans="2:35">
      <c r="O130" s="44"/>
      <c r="P130" s="31"/>
      <c r="Q130" s="31"/>
      <c r="W130" s="44"/>
      <c r="X130" s="31"/>
      <c r="Z130" s="35"/>
      <c r="AC130" s="31"/>
    </row>
    <row r="131" spans="2:35">
      <c r="B131" s="29" t="s">
        <v>78</v>
      </c>
      <c r="D131" s="35"/>
      <c r="E131" s="35"/>
      <c r="F131" s="35"/>
      <c r="G131" s="35"/>
      <c r="H131" s="35"/>
      <c r="I131" s="35"/>
      <c r="J131" s="35"/>
      <c r="K131" s="35"/>
      <c r="L131" s="35"/>
      <c r="M131" s="35"/>
      <c r="N131" s="35"/>
      <c r="O131" s="35"/>
      <c r="P131" s="31"/>
      <c r="AC131" s="31"/>
    </row>
    <row r="132" spans="2:35">
      <c r="P132" s="31"/>
    </row>
    <row r="133" spans="2:35">
      <c r="P133" s="31"/>
    </row>
    <row r="134" spans="2:35">
      <c r="P134" s="31"/>
      <c r="AE134" s="365"/>
    </row>
    <row r="135" spans="2:35">
      <c r="B135" s="176" t="s">
        <v>534</v>
      </c>
    </row>
    <row r="136" spans="2:35" ht="33">
      <c r="D136" s="434"/>
    </row>
    <row r="137" spans="2:35" ht="41.25" thickBot="1">
      <c r="B137" s="237"/>
      <c r="C137" s="429" t="str">
        <f>"Población media padrón "&amp;C2</f>
        <v>Población media padrón 2014</v>
      </c>
      <c r="D137" s="429" t="s">
        <v>1236</v>
      </c>
      <c r="E137" s="238" t="s">
        <v>535</v>
      </c>
      <c r="F137" s="238" t="s">
        <v>536</v>
      </c>
      <c r="G137" s="238" t="s">
        <v>537</v>
      </c>
      <c r="H137" s="239" t="s">
        <v>538</v>
      </c>
      <c r="I137" s="240"/>
      <c r="J137" s="240"/>
      <c r="K137" s="240"/>
      <c r="L137" s="240"/>
    </row>
    <row r="138" spans="2:35">
      <c r="B138" s="29" t="s">
        <v>9</v>
      </c>
      <c r="C138" s="58">
        <f t="shared" ref="C138:C155" si="105">C7</f>
        <v>8400674</v>
      </c>
      <c r="D138" s="359">
        <v>987037.96896735055</v>
      </c>
      <c r="E138" s="58">
        <f>D138*1000/C138</f>
        <v>117.49509253273614</v>
      </c>
      <c r="F138" s="58">
        <f>E138-E$156</f>
        <v>150.81124000641995</v>
      </c>
      <c r="G138" s="58">
        <f>F138*C138/1000</f>
        <v>1266916.0628296919</v>
      </c>
      <c r="H138" s="58">
        <f>G138/1000</f>
        <v>1266.916062829692</v>
      </c>
      <c r="I138" s="2"/>
      <c r="J138" s="2"/>
      <c r="K138" s="2"/>
      <c r="L138" s="2"/>
    </row>
    <row r="139" spans="2:35">
      <c r="B139" s="29" t="s">
        <v>10</v>
      </c>
      <c r="C139" s="58">
        <f t="shared" si="105"/>
        <v>1321616</v>
      </c>
      <c r="D139" s="359">
        <v>161630.02546826412</v>
      </c>
      <c r="E139" s="58">
        <f t="shared" ref="E139:E156" si="106">D139*1000/C139</f>
        <v>122.2972674878816</v>
      </c>
      <c r="F139" s="58">
        <f t="shared" ref="F139:F156" si="107">E139-E$156</f>
        <v>155.61341496156541</v>
      </c>
      <c r="G139" s="58">
        <f t="shared" ref="G139:G155" si="108">F139*C139/1000</f>
        <v>205661.17902784422</v>
      </c>
      <c r="H139" s="58">
        <f t="shared" ref="H139:H155" si="109">G139/1000</f>
        <v>205.66117902784421</v>
      </c>
      <c r="I139" s="2"/>
      <c r="J139" s="2"/>
      <c r="K139" s="2"/>
      <c r="L139" s="2"/>
    </row>
    <row r="140" spans="2:35">
      <c r="B140" s="29" t="s">
        <v>11</v>
      </c>
      <c r="C140" s="58">
        <f t="shared" si="105"/>
        <v>1056492.5</v>
      </c>
      <c r="D140" s="359">
        <v>-127792.02996776802</v>
      </c>
      <c r="E140" s="58">
        <f t="shared" si="106"/>
        <v>-120.95876683248392</v>
      </c>
      <c r="F140" s="58">
        <f t="shared" si="107"/>
        <v>-87.642619358800104</v>
      </c>
      <c r="G140" s="58">
        <f t="shared" si="108"/>
        <v>-92593.770032927132</v>
      </c>
      <c r="H140" s="58">
        <f t="shared" si="109"/>
        <v>-92.593770032927125</v>
      </c>
      <c r="I140" s="2"/>
      <c r="J140" s="2"/>
      <c r="K140" s="2"/>
      <c r="L140" s="2"/>
    </row>
    <row r="141" spans="2:35">
      <c r="B141" s="29" t="s">
        <v>31</v>
      </c>
      <c r="C141" s="58">
        <f t="shared" si="105"/>
        <v>1103960.5</v>
      </c>
      <c r="D141" s="359">
        <v>-221013.82838559136</v>
      </c>
      <c r="E141" s="58">
        <f t="shared" si="106"/>
        <v>-200.20084811511947</v>
      </c>
      <c r="F141" s="58">
        <f t="shared" si="107"/>
        <v>-166.88470064143564</v>
      </c>
      <c r="G141" s="58">
        <f t="shared" si="108"/>
        <v>-184234.11756246959</v>
      </c>
      <c r="H141" s="58">
        <f t="shared" si="109"/>
        <v>-184.23411756246958</v>
      </c>
      <c r="I141" s="2"/>
      <c r="J141" s="2"/>
      <c r="K141" s="2"/>
      <c r="L141" s="2"/>
    </row>
    <row r="142" spans="2:35">
      <c r="B142" s="29" t="s">
        <v>12</v>
      </c>
      <c r="C142" s="58">
        <f t="shared" si="105"/>
        <v>2102560.5</v>
      </c>
      <c r="D142" s="359">
        <v>206775.03386439342</v>
      </c>
      <c r="E142" s="58">
        <f t="shared" si="106"/>
        <v>98.344391928029381</v>
      </c>
      <c r="F142" s="58">
        <f t="shared" si="107"/>
        <v>131.66053940171321</v>
      </c>
      <c r="G142" s="58">
        <f t="shared" si="108"/>
        <v>276824.24955473584</v>
      </c>
      <c r="H142" s="58">
        <f t="shared" si="109"/>
        <v>276.82424955473584</v>
      </c>
      <c r="I142" s="2"/>
      <c r="J142" s="2"/>
      <c r="K142" s="2"/>
      <c r="L142" s="2"/>
    </row>
    <row r="143" spans="2:35">
      <c r="B143" s="29" t="s">
        <v>13</v>
      </c>
      <c r="C143" s="58">
        <f t="shared" si="105"/>
        <v>586917.5</v>
      </c>
      <c r="D143" s="359">
        <v>-59261.13580579251</v>
      </c>
      <c r="E143" s="58">
        <f t="shared" si="106"/>
        <v>-100.97012920179158</v>
      </c>
      <c r="F143" s="58">
        <f t="shared" si="107"/>
        <v>-67.653981728107766</v>
      </c>
      <c r="G143" s="58">
        <f t="shared" si="108"/>
        <v>-39707.305820906695</v>
      </c>
      <c r="H143" s="58">
        <f t="shared" si="109"/>
        <v>-39.707305820906697</v>
      </c>
      <c r="I143" s="2"/>
      <c r="J143" s="2"/>
      <c r="K143" s="2"/>
      <c r="L143" s="2"/>
    </row>
    <row r="144" spans="2:35">
      <c r="B144" s="29" t="s">
        <v>14</v>
      </c>
      <c r="C144" s="58">
        <f t="shared" si="105"/>
        <v>2483421</v>
      </c>
      <c r="D144" s="359">
        <v>506728.71543812426</v>
      </c>
      <c r="E144" s="58">
        <f t="shared" si="106"/>
        <v>204.04462853383467</v>
      </c>
      <c r="F144" s="58">
        <f t="shared" si="107"/>
        <v>237.3607760075185</v>
      </c>
      <c r="G144" s="58">
        <f t="shared" si="108"/>
        <v>589466.73571336758</v>
      </c>
      <c r="H144" s="58">
        <f t="shared" si="109"/>
        <v>589.4667357133676</v>
      </c>
      <c r="I144" s="2"/>
      <c r="J144" s="2"/>
      <c r="K144" s="2"/>
      <c r="L144" s="2"/>
    </row>
    <row r="145" spans="2:12">
      <c r="B145" s="29" t="s">
        <v>15</v>
      </c>
      <c r="C145" s="58">
        <f t="shared" si="105"/>
        <v>2068901</v>
      </c>
      <c r="D145" s="359">
        <v>851879.13728434348</v>
      </c>
      <c r="E145" s="58">
        <f t="shared" si="106"/>
        <v>411.75442289618667</v>
      </c>
      <c r="F145" s="58">
        <f t="shared" si="107"/>
        <v>445.0705703698705</v>
      </c>
      <c r="G145" s="58">
        <f t="shared" si="108"/>
        <v>920806.94810879545</v>
      </c>
      <c r="H145" s="58">
        <f t="shared" si="109"/>
        <v>920.8069481087955</v>
      </c>
      <c r="I145" s="2"/>
      <c r="J145" s="2"/>
      <c r="K145" s="2"/>
      <c r="L145" s="2"/>
    </row>
    <row r="146" spans="2:12">
      <c r="B146" s="29" t="s">
        <v>16</v>
      </c>
      <c r="C146" s="58">
        <f t="shared" si="105"/>
        <v>7513504.5</v>
      </c>
      <c r="D146" s="359">
        <v>-1699274.8900995362</v>
      </c>
      <c r="E146" s="58">
        <f t="shared" si="106"/>
        <v>-226.16275668691438</v>
      </c>
      <c r="F146" s="58">
        <f t="shared" si="107"/>
        <v>-192.84660921323058</v>
      </c>
      <c r="G146" s="58">
        <f t="shared" si="108"/>
        <v>-1448953.8661333495</v>
      </c>
      <c r="H146" s="58">
        <f t="shared" si="109"/>
        <v>-1448.9538661333495</v>
      </c>
      <c r="I146" s="2"/>
      <c r="J146" s="2"/>
      <c r="K146" s="2"/>
      <c r="L146" s="2"/>
    </row>
    <row r="147" spans="2:12">
      <c r="B147" s="29" t="s">
        <v>17</v>
      </c>
      <c r="C147" s="58">
        <f t="shared" si="105"/>
        <v>4992766.5</v>
      </c>
      <c r="D147" s="359">
        <v>-662313.80825755931</v>
      </c>
      <c r="E147" s="58">
        <f t="shared" si="106"/>
        <v>-132.65467316718284</v>
      </c>
      <c r="F147" s="58">
        <f t="shared" si="107"/>
        <v>-99.338525693499022</v>
      </c>
      <c r="G147" s="58">
        <f t="shared" si="108"/>
        <v>-495974.06324189121</v>
      </c>
      <c r="H147" s="58">
        <f t="shared" si="109"/>
        <v>-495.9740632418912</v>
      </c>
      <c r="I147" s="2"/>
      <c r="J147" s="2"/>
      <c r="K147" s="2"/>
      <c r="L147" s="2"/>
    </row>
    <row r="148" spans="2:12">
      <c r="B148" s="29" t="s">
        <v>18</v>
      </c>
      <c r="C148" s="58">
        <f t="shared" si="105"/>
        <v>1096314.5</v>
      </c>
      <c r="D148" s="359">
        <v>695763.77175101079</v>
      </c>
      <c r="E148" s="58">
        <f t="shared" si="106"/>
        <v>634.63884838794957</v>
      </c>
      <c r="F148" s="58">
        <f t="shared" si="107"/>
        <v>667.95499586163339</v>
      </c>
      <c r="G148" s="58">
        <f t="shared" si="108"/>
        <v>732288.74731054867</v>
      </c>
      <c r="H148" s="58">
        <f t="shared" si="109"/>
        <v>732.28874731054862</v>
      </c>
      <c r="I148" s="2"/>
      <c r="J148" s="2"/>
      <c r="K148" s="2"/>
      <c r="L148" s="2"/>
    </row>
    <row r="149" spans="2:12">
      <c r="B149" s="29" t="s">
        <v>19</v>
      </c>
      <c r="C149" s="58">
        <f t="shared" si="105"/>
        <v>2740521</v>
      </c>
      <c r="D149" s="359">
        <v>41054.072593471865</v>
      </c>
      <c r="E149" s="58">
        <f t="shared" si="106"/>
        <v>14.980389711836494</v>
      </c>
      <c r="F149" s="58">
        <f t="shared" si="107"/>
        <v>48.296537185520307</v>
      </c>
      <c r="G149" s="58">
        <f t="shared" si="108"/>
        <v>132357.67438419929</v>
      </c>
      <c r="H149" s="58">
        <f t="shared" si="109"/>
        <v>132.3576743841993</v>
      </c>
      <c r="I149" s="2"/>
      <c r="J149" s="2"/>
      <c r="K149" s="2"/>
      <c r="L149" s="2"/>
    </row>
    <row r="150" spans="2:12">
      <c r="B150" s="29" t="s">
        <v>20</v>
      </c>
      <c r="C150" s="58">
        <f t="shared" si="105"/>
        <v>6445718</v>
      </c>
      <c r="D150" s="359">
        <v>-2091433.1003390062</v>
      </c>
      <c r="E150" s="58">
        <f t="shared" si="106"/>
        <v>-324.4686007577443</v>
      </c>
      <c r="F150" s="58">
        <f t="shared" si="107"/>
        <v>-291.15245328406047</v>
      </c>
      <c r="G150" s="58">
        <f t="shared" si="108"/>
        <v>-1876686.6088772279</v>
      </c>
      <c r="H150" s="58">
        <f t="shared" si="109"/>
        <v>-1876.6866088772279</v>
      </c>
      <c r="I150" s="2"/>
      <c r="J150" s="2"/>
      <c r="K150" s="2"/>
      <c r="L150" s="2"/>
    </row>
    <row r="151" spans="2:12">
      <c r="B151" s="29" t="s">
        <v>60</v>
      </c>
      <c r="C151" s="58">
        <f t="shared" si="105"/>
        <v>1467053</v>
      </c>
      <c r="D151" s="359">
        <v>-38495.799596035111</v>
      </c>
      <c r="E151" s="58">
        <f t="shared" si="106"/>
        <v>-26.24022417461067</v>
      </c>
      <c r="F151" s="58">
        <f t="shared" si="107"/>
        <v>7.0759232990731427</v>
      </c>
      <c r="G151" s="58">
        <f t="shared" si="108"/>
        <v>10380.754503675151</v>
      </c>
      <c r="H151" s="58">
        <f t="shared" si="109"/>
        <v>10.380754503675151</v>
      </c>
      <c r="I151" s="2"/>
      <c r="J151" s="2"/>
      <c r="K151" s="2"/>
      <c r="L151" s="2"/>
    </row>
    <row r="152" spans="2:12">
      <c r="B152" s="29" t="s">
        <v>61</v>
      </c>
      <c r="C152" s="58">
        <f t="shared" si="105"/>
        <v>640633</v>
      </c>
      <c r="D152" s="359">
        <v>9782.7575411522557</v>
      </c>
      <c r="E152" s="58">
        <f t="shared" si="106"/>
        <v>15.270455223430975</v>
      </c>
      <c r="F152" s="58">
        <f t="shared" si="107"/>
        <v>48.586602697114785</v>
      </c>
      <c r="G152" s="58">
        <f t="shared" si="108"/>
        <v>31126.181045660735</v>
      </c>
      <c r="H152" s="58">
        <f t="shared" si="109"/>
        <v>31.126181045660733</v>
      </c>
      <c r="I152" s="2"/>
      <c r="J152" s="2"/>
      <c r="K152" s="2"/>
      <c r="L152" s="2"/>
    </row>
    <row r="153" spans="2:12">
      <c r="B153" s="29" t="s">
        <v>62</v>
      </c>
      <c r="C153" s="58">
        <f t="shared" si="105"/>
        <v>2189121</v>
      </c>
      <c r="D153" s="359">
        <v>-107699.090527892</v>
      </c>
      <c r="E153" s="58">
        <f t="shared" si="106"/>
        <v>-49.197413266736739</v>
      </c>
      <c r="F153" s="58">
        <f t="shared" si="107"/>
        <v>-15.881265793052926</v>
      </c>
      <c r="G153" s="58">
        <f t="shared" si="108"/>
        <v>-34766.01245415381</v>
      </c>
      <c r="H153" s="58">
        <f t="shared" si="109"/>
        <v>-34.76601245415381</v>
      </c>
      <c r="I153" s="2"/>
      <c r="J153" s="2"/>
      <c r="K153" s="2"/>
      <c r="L153" s="2"/>
    </row>
    <row r="154" spans="2:12">
      <c r="B154" s="29" t="s">
        <v>63</v>
      </c>
      <c r="C154" s="58">
        <f t="shared" si="105"/>
        <v>318027.5</v>
      </c>
      <c r="D154" s="359">
        <v>-21908.530991375163</v>
      </c>
      <c r="E154" s="58">
        <f t="shared" si="106"/>
        <v>-68.888794180928258</v>
      </c>
      <c r="F154" s="58">
        <f t="shared" si="107"/>
        <v>-35.572646707244445</v>
      </c>
      <c r="G154" s="58">
        <f t="shared" si="108"/>
        <v>-11313.079900688183</v>
      </c>
      <c r="H154" s="58">
        <f t="shared" si="109"/>
        <v>-11.313079900688182</v>
      </c>
      <c r="I154" s="2"/>
      <c r="J154" s="2"/>
      <c r="K154" s="2"/>
      <c r="L154" s="2"/>
    </row>
    <row r="155" spans="2:12">
      <c r="B155" s="164" t="s">
        <v>64</v>
      </c>
      <c r="C155" s="58">
        <f t="shared" si="105"/>
        <v>169659.5</v>
      </c>
      <c r="D155" s="360">
        <v>12747.890622783436</v>
      </c>
      <c r="E155" s="235">
        <f t="shared" si="106"/>
        <v>75.138089071248203</v>
      </c>
      <c r="F155" s="58">
        <f t="shared" si="107"/>
        <v>108.45423654493202</v>
      </c>
      <c r="G155" s="235">
        <f t="shared" si="108"/>
        <v>18400.291545094893</v>
      </c>
      <c r="H155" s="58">
        <f t="shared" si="109"/>
        <v>18.400291545094895</v>
      </c>
      <c r="I155" s="2"/>
      <c r="J155" s="2"/>
      <c r="K155" s="2"/>
      <c r="L155" s="2"/>
    </row>
    <row r="156" spans="2:12" ht="13.5" thickBot="1">
      <c r="B156" s="166" t="s">
        <v>84</v>
      </c>
      <c r="C156" s="236">
        <f>SUM(C138:C155)</f>
        <v>46697861.5</v>
      </c>
      <c r="D156" s="361">
        <v>-1555792.8404396616</v>
      </c>
      <c r="E156" s="236">
        <f t="shared" si="106"/>
        <v>-33.316147473683813</v>
      </c>
      <c r="F156" s="236">
        <f t="shared" si="107"/>
        <v>0</v>
      </c>
      <c r="G156" s="236">
        <f>SUM(G138:G155)</f>
        <v>-1.6007106751203537E-10</v>
      </c>
      <c r="H156" s="236">
        <f>SUM(H138:H155)</f>
        <v>-1.1368683772161603E-13</v>
      </c>
      <c r="I156" s="241"/>
      <c r="J156" s="2"/>
      <c r="K156" s="2"/>
      <c r="L156" s="241"/>
    </row>
    <row r="157" spans="2:12">
      <c r="B157" s="242" t="s">
        <v>1235</v>
      </c>
      <c r="C157" s="235"/>
      <c r="D157" s="235"/>
      <c r="E157" s="235"/>
      <c r="F157" s="235"/>
      <c r="G157" s="235"/>
      <c r="H157" s="235"/>
      <c r="I157" s="241"/>
      <c r="J157" s="241"/>
      <c r="K157" s="2"/>
      <c r="L157" s="241"/>
    </row>
    <row r="158" spans="2:12">
      <c r="B158" s="174"/>
      <c r="C158" s="235"/>
      <c r="D158" s="235"/>
      <c r="E158" s="235"/>
      <c r="F158" s="235"/>
      <c r="G158" s="235"/>
      <c r="H158" s="235"/>
      <c r="I158" s="241"/>
      <c r="J158" s="241"/>
      <c r="K158" s="2"/>
      <c r="L158" s="241"/>
    </row>
    <row r="159" spans="2:12">
      <c r="B159" s="174"/>
      <c r="C159" s="235"/>
      <c r="D159" s="235"/>
      <c r="E159" s="235"/>
      <c r="F159" s="235"/>
      <c r="G159" s="235"/>
      <c r="H159" s="235"/>
      <c r="I159" s="241"/>
      <c r="J159" s="241"/>
      <c r="K159" s="2"/>
      <c r="L159" s="241"/>
    </row>
    <row r="160" spans="2:12">
      <c r="B160" s="174"/>
      <c r="C160" s="235"/>
      <c r="D160" s="235"/>
      <c r="E160" s="235"/>
      <c r="F160" s="235"/>
      <c r="G160" s="235"/>
      <c r="H160" s="235"/>
      <c r="I160" s="241"/>
      <c r="J160" s="241"/>
      <c r="K160" s="2"/>
      <c r="L160" s="241"/>
    </row>
    <row r="161" spans="2:12">
      <c r="B161" s="176" t="s">
        <v>933</v>
      </c>
      <c r="C161" s="235"/>
      <c r="D161" s="235"/>
      <c r="E161" s="235"/>
      <c r="F161" s="235"/>
      <c r="G161" s="235"/>
      <c r="H161" s="235"/>
      <c r="I161" s="241"/>
      <c r="J161" s="241"/>
      <c r="K161" s="2"/>
      <c r="L161" s="241"/>
    </row>
    <row r="162" spans="2:12">
      <c r="B162" s="176"/>
      <c r="C162" s="235"/>
      <c r="D162" s="235"/>
      <c r="E162" s="235"/>
      <c r="F162" s="235"/>
      <c r="G162" s="235"/>
      <c r="H162" s="235"/>
      <c r="I162" s="241"/>
      <c r="J162" s="241"/>
      <c r="K162" s="2"/>
      <c r="L162" s="241"/>
    </row>
    <row r="163" spans="2:12">
      <c r="B163" s="176"/>
      <c r="C163" s="9" t="s">
        <v>1234</v>
      </c>
      <c r="D163" s="9" t="s">
        <v>1234</v>
      </c>
    </row>
    <row r="164" spans="2:12">
      <c r="B164" s="176"/>
      <c r="C164" s="353" t="s">
        <v>1082</v>
      </c>
      <c r="D164" s="353" t="s">
        <v>1121</v>
      </c>
      <c r="F164" s="428"/>
      <c r="G164" s="428"/>
    </row>
    <row r="165" spans="2:12" ht="33.75" customHeight="1" thickBot="1">
      <c r="B165" s="173"/>
      <c r="C165" s="433" t="s">
        <v>1083</v>
      </c>
      <c r="D165" s="433" t="s">
        <v>1122</v>
      </c>
      <c r="F165" s="431"/>
      <c r="G165" s="428"/>
    </row>
    <row r="166" spans="2:12">
      <c r="B166" s="29" t="s">
        <v>9</v>
      </c>
      <c r="C166" s="354">
        <v>5131.9381171027399</v>
      </c>
      <c r="D166" s="354">
        <v>5210.1553949645968</v>
      </c>
      <c r="F166" s="428"/>
      <c r="G166" s="428"/>
    </row>
    <row r="167" spans="2:12">
      <c r="B167" s="29" t="s">
        <v>10</v>
      </c>
      <c r="C167" s="354">
        <v>168.74250766277777</v>
      </c>
      <c r="D167" s="354">
        <v>819.67527039753361</v>
      </c>
      <c r="F167" s="428"/>
      <c r="G167" s="428"/>
    </row>
    <row r="168" spans="2:12">
      <c r="B168" s="29" t="s">
        <v>11</v>
      </c>
      <c r="C168" s="354">
        <v>134.89182468804651</v>
      </c>
      <c r="D168" s="354">
        <v>655.24386479163866</v>
      </c>
      <c r="F168" s="428"/>
      <c r="G168" s="428"/>
    </row>
    <row r="169" spans="2:12">
      <c r="B169" s="29" t="s">
        <v>31</v>
      </c>
      <c r="C169" s="354">
        <v>1217.6990397605291</v>
      </c>
      <c r="D169" s="354">
        <v>684.6838426182012</v>
      </c>
      <c r="F169" s="428"/>
      <c r="G169" s="428"/>
    </row>
    <row r="170" spans="2:12">
      <c r="B170" s="29" t="s">
        <v>12</v>
      </c>
      <c r="C170" s="354">
        <v>1077.5739331220213</v>
      </c>
      <c r="D170" s="354">
        <v>1304.0223834795236</v>
      </c>
      <c r="F170" s="428"/>
      <c r="G170" s="428"/>
    </row>
    <row r="171" spans="2:12">
      <c r="B171" s="29" t="s">
        <v>13</v>
      </c>
      <c r="C171" s="354">
        <v>416.34202258890912</v>
      </c>
      <c r="D171" s="354">
        <v>364.01024239532853</v>
      </c>
      <c r="F171" s="428"/>
      <c r="G171" s="428"/>
    </row>
    <row r="172" spans="2:12">
      <c r="B172" s="29" t="s">
        <v>14</v>
      </c>
      <c r="C172" s="354">
        <v>317.08051894226708</v>
      </c>
      <c r="D172" s="354">
        <v>1540.2346670181912</v>
      </c>
      <c r="F172" s="428"/>
      <c r="G172" s="428"/>
    </row>
    <row r="173" spans="2:12">
      <c r="B173" s="29" t="s">
        <v>15</v>
      </c>
      <c r="C173" s="354">
        <v>1857.50585353611</v>
      </c>
      <c r="D173" s="354">
        <v>1283.1465316708695</v>
      </c>
      <c r="F173" s="428"/>
      <c r="G173" s="428"/>
    </row>
    <row r="174" spans="2:12">
      <c r="B174" s="29" t="s">
        <v>16</v>
      </c>
      <c r="C174" s="354">
        <v>8798.8278195575786</v>
      </c>
      <c r="D174" s="354">
        <v>4659.9268113208273</v>
      </c>
      <c r="F174" s="428"/>
      <c r="G174" s="428"/>
    </row>
    <row r="175" spans="2:12">
      <c r="B175" s="29" t="s">
        <v>17</v>
      </c>
      <c r="C175" s="354">
        <v>6638.7563628736971</v>
      </c>
      <c r="D175" s="354">
        <v>3096.5478860117069</v>
      </c>
      <c r="F175" s="428"/>
      <c r="G175" s="428"/>
    </row>
    <row r="176" spans="2:12">
      <c r="B176" s="29" t="s">
        <v>18</v>
      </c>
      <c r="C176" s="354">
        <v>316.32446704596134</v>
      </c>
      <c r="D176" s="354">
        <v>679.94174119278</v>
      </c>
      <c r="F176" s="428"/>
      <c r="G176" s="428"/>
    </row>
    <row r="177" spans="2:7">
      <c r="B177" s="29" t="s">
        <v>19</v>
      </c>
      <c r="C177" s="354">
        <v>349.90677007731705</v>
      </c>
      <c r="D177" s="354">
        <v>1699.6898431201798</v>
      </c>
      <c r="F177" s="428"/>
      <c r="G177" s="428"/>
    </row>
    <row r="178" spans="2:7">
      <c r="B178" s="29" t="s">
        <v>20</v>
      </c>
      <c r="C178" s="354">
        <v>822.98233299771232</v>
      </c>
      <c r="D178" s="354">
        <v>3997.678330586381</v>
      </c>
      <c r="F178" s="428"/>
      <c r="G178" s="428"/>
    </row>
    <row r="179" spans="2:7">
      <c r="B179" s="29" t="s">
        <v>60</v>
      </c>
      <c r="C179" s="354">
        <v>1290.1938041286114</v>
      </c>
      <c r="D179" s="354">
        <v>909.87629119389669</v>
      </c>
      <c r="F179" s="428"/>
      <c r="G179" s="428"/>
    </row>
    <row r="180" spans="2:7">
      <c r="B180" s="29" t="s">
        <v>61</v>
      </c>
      <c r="C180" s="354">
        <v>81.795331557372421</v>
      </c>
      <c r="D180" s="354">
        <v>397.32496239496436</v>
      </c>
      <c r="F180" s="428"/>
      <c r="G180" s="428"/>
    </row>
    <row r="181" spans="2:7">
      <c r="B181" s="29" t="s">
        <v>62</v>
      </c>
      <c r="C181" s="354">
        <v>279.50461186702324</v>
      </c>
      <c r="D181" s="354">
        <v>1357.7077968244328</v>
      </c>
      <c r="F181" s="428"/>
      <c r="G181" s="428"/>
    </row>
    <row r="182" spans="2:7">
      <c r="B182" s="29" t="s">
        <v>63</v>
      </c>
      <c r="C182" s="354">
        <v>40.605408723656531</v>
      </c>
      <c r="D182" s="354">
        <v>197.24282776264184</v>
      </c>
      <c r="F182" s="428"/>
      <c r="G182" s="428"/>
    </row>
    <row r="183" spans="2:7">
      <c r="B183" s="29" t="s">
        <v>64</v>
      </c>
      <c r="C183" s="354">
        <v>21.661942257670191</v>
      </c>
      <c r="D183" s="354">
        <v>105.22398074630631</v>
      </c>
      <c r="F183" s="428"/>
      <c r="G183" s="428"/>
    </row>
    <row r="184" spans="2:7" ht="13.5" thickBot="1">
      <c r="B184" s="166" t="s">
        <v>84</v>
      </c>
      <c r="C184" s="243">
        <v>28962.332668489995</v>
      </c>
      <c r="D184" s="243">
        <v>28962.332668490002</v>
      </c>
      <c r="F184" s="428"/>
      <c r="G184" s="428"/>
    </row>
  </sheetData>
  <phoneticPr fontId="7" type="noConversion"/>
  <pageMargins left="0.75" right="0.75" top="1" bottom="1" header="0.5" footer="0.5"/>
  <pageSetup paperSize="8" scale="58" orientation="landscape" horizontalDpi="4294967292" verticalDpi="4294967292" r:id="rId1"/>
  <headerFooter alignWithMargins="0"/>
  <rowBreaks count="3" manualBreakCount="3">
    <brk id="56" max="16383" man="1"/>
    <brk id="106" min="1" max="31" man="1"/>
    <brk id="134" min="1" max="31" man="1"/>
  </rowBreaks>
  <colBreaks count="1" manualBreakCount="1">
    <brk id="16" max="18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6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9.375" style="102" customWidth="1"/>
    <col min="3" max="3" width="63.25" style="120" customWidth="1"/>
    <col min="4" max="4" width="15.625" style="102" customWidth="1"/>
    <col min="5" max="5" width="17.625" style="102" customWidth="1"/>
    <col min="6" max="6" width="21.875" style="102" customWidth="1"/>
    <col min="7" max="7" width="20.5" style="102" customWidth="1"/>
    <col min="8" max="8" width="12.75" style="102" customWidth="1"/>
    <col min="9" max="9" width="11.125" style="102" bestFit="1" customWidth="1"/>
    <col min="10" max="10" width="13.25" style="102" customWidth="1"/>
    <col min="11" max="11" width="13.375" style="102" customWidth="1"/>
    <col min="12" max="12" width="14.125" style="102" customWidth="1"/>
    <col min="13" max="13" width="15.625" style="102" customWidth="1"/>
    <col min="14" max="14" width="12.75" style="102" customWidth="1"/>
    <col min="15" max="15" width="17.75" style="102" customWidth="1"/>
    <col min="16" max="16" width="16.875" style="102" customWidth="1"/>
    <col min="17" max="17" width="11.625" style="102" bestFit="1" customWidth="1"/>
    <col min="18" max="18" width="11.125" style="102" bestFit="1" customWidth="1"/>
    <col min="19" max="19" width="17.125" style="102" customWidth="1"/>
    <col min="20" max="20" width="15.375" style="102" customWidth="1"/>
    <col min="21" max="21" width="16.875" style="102" customWidth="1"/>
    <col min="22" max="22" width="1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5.95" customHeight="1">
      <c r="C6" s="220" t="str">
        <f>"Ejercicio " &amp;Resumen!C2</f>
        <v>Ejercicio 2014</v>
      </c>
      <c r="D6" s="202"/>
      <c r="E6" s="202"/>
      <c r="F6" s="202"/>
      <c r="G6" s="202"/>
      <c r="H6" s="202"/>
      <c r="I6" s="105"/>
      <c r="J6" s="105"/>
      <c r="K6" s="105"/>
      <c r="L6" s="105"/>
      <c r="M6" s="105"/>
      <c r="N6" s="105"/>
      <c r="O6" s="105"/>
      <c r="P6" s="105"/>
      <c r="Q6" s="105"/>
      <c r="R6" s="105"/>
      <c r="S6" s="105"/>
      <c r="T6" s="105"/>
      <c r="U6" s="105"/>
      <c r="V6" s="122"/>
    </row>
    <row r="7" spans="1:22" s="106" customFormat="1">
      <c r="A7" s="350"/>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c r="B8" s="115"/>
      <c r="C8" s="109" t="s">
        <v>83</v>
      </c>
      <c r="D8" s="111">
        <f t="shared" ref="D8:V8" si="0">D79+D63+D47+D35+D25+D10+D93</f>
        <v>2865936.6582108741</v>
      </c>
      <c r="E8" s="111">
        <f t="shared" si="0"/>
        <v>450876.6490019756</v>
      </c>
      <c r="F8" s="111">
        <f t="shared" si="0"/>
        <v>360428.29240544891</v>
      </c>
      <c r="G8" s="111">
        <f t="shared" si="0"/>
        <v>376622.26461433992</v>
      </c>
      <c r="H8" s="111">
        <f t="shared" si="0"/>
        <v>717300.20865661313</v>
      </c>
      <c r="I8" s="111">
        <f t="shared" si="0"/>
        <v>200230.16945967436</v>
      </c>
      <c r="J8" s="111">
        <f t="shared" si="0"/>
        <v>847232.8865125234</v>
      </c>
      <c r="K8" s="111">
        <f t="shared" si="0"/>
        <v>705817.08302323543</v>
      </c>
      <c r="L8" s="111">
        <f t="shared" si="0"/>
        <v>2563273.8490009685</v>
      </c>
      <c r="M8" s="111">
        <f t="shared" si="0"/>
        <v>1703310.0603876787</v>
      </c>
      <c r="N8" s="111">
        <f t="shared" si="0"/>
        <v>374013.78918859665</v>
      </c>
      <c r="O8" s="111">
        <f t="shared" si="0"/>
        <v>934943.98145871656</v>
      </c>
      <c r="P8" s="111">
        <f t="shared" si="0"/>
        <v>2198992.5456802254</v>
      </c>
      <c r="Q8" s="111">
        <f t="shared" si="0"/>
        <v>500493.29044767574</v>
      </c>
      <c r="R8" s="111">
        <f t="shared" si="0"/>
        <v>218555.51104109106</v>
      </c>
      <c r="S8" s="111">
        <f t="shared" si="0"/>
        <v>746830.80466629774</v>
      </c>
      <c r="T8" s="111">
        <f t="shared" si="0"/>
        <v>108496.85043951933</v>
      </c>
      <c r="U8" s="111">
        <f t="shared" si="0"/>
        <v>57880.282042098974</v>
      </c>
      <c r="V8" s="125">
        <f t="shared" si="0"/>
        <v>15931235.176237553</v>
      </c>
    </row>
    <row r="9" spans="1:22" ht="12.75" customHeight="1">
      <c r="B9" s="115"/>
      <c r="C9" s="102"/>
      <c r="D9" s="105"/>
      <c r="E9" s="105"/>
      <c r="F9" s="105"/>
      <c r="G9" s="105"/>
      <c r="H9" s="105"/>
      <c r="I9" s="105"/>
      <c r="J9" s="105"/>
      <c r="K9" s="105"/>
      <c r="L9" s="105"/>
      <c r="M9" s="105"/>
      <c r="N9" s="105"/>
      <c r="O9" s="105"/>
      <c r="P9" s="105"/>
      <c r="Q9" s="105"/>
      <c r="R9" s="105"/>
      <c r="S9" s="105"/>
      <c r="T9" s="105"/>
      <c r="U9" s="105"/>
      <c r="V9" s="122"/>
    </row>
    <row r="10" spans="1:22" ht="13.5">
      <c r="B10" s="115"/>
      <c r="C10" s="112" t="s">
        <v>32</v>
      </c>
      <c r="D10" s="114">
        <f t="shared" ref="D10:U10" si="1">SUM(D11:D23)</f>
        <v>84586.07737339419</v>
      </c>
      <c r="E10" s="114">
        <f t="shared" si="1"/>
        <v>13307.302870450127</v>
      </c>
      <c r="F10" s="114">
        <f t="shared" si="1"/>
        <v>10637.78410510998</v>
      </c>
      <c r="G10" s="114">
        <f t="shared" si="1"/>
        <v>11115.737650356501</v>
      </c>
      <c r="H10" s="114">
        <f t="shared" si="1"/>
        <v>21170.604303326421</v>
      </c>
      <c r="I10" s="114">
        <f t="shared" si="1"/>
        <v>5909.6507097881777</v>
      </c>
      <c r="J10" s="114">
        <f t="shared" si="1"/>
        <v>25005.474662713015</v>
      </c>
      <c r="K10" s="114">
        <f t="shared" si="1"/>
        <v>20831.688036447147</v>
      </c>
      <c r="L10" s="114">
        <f t="shared" si="1"/>
        <v>75653.200324443678</v>
      </c>
      <c r="M10" s="114">
        <f t="shared" si="1"/>
        <v>50271.982161942076</v>
      </c>
      <c r="N10" s="114">
        <f t="shared" si="1"/>
        <v>11038.7503577182</v>
      </c>
      <c r="O10" s="114">
        <f t="shared" si="1"/>
        <v>27594.205101806314</v>
      </c>
      <c r="P10" s="114">
        <f t="shared" si="1"/>
        <v>64901.69734893649</v>
      </c>
      <c r="Q10" s="114">
        <f t="shared" si="1"/>
        <v>14771.702671579696</v>
      </c>
      <c r="R10" s="114">
        <f t="shared" si="1"/>
        <v>6450.5101026357706</v>
      </c>
      <c r="S10" s="114">
        <f t="shared" si="1"/>
        <v>22042.178792525705</v>
      </c>
      <c r="T10" s="114">
        <f t="shared" si="1"/>
        <v>3202.2071945497614</v>
      </c>
      <c r="U10" s="114">
        <f t="shared" si="1"/>
        <v>1708.295262276738</v>
      </c>
      <c r="V10" s="126">
        <f>SUM(V11:V23)</f>
        <v>470199.04902999999</v>
      </c>
    </row>
    <row r="11" spans="1:22">
      <c r="A11" s="351" t="str">
        <f>IF(B11="","",(IF(ISERROR(MATCH(B11,Tot_res!C:C,0)),"Eliminar!!!","")))</f>
        <v/>
      </c>
      <c r="B11" s="115" t="s">
        <v>114</v>
      </c>
      <c r="C11" s="329" t="str">
        <f>VLOOKUP(B11,Tot_res!C:D,2,FALSE)</f>
        <v>Gobierno del poder judicial</v>
      </c>
      <c r="D11" s="179">
        <f>VLOOKUP(B11,Tot_res!C:V,3,FALSE)</f>
        <v>4696.9771866471601</v>
      </c>
      <c r="E11" s="179">
        <f>VLOOKUP(B11,Tot_res!C:V,4,FALSE)</f>
        <v>738.94073279213956</v>
      </c>
      <c r="F11" s="179">
        <f>VLOOKUP(B11,Tot_res!C:V,5,FALSE)</f>
        <v>590.70512322747265</v>
      </c>
      <c r="G11" s="179">
        <f>VLOOKUP(B11,Tot_res!C:V,6,FALSE)</f>
        <v>617.24538810333468</v>
      </c>
      <c r="H11" s="179">
        <f>VLOOKUP(B11,Tot_res!C:V,7,FALSE)</f>
        <v>1175.5817095206228</v>
      </c>
      <c r="I11" s="179">
        <f>VLOOKUP(B11,Tot_res!C:V,8,FALSE)</f>
        <v>328.15677741381052</v>
      </c>
      <c r="J11" s="179">
        <f>VLOOKUP(B11,Tot_res!C:V,9,FALSE)</f>
        <v>1388.5280849894282</v>
      </c>
      <c r="K11" s="179">
        <f>VLOOKUP(B11,Tot_res!C:V,10,FALSE)</f>
        <v>1156.7620405733514</v>
      </c>
      <c r="L11" s="179">
        <f>VLOOKUP(B11,Tot_res!C:V,11,FALSE)</f>
        <v>4200.943784780934</v>
      </c>
      <c r="M11" s="179">
        <f>VLOOKUP(B11,Tot_res!C:V,12,FALSE)</f>
        <v>2791.5510527793595</v>
      </c>
      <c r="N11" s="179">
        <f>VLOOKUP(B11,Tot_res!C:V,13,FALSE)</f>
        <v>612.97036355541104</v>
      </c>
      <c r="O11" s="179">
        <f>VLOOKUP(B11,Tot_res!C:V,14,FALSE)</f>
        <v>1532.2776025503981</v>
      </c>
      <c r="P11" s="179">
        <f>VLOOKUP(B11,Tot_res!C:V,15,FALSE)</f>
        <v>3603.9239705719997</v>
      </c>
      <c r="Q11" s="179">
        <f>VLOOKUP(B11,Tot_res!C:V,16,FALSE)</f>
        <v>820.25733561405639</v>
      </c>
      <c r="R11" s="179">
        <f>VLOOKUP(B11,Tot_res!C:V,17,FALSE)</f>
        <v>358.19013879283142</v>
      </c>
      <c r="S11" s="179">
        <f>VLOOKUP(B11,Tot_res!C:V,18,FALSE)</f>
        <v>1223.9793373496245</v>
      </c>
      <c r="T11" s="179">
        <f>VLOOKUP(B11,Tot_res!C:V,19,FALSE)</f>
        <v>177.8152458036617</v>
      </c>
      <c r="U11" s="179">
        <f>VLOOKUP(B11,Tot_res!C:V,20,FALSE)</f>
        <v>94.859864934404555</v>
      </c>
      <c r="V11" s="122">
        <f t="shared" ref="V11:V23" si="2">SUM(D11:U11)</f>
        <v>26109.66574</v>
      </c>
    </row>
    <row r="12" spans="1:22">
      <c r="A12" s="351" t="str">
        <f>IF(B12="","",(IF(ISERROR(MATCH(B12,Tot_res!C:C,0)),"Eliminar!!!","")))</f>
        <v/>
      </c>
      <c r="B12" s="115" t="s">
        <v>115</v>
      </c>
      <c r="C12" s="329" t="str">
        <f>VLOOKUP(B12,Tot_res!C:D,2,FALSE)</f>
        <v>Selección y formación de jueces</v>
      </c>
      <c r="D12" s="179">
        <f>VLOOKUP(B12,Tot_res!C:V,3,FALSE)</f>
        <v>2196.7173100626101</v>
      </c>
      <c r="E12" s="179">
        <f>VLOOKUP(B12,Tot_res!C:V,4,FALSE)</f>
        <v>345.59331125760946</v>
      </c>
      <c r="F12" s="179">
        <f>VLOOKUP(B12,Tot_res!C:V,5,FALSE)</f>
        <v>276.26537617116463</v>
      </c>
      <c r="G12" s="179">
        <f>VLOOKUP(B12,Tot_res!C:V,6,FALSE)</f>
        <v>288.67792512545714</v>
      </c>
      <c r="H12" s="179">
        <f>VLOOKUP(B12,Tot_res!C:V,7,FALSE)</f>
        <v>549.80481873286556</v>
      </c>
      <c r="I12" s="179">
        <f>VLOOKUP(B12,Tot_res!C:V,8,FALSE)</f>
        <v>153.47480831046082</v>
      </c>
      <c r="J12" s="179">
        <f>VLOOKUP(B12,Tot_res!C:V,9,FALSE)</f>
        <v>649.39716728360099</v>
      </c>
      <c r="K12" s="179">
        <f>VLOOKUP(B12,Tot_res!C:V,10,FALSE)</f>
        <v>541.00309564516431</v>
      </c>
      <c r="L12" s="179">
        <f>VLOOKUP(B12,Tot_res!C:V,11,FALSE)</f>
        <v>1964.7287103848239</v>
      </c>
      <c r="M12" s="179">
        <f>VLOOKUP(B12,Tot_res!C:V,12,FALSE)</f>
        <v>1305.5734094253287</v>
      </c>
      <c r="N12" s="179">
        <f>VLOOKUP(B12,Tot_res!C:V,13,FALSE)</f>
        <v>286.67854977143924</v>
      </c>
      <c r="O12" s="179">
        <f>VLOOKUP(B12,Tot_res!C:V,14,FALSE)</f>
        <v>716.62701341464924</v>
      </c>
      <c r="P12" s="179">
        <f>VLOOKUP(B12,Tot_res!C:V,15,FALSE)</f>
        <v>1685.5100324547946</v>
      </c>
      <c r="Q12" s="179">
        <f>VLOOKUP(B12,Tot_res!C:V,16,FALSE)</f>
        <v>383.62406634030589</v>
      </c>
      <c r="R12" s="179">
        <f>VLOOKUP(B12,Tot_res!C:V,17,FALSE)</f>
        <v>167.52103468094825</v>
      </c>
      <c r="S12" s="179">
        <f>VLOOKUP(B12,Tot_res!C:V,18,FALSE)</f>
        <v>572.43978215576169</v>
      </c>
      <c r="T12" s="179">
        <f>VLOOKUP(B12,Tot_res!C:V,19,FALSE)</f>
        <v>83.161959900590929</v>
      </c>
      <c r="U12" s="179">
        <f>VLOOKUP(B12,Tot_res!C:V,20,FALSE)</f>
        <v>44.364768882421515</v>
      </c>
      <c r="V12" s="122">
        <f t="shared" si="2"/>
        <v>12211.163139999999</v>
      </c>
    </row>
    <row r="13" spans="1:22">
      <c r="A13" s="351" t="str">
        <f>IF(B13="","",(IF(ISERROR(MATCH(B13,Tot_res!C:C,0)),"Eliminar!!!","")))</f>
        <v/>
      </c>
      <c r="B13" s="115" t="s">
        <v>116</v>
      </c>
      <c r="C13" s="329" t="str">
        <f>VLOOKUP(B13,Tot_res!C:D,2,FALSE)</f>
        <v>Documentación y publicaciones judiciales</v>
      </c>
      <c r="D13" s="179">
        <f>VLOOKUP(B13,Tot_res!C:V,3,FALSE)</f>
        <v>1305.4852372657767</v>
      </c>
      <c r="E13" s="179">
        <f>VLOOKUP(B13,Tot_res!C:V,4,FALSE)</f>
        <v>205.38235114637791</v>
      </c>
      <c r="F13" s="179">
        <f>VLOOKUP(B13,Tot_res!C:V,5,FALSE)</f>
        <v>164.18151234436831</v>
      </c>
      <c r="G13" s="179">
        <f>VLOOKUP(B13,Tot_res!C:V,6,FALSE)</f>
        <v>171.55815536640819</v>
      </c>
      <c r="H13" s="179">
        <f>VLOOKUP(B13,Tot_res!C:V,7,FALSE)</f>
        <v>326.74303195293027</v>
      </c>
      <c r="I13" s="179">
        <f>VLOOKUP(B13,Tot_res!C:V,8,FALSE)</f>
        <v>91.208411580182329</v>
      </c>
      <c r="J13" s="179">
        <f>VLOOKUP(B13,Tot_res!C:V,9,FALSE)</f>
        <v>385.92968295351216</v>
      </c>
      <c r="K13" s="179">
        <f>VLOOKUP(B13,Tot_res!C:V,10,FALSE)</f>
        <v>321.5122635236653</v>
      </c>
      <c r="L13" s="179">
        <f>VLOOKUP(B13,Tot_res!C:V,11,FALSE)</f>
        <v>1167.6169322699564</v>
      </c>
      <c r="M13" s="179">
        <f>VLOOKUP(B13,Tot_res!C:V,12,FALSE)</f>
        <v>775.88809646286984</v>
      </c>
      <c r="N13" s="179">
        <f>VLOOKUP(B13,Tot_res!C:V,13,FALSE)</f>
        <v>170.36994831014886</v>
      </c>
      <c r="O13" s="179">
        <f>VLOOKUP(B13,Tot_res!C:V,14,FALSE)</f>
        <v>425.8836502781615</v>
      </c>
      <c r="P13" s="179">
        <f>VLOOKUP(B13,Tot_res!C:V,15,FALSE)</f>
        <v>1001.6803047681994</v>
      </c>
      <c r="Q13" s="179">
        <f>VLOOKUP(B13,Tot_res!C:V,16,FALSE)</f>
        <v>227.98361581302524</v>
      </c>
      <c r="R13" s="179">
        <f>VLOOKUP(B13,Tot_res!C:V,17,FALSE)</f>
        <v>99.555931346137996</v>
      </c>
      <c r="S13" s="179">
        <f>VLOOKUP(B13,Tot_res!C:V,18,FALSE)</f>
        <v>340.19474486076888</v>
      </c>
      <c r="T13" s="179">
        <f>VLOOKUP(B13,Tot_res!C:V,19,FALSE)</f>
        <v>49.422249487903215</v>
      </c>
      <c r="U13" s="179">
        <f>VLOOKUP(B13,Tot_res!C:V,20,FALSE)</f>
        <v>26.365500269608496</v>
      </c>
      <c r="V13" s="122">
        <f t="shared" si="2"/>
        <v>7256.9616200000019</v>
      </c>
    </row>
    <row r="14" spans="1:22">
      <c r="A14" s="351" t="str">
        <f>IF(B14="","",(IF(ISERROR(MATCH(B14,Tot_res!C:C,0)),"Eliminar!!!","")))</f>
        <v/>
      </c>
      <c r="B14" s="115" t="s">
        <v>117</v>
      </c>
      <c r="C14" s="329" t="str">
        <f>VLOOKUP(B14,Tot_res!C:D,2,FALSE)</f>
        <v>Jefatura del estado</v>
      </c>
      <c r="D14" s="179">
        <f>VLOOKUP(B14,Tot_res!C:V,3,FALSE)</f>
        <v>1398.6845281332635</v>
      </c>
      <c r="E14" s="179">
        <f>VLOOKUP(B14,Tot_res!C:V,4,FALSE)</f>
        <v>220.04470728579295</v>
      </c>
      <c r="F14" s="179">
        <f>VLOOKUP(B14,Tot_res!C:V,5,FALSE)</f>
        <v>175.9025185168276</v>
      </c>
      <c r="G14" s="179">
        <f>VLOOKUP(B14,Tot_res!C:V,6,FALSE)</f>
        <v>183.80578403831191</v>
      </c>
      <c r="H14" s="179">
        <f>VLOOKUP(B14,Tot_res!C:V,7,FALSE)</f>
        <v>350.06939214807511</v>
      </c>
      <c r="I14" s="179">
        <f>VLOOKUP(B14,Tot_res!C:V,8,FALSE)</f>
        <v>97.71982897332461</v>
      </c>
      <c r="J14" s="179">
        <f>VLOOKUP(B14,Tot_res!C:V,9,FALSE)</f>
        <v>413.48140988940145</v>
      </c>
      <c r="K14" s="179">
        <f>VLOOKUP(B14,Tot_res!C:V,10,FALSE)</f>
        <v>344.46519635679681</v>
      </c>
      <c r="L14" s="179">
        <f>VLOOKUP(B14,Tot_res!C:V,11,FALSE)</f>
        <v>1250.9737309422617</v>
      </c>
      <c r="M14" s="179">
        <f>VLOOKUP(B14,Tot_res!C:V,12,FALSE)</f>
        <v>831.27916356855019</v>
      </c>
      <c r="N14" s="179">
        <f>VLOOKUP(B14,Tot_res!C:V,13,FALSE)</f>
        <v>182.53275024339177</v>
      </c>
      <c r="O14" s="179">
        <f>VLOOKUP(B14,Tot_res!C:V,14,FALSE)</f>
        <v>456.28771235787741</v>
      </c>
      <c r="P14" s="179">
        <f>VLOOKUP(B14,Tot_res!C:V,15,FALSE)</f>
        <v>1073.1907986561655</v>
      </c>
      <c r="Q14" s="179">
        <f>VLOOKUP(B14,Tot_res!C:V,16,FALSE)</f>
        <v>244.25948835194521</v>
      </c>
      <c r="R14" s="179">
        <f>VLOOKUP(B14,Tot_res!C:V,17,FALSE)</f>
        <v>106.6632826498918</v>
      </c>
      <c r="S14" s="179">
        <f>VLOOKUP(B14,Tot_res!C:V,18,FALSE)</f>
        <v>364.4814300509243</v>
      </c>
      <c r="T14" s="179">
        <f>VLOOKUP(B14,Tot_res!C:V,19,FALSE)</f>
        <v>52.950530370646632</v>
      </c>
      <c r="U14" s="179">
        <f>VLOOKUP(B14,Tot_res!C:V,20,FALSE)</f>
        <v>28.247747466551548</v>
      </c>
      <c r="V14" s="122">
        <f t="shared" si="2"/>
        <v>7775.0399999999991</v>
      </c>
    </row>
    <row r="15" spans="1:22">
      <c r="A15" s="351" t="str">
        <f>IF(B15="","",(IF(ISERROR(MATCH(B15,Tot_res!C:C,0)),"Eliminar!!!","")))</f>
        <v/>
      </c>
      <c r="B15" s="115" t="s">
        <v>118</v>
      </c>
      <c r="C15" s="329" t="str">
        <f>VLOOKUP(B15,Tot_res!C:D,2,FALSE)</f>
        <v>Actividad legislativa</v>
      </c>
      <c r="D15" s="179">
        <f>VLOOKUP(B15,Tot_res!C:V,3,FALSE)</f>
        <v>36210.973595216987</v>
      </c>
      <c r="E15" s="179">
        <f>VLOOKUP(B15,Tot_res!C:V,4,FALSE)</f>
        <v>5696.8050514775714</v>
      </c>
      <c r="F15" s="179">
        <f>VLOOKUP(B15,Tot_res!C:V,5,FALSE)</f>
        <v>4553.9943605768758</v>
      </c>
      <c r="G15" s="179">
        <f>VLOOKUP(B15,Tot_res!C:V,6,FALSE)</f>
        <v>4758.6044305090927</v>
      </c>
      <c r="H15" s="179">
        <f>VLOOKUP(B15,Tot_res!C:V,7,FALSE)</f>
        <v>9063.0540773092998</v>
      </c>
      <c r="I15" s="179">
        <f>VLOOKUP(B15,Tot_res!C:V,8,FALSE)</f>
        <v>2529.8986837330872</v>
      </c>
      <c r="J15" s="179">
        <f>VLOOKUP(B15,Tot_res!C:V,9,FALSE)</f>
        <v>10704.74729251574</v>
      </c>
      <c r="K15" s="179">
        <f>VLOOKUP(B15,Tot_res!C:V,10,FALSE)</f>
        <v>8917.9653301768431</v>
      </c>
      <c r="L15" s="179">
        <f>VLOOKUP(B15,Tot_res!C:V,11,FALSE)</f>
        <v>32386.843371977538</v>
      </c>
      <c r="M15" s="179">
        <f>VLOOKUP(B15,Tot_res!C:V,12,FALSE)</f>
        <v>21521.241735911182</v>
      </c>
      <c r="N15" s="179">
        <f>VLOOKUP(B15,Tot_res!C:V,13,FALSE)</f>
        <v>4725.6464673612518</v>
      </c>
      <c r="O15" s="179">
        <f>VLOOKUP(B15,Tot_res!C:V,14,FALSE)</f>
        <v>11812.972812435961</v>
      </c>
      <c r="P15" s="179">
        <f>VLOOKUP(B15,Tot_res!C:V,15,FALSE)</f>
        <v>27784.166401435748</v>
      </c>
      <c r="Q15" s="179">
        <f>VLOOKUP(B15,Tot_res!C:V,16,FALSE)</f>
        <v>6323.7089602315091</v>
      </c>
      <c r="R15" s="179">
        <f>VLOOKUP(B15,Tot_res!C:V,17,FALSE)</f>
        <v>2761.4385044848359</v>
      </c>
      <c r="S15" s="179">
        <f>VLOOKUP(B15,Tot_res!C:V,18,FALSE)</f>
        <v>9436.1717557109114</v>
      </c>
      <c r="T15" s="179">
        <f>VLOOKUP(B15,Tot_res!C:V,19,FALSE)</f>
        <v>1370.8525536228249</v>
      </c>
      <c r="U15" s="179">
        <f>VLOOKUP(B15,Tot_res!C:V,20,FALSE)</f>
        <v>731.3146153127376</v>
      </c>
      <c r="V15" s="122">
        <f t="shared" si="2"/>
        <v>201290.39999999997</v>
      </c>
    </row>
    <row r="16" spans="1:22">
      <c r="A16" s="351" t="str">
        <f>IF(B16="","",(IF(ISERROR(MATCH(B16,Tot_res!C:C,0)),"Eliminar!!!","")))</f>
        <v/>
      </c>
      <c r="B16" s="115" t="s">
        <v>120</v>
      </c>
      <c r="C16" s="329" t="str">
        <f>VLOOKUP(B16,Tot_res!C:D,2,FALSE)</f>
        <v>Control externo del sector público</v>
      </c>
      <c r="D16" s="179">
        <f>VLOOKUP(B16,Tot_res!C:V,3,FALSE)</f>
        <v>10024.226750371088</v>
      </c>
      <c r="E16" s="179">
        <f>VLOOKUP(B16,Tot_res!C:V,4,FALSE)</f>
        <v>1577.0375640000357</v>
      </c>
      <c r="F16" s="179">
        <f>VLOOKUP(B16,Tot_res!C:V,5,FALSE)</f>
        <v>1260.6750815549356</v>
      </c>
      <c r="G16" s="179">
        <f>VLOOKUP(B16,Tot_res!C:V,6,FALSE)</f>
        <v>1317.316964740334</v>
      </c>
      <c r="H16" s="179">
        <f>VLOOKUP(B16,Tot_res!C:V,7,FALSE)</f>
        <v>2508.9109764732698</v>
      </c>
      <c r="I16" s="179">
        <f>VLOOKUP(B16,Tot_res!C:V,8,FALSE)</f>
        <v>700.34786539281527</v>
      </c>
      <c r="J16" s="179">
        <f>VLOOKUP(B16,Tot_res!C:V,9,FALSE)</f>
        <v>2963.3783218624262</v>
      </c>
      <c r="K16" s="179">
        <f>VLOOKUP(B16,Tot_res!C:V,10,FALSE)</f>
        <v>2468.7462872704614</v>
      </c>
      <c r="L16" s="179">
        <f>VLOOKUP(B16,Tot_res!C:V,11,FALSE)</f>
        <v>8965.5988076591893</v>
      </c>
      <c r="M16" s="179">
        <f>VLOOKUP(B16,Tot_res!C:V,12,FALSE)</f>
        <v>5957.6914313847474</v>
      </c>
      <c r="N16" s="179">
        <f>VLOOKUP(B16,Tot_res!C:V,13,FALSE)</f>
        <v>1308.193263745231</v>
      </c>
      <c r="O16" s="179">
        <f>VLOOKUP(B16,Tot_res!C:V,14,FALSE)</f>
        <v>3270.1666459326625</v>
      </c>
      <c r="P16" s="179">
        <f>VLOOKUP(B16,Tot_res!C:V,15,FALSE)</f>
        <v>7691.446995913474</v>
      </c>
      <c r="Q16" s="179">
        <f>VLOOKUP(B16,Tot_res!C:V,16,FALSE)</f>
        <v>1750.5823850338861</v>
      </c>
      <c r="R16" s="179">
        <f>VLOOKUP(B16,Tot_res!C:V,17,FALSE)</f>
        <v>764.44466905518311</v>
      </c>
      <c r="S16" s="179">
        <f>VLOOKUP(B16,Tot_res!C:V,18,FALSE)</f>
        <v>2612.2005553362869</v>
      </c>
      <c r="T16" s="179">
        <f>VLOOKUP(B16,Tot_res!C:V,19,FALSE)</f>
        <v>379.49095189905489</v>
      </c>
      <c r="U16" s="179">
        <f>VLOOKUP(B16,Tot_res!C:V,20,FALSE)</f>
        <v>202.44867237492892</v>
      </c>
      <c r="V16" s="122">
        <f t="shared" si="2"/>
        <v>55722.904190000008</v>
      </c>
    </row>
    <row r="17" spans="1:22">
      <c r="A17" s="351" t="str">
        <f>IF(B17="","",(IF(ISERROR(MATCH(B17,Tot_res!C:C,0)),"Eliminar!!!","")))</f>
        <v/>
      </c>
      <c r="B17" s="115" t="s">
        <v>121</v>
      </c>
      <c r="C17" s="329" t="str">
        <f>VLOOKUP(B17,Tot_res!C:D,2,FALSE)</f>
        <v>Control constitucional</v>
      </c>
      <c r="D17" s="179">
        <f>VLOOKUP(B17,Tot_res!C:V,3,FALSE)</f>
        <v>3781.0964256030102</v>
      </c>
      <c r="E17" s="179">
        <f>VLOOKUP(B17,Tot_res!C:V,4,FALSE)</f>
        <v>594.85197659375285</v>
      </c>
      <c r="F17" s="179">
        <f>VLOOKUP(B17,Tot_res!C:V,5,FALSE)</f>
        <v>475.52137071696728</v>
      </c>
      <c r="G17" s="179">
        <f>VLOOKUP(B17,Tot_res!C:V,6,FALSE)</f>
        <v>496.88645227239056</v>
      </c>
      <c r="H17" s="179">
        <f>VLOOKUP(B17,Tot_res!C:V,7,FALSE)</f>
        <v>946.3507322345896</v>
      </c>
      <c r="I17" s="179">
        <f>VLOOKUP(B17,Tot_res!C:V,8,FALSE)</f>
        <v>264.16828713670532</v>
      </c>
      <c r="J17" s="179">
        <f>VLOOKUP(B17,Tot_res!C:V,9,FALSE)</f>
        <v>1117.7739150891289</v>
      </c>
      <c r="K17" s="179">
        <f>VLOOKUP(B17,Tot_res!C:V,10,FALSE)</f>
        <v>931.2007793691904</v>
      </c>
      <c r="L17" s="179">
        <f>VLOOKUP(B17,Tot_res!C:V,11,FALSE)</f>
        <v>3381.7863910326878</v>
      </c>
      <c r="M17" s="179">
        <f>VLOOKUP(B17,Tot_res!C:V,12,FALSE)</f>
        <v>2247.2163027657607</v>
      </c>
      <c r="N17" s="179">
        <f>VLOOKUP(B17,Tot_res!C:V,13,FALSE)</f>
        <v>493.44503039717426</v>
      </c>
      <c r="O17" s="179">
        <f>VLOOKUP(B17,Tot_res!C:V,14,FALSE)</f>
        <v>1233.4931884501157</v>
      </c>
      <c r="P17" s="179">
        <f>VLOOKUP(B17,Tot_res!C:V,15,FALSE)</f>
        <v>2901.1816540250206</v>
      </c>
      <c r="Q17" s="179">
        <f>VLOOKUP(B17,Tot_res!C:V,16,FALSE)</f>
        <v>660.31235761204084</v>
      </c>
      <c r="R17" s="179">
        <f>VLOOKUP(B17,Tot_res!C:V,17,FALSE)</f>
        <v>288.34533353196815</v>
      </c>
      <c r="S17" s="179">
        <f>VLOOKUP(B17,Tot_res!C:V,18,FALSE)</f>
        <v>985.31112959656423</v>
      </c>
      <c r="T17" s="179">
        <f>VLOOKUP(B17,Tot_res!C:V,19,FALSE)</f>
        <v>143.14240065659749</v>
      </c>
      <c r="U17" s="179">
        <f>VLOOKUP(B17,Tot_res!C:V,20,FALSE)</f>
        <v>76.362792916329568</v>
      </c>
      <c r="V17" s="122">
        <f t="shared" si="2"/>
        <v>21018.446519999998</v>
      </c>
    </row>
    <row r="18" spans="1:22">
      <c r="A18" s="351" t="str">
        <f>IF(B18="","",(IF(ISERROR(MATCH(B18,Tot_res!C:C,0)),"Eliminar!!!","")))</f>
        <v/>
      </c>
      <c r="B18" s="115" t="s">
        <v>122</v>
      </c>
      <c r="C18" s="329" t="str">
        <f>VLOOKUP(B18,Tot_res!C:D,2,FALSE)</f>
        <v>Apoyo a la gestión administrativa de la jefatura del estado</v>
      </c>
      <c r="D18" s="179">
        <f>VLOOKUP(B18,Tot_res!C:V,3,FALSE)</f>
        <v>1048.7583115344205</v>
      </c>
      <c r="E18" s="179">
        <f>VLOOKUP(B18,Tot_res!C:V,4,FALSE)</f>
        <v>164.99339989349363</v>
      </c>
      <c r="F18" s="179">
        <f>VLOOKUP(B18,Tot_res!C:V,5,FALSE)</f>
        <v>131.8948087318683</v>
      </c>
      <c r="G18" s="179">
        <f>VLOOKUP(B18,Tot_res!C:V,6,FALSE)</f>
        <v>137.8208165179002</v>
      </c>
      <c r="H18" s="179">
        <f>VLOOKUP(B18,Tot_res!C:V,7,FALSE)</f>
        <v>262.48820033713571</v>
      </c>
      <c r="I18" s="179">
        <f>VLOOKUP(B18,Tot_res!C:V,8,FALSE)</f>
        <v>73.272050112884187</v>
      </c>
      <c r="J18" s="179">
        <f>VLOOKUP(B18,Tot_res!C:V,9,FALSE)</f>
        <v>310.03564890020994</v>
      </c>
      <c r="K18" s="179">
        <f>VLOOKUP(B18,Tot_res!C:V,10,FALSE)</f>
        <v>258.28607555677962</v>
      </c>
      <c r="L18" s="179">
        <f>VLOOKUP(B18,Tot_res!C:V,11,FALSE)</f>
        <v>938.00215234233247</v>
      </c>
      <c r="M18" s="179">
        <f>VLOOKUP(B18,Tot_res!C:V,12,FALSE)</f>
        <v>623.3077684511527</v>
      </c>
      <c r="N18" s="179">
        <f>VLOOKUP(B18,Tot_res!C:V,13,FALSE)</f>
        <v>136.86627334077033</v>
      </c>
      <c r="O18" s="179">
        <f>VLOOKUP(B18,Tot_res!C:V,14,FALSE)</f>
        <v>342.1325689682306</v>
      </c>
      <c r="P18" s="179">
        <f>VLOOKUP(B18,Tot_res!C:V,15,FALSE)</f>
        <v>804.69737622326761</v>
      </c>
      <c r="Q18" s="179">
        <f>VLOOKUP(B18,Tot_res!C:V,16,FALSE)</f>
        <v>183.15006953150501</v>
      </c>
      <c r="R18" s="179">
        <f>VLOOKUP(B18,Tot_res!C:V,17,FALSE)</f>
        <v>79.97800931130412</v>
      </c>
      <c r="S18" s="179">
        <f>VLOOKUP(B18,Tot_res!C:V,18,FALSE)</f>
        <v>273.29460037427259</v>
      </c>
      <c r="T18" s="179">
        <f>VLOOKUP(B18,Tot_res!C:V,19,FALSE)</f>
        <v>39.703240944894766</v>
      </c>
      <c r="U18" s="179">
        <f>VLOOKUP(B18,Tot_res!C:V,20,FALSE)</f>
        <v>21.180658927578197</v>
      </c>
      <c r="V18" s="122">
        <f t="shared" si="2"/>
        <v>5829.8620300000011</v>
      </c>
    </row>
    <row r="19" spans="1:22">
      <c r="A19" s="351" t="str">
        <f>IF(B19="","",(IF(ISERROR(MATCH(B19,Tot_res!C:C,0)),"Eliminar!!!","")))</f>
        <v/>
      </c>
      <c r="B19" s="115" t="s">
        <v>123</v>
      </c>
      <c r="C19" s="329" t="str">
        <f>VLOOKUP(B19,Tot_res!C:D,2,FALSE)</f>
        <v>Presidencia del gobierno</v>
      </c>
      <c r="D19" s="179">
        <f>VLOOKUP(B19,Tot_res!C:V,3,FALSE)</f>
        <v>6181.6261038393568</v>
      </c>
      <c r="E19" s="179">
        <f>VLOOKUP(B19,Tot_res!C:V,4,FALSE)</f>
        <v>972.50958254679995</v>
      </c>
      <c r="F19" s="179">
        <f>VLOOKUP(B19,Tot_res!C:V,5,FALSE)</f>
        <v>777.4187662216749</v>
      </c>
      <c r="G19" s="179">
        <f>VLOOKUP(B19,Tot_res!C:V,6,FALSE)</f>
        <v>812.3480383130626</v>
      </c>
      <c r="H19" s="179">
        <f>VLOOKUP(B19,Tot_res!C:V,7,FALSE)</f>
        <v>1547.1666763525795</v>
      </c>
      <c r="I19" s="179">
        <f>VLOOKUP(B19,Tot_res!C:V,8,FALSE)</f>
        <v>431.88255356655145</v>
      </c>
      <c r="J19" s="179">
        <f>VLOOKUP(B19,Tot_res!C:V,9,FALSE)</f>
        <v>1827.4224282983532</v>
      </c>
      <c r="K19" s="179">
        <f>VLOOKUP(B19,Tot_res!C:V,10,FALSE)</f>
        <v>1522.3983727804875</v>
      </c>
      <c r="L19" s="179">
        <f>VLOOKUP(B19,Tot_res!C:V,11,FALSE)</f>
        <v>5528.8034684496124</v>
      </c>
      <c r="M19" s="179">
        <f>VLOOKUP(B19,Tot_res!C:V,12,FALSE)</f>
        <v>3673.921369496622</v>
      </c>
      <c r="N19" s="179">
        <f>VLOOKUP(B19,Tot_res!C:V,13,FALSE)</f>
        <v>806.72173818643512</v>
      </c>
      <c r="O19" s="179">
        <f>VLOOKUP(B19,Tot_res!C:V,14,FALSE)</f>
        <v>2016.6091615648861</v>
      </c>
      <c r="P19" s="179">
        <f>VLOOKUP(B19,Tot_res!C:V,15,FALSE)</f>
        <v>4743.0740255826158</v>
      </c>
      <c r="Q19" s="179">
        <f>VLOOKUP(B19,Tot_res!C:V,16,FALSE)</f>
        <v>1079.5292283114236</v>
      </c>
      <c r="R19" s="179">
        <f>VLOOKUP(B19,Tot_res!C:V,17,FALSE)</f>
        <v>471.40904120085111</v>
      </c>
      <c r="S19" s="179">
        <f>VLOOKUP(B19,Tot_res!C:V,18,FALSE)</f>
        <v>1610.8621186898715</v>
      </c>
      <c r="T19" s="179">
        <f>VLOOKUP(B19,Tot_res!C:V,19,FALSE)</f>
        <v>234.02016263680403</v>
      </c>
      <c r="U19" s="179">
        <f>VLOOKUP(B19,Tot_res!C:V,20,FALSE)</f>
        <v>124.84374396201227</v>
      </c>
      <c r="V19" s="122">
        <f t="shared" si="2"/>
        <v>34362.566580000006</v>
      </c>
    </row>
    <row r="20" spans="1:22">
      <c r="A20" s="351" t="str">
        <f>IF(B20="","",(IF(ISERROR(MATCH(B20,Tot_res!C:C,0)),"Eliminar!!!","")))</f>
        <v/>
      </c>
      <c r="B20" s="115" t="s">
        <v>124</v>
      </c>
      <c r="C20" s="329" t="str">
        <f>VLOOKUP(B20,Tot_res!C:D,2,FALSE)</f>
        <v>Alto asesoramiento del estado</v>
      </c>
      <c r="D20" s="179">
        <f>VLOOKUP(B20,Tot_res!C:V,3,FALSE)</f>
        <v>1470.5793511651732</v>
      </c>
      <c r="E20" s="179">
        <f>VLOOKUP(B20,Tot_res!C:V,4,FALSE)</f>
        <v>231.35538883778992</v>
      </c>
      <c r="F20" s="179">
        <f>VLOOKUP(B20,Tot_res!C:V,5,FALSE)</f>
        <v>184.94421461431213</v>
      </c>
      <c r="G20" s="179">
        <f>VLOOKUP(B20,Tot_res!C:V,6,FALSE)</f>
        <v>193.25372176113254</v>
      </c>
      <c r="H20" s="179">
        <f>VLOOKUP(B20,Tot_res!C:V,7,FALSE)</f>
        <v>368.0635691702264</v>
      </c>
      <c r="I20" s="179">
        <f>VLOOKUP(B20,Tot_res!C:V,8,FALSE)</f>
        <v>102.74279853467539</v>
      </c>
      <c r="J20" s="179">
        <f>VLOOKUP(B20,Tot_res!C:V,9,FALSE)</f>
        <v>434.73507516777414</v>
      </c>
      <c r="K20" s="179">
        <f>VLOOKUP(B20,Tot_res!C:V,10,FALSE)</f>
        <v>362.17130794564559</v>
      </c>
      <c r="L20" s="179">
        <f>VLOOKUP(B20,Tot_res!C:V,11,FALSE)</f>
        <v>1315.2759614986383</v>
      </c>
      <c r="M20" s="179">
        <f>VLOOKUP(B20,Tot_res!C:V,12,FALSE)</f>
        <v>874.00836172064453</v>
      </c>
      <c r="N20" s="179">
        <f>VLOOKUP(B20,Tot_res!C:V,13,FALSE)</f>
        <v>191.9152518099109</v>
      </c>
      <c r="O20" s="179">
        <f>VLOOKUP(B20,Tot_res!C:V,14,FALSE)</f>
        <v>479.74169620610581</v>
      </c>
      <c r="P20" s="179">
        <f>VLOOKUP(B20,Tot_res!C:V,15,FALSE)</f>
        <v>1128.3546765692465</v>
      </c>
      <c r="Q20" s="179">
        <f>VLOOKUP(B20,Tot_res!C:V,16,FALSE)</f>
        <v>256.81485186366251</v>
      </c>
      <c r="R20" s="179">
        <f>VLOOKUP(B20,Tot_res!C:V,17,FALSE)</f>
        <v>112.14596132107954</v>
      </c>
      <c r="S20" s="179">
        <f>VLOOKUP(B20,Tot_res!C:V,18,FALSE)</f>
        <v>383.21641094536648</v>
      </c>
      <c r="T20" s="179">
        <f>VLOOKUP(B20,Tot_res!C:V,19,FALSE)</f>
        <v>55.672279938809929</v>
      </c>
      <c r="U20" s="179">
        <f>VLOOKUP(B20,Tot_res!C:V,20,FALSE)</f>
        <v>29.699730929804886</v>
      </c>
      <c r="V20" s="122">
        <f t="shared" si="2"/>
        <v>8174.6906099999987</v>
      </c>
    </row>
    <row r="21" spans="1:22">
      <c r="A21" s="351" t="str">
        <f>IF(B21="","",(IF(ISERROR(MATCH(B21,Tot_res!C:C,0)),"Eliminar!!!","")))</f>
        <v/>
      </c>
      <c r="B21" s="115" t="s">
        <v>125</v>
      </c>
      <c r="C21" s="329" t="str">
        <f>VLOOKUP(B21,Tot_res!C:D,2,FALSE)</f>
        <v>Relaciones con las cortes generales, secretariado del gobierno y apoyo a la alta dirección</v>
      </c>
      <c r="D21" s="179">
        <f>VLOOKUP(B21,Tot_res!C:V,3,FALSE)</f>
        <v>5536.1278224653224</v>
      </c>
      <c r="E21" s="179">
        <f>VLOOKUP(B21,Tot_res!C:V,4,FALSE)</f>
        <v>870.95810505387192</v>
      </c>
      <c r="F21" s="179">
        <f>VLOOKUP(B21,Tot_res!C:V,5,FALSE)</f>
        <v>696.2390783734669</v>
      </c>
      <c r="G21" s="179">
        <f>VLOOKUP(B21,Tot_res!C:V,6,FALSE)</f>
        <v>727.52096307424006</v>
      </c>
      <c r="H21" s="179">
        <f>VLOOKUP(B21,Tot_res!C:V,7,FALSE)</f>
        <v>1385.6083074365938</v>
      </c>
      <c r="I21" s="179">
        <f>VLOOKUP(B21,Tot_res!C:V,8,FALSE)</f>
        <v>386.78447720287573</v>
      </c>
      <c r="J21" s="179">
        <f>VLOOKUP(B21,Tot_res!C:V,9,FALSE)</f>
        <v>1636.5991696612266</v>
      </c>
      <c r="K21" s="179">
        <f>VLOOKUP(B21,Tot_res!C:V,10,FALSE)</f>
        <v>1363.4263617450611</v>
      </c>
      <c r="L21" s="179">
        <f>VLOOKUP(B21,Tot_res!C:V,11,FALSE)</f>
        <v>4951.4742872617608</v>
      </c>
      <c r="M21" s="179">
        <f>VLOOKUP(B21,Tot_res!C:V,12,FALSE)</f>
        <v>3290.2828429865049</v>
      </c>
      <c r="N21" s="179">
        <f>VLOOKUP(B21,Tot_res!C:V,13,FALSE)</f>
        <v>722.48217293304788</v>
      </c>
      <c r="O21" s="179">
        <f>VLOOKUP(B21,Tot_res!C:V,14,FALSE)</f>
        <v>1806.0306299411795</v>
      </c>
      <c r="P21" s="179">
        <f>VLOOKUP(B21,Tot_res!C:V,15,FALSE)</f>
        <v>4247.7923504192086</v>
      </c>
      <c r="Q21" s="179">
        <f>VLOOKUP(B21,Tot_res!C:V,16,FALSE)</f>
        <v>966.8025363597277</v>
      </c>
      <c r="R21" s="179">
        <f>VLOOKUP(B21,Tot_res!C:V,17,FALSE)</f>
        <v>422.18352661815311</v>
      </c>
      <c r="S21" s="179">
        <f>VLOOKUP(B21,Tot_res!C:V,18,FALSE)</f>
        <v>1442.6525389323654</v>
      </c>
      <c r="T21" s="179">
        <f>VLOOKUP(B21,Tot_res!C:V,19,FALSE)</f>
        <v>209.58328951451875</v>
      </c>
      <c r="U21" s="179">
        <f>VLOOKUP(B21,Tot_res!C:V,20,FALSE)</f>
        <v>111.80730002087398</v>
      </c>
      <c r="V21" s="122">
        <f t="shared" si="2"/>
        <v>30774.355759999995</v>
      </c>
    </row>
    <row r="22" spans="1:22">
      <c r="A22" s="351" t="str">
        <f>IF(B22="","",(IF(ISERROR(MATCH(B22,Tot_res!C:C,0)),"Eliminar!!!","")))</f>
        <v/>
      </c>
      <c r="B22" s="115" t="s">
        <v>126</v>
      </c>
      <c r="C22" s="329" t="str">
        <f>VLOOKUP(B22,Tot_res!C:D,2,FALSE)</f>
        <v>Asesoramiento del gobierno en materia social, económica y laboral</v>
      </c>
      <c r="D22" s="179">
        <f>VLOOKUP(B22,Tot_res!C:V,3,FALSE)</f>
        <v>1214.7191502475819</v>
      </c>
      <c r="E22" s="179">
        <f>VLOOKUP(B22,Tot_res!C:V,4,FALSE)</f>
        <v>191.10279299894367</v>
      </c>
      <c r="F22" s="179">
        <f>VLOOKUP(B22,Tot_res!C:V,5,FALSE)</f>
        <v>152.76651276349295</v>
      </c>
      <c r="G22" s="179">
        <f>VLOOKUP(B22,Tot_res!C:V,6,FALSE)</f>
        <v>159.63028210199511</v>
      </c>
      <c r="H22" s="179">
        <f>VLOOKUP(B22,Tot_res!C:V,7,FALSE)</f>
        <v>304.0256655482799</v>
      </c>
      <c r="I22" s="179">
        <f>VLOOKUP(B22,Tot_res!C:V,8,FALSE)</f>
        <v>84.866991251587095</v>
      </c>
      <c r="J22" s="179">
        <f>VLOOKUP(B22,Tot_res!C:V,9,FALSE)</f>
        <v>359.09726372276793</v>
      </c>
      <c r="K22" s="179">
        <f>VLOOKUP(B22,Tot_res!C:V,10,FALSE)</f>
        <v>299.15857521269987</v>
      </c>
      <c r="L22" s="179">
        <f>VLOOKUP(B22,Tot_res!C:V,11,FALSE)</f>
        <v>1086.436374226804</v>
      </c>
      <c r="M22" s="179">
        <f>VLOOKUP(B22,Tot_res!C:V,12,FALSE)</f>
        <v>721.94315364036186</v>
      </c>
      <c r="N22" s="179">
        <f>VLOOKUP(B22,Tot_res!C:V,13,FALSE)</f>
        <v>158.52468716725616</v>
      </c>
      <c r="O22" s="179">
        <f>VLOOKUP(B22,Tot_res!C:V,14,FALSE)</f>
        <v>396.27336334628069</v>
      </c>
      <c r="P22" s="179">
        <f>VLOOKUP(B22,Tot_res!C:V,15,FALSE)</f>
        <v>932.03677367977173</v>
      </c>
      <c r="Q22" s="179">
        <f>VLOOKUP(B22,Tot_res!C:V,16,FALSE)</f>
        <v>212.13266620370769</v>
      </c>
      <c r="R22" s="179">
        <f>VLOOKUP(B22,Tot_res!C:V,17,FALSE)</f>
        <v>92.634135473005983</v>
      </c>
      <c r="S22" s="179">
        <f>VLOOKUP(B22,Tot_res!C:V,18,FALSE)</f>
        <v>316.54212518056727</v>
      </c>
      <c r="T22" s="179">
        <f>VLOOKUP(B22,Tot_res!C:V,19,FALSE)</f>
        <v>45.986083325619212</v>
      </c>
      <c r="U22" s="179">
        <f>VLOOKUP(B22,Tot_res!C:V,20,FALSE)</f>
        <v>24.53239390927795</v>
      </c>
      <c r="V22" s="122">
        <f t="shared" si="2"/>
        <v>6752.408989999999</v>
      </c>
    </row>
    <row r="23" spans="1:22">
      <c r="A23" s="351" t="str">
        <f>IF(B23="","",(IF(ISERROR(MATCH(B23,Tot_res!C:C,0)),"Eliminar!!!","")))</f>
        <v/>
      </c>
      <c r="B23" s="115" t="s">
        <v>127</v>
      </c>
      <c r="C23" s="329" t="str">
        <f>VLOOKUP(B23,Tot_res!C:D,2,FALSE)</f>
        <v>Cobertura informativa</v>
      </c>
      <c r="D23" s="179">
        <f>VLOOKUP(B23,Tot_res!C:V,3,FALSE)</f>
        <v>9520.1056008424475</v>
      </c>
      <c r="E23" s="179">
        <f>VLOOKUP(B23,Tot_res!C:V,4,FALSE)</f>
        <v>1497.7279065659486</v>
      </c>
      <c r="F23" s="179">
        <f>VLOOKUP(B23,Tot_res!C:V,5,FALSE)</f>
        <v>1197.2753812965532</v>
      </c>
      <c r="G23" s="179">
        <f>VLOOKUP(B23,Tot_res!C:V,6,FALSE)</f>
        <v>1251.0687284328412</v>
      </c>
      <c r="H23" s="179">
        <f>VLOOKUP(B23,Tot_res!C:V,7,FALSE)</f>
        <v>2382.7371461099547</v>
      </c>
      <c r="I23" s="179">
        <f>VLOOKUP(B23,Tot_res!C:V,8,FALSE)</f>
        <v>665.12717657921826</v>
      </c>
      <c r="J23" s="179">
        <f>VLOOKUP(B23,Tot_res!C:V,9,FALSE)</f>
        <v>2814.3492023794465</v>
      </c>
      <c r="K23" s="179">
        <f>VLOOKUP(B23,Tot_res!C:V,10,FALSE)</f>
        <v>2344.5923502910055</v>
      </c>
      <c r="L23" s="179">
        <f>VLOOKUP(B23,Tot_res!C:V,11,FALSE)</f>
        <v>8514.7163516171368</v>
      </c>
      <c r="M23" s="179">
        <f>VLOOKUP(B23,Tot_res!C:V,12,FALSE)</f>
        <v>5658.0774733489898</v>
      </c>
      <c r="N23" s="179">
        <f>VLOOKUP(B23,Tot_res!C:V,13,FALSE)</f>
        <v>1242.4038608967314</v>
      </c>
      <c r="O23" s="179">
        <f>VLOOKUP(B23,Tot_res!C:V,14,FALSE)</f>
        <v>3105.7090563598044</v>
      </c>
      <c r="P23" s="179">
        <f>VLOOKUP(B23,Tot_res!C:V,15,FALSE)</f>
        <v>7304.6419886369813</v>
      </c>
      <c r="Q23" s="179">
        <f>VLOOKUP(B23,Tot_res!C:V,16,FALSE)</f>
        <v>1662.5451103129008</v>
      </c>
      <c r="R23" s="179">
        <f>VLOOKUP(B23,Tot_res!C:V,17,FALSE)</f>
        <v>726.00053416957974</v>
      </c>
      <c r="S23" s="179">
        <f>VLOOKUP(B23,Tot_res!C:V,18,FALSE)</f>
        <v>2480.83226334242</v>
      </c>
      <c r="T23" s="179">
        <f>VLOOKUP(B23,Tot_res!C:V,19,FALSE)</f>
        <v>360.4062464478352</v>
      </c>
      <c r="U23" s="179">
        <f>VLOOKUP(B23,Tot_res!C:V,20,FALSE)</f>
        <v>192.26747237020857</v>
      </c>
      <c r="V23" s="122">
        <f t="shared" si="2"/>
        <v>52920.583849999995</v>
      </c>
    </row>
    <row r="24" spans="1:22">
      <c r="A24" s="352"/>
      <c r="B24" s="115"/>
      <c r="C24" s="102"/>
      <c r="D24" s="105"/>
      <c r="E24" s="105"/>
      <c r="F24" s="105"/>
      <c r="G24" s="105"/>
      <c r="H24" s="105"/>
      <c r="I24" s="105"/>
      <c r="J24" s="105"/>
      <c r="K24" s="105"/>
      <c r="L24" s="105"/>
      <c r="M24" s="105"/>
      <c r="N24" s="105"/>
      <c r="O24" s="105"/>
      <c r="P24" s="105"/>
      <c r="Q24" s="105"/>
      <c r="R24" s="105"/>
      <c r="S24" s="105"/>
      <c r="T24" s="105"/>
      <c r="U24" s="105"/>
      <c r="V24" s="122"/>
    </row>
    <row r="25" spans="1:22" ht="18.75" customHeight="1">
      <c r="A25" s="352"/>
      <c r="B25" s="115"/>
      <c r="C25" s="117" t="s">
        <v>47</v>
      </c>
      <c r="D25" s="118">
        <f>SUM(D26:D33)</f>
        <v>305427.32261312404</v>
      </c>
      <c r="E25" s="118">
        <f t="shared" ref="E25:U25" si="3">SUM(E26:E33)</f>
        <v>48050.62503349928</v>
      </c>
      <c r="F25" s="118">
        <f t="shared" si="3"/>
        <v>38411.403136920431</v>
      </c>
      <c r="G25" s="118">
        <f t="shared" si="3"/>
        <v>40137.219916597853</v>
      </c>
      <c r="H25" s="118">
        <f t="shared" si="3"/>
        <v>76443.797741361152</v>
      </c>
      <c r="I25" s="118">
        <f t="shared" si="3"/>
        <v>21338.840266839092</v>
      </c>
      <c r="J25" s="118">
        <f t="shared" si="3"/>
        <v>90290.925103296118</v>
      </c>
      <c r="K25" s="118">
        <f t="shared" si="3"/>
        <v>75220.023200711628</v>
      </c>
      <c r="L25" s="118">
        <f t="shared" si="3"/>
        <v>273172.0767734421</v>
      </c>
      <c r="M25" s="118">
        <f t="shared" si="3"/>
        <v>181524.39965263481</v>
      </c>
      <c r="N25" s="118">
        <f t="shared" si="3"/>
        <v>39859.230637559056</v>
      </c>
      <c r="O25" s="118">
        <f t="shared" si="3"/>
        <v>99638.43277278007</v>
      </c>
      <c r="P25" s="118">
        <f t="shared" si="3"/>
        <v>234350.05227666502</v>
      </c>
      <c r="Q25" s="118">
        <f t="shared" si="3"/>
        <v>53338.347604198367</v>
      </c>
      <c r="R25" s="118">
        <f t="shared" si="3"/>
        <v>23291.800392160614</v>
      </c>
      <c r="S25" s="118">
        <f t="shared" si="3"/>
        <v>79590.919241261421</v>
      </c>
      <c r="T25" s="118">
        <f t="shared" si="3"/>
        <v>11562.677928264484</v>
      </c>
      <c r="U25" s="118">
        <f t="shared" si="3"/>
        <v>6168.3915886845889</v>
      </c>
      <c r="V25" s="127">
        <f>SUM(V26:V33)</f>
        <v>1697816.4858799998</v>
      </c>
    </row>
    <row r="26" spans="1:22">
      <c r="A26" s="351" t="str">
        <f>IF(B26="","",(IF(ISERROR(MATCH(B26,Tot_res!C:C,0)),"Eliminar!!!","")))</f>
        <v/>
      </c>
      <c r="B26" s="115" t="s">
        <v>129</v>
      </c>
      <c r="C26" s="329" t="str">
        <f>VLOOKUP(B26,Tot_res!C:D,2,FALSE)</f>
        <v>Dirección y servicios generales de asuntos exteriores</v>
      </c>
      <c r="D26" s="179">
        <f>VLOOKUP(B26,Tot_res!C:V,3,FALSE)</f>
        <v>12853.933494604253</v>
      </c>
      <c r="E26" s="179">
        <f>VLOOKUP(B26,Tot_res!C:V,4,FALSE)</f>
        <v>2022.2144282000345</v>
      </c>
      <c r="F26" s="179">
        <f>VLOOKUP(B26,Tot_res!C:V,5,FALSE)</f>
        <v>1616.5469976037857</v>
      </c>
      <c r="G26" s="179">
        <f>VLOOKUP(B26,Tot_res!C:V,6,FALSE)</f>
        <v>1689.1781359055308</v>
      </c>
      <c r="H26" s="179">
        <f>VLOOKUP(B26,Tot_res!C:V,7,FALSE)</f>
        <v>3217.1433905638842</v>
      </c>
      <c r="I26" s="179">
        <f>VLOOKUP(B26,Tot_res!C:V,8,FALSE)</f>
        <v>898.04681288898871</v>
      </c>
      <c r="J26" s="179">
        <f>VLOOKUP(B26,Tot_res!C:V,9,FALSE)</f>
        <v>3799.9008618955563</v>
      </c>
      <c r="K26" s="179">
        <f>VLOOKUP(B26,Tot_res!C:V,10,FALSE)</f>
        <v>3165.6407403644321</v>
      </c>
      <c r="L26" s="179">
        <f>VLOOKUP(B26,Tot_res!C:V,11,FALSE)</f>
        <v>11496.468873141583</v>
      </c>
      <c r="M26" s="179">
        <f>VLOOKUP(B26,Tot_res!C:V,12,FALSE)</f>
        <v>7639.4689932126939</v>
      </c>
      <c r="N26" s="179">
        <f>VLOOKUP(B26,Tot_res!C:V,13,FALSE)</f>
        <v>1677.4789346867067</v>
      </c>
      <c r="O26" s="179">
        <f>VLOOKUP(B26,Tot_res!C:V,14,FALSE)</f>
        <v>4193.2914757275839</v>
      </c>
      <c r="P26" s="179">
        <f>VLOOKUP(B26,Tot_res!C:V,15,FALSE)</f>
        <v>9862.6408425054397</v>
      </c>
      <c r="Q26" s="179">
        <f>VLOOKUP(B26,Tot_res!C:V,16,FALSE)</f>
        <v>2244.7486588647121</v>
      </c>
      <c r="R26" s="179">
        <f>VLOOKUP(B26,Tot_res!C:V,17,FALSE)</f>
        <v>980.23729720362996</v>
      </c>
      <c r="S26" s="179">
        <f>VLOOKUP(B26,Tot_res!C:V,18,FALSE)</f>
        <v>3349.5902525965844</v>
      </c>
      <c r="T26" s="179">
        <f>VLOOKUP(B26,Tot_res!C:V,19,FALSE)</f>
        <v>486.61623275171189</v>
      </c>
      <c r="U26" s="179">
        <f>VLOOKUP(B26,Tot_res!C:V,20,FALSE)</f>
        <v>259.59725728290499</v>
      </c>
      <c r="V26" s="122">
        <f t="shared" ref="V26:V33" si="4">SUM(D26:U26)</f>
        <v>71452.74368</v>
      </c>
    </row>
    <row r="27" spans="1:22">
      <c r="A27" s="351" t="str">
        <f>IF(B27="","",(IF(ISERROR(MATCH(B27,Tot_res!C:C,0)),"Eliminar!!!","")))</f>
        <v/>
      </c>
      <c r="B27" s="115" t="s">
        <v>130</v>
      </c>
      <c r="C27" s="329" t="str">
        <f>VLOOKUP(B27,Tot_res!C:D,2,FALSE)</f>
        <v>Acción del estado en el exterior</v>
      </c>
      <c r="D27" s="179">
        <f>VLOOKUP(B27,Tot_res!C:V,3,FALSE)</f>
        <v>125304.16917744333</v>
      </c>
      <c r="E27" s="179">
        <f>VLOOKUP(B27,Tot_res!C:V,4,FALSE)</f>
        <v>19713.179543881353</v>
      </c>
      <c r="F27" s="179">
        <f>VLOOKUP(B27,Tot_res!C:V,5,FALSE)</f>
        <v>15758.606387380352</v>
      </c>
      <c r="G27" s="179">
        <f>VLOOKUP(B27,Tot_res!C:V,6,FALSE)</f>
        <v>16466.63746947149</v>
      </c>
      <c r="H27" s="179">
        <f>VLOOKUP(B27,Tot_res!C:V,7,FALSE)</f>
        <v>31361.721285436124</v>
      </c>
      <c r="I27" s="179">
        <f>VLOOKUP(B27,Tot_res!C:V,8,FALSE)</f>
        <v>8754.4415737596883</v>
      </c>
      <c r="J27" s="179">
        <f>VLOOKUP(B27,Tot_res!C:V,9,FALSE)</f>
        <v>37042.623618392463</v>
      </c>
      <c r="K27" s="179">
        <f>VLOOKUP(B27,Tot_res!C:V,10,FALSE)</f>
        <v>30859.657322184114</v>
      </c>
      <c r="L27" s="179">
        <f>VLOOKUP(B27,Tot_res!C:V,11,FALSE)</f>
        <v>112071.17892962896</v>
      </c>
      <c r="M27" s="179">
        <f>VLOOKUP(B27,Tot_res!C:V,12,FALSE)</f>
        <v>74471.936201722827</v>
      </c>
      <c r="N27" s="179">
        <f>VLOOKUP(B27,Tot_res!C:V,13,FALSE)</f>
        <v>16352.589992146368</v>
      </c>
      <c r="O27" s="179">
        <f>VLOOKUP(B27,Tot_res!C:V,14,FALSE)</f>
        <v>40877.518520339698</v>
      </c>
      <c r="P27" s="179">
        <f>VLOOKUP(B27,Tot_res!C:V,15,FALSE)</f>
        <v>96144.111620340424</v>
      </c>
      <c r="Q27" s="179">
        <f>VLOOKUP(B27,Tot_res!C:V,16,FALSE)</f>
        <v>21882.512915544132</v>
      </c>
      <c r="R27" s="179">
        <f>VLOOKUP(B27,Tot_res!C:V,17,FALSE)</f>
        <v>9555.6601544891582</v>
      </c>
      <c r="S27" s="179">
        <f>VLOOKUP(B27,Tot_res!C:V,18,FALSE)</f>
        <v>32652.854774973286</v>
      </c>
      <c r="T27" s="179">
        <f>VLOOKUP(B27,Tot_res!C:V,19,FALSE)</f>
        <v>4743.6874306846521</v>
      </c>
      <c r="U27" s="179">
        <f>VLOOKUP(B27,Tot_res!C:V,20,FALSE)</f>
        <v>2530.635362181707</v>
      </c>
      <c r="V27" s="122">
        <f t="shared" si="4"/>
        <v>696543.72227999999</v>
      </c>
    </row>
    <row r="28" spans="1:22">
      <c r="A28" s="351" t="str">
        <f>IF(B28="","",(IF(ISERROR(MATCH(B28,Tot_res!C:C,0)),"Eliminar!!!","")))</f>
        <v/>
      </c>
      <c r="B28" s="115" t="s">
        <v>131</v>
      </c>
      <c r="C28" s="329" t="str">
        <f>VLOOKUP(B28,Tot_res!C:D,2,FALSE)</f>
        <v>Acción diplomática ante la unión europea</v>
      </c>
      <c r="D28" s="179">
        <f>VLOOKUP(B28,Tot_res!C:V,3,FALSE)</f>
        <v>3480.2136432613815</v>
      </c>
      <c r="E28" s="179">
        <f>VLOOKUP(B28,Tot_res!C:V,4,FALSE)</f>
        <v>547.51631051895765</v>
      </c>
      <c r="F28" s="179">
        <f>VLOOKUP(B28,Tot_res!C:V,5,FALSE)</f>
        <v>437.68150180608433</v>
      </c>
      <c r="G28" s="179">
        <f>VLOOKUP(B28,Tot_res!C:V,6,FALSE)</f>
        <v>457.34644550207003</v>
      </c>
      <c r="H28" s="179">
        <f>VLOOKUP(B28,Tot_res!C:V,7,FALSE)</f>
        <v>871.04436356921747</v>
      </c>
      <c r="I28" s="179">
        <f>VLOOKUP(B28,Tot_res!C:V,8,FALSE)</f>
        <v>243.14695356216205</v>
      </c>
      <c r="J28" s="179">
        <f>VLOOKUP(B28,Tot_res!C:V,9,FALSE)</f>
        <v>1028.8264544204219</v>
      </c>
      <c r="K28" s="179">
        <f>VLOOKUP(B28,Tot_res!C:V,10,FALSE)</f>
        <v>857.09997635393495</v>
      </c>
      <c r="L28" s="179">
        <f>VLOOKUP(B28,Tot_res!C:V,11,FALSE)</f>
        <v>3112.6789195254796</v>
      </c>
      <c r="M28" s="179">
        <f>VLOOKUP(B28,Tot_res!C:V,12,FALSE)</f>
        <v>2068.3928564444209</v>
      </c>
      <c r="N28" s="179">
        <f>VLOOKUP(B28,Tot_res!C:V,13,FALSE)</f>
        <v>454.17887662409942</v>
      </c>
      <c r="O28" s="179">
        <f>VLOOKUP(B28,Tot_res!C:V,14,FALSE)</f>
        <v>1135.3373043453805</v>
      </c>
      <c r="P28" s="179">
        <f>VLOOKUP(B28,Tot_res!C:V,15,FALSE)</f>
        <v>2670.3185630361882</v>
      </c>
      <c r="Q28" s="179">
        <f>VLOOKUP(B28,Tot_res!C:V,16,FALSE)</f>
        <v>607.7676464992619</v>
      </c>
      <c r="R28" s="179">
        <f>VLOOKUP(B28,Tot_res!C:V,17,FALSE)</f>
        <v>265.40009848298706</v>
      </c>
      <c r="S28" s="179">
        <f>VLOOKUP(B28,Tot_res!C:V,18,FALSE)</f>
        <v>906.90446634996181</v>
      </c>
      <c r="T28" s="179">
        <f>VLOOKUP(B28,Tot_res!C:V,19,FALSE)</f>
        <v>131.7517671120566</v>
      </c>
      <c r="U28" s="179">
        <f>VLOOKUP(B28,Tot_res!C:V,20,FALSE)</f>
        <v>70.286182585933517</v>
      </c>
      <c r="V28" s="122">
        <f t="shared" si="4"/>
        <v>19345.892329999999</v>
      </c>
    </row>
    <row r="29" spans="1:22">
      <c r="A29" s="351" t="str">
        <f>IF(B29="","",(IF(ISERROR(MATCH(B29,Tot_res!C:C,0)),"Eliminar!!!","")))</f>
        <v/>
      </c>
      <c r="B29" s="115" t="s">
        <v>132</v>
      </c>
      <c r="C29" s="329" t="str">
        <f>VLOOKUP(B29,Tot_res!C:D,2,FALSE)</f>
        <v>Cooperación para el desarrollo</v>
      </c>
      <c r="D29" s="179">
        <f>VLOOKUP(B29,Tot_res!C:V,3,FALSE)</f>
        <v>52623.608782540774</v>
      </c>
      <c r="E29" s="179">
        <f>VLOOKUP(B29,Tot_res!C:V,4,FALSE)</f>
        <v>8278.8837353700928</v>
      </c>
      <c r="F29" s="179">
        <f>VLOOKUP(B29,Tot_res!C:V,5,FALSE)</f>
        <v>6618.0937388700559</v>
      </c>
      <c r="G29" s="179">
        <f>VLOOKUP(B29,Tot_res!C:V,6,FALSE)</f>
        <v>6915.4433874446395</v>
      </c>
      <c r="H29" s="179">
        <f>VLOOKUP(B29,Tot_res!C:V,7,FALSE)</f>
        <v>13170.886192420196</v>
      </c>
      <c r="I29" s="179">
        <f>VLOOKUP(B29,Tot_res!C:V,8,FALSE)</f>
        <v>3676.5760589718011</v>
      </c>
      <c r="J29" s="179">
        <f>VLOOKUP(B29,Tot_res!C:V,9,FALSE)</f>
        <v>15556.677374499499</v>
      </c>
      <c r="K29" s="179">
        <f>VLOOKUP(B29,Tot_res!C:V,10,FALSE)</f>
        <v>12960.035924951666</v>
      </c>
      <c r="L29" s="179">
        <f>VLOOKUP(B29,Tot_res!C:V,11,FALSE)</f>
        <v>47066.19033114006</v>
      </c>
      <c r="M29" s="179">
        <f>VLOOKUP(B29,Tot_res!C:V,12,FALSE)</f>
        <v>31275.751331211686</v>
      </c>
      <c r="N29" s="179">
        <f>VLOOKUP(B29,Tot_res!C:V,13,FALSE)</f>
        <v>6867.5472171193405</v>
      </c>
      <c r="O29" s="179">
        <f>VLOOKUP(B29,Tot_res!C:V,14,FALSE)</f>
        <v>17167.206460378944</v>
      </c>
      <c r="P29" s="179">
        <f>VLOOKUP(B29,Tot_res!C:V,15,FALSE)</f>
        <v>40377.348574005038</v>
      </c>
      <c r="Q29" s="179">
        <f>VLOOKUP(B29,Tot_res!C:V,16,FALSE)</f>
        <v>9189.9320382213136</v>
      </c>
      <c r="R29" s="179">
        <f>VLOOKUP(B29,Tot_res!C:V,17,FALSE)</f>
        <v>4013.0613764068748</v>
      </c>
      <c r="S29" s="179">
        <f>VLOOKUP(B29,Tot_res!C:V,18,FALSE)</f>
        <v>13713.119576077403</v>
      </c>
      <c r="T29" s="179">
        <f>VLOOKUP(B29,Tot_res!C:V,19,FALSE)</f>
        <v>1992.1919053268211</v>
      </c>
      <c r="U29" s="179">
        <f>VLOOKUP(B29,Tot_res!C:V,20,FALSE)</f>
        <v>1062.7831950438117</v>
      </c>
      <c r="V29" s="122">
        <f t="shared" si="4"/>
        <v>292525.33719999995</v>
      </c>
    </row>
    <row r="30" spans="1:22">
      <c r="A30" s="351" t="str">
        <f>IF(B30="","",(IF(ISERROR(MATCH(B30,Tot_res!C:C,0)),"Eliminar!!!","")))</f>
        <v/>
      </c>
      <c r="B30" s="115" t="s">
        <v>134</v>
      </c>
      <c r="C30" s="329" t="str">
        <f>VLOOKUP(B30,Tot_res!C:D,2,FALSE)</f>
        <v>Cooperación, promoción y difusión cultural en el exterior</v>
      </c>
      <c r="D30" s="179">
        <f>VLOOKUP(B30,Tot_res!C:V,3,FALSE)</f>
        <v>20876.597495795944</v>
      </c>
      <c r="E30" s="179">
        <f>VLOOKUP(B30,Tot_res!C:V,4,FALSE)</f>
        <v>3284.3609067562738</v>
      </c>
      <c r="F30" s="179">
        <f>VLOOKUP(B30,Tot_res!C:V,5,FALSE)</f>
        <v>2625.4998920119024</v>
      </c>
      <c r="G30" s="179">
        <f>VLOOKUP(B30,Tot_res!C:V,6,FALSE)</f>
        <v>2743.463085195026</v>
      </c>
      <c r="H30" s="179">
        <f>VLOOKUP(B30,Tot_res!C:V,7,FALSE)</f>
        <v>5225.093756650891</v>
      </c>
      <c r="I30" s="179">
        <f>VLOOKUP(B30,Tot_res!C:V,8,FALSE)</f>
        <v>1458.5544458383715</v>
      </c>
      <c r="J30" s="179">
        <f>VLOOKUP(B30,Tot_res!C:V,9,FALSE)</f>
        <v>6171.5739272357268</v>
      </c>
      <c r="K30" s="179">
        <f>VLOOKUP(B30,Tot_res!C:V,10,FALSE)</f>
        <v>5141.4462024891964</v>
      </c>
      <c r="L30" s="179">
        <f>VLOOKUP(B30,Tot_res!C:V,11,FALSE)</f>
        <v>18671.883854718271</v>
      </c>
      <c r="M30" s="179">
        <f>VLOOKUP(B30,Tot_res!C:V,12,FALSE)</f>
        <v>12407.57308413514</v>
      </c>
      <c r="N30" s="179">
        <f>VLOOKUP(B30,Tot_res!C:V,13,FALSE)</f>
        <v>2724.4619354714609</v>
      </c>
      <c r="O30" s="179">
        <f>VLOOKUP(B30,Tot_res!C:V,14,FALSE)</f>
        <v>6810.4956632975154</v>
      </c>
      <c r="P30" s="179">
        <f>VLOOKUP(B30,Tot_res!C:V,15,FALSE)</f>
        <v>16018.317132340433</v>
      </c>
      <c r="Q30" s="179">
        <f>VLOOKUP(B30,Tot_res!C:V,16,FALSE)</f>
        <v>3645.7878244055096</v>
      </c>
      <c r="R30" s="179">
        <f>VLOOKUP(B30,Tot_res!C:V,17,FALSE)</f>
        <v>1592.0433626545016</v>
      </c>
      <c r="S30" s="179">
        <f>VLOOKUP(B30,Tot_res!C:V,18,FALSE)</f>
        <v>5440.2061056760822</v>
      </c>
      <c r="T30" s="179">
        <f>VLOOKUP(B30,Tot_res!C:V,19,FALSE)</f>
        <v>790.33326493734251</v>
      </c>
      <c r="U30" s="179">
        <f>VLOOKUP(B30,Tot_res!C:V,20,FALSE)</f>
        <v>421.62249039041296</v>
      </c>
      <c r="V30" s="122">
        <f t="shared" si="4"/>
        <v>116049.31443000003</v>
      </c>
    </row>
    <row r="31" spans="1:22">
      <c r="A31" s="351" t="str">
        <f>IF(B31="","",(IF(ISERROR(MATCH(B31,Tot_res!C:C,0)),"Eliminar!!!","")))</f>
        <v/>
      </c>
      <c r="B31" s="119" t="s">
        <v>136</v>
      </c>
      <c r="C31" s="329" t="str">
        <f>VLOOKUP(B31,Tot_res!C:D,2,FALSE)</f>
        <v>Educación en el exterior</v>
      </c>
      <c r="D31" s="179">
        <f>VLOOKUP(B31,Tot_res!C:V,3,FALSE)</f>
        <v>16568.546553689615</v>
      </c>
      <c r="E31" s="179">
        <f>VLOOKUP(B31,Tot_res!C:V,4,FALSE)</f>
        <v>2606.6070677306438</v>
      </c>
      <c r="F31" s="179">
        <f>VLOOKUP(B31,Tot_res!C:V,5,FALSE)</f>
        <v>2083.7072322856393</v>
      </c>
      <c r="G31" s="179">
        <f>VLOOKUP(B31,Tot_res!C:V,6,FALSE)</f>
        <v>2177.3277879470702</v>
      </c>
      <c r="H31" s="179">
        <f>VLOOKUP(B31,Tot_res!C:V,7,FALSE)</f>
        <v>4146.8543507579179</v>
      </c>
      <c r="I31" s="179">
        <f>VLOOKUP(B31,Tot_res!C:V,8,FALSE)</f>
        <v>1157.5702047151367</v>
      </c>
      <c r="J31" s="179">
        <f>VLOOKUP(B31,Tot_res!C:V,9,FALSE)</f>
        <v>4898.0208553397533</v>
      </c>
      <c r="K31" s="179">
        <f>VLOOKUP(B31,Tot_res!C:V,10,FALSE)</f>
        <v>4080.4681307089177</v>
      </c>
      <c r="L31" s="179">
        <f>VLOOKUP(B31,Tot_res!C:V,11,FALSE)</f>
        <v>14818.793002752689</v>
      </c>
      <c r="M31" s="179">
        <f>VLOOKUP(B31,Tot_res!C:V,12,FALSE)</f>
        <v>9847.1722848609497</v>
      </c>
      <c r="N31" s="179">
        <f>VLOOKUP(B31,Tot_res!C:V,13,FALSE)</f>
        <v>2162.2476756906594</v>
      </c>
      <c r="O31" s="179">
        <f>VLOOKUP(B31,Tot_res!C:V,14,FALSE)</f>
        <v>5405.0960398968018</v>
      </c>
      <c r="P31" s="179">
        <f>VLOOKUP(B31,Tot_res!C:V,15,FALSE)</f>
        <v>12712.810752441428</v>
      </c>
      <c r="Q31" s="179">
        <f>VLOOKUP(B31,Tot_res!C:V,16,FALSE)</f>
        <v>2893.4506835082539</v>
      </c>
      <c r="R31" s="179">
        <f>VLOOKUP(B31,Tot_res!C:V,17,FALSE)</f>
        <v>1263.5126281926714</v>
      </c>
      <c r="S31" s="179">
        <f>VLOOKUP(B31,Tot_res!C:V,18,FALSE)</f>
        <v>4317.5765658993041</v>
      </c>
      <c r="T31" s="179">
        <f>VLOOKUP(B31,Tot_res!C:V,19,FALSE)</f>
        <v>627.2417474006877</v>
      </c>
      <c r="U31" s="179">
        <f>VLOOKUP(B31,Tot_res!C:V,20,FALSE)</f>
        <v>334.61735618186157</v>
      </c>
      <c r="V31" s="122">
        <f t="shared" si="4"/>
        <v>92101.620920000001</v>
      </c>
    </row>
    <row r="32" spans="1:22">
      <c r="A32" s="351" t="str">
        <f>IF(B32="","",(IF(ISERROR(MATCH(B32,Tot_res!C:C,0)),"Eliminar!!!","")))</f>
        <v/>
      </c>
      <c r="B32" s="115" t="s">
        <v>138</v>
      </c>
      <c r="C32" s="329" t="str">
        <f>VLOOKUP(B32,Tot_res!C:D,2,FALSE)</f>
        <v>Relaciones con los organismos financieros multilaterales</v>
      </c>
      <c r="D32" s="179">
        <f>VLOOKUP(B32,Tot_res!C:V,3,FALSE)</f>
        <v>28206.914137889802</v>
      </c>
      <c r="E32" s="179">
        <f>VLOOKUP(B32,Tot_res!C:V,4,FALSE)</f>
        <v>4437.5854884097835</v>
      </c>
      <c r="F32" s="179">
        <f>VLOOKUP(B32,Tot_res!C:V,5,FALSE)</f>
        <v>3547.3812261759645</v>
      </c>
      <c r="G32" s="179">
        <f>VLOOKUP(B32,Tot_res!C:V,6,FALSE)</f>
        <v>3706.7643661832249</v>
      </c>
      <c r="H32" s="179">
        <f>VLOOKUP(B32,Tot_res!C:V,7,FALSE)</f>
        <v>7059.7601446287108</v>
      </c>
      <c r="I32" s="179">
        <f>VLOOKUP(B32,Tot_res!C:V,8,FALSE)</f>
        <v>1970.690867009592</v>
      </c>
      <c r="J32" s="179">
        <f>VLOOKUP(B32,Tot_res!C:V,9,FALSE)</f>
        <v>8338.5741328889126</v>
      </c>
      <c r="K32" s="179">
        <f>VLOOKUP(B32,Tot_res!C:V,10,FALSE)</f>
        <v>6946.7417574821202</v>
      </c>
      <c r="L32" s="179">
        <f>VLOOKUP(B32,Tot_res!C:V,11,FALSE)</f>
        <v>25228.068165262532</v>
      </c>
      <c r="M32" s="179">
        <f>VLOOKUP(B32,Tot_res!C:V,12,FALSE)</f>
        <v>16764.194870082163</v>
      </c>
      <c r="N32" s="179">
        <f>VLOOKUP(B32,Tot_res!C:V,13,FALSE)</f>
        <v>3681.091418334242</v>
      </c>
      <c r="O32" s="179">
        <f>VLOOKUP(B32,Tot_res!C:V,14,FALSE)</f>
        <v>9201.8379168247557</v>
      </c>
      <c r="P32" s="179">
        <f>VLOOKUP(B32,Tot_res!C:V,15,FALSE)</f>
        <v>21642.765114209978</v>
      </c>
      <c r="Q32" s="179">
        <f>VLOOKUP(B32,Tot_res!C:V,16,FALSE)</f>
        <v>4925.918802078696</v>
      </c>
      <c r="R32" s="179">
        <f>VLOOKUP(B32,Tot_res!C:V,17,FALSE)</f>
        <v>2151.0512162355967</v>
      </c>
      <c r="S32" s="179">
        <f>VLOOKUP(B32,Tot_res!C:V,18,FALSE)</f>
        <v>7350.4040371583833</v>
      </c>
      <c r="T32" s="179">
        <f>VLOOKUP(B32,Tot_res!C:V,19,FALSE)</f>
        <v>1067.8398407065611</v>
      </c>
      <c r="U32" s="179">
        <f>VLOOKUP(B32,Tot_res!C:V,20,FALSE)</f>
        <v>569.66511843898661</v>
      </c>
      <c r="V32" s="122">
        <f t="shared" si="4"/>
        <v>156797.24862</v>
      </c>
    </row>
    <row r="33" spans="1:22">
      <c r="A33" s="351" t="str">
        <f>IF(B33="","",(IF(ISERROR(MATCH(B33,Tot_res!C:C,0)),"Eliminar!!!","")))</f>
        <v/>
      </c>
      <c r="B33" s="115" t="s">
        <v>139</v>
      </c>
      <c r="C33" s="329" t="str">
        <f>VLOOKUP(B33,Tot_res!C:D,2,FALSE)</f>
        <v>Cooperación al desarrollo a través del fondo europeo de desarrollo</v>
      </c>
      <c r="D33" s="179">
        <f>VLOOKUP(B33,Tot_res!C:V,3,FALSE)</f>
        <v>45513.339327898924</v>
      </c>
      <c r="E33" s="179">
        <f>VLOOKUP(B33,Tot_res!C:V,4,FALSE)</f>
        <v>7160.277552632142</v>
      </c>
      <c r="F33" s="179">
        <f>VLOOKUP(B33,Tot_res!C:V,5,FALSE)</f>
        <v>5723.8861607866529</v>
      </c>
      <c r="G33" s="179">
        <f>VLOOKUP(B33,Tot_res!C:V,6,FALSE)</f>
        <v>5981.0592389487983</v>
      </c>
      <c r="H33" s="179">
        <f>VLOOKUP(B33,Tot_res!C:V,7,FALSE)</f>
        <v>11391.294257334212</v>
      </c>
      <c r="I33" s="179">
        <f>VLOOKUP(B33,Tot_res!C:V,8,FALSE)</f>
        <v>3179.8133500933518</v>
      </c>
      <c r="J33" s="179">
        <f>VLOOKUP(B33,Tot_res!C:V,9,FALSE)</f>
        <v>13454.727878623795</v>
      </c>
      <c r="K33" s="179">
        <f>VLOOKUP(B33,Tot_res!C:V,10,FALSE)</f>
        <v>11208.933146177249</v>
      </c>
      <c r="L33" s="179">
        <f>VLOOKUP(B33,Tot_res!C:V,11,FALSE)</f>
        <v>40706.814697272574</v>
      </c>
      <c r="M33" s="179">
        <f>VLOOKUP(B33,Tot_res!C:V,12,FALSE)</f>
        <v>27049.910030964929</v>
      </c>
      <c r="N33" s="179">
        <f>VLOOKUP(B33,Tot_res!C:V,13,FALSE)</f>
        <v>5939.6345874861763</v>
      </c>
      <c r="O33" s="179">
        <f>VLOOKUP(B33,Tot_res!C:V,14,FALSE)</f>
        <v>14847.649391969368</v>
      </c>
      <c r="P33" s="179">
        <f>VLOOKUP(B33,Tot_res!C:V,15,FALSE)</f>
        <v>34921.739677786092</v>
      </c>
      <c r="Q33" s="179">
        <f>VLOOKUP(B33,Tot_res!C:V,16,FALSE)</f>
        <v>7948.2290350764833</v>
      </c>
      <c r="R33" s="179">
        <f>VLOOKUP(B33,Tot_res!C:V,17,FALSE)</f>
        <v>3470.8342584951956</v>
      </c>
      <c r="S33" s="179">
        <f>VLOOKUP(B33,Tot_res!C:V,18,FALSE)</f>
        <v>11860.263462530438</v>
      </c>
      <c r="T33" s="179">
        <f>VLOOKUP(B33,Tot_res!C:V,19,FALSE)</f>
        <v>1723.0157393446495</v>
      </c>
      <c r="U33" s="179">
        <f>VLOOKUP(B33,Tot_res!C:V,20,FALSE)</f>
        <v>919.18462657897066</v>
      </c>
      <c r="V33" s="122">
        <f t="shared" si="4"/>
        <v>253000.60642000003</v>
      </c>
    </row>
    <row r="34" spans="1:22">
      <c r="A34" s="352"/>
      <c r="B34" s="115"/>
      <c r="C34" s="102"/>
      <c r="D34" s="105"/>
      <c r="E34" s="105"/>
      <c r="F34" s="105"/>
      <c r="G34" s="105"/>
      <c r="H34" s="105"/>
      <c r="I34" s="105"/>
      <c r="J34" s="105"/>
      <c r="K34" s="105"/>
      <c r="L34" s="105"/>
      <c r="M34" s="105"/>
      <c r="N34" s="105"/>
      <c r="O34" s="105"/>
      <c r="P34" s="105"/>
      <c r="Q34" s="105"/>
      <c r="R34" s="105"/>
      <c r="S34" s="105"/>
      <c r="T34" s="105"/>
      <c r="U34" s="105"/>
      <c r="V34" s="122"/>
    </row>
    <row r="35" spans="1:22" ht="13.5">
      <c r="A35" s="352"/>
      <c r="B35" s="115"/>
      <c r="C35" s="128" t="s">
        <v>35</v>
      </c>
      <c r="D35" s="118">
        <f t="shared" ref="D35:V35" si="5">SUM(D36:D45)</f>
        <v>1437785.4481598104</v>
      </c>
      <c r="E35" s="118">
        <f t="shared" si="5"/>
        <v>226196.16626656096</v>
      </c>
      <c r="F35" s="118">
        <f t="shared" si="5"/>
        <v>180819.9607067217</v>
      </c>
      <c r="G35" s="118">
        <f t="shared" si="5"/>
        <v>188944.16593754603</v>
      </c>
      <c r="H35" s="118">
        <f t="shared" si="5"/>
        <v>359855.75571384095</v>
      </c>
      <c r="I35" s="118">
        <f t="shared" si="5"/>
        <v>100451.63528192327</v>
      </c>
      <c r="J35" s="118">
        <f t="shared" si="5"/>
        <v>425040.48787686368</v>
      </c>
      <c r="K35" s="118">
        <f t="shared" si="5"/>
        <v>354094.89184835402</v>
      </c>
      <c r="L35" s="118">
        <f t="shared" si="5"/>
        <v>1285945.3223376186</v>
      </c>
      <c r="M35" s="118">
        <f t="shared" si="5"/>
        <v>854517.98507593421</v>
      </c>
      <c r="N35" s="118">
        <f t="shared" si="5"/>
        <v>187635.54385119551</v>
      </c>
      <c r="O35" s="118">
        <f t="shared" si="5"/>
        <v>469043.46177180205</v>
      </c>
      <c r="P35" s="118">
        <f t="shared" si="5"/>
        <v>1103192.3799616266</v>
      </c>
      <c r="Q35" s="118">
        <f t="shared" si="5"/>
        <v>251087.88355305709</v>
      </c>
      <c r="R35" s="118">
        <f t="shared" si="5"/>
        <v>109645.10764385853</v>
      </c>
      <c r="S35" s="118">
        <f t="shared" si="5"/>
        <v>374670.68928767525</v>
      </c>
      <c r="T35" s="118">
        <f t="shared" si="5"/>
        <v>54430.788721791141</v>
      </c>
      <c r="U35" s="118">
        <f t="shared" si="5"/>
        <v>29037.42726382066</v>
      </c>
      <c r="V35" s="127">
        <f t="shared" si="5"/>
        <v>7992395.1012600008</v>
      </c>
    </row>
    <row r="36" spans="1:22">
      <c r="A36" s="351" t="str">
        <f>IF(B36="","",(IF(ISERROR(MATCH(B36,Tot_res!C:C,0)),"Eliminar!!!","")))</f>
        <v/>
      </c>
      <c r="B36" s="115" t="s">
        <v>140</v>
      </c>
      <c r="C36" s="329" t="str">
        <f>VLOOKUP(B36,Tot_res!C:D,2,FALSE)</f>
        <v>Administración y servicios generales de defensa</v>
      </c>
      <c r="D36" s="179">
        <f>VLOOKUP(B36,Tot_res!C:V,3,FALSE)</f>
        <v>208867.67928097607</v>
      </c>
      <c r="E36" s="179">
        <f>VLOOKUP(B36,Tot_res!C:V,4,FALSE)</f>
        <v>32859.609457599057</v>
      </c>
      <c r="F36" s="179">
        <f>VLOOKUP(B36,Tot_res!C:V,5,FALSE)</f>
        <v>26267.789543167208</v>
      </c>
      <c r="G36" s="179">
        <f>VLOOKUP(B36,Tot_res!C:V,6,FALSE)</f>
        <v>27447.9961551735</v>
      </c>
      <c r="H36" s="179">
        <f>VLOOKUP(B36,Tot_res!C:V,7,FALSE)</f>
        <v>52276.392606456189</v>
      </c>
      <c r="I36" s="179">
        <f>VLOOKUP(B36,Tot_res!C:V,8,FALSE)</f>
        <v>14592.650084313744</v>
      </c>
      <c r="J36" s="179">
        <f>VLOOKUP(B36,Tot_res!C:V,9,FALSE)</f>
        <v>61745.805270820041</v>
      </c>
      <c r="K36" s="179">
        <f>VLOOKUP(B36,Tot_res!C:V,10,FALSE)</f>
        <v>51439.509559838974</v>
      </c>
      <c r="L36" s="179">
        <f>VLOOKUP(B36,Tot_res!C:V,11,FALSE)</f>
        <v>186809.80218755908</v>
      </c>
      <c r="M36" s="179">
        <f>VLOOKUP(B36,Tot_res!C:V,12,FALSE)</f>
        <v>124136.17669806036</v>
      </c>
      <c r="N36" s="179">
        <f>VLOOKUP(B36,Tot_res!C:V,13,FALSE)</f>
        <v>27257.892090216053</v>
      </c>
      <c r="O36" s="179">
        <f>VLOOKUP(B36,Tot_res!C:V,14,FALSE)</f>
        <v>68138.135260430266</v>
      </c>
      <c r="P36" s="179">
        <f>VLOOKUP(B36,Tot_res!C:V,15,FALSE)</f>
        <v>160261.20760781987</v>
      </c>
      <c r="Q36" s="179">
        <f>VLOOKUP(B36,Tot_res!C:V,16,FALSE)</f>
        <v>36475.639394195488</v>
      </c>
      <c r="R36" s="179">
        <f>VLOOKUP(B36,Tot_res!C:V,17,FALSE)</f>
        <v>15928.18956917142</v>
      </c>
      <c r="S36" s="179">
        <f>VLOOKUP(B36,Tot_res!C:V,18,FALSE)</f>
        <v>54428.564057508913</v>
      </c>
      <c r="T36" s="179">
        <f>VLOOKUP(B36,Tot_res!C:V,19,FALSE)</f>
        <v>7907.1829084821793</v>
      </c>
      <c r="U36" s="179">
        <f>VLOOKUP(B36,Tot_res!C:V,20,FALSE)</f>
        <v>4218.2789182118913</v>
      </c>
      <c r="V36" s="122">
        <f t="shared" ref="V36:V45" si="6">SUM(D36:U36)</f>
        <v>1161058.5006500005</v>
      </c>
    </row>
    <row r="37" spans="1:22">
      <c r="A37" s="351" t="str">
        <f>IF(B37="","",(IF(ISERROR(MATCH(B37,Tot_res!C:C,0)),"Eliminar!!!","")))</f>
        <v/>
      </c>
      <c r="B37" s="115" t="s">
        <v>141</v>
      </c>
      <c r="C37" s="329" t="str">
        <f>VLOOKUP(B37,Tot_res!C:D,2,FALSE)</f>
        <v>Formación del personal de las fuerzas armadas</v>
      </c>
      <c r="D37" s="179">
        <f>VLOOKUP(B37,Tot_res!C:V,3,FALSE)</f>
        <v>68986.32755767151</v>
      </c>
      <c r="E37" s="179">
        <f>VLOOKUP(B37,Tot_res!C:V,4,FALSE)</f>
        <v>10853.109438773556</v>
      </c>
      <c r="F37" s="179">
        <f>VLOOKUP(B37,Tot_res!C:V,5,FALSE)</f>
        <v>8675.915488117178</v>
      </c>
      <c r="G37" s="179">
        <f>VLOOKUP(B37,Tot_res!C:V,6,FALSE)</f>
        <v>9065.7226626971624</v>
      </c>
      <c r="H37" s="179">
        <f>VLOOKUP(B37,Tot_res!C:V,7,FALSE)</f>
        <v>17266.224991330648</v>
      </c>
      <c r="I37" s="179">
        <f>VLOOKUP(B37,Tot_res!C:V,8,FALSE)</f>
        <v>4819.7659978627516</v>
      </c>
      <c r="J37" s="179">
        <f>VLOOKUP(B37,Tot_res!C:V,9,FALSE)</f>
        <v>20393.851084996295</v>
      </c>
      <c r="K37" s="179">
        <f>VLOOKUP(B37,Tot_res!C:V,10,FALSE)</f>
        <v>16989.813206701529</v>
      </c>
      <c r="L37" s="179">
        <f>VLOOKUP(B37,Tot_res!C:V,11,FALSE)</f>
        <v>61700.892397805103</v>
      </c>
      <c r="M37" s="179">
        <f>VLOOKUP(B37,Tot_res!C:V,12,FALSE)</f>
        <v>41000.594141371177</v>
      </c>
      <c r="N37" s="179">
        <f>VLOOKUP(B37,Tot_res!C:V,13,FALSE)</f>
        <v>9002.933717368971</v>
      </c>
      <c r="O37" s="179">
        <f>VLOOKUP(B37,Tot_res!C:V,14,FALSE)</f>
        <v>22505.156060653884</v>
      </c>
      <c r="P37" s="179">
        <f>VLOOKUP(B37,Tot_res!C:V,15,FALSE)</f>
        <v>52932.230591542932</v>
      </c>
      <c r="Q37" s="179">
        <f>VLOOKUP(B37,Tot_res!C:V,16,FALSE)</f>
        <v>12047.437955866955</v>
      </c>
      <c r="R37" s="179">
        <f>VLOOKUP(B37,Tot_res!C:V,17,FALSE)</f>
        <v>5260.877636991243</v>
      </c>
      <c r="S37" s="179">
        <f>VLOOKUP(B37,Tot_res!C:V,18,FALSE)</f>
        <v>17977.059741798985</v>
      </c>
      <c r="T37" s="179">
        <f>VLOOKUP(B37,Tot_res!C:V,19,FALSE)</f>
        <v>2611.6415524929762</v>
      </c>
      <c r="U37" s="179">
        <f>VLOOKUP(B37,Tot_res!C:V,20,FALSE)</f>
        <v>1393.2436659571329</v>
      </c>
      <c r="V37" s="122">
        <f t="shared" si="6"/>
        <v>383482.79788999999</v>
      </c>
    </row>
    <row r="38" spans="1:22">
      <c r="A38" s="351" t="str">
        <f>IF(B38="","",(IF(ISERROR(MATCH(B38,Tot_res!C:C,0)),"Eliminar!!!","")))</f>
        <v/>
      </c>
      <c r="B38" s="115" t="s">
        <v>142</v>
      </c>
      <c r="C38" s="329" t="str">
        <f>VLOOKUP(B38,Tot_res!C:D,2,FALSE)</f>
        <v>Personal en reserva</v>
      </c>
      <c r="D38" s="179">
        <f>VLOOKUP(B38,Tot_res!C:V,3,FALSE)</f>
        <v>102233.97605388796</v>
      </c>
      <c r="E38" s="179">
        <f>VLOOKUP(B38,Tot_res!C:V,4,FALSE)</f>
        <v>16083.716437090072</v>
      </c>
      <c r="F38" s="179">
        <f>VLOOKUP(B38,Tot_res!C:V,5,FALSE)</f>
        <v>12857.233710784663</v>
      </c>
      <c r="G38" s="179">
        <f>VLOOKUP(B38,Tot_res!C:V,6,FALSE)</f>
        <v>13434.906689801102</v>
      </c>
      <c r="H38" s="179">
        <f>VLOOKUP(B38,Tot_res!C:V,7,FALSE)</f>
        <v>25587.604019493043</v>
      </c>
      <c r="I38" s="179">
        <f>VLOOKUP(B38,Tot_res!C:V,8,FALSE)</f>
        <v>7142.6304175840878</v>
      </c>
      <c r="J38" s="179">
        <f>VLOOKUP(B38,Tot_res!C:V,9,FALSE)</f>
        <v>30222.57536070588</v>
      </c>
      <c r="K38" s="179">
        <f>VLOOKUP(B38,Tot_res!C:V,10,FALSE)</f>
        <v>25177.976825652902</v>
      </c>
      <c r="L38" s="179">
        <f>VLOOKUP(B38,Tot_res!C:V,11,FALSE)</f>
        <v>91437.358375504104</v>
      </c>
      <c r="M38" s="179">
        <f>VLOOKUP(B38,Tot_res!C:V,12,FALSE)</f>
        <v>60760.645015346869</v>
      </c>
      <c r="N38" s="179">
        <f>VLOOKUP(B38,Tot_res!C:V,13,FALSE)</f>
        <v>13341.856896307387</v>
      </c>
      <c r="O38" s="179">
        <f>VLOOKUP(B38,Tot_res!C:V,14,FALSE)</f>
        <v>33351.414218570688</v>
      </c>
      <c r="P38" s="179">
        <f>VLOOKUP(B38,Tot_res!C:V,15,FALSE)</f>
        <v>78442.679678096625</v>
      </c>
      <c r="Q38" s="179">
        <f>VLOOKUP(B38,Tot_res!C:V,16,FALSE)</f>
        <v>17853.64618026893</v>
      </c>
      <c r="R38" s="179">
        <f>VLOOKUP(B38,Tot_res!C:V,17,FALSE)</f>
        <v>7796.3338157545941</v>
      </c>
      <c r="S38" s="179">
        <f>VLOOKUP(B38,Tot_res!C:V,18,FALSE)</f>
        <v>26641.022362379885</v>
      </c>
      <c r="T38" s="179">
        <f>VLOOKUP(B38,Tot_res!C:V,19,FALSE)</f>
        <v>3870.310384556984</v>
      </c>
      <c r="U38" s="179">
        <f>VLOOKUP(B38,Tot_res!C:V,20,FALSE)</f>
        <v>2064.71114821437</v>
      </c>
      <c r="V38" s="122">
        <f t="shared" si="6"/>
        <v>568300.59759000025</v>
      </c>
    </row>
    <row r="39" spans="1:22">
      <c r="A39" s="351" t="str">
        <f>IF(B39="","",(IF(ISERROR(MATCH(B39,Tot_res!C:C,0)),"Eliminar!!!","")))</f>
        <v/>
      </c>
      <c r="B39" s="115" t="s">
        <v>144</v>
      </c>
      <c r="C39" s="329" t="str">
        <f>VLOOKUP(B39,Tot_res!C:D,2,FALSE)</f>
        <v>Modernización de las fuerzas armadas</v>
      </c>
      <c r="D39" s="179">
        <f>VLOOKUP(B39,Tot_res!C:V,3,FALSE)</f>
        <v>30147.64441083675</v>
      </c>
      <c r="E39" s="179">
        <f>VLOOKUP(B39,Tot_res!C:V,4,FALSE)</f>
        <v>4742.9062496262122</v>
      </c>
      <c r="F39" s="179">
        <f>VLOOKUP(B39,Tot_res!C:V,5,FALSE)</f>
        <v>3791.4529492176403</v>
      </c>
      <c r="G39" s="179">
        <f>VLOOKUP(B39,Tot_res!C:V,6,FALSE)</f>
        <v>3961.8021836830649</v>
      </c>
      <c r="H39" s="179">
        <f>VLOOKUP(B39,Tot_res!C:V,7,FALSE)</f>
        <v>7545.4953145748941</v>
      </c>
      <c r="I39" s="179">
        <f>VLOOKUP(B39,Tot_res!C:V,8,FALSE)</f>
        <v>2106.2810065593881</v>
      </c>
      <c r="J39" s="179">
        <f>VLOOKUP(B39,Tot_res!C:V,9,FALSE)</f>
        <v>8912.2959932030008</v>
      </c>
      <c r="K39" s="179">
        <f>VLOOKUP(B39,Tot_res!C:V,10,FALSE)</f>
        <v>7424.7008834320404</v>
      </c>
      <c r="L39" s="179">
        <f>VLOOKUP(B39,Tot_res!C:V,11,FALSE)</f>
        <v>26963.84384696059</v>
      </c>
      <c r="M39" s="179">
        <f>VLOOKUP(B39,Tot_res!C:V,12,FALSE)</f>
        <v>17917.627688961384</v>
      </c>
      <c r="N39" s="179">
        <f>VLOOKUP(B39,Tot_res!C:V,13,FALSE)</f>
        <v>3934.3628509384234</v>
      </c>
      <c r="O39" s="179">
        <f>VLOOKUP(B39,Tot_res!C:V,14,FALSE)</f>
        <v>9834.9552200729067</v>
      </c>
      <c r="P39" s="179">
        <f>VLOOKUP(B39,Tot_res!C:V,15,FALSE)</f>
        <v>23131.859924159638</v>
      </c>
      <c r="Q39" s="179">
        <f>VLOOKUP(B39,Tot_res!C:V,16,FALSE)</f>
        <v>5264.8385327000306</v>
      </c>
      <c r="R39" s="179">
        <f>VLOOKUP(B39,Tot_res!C:V,17,FALSE)</f>
        <v>2299.0507525762314</v>
      </c>
      <c r="S39" s="179">
        <f>VLOOKUP(B39,Tot_res!C:V,18,FALSE)</f>
        <v>7856.1364814651024</v>
      </c>
      <c r="T39" s="179">
        <f>VLOOKUP(B39,Tot_res!C:V,19,FALSE)</f>
        <v>1141.3108023079321</v>
      </c>
      <c r="U39" s="179">
        <f>VLOOKUP(B39,Tot_res!C:V,20,FALSE)</f>
        <v>608.85998872475693</v>
      </c>
      <c r="V39" s="122">
        <f t="shared" si="6"/>
        <v>167585.42507999999</v>
      </c>
    </row>
    <row r="40" spans="1:22">
      <c r="A40" s="351" t="str">
        <f>IF(B40="","",(IF(ISERROR(MATCH(B40,Tot_res!C:C,0)),"Eliminar!!!","")))</f>
        <v/>
      </c>
      <c r="B40" s="115" t="s">
        <v>145</v>
      </c>
      <c r="C40" s="329" t="str">
        <f>VLOOKUP(B40,Tot_res!C:D,2,FALSE)</f>
        <v>Programas especiales de modernización</v>
      </c>
      <c r="D40" s="179">
        <f>VLOOKUP(B40,Tot_res!C:V,3,FALSE)</f>
        <v>159966.63404603864</v>
      </c>
      <c r="E40" s="179">
        <f>VLOOKUP(B40,Tot_res!C:V,4,FALSE)</f>
        <v>25166.369153402386</v>
      </c>
      <c r="F40" s="179">
        <f>VLOOKUP(B40,Tot_res!C:V,5,FALSE)</f>
        <v>20117.8559148807</v>
      </c>
      <c r="G40" s="179">
        <f>VLOOKUP(B40,Tot_res!C:V,6,FALSE)</f>
        <v>21021.74721989948</v>
      </c>
      <c r="H40" s="179">
        <f>VLOOKUP(B40,Tot_res!C:V,7,FALSE)</f>
        <v>40037.207260174131</v>
      </c>
      <c r="I40" s="179">
        <f>VLOOKUP(B40,Tot_res!C:V,8,FALSE)</f>
        <v>11176.152882223008</v>
      </c>
      <c r="J40" s="179">
        <f>VLOOKUP(B40,Tot_res!C:V,9,FALSE)</f>
        <v>47289.59822619558</v>
      </c>
      <c r="K40" s="179">
        <f>VLOOKUP(B40,Tot_res!C:V,10,FALSE)</f>
        <v>39396.259055461909</v>
      </c>
      <c r="L40" s="179">
        <f>VLOOKUP(B40,Tot_res!C:V,11,FALSE)</f>
        <v>143073.04684776062</v>
      </c>
      <c r="M40" s="179">
        <f>VLOOKUP(B40,Tot_res!C:V,12,FALSE)</f>
        <v>95072.853866585137</v>
      </c>
      <c r="N40" s="179">
        <f>VLOOKUP(B40,Tot_res!C:V,13,FALSE)</f>
        <v>20876.151177972843</v>
      </c>
      <c r="O40" s="179">
        <f>VLOOKUP(B40,Tot_res!C:V,14,FALSE)</f>
        <v>52185.327022865531</v>
      </c>
      <c r="P40" s="179">
        <f>VLOOKUP(B40,Tot_res!C:V,15,FALSE)</f>
        <v>122740.12924081617</v>
      </c>
      <c r="Q40" s="179">
        <f>VLOOKUP(B40,Tot_res!C:V,16,FALSE)</f>
        <v>27935.797815406615</v>
      </c>
      <c r="R40" s="179">
        <f>VLOOKUP(B40,Tot_res!C:V,17,FALSE)</f>
        <v>12199.009825737301</v>
      </c>
      <c r="S40" s="179">
        <f>VLOOKUP(B40,Tot_res!C:V,18,FALSE)</f>
        <v>41685.502602469533</v>
      </c>
      <c r="T40" s="179">
        <f>VLOOKUP(B40,Tot_res!C:V,19,FALSE)</f>
        <v>6055.9175024618926</v>
      </c>
      <c r="U40" s="179">
        <f>VLOOKUP(B40,Tot_res!C:V,20,FALSE)</f>
        <v>3230.6763896484849</v>
      </c>
      <c r="V40" s="122">
        <f t="shared" si="6"/>
        <v>889226.23604999995</v>
      </c>
    </row>
    <row r="41" spans="1:22">
      <c r="A41" s="351" t="str">
        <f>IF(B41="","",(IF(ISERROR(MATCH(B41,Tot_res!C:C,0)),"Eliminar!!!","")))</f>
        <v/>
      </c>
      <c r="B41" s="115" t="s">
        <v>147</v>
      </c>
      <c r="C41" s="329" t="str">
        <f>VLOOKUP(B41,Tot_res!C:D,2,FALSE)</f>
        <v>Gastos operativos de las fuerzas armadas</v>
      </c>
      <c r="D41" s="179">
        <f>VLOOKUP(B41,Tot_res!C:V,3,FALSE)</f>
        <v>530802.75201335829</v>
      </c>
      <c r="E41" s="179">
        <f>VLOOKUP(B41,Tot_res!C:V,4,FALSE)</f>
        <v>83507.276904792001</v>
      </c>
      <c r="F41" s="179">
        <f>VLOOKUP(B41,Tot_res!C:V,5,FALSE)</f>
        <v>66755.25398098689</v>
      </c>
      <c r="G41" s="179">
        <f>VLOOKUP(B41,Tot_res!C:V,6,FALSE)</f>
        <v>69754.554398140332</v>
      </c>
      <c r="H41" s="179">
        <f>VLOOKUP(B41,Tot_res!C:V,7,FALSE)</f>
        <v>132851.82827884794</v>
      </c>
      <c r="I41" s="179">
        <f>VLOOKUP(B41,Tot_res!C:V,8,FALSE)</f>
        <v>37084.812981053692</v>
      </c>
      <c r="J41" s="179">
        <f>VLOOKUP(B41,Tot_res!C:V,9,FALSE)</f>
        <v>156916.77848798397</v>
      </c>
      <c r="K41" s="179">
        <f>VLOOKUP(B41,Tot_res!C:V,10,FALSE)</f>
        <v>130725.0280683656</v>
      </c>
      <c r="L41" s="179">
        <f>VLOOKUP(B41,Tot_res!C:V,11,FALSE)</f>
        <v>474746.2960549061</v>
      </c>
      <c r="M41" s="179">
        <f>VLOOKUP(B41,Tot_res!C:V,12,FALSE)</f>
        <v>315471.61553467059</v>
      </c>
      <c r="N41" s="179">
        <f>VLOOKUP(B41,Tot_res!C:V,13,FALSE)</f>
        <v>69271.436276678389</v>
      </c>
      <c r="O41" s="179">
        <f>VLOOKUP(B41,Tot_res!C:V,14,FALSE)</f>
        <v>173161.83067577682</v>
      </c>
      <c r="P41" s="179">
        <f>VLOOKUP(B41,Tot_res!C:V,15,FALSE)</f>
        <v>407277.42239516019</v>
      </c>
      <c r="Q41" s="179">
        <f>VLOOKUP(B41,Tot_res!C:V,16,FALSE)</f>
        <v>92696.820487195844</v>
      </c>
      <c r="R41" s="179">
        <f>VLOOKUP(B41,Tot_res!C:V,17,FALSE)</f>
        <v>40478.866270798484</v>
      </c>
      <c r="S41" s="179">
        <f>VLOOKUP(B41,Tot_res!C:V,18,FALSE)</f>
        <v>138321.21699880689</v>
      </c>
      <c r="T41" s="179">
        <f>VLOOKUP(B41,Tot_res!C:V,19,FALSE)</f>
        <v>20094.800990483422</v>
      </c>
      <c r="U41" s="179">
        <f>VLOOKUP(B41,Tot_res!C:V,20,FALSE)</f>
        <v>10720.060021994708</v>
      </c>
      <c r="V41" s="122">
        <f t="shared" si="6"/>
        <v>2950638.6508200001</v>
      </c>
    </row>
    <row r="42" spans="1:22">
      <c r="A42" s="351" t="str">
        <f>IF(B42="","",(IF(ISERROR(MATCH(B42,Tot_res!C:C,0)),"Eliminar!!!","")))</f>
        <v/>
      </c>
      <c r="B42" s="115" t="s">
        <v>148</v>
      </c>
      <c r="C42" s="329" t="str">
        <f>VLOOKUP(B42,Tot_res!C:D,2,FALSE)</f>
        <v>Apoyo logístico</v>
      </c>
      <c r="D42" s="179">
        <f>VLOOKUP(B42,Tot_res!C:V,3,FALSE)</f>
        <v>239787.99628418236</v>
      </c>
      <c r="E42" s="179">
        <f>VLOOKUP(B42,Tot_res!C:V,4,FALSE)</f>
        <v>37724.074579862994</v>
      </c>
      <c r="F42" s="179">
        <f>VLOOKUP(B42,Tot_res!C:V,5,FALSE)</f>
        <v>30156.415980939932</v>
      </c>
      <c r="G42" s="179">
        <f>VLOOKUP(B42,Tot_res!C:V,6,FALSE)</f>
        <v>31511.337813118818</v>
      </c>
      <c r="H42" s="179">
        <f>VLOOKUP(B42,Tot_res!C:V,7,FALSE)</f>
        <v>60015.27607918944</v>
      </c>
      <c r="I42" s="179">
        <f>VLOOKUP(B42,Tot_res!C:V,8,FALSE)</f>
        <v>16752.914267250653</v>
      </c>
      <c r="J42" s="179">
        <f>VLOOKUP(B42,Tot_res!C:V,9,FALSE)</f>
        <v>70886.520000664284</v>
      </c>
      <c r="K42" s="179">
        <f>VLOOKUP(B42,Tot_res!C:V,10,FALSE)</f>
        <v>59054.502686372696</v>
      </c>
      <c r="L42" s="179">
        <f>VLOOKUP(B42,Tot_res!C:V,11,FALSE)</f>
        <v>214464.71903649491</v>
      </c>
      <c r="M42" s="179">
        <f>VLOOKUP(B42,Tot_res!C:V,12,FALSE)</f>
        <v>142513.02632976716</v>
      </c>
      <c r="N42" s="179">
        <f>VLOOKUP(B42,Tot_res!C:V,13,FALSE)</f>
        <v>31293.091155816219</v>
      </c>
      <c r="O42" s="179">
        <f>VLOOKUP(B42,Tot_res!C:V,14,FALSE)</f>
        <v>78225.15662013831</v>
      </c>
      <c r="P42" s="179">
        <f>VLOOKUP(B42,Tot_res!C:V,15,FALSE)</f>
        <v>183985.92825205304</v>
      </c>
      <c r="Q42" s="179">
        <f>VLOOKUP(B42,Tot_res!C:V,16,FALSE)</f>
        <v>41875.413724267673</v>
      </c>
      <c r="R42" s="179">
        <f>VLOOKUP(B42,Tot_res!C:V,17,FALSE)</f>
        <v>18286.164112965769</v>
      </c>
      <c r="S42" s="179">
        <f>VLOOKUP(B42,Tot_res!C:V,18,FALSE)</f>
        <v>62486.050311394734</v>
      </c>
      <c r="T42" s="179">
        <f>VLOOKUP(B42,Tot_res!C:V,19,FALSE)</f>
        <v>9077.7450700107893</v>
      </c>
      <c r="U42" s="179">
        <f>VLOOKUP(B42,Tot_res!C:V,20,FALSE)</f>
        <v>4842.7437555101224</v>
      </c>
      <c r="V42" s="122">
        <f t="shared" si="6"/>
        <v>1332939.0760600001</v>
      </c>
    </row>
    <row r="43" spans="1:22">
      <c r="A43" s="351" t="str">
        <f>IF(B43="","",(IF(ISERROR(MATCH(B43,Tot_res!C:C,0)),"Eliminar!!!","")))</f>
        <v/>
      </c>
      <c r="B43" s="115" t="s">
        <v>149</v>
      </c>
      <c r="C43" s="329" t="str">
        <f>VLOOKUP(B43,Tot_res!C:D,2,FALSE)</f>
        <v>Asistencia hospitalaria en las fuerzas armadas</v>
      </c>
      <c r="D43" s="179">
        <f>VLOOKUP(B43,Tot_res!C:V,3,FALSE)</f>
        <v>34057.504694302945</v>
      </c>
      <c r="E43" s="179">
        <f>VLOOKUP(B43,Tot_res!C:V,4,FALSE)</f>
        <v>5358.0156930343792</v>
      </c>
      <c r="F43" s="179">
        <f>VLOOKUP(B43,Tot_res!C:V,5,FALSE)</f>
        <v>4283.1680265471387</v>
      </c>
      <c r="G43" s="179">
        <f>VLOOKUP(B43,Tot_res!C:V,6,FALSE)</f>
        <v>4475.609922617522</v>
      </c>
      <c r="H43" s="179">
        <f>VLOOKUP(B43,Tot_res!C:V,7,FALSE)</f>
        <v>8524.0736753748515</v>
      </c>
      <c r="I43" s="179">
        <f>VLOOKUP(B43,Tot_res!C:V,8,FALSE)</f>
        <v>2379.4454482364808</v>
      </c>
      <c r="J43" s="179">
        <f>VLOOKUP(B43,Tot_res!C:V,9,FALSE)</f>
        <v>10068.135290743401</v>
      </c>
      <c r="K43" s="179">
        <f>VLOOKUP(B43,Tot_res!C:V,10,FALSE)</f>
        <v>8387.6133652547487</v>
      </c>
      <c r="L43" s="179">
        <f>VLOOKUP(B43,Tot_res!C:V,11,FALSE)</f>
        <v>30460.79573846293</v>
      </c>
      <c r="M43" s="179">
        <f>VLOOKUP(B43,Tot_res!C:V,12,FALSE)</f>
        <v>20241.37212220216</v>
      </c>
      <c r="N43" s="179">
        <f>VLOOKUP(B43,Tot_res!C:V,13,FALSE)</f>
        <v>4444.6119716325602</v>
      </c>
      <c r="O43" s="179">
        <f>VLOOKUP(B43,Tot_res!C:V,14,FALSE)</f>
        <v>11110.454568566262</v>
      </c>
      <c r="P43" s="179">
        <f>VLOOKUP(B43,Tot_res!C:V,15,FALSE)</f>
        <v>26131.840259859269</v>
      </c>
      <c r="Q43" s="179">
        <f>VLOOKUP(B43,Tot_res!C:V,16,FALSE)</f>
        <v>5947.6375864949914</v>
      </c>
      <c r="R43" s="179">
        <f>VLOOKUP(B43,Tot_res!C:V,17,FALSE)</f>
        <v>2597.2155811337734</v>
      </c>
      <c r="S43" s="179">
        <f>VLOOKUP(B43,Tot_res!C:V,18,FALSE)</f>
        <v>8875.0020217303008</v>
      </c>
      <c r="T43" s="179">
        <f>VLOOKUP(B43,Tot_res!C:V,19,FALSE)</f>
        <v>1289.3278651412293</v>
      </c>
      <c r="U43" s="179">
        <f>VLOOKUP(B43,Tot_res!C:V,20,FALSE)</f>
        <v>687.82328866506327</v>
      </c>
      <c r="V43" s="122">
        <f t="shared" si="6"/>
        <v>189319.64712000001</v>
      </c>
    </row>
    <row r="44" spans="1:22">
      <c r="A44" s="351" t="str">
        <f>IF(B44="","",(IF(ISERROR(MATCH(B44,Tot_res!C:C,0)),"Eliminar!!!","")))</f>
        <v/>
      </c>
      <c r="B44" s="115" t="s">
        <v>150</v>
      </c>
      <c r="C44" s="329" t="str">
        <f>VLOOKUP(B44,Tot_res!C:D,2,FALSE)</f>
        <v>Investigación y estudios de las fuerzas armadas</v>
      </c>
      <c r="D44" s="179">
        <f>VLOOKUP(B44,Tot_res!C:V,3,FALSE)</f>
        <v>26292.793425053518</v>
      </c>
      <c r="E44" s="179">
        <f>VLOOKUP(B44,Tot_res!C:V,4,FALSE)</f>
        <v>4136.4510127693966</v>
      </c>
      <c r="F44" s="179">
        <f>VLOOKUP(B44,Tot_res!C:V,5,FALSE)</f>
        <v>3306.6559966043628</v>
      </c>
      <c r="G44" s="179">
        <f>VLOOKUP(B44,Tot_res!C:V,6,FALSE)</f>
        <v>3455.2233994461394</v>
      </c>
      <c r="H44" s="179">
        <f>VLOOKUP(B44,Tot_res!C:V,7,FALSE)</f>
        <v>6580.6849414912713</v>
      </c>
      <c r="I44" s="179">
        <f>VLOOKUP(B44,Tot_res!C:V,8,FALSE)</f>
        <v>1836.9598183489622</v>
      </c>
      <c r="J44" s="179">
        <f>VLOOKUP(B44,Tot_res!C:V,9,FALSE)</f>
        <v>7772.7186342952764</v>
      </c>
      <c r="K44" s="179">
        <f>VLOOKUP(B44,Tot_res!C:V,10,FALSE)</f>
        <v>6475.3359801709548</v>
      </c>
      <c r="L44" s="179">
        <f>VLOOKUP(B44,Tot_res!C:V,11,FALSE)</f>
        <v>23516.091889378167</v>
      </c>
      <c r="M44" s="179">
        <f>VLOOKUP(B44,Tot_res!C:V,12,FALSE)</f>
        <v>15626.576891809809</v>
      </c>
      <c r="N44" s="179">
        <f>VLOOKUP(B44,Tot_res!C:V,13,FALSE)</f>
        <v>3431.2926174007985</v>
      </c>
      <c r="O44" s="179">
        <f>VLOOKUP(B44,Tot_res!C:V,14,FALSE)</f>
        <v>8577.4013525606515</v>
      </c>
      <c r="P44" s="179">
        <f>VLOOKUP(B44,Tot_res!C:V,15,FALSE)</f>
        <v>20174.087442287266</v>
      </c>
      <c r="Q44" s="179">
        <f>VLOOKUP(B44,Tot_res!C:V,16,FALSE)</f>
        <v>4591.6460360924666</v>
      </c>
      <c r="R44" s="179">
        <f>VLOOKUP(B44,Tot_res!C:V,17,FALSE)</f>
        <v>2005.0809173492878</v>
      </c>
      <c r="S44" s="179">
        <f>VLOOKUP(B44,Tot_res!C:V,18,FALSE)</f>
        <v>6851.6057444255766</v>
      </c>
      <c r="T44" s="179">
        <f>VLOOKUP(B44,Tot_res!C:V,19,FALSE)</f>
        <v>995.37624730899074</v>
      </c>
      <c r="U44" s="179">
        <f>VLOOKUP(B44,Tot_res!C:V,20,FALSE)</f>
        <v>531.00765320709604</v>
      </c>
      <c r="V44" s="122">
        <f t="shared" si="6"/>
        <v>146156.99</v>
      </c>
    </row>
    <row r="45" spans="1:22">
      <c r="A45" s="351" t="str">
        <f>IF(B45="","",(IF(ISERROR(MATCH(B45,Tot_res!C:C,0)),"Eliminar!!!","")))</f>
        <v/>
      </c>
      <c r="B45" s="115" t="s">
        <v>151</v>
      </c>
      <c r="C45" s="329" t="str">
        <f>VLOOKUP(B45,Tot_res!C:D,2,FALSE)</f>
        <v>Asesoramiento para la protección de los intereses nacionales</v>
      </c>
      <c r="D45" s="179">
        <f>VLOOKUP(B45,Tot_res!C:V,3,FALSE)</f>
        <v>36642.140393502174</v>
      </c>
      <c r="E45" s="179">
        <f>VLOOKUP(B45,Tot_res!C:V,4,FALSE)</f>
        <v>5764.6373396109375</v>
      </c>
      <c r="F45" s="179">
        <f>VLOOKUP(B45,Tot_res!C:V,5,FALSE)</f>
        <v>4608.2191154759839</v>
      </c>
      <c r="G45" s="179">
        <f>VLOOKUP(B45,Tot_res!C:V,6,FALSE)</f>
        <v>4815.2654929688806</v>
      </c>
      <c r="H45" s="179">
        <f>VLOOKUP(B45,Tot_res!C:V,7,FALSE)</f>
        <v>9170.9685469085125</v>
      </c>
      <c r="I45" s="179">
        <f>VLOOKUP(B45,Tot_res!C:V,8,FALSE)</f>
        <v>2560.0223784905011</v>
      </c>
      <c r="J45" s="179">
        <f>VLOOKUP(B45,Tot_res!C:V,9,FALSE)</f>
        <v>10832.209527255975</v>
      </c>
      <c r="K45" s="179">
        <f>VLOOKUP(B45,Tot_res!C:V,10,FALSE)</f>
        <v>9024.1522171027045</v>
      </c>
      <c r="L45" s="179">
        <f>VLOOKUP(B45,Tot_res!C:V,11,FALSE)</f>
        <v>32772.475962787074</v>
      </c>
      <c r="M45" s="179">
        <f>VLOOKUP(B45,Tot_res!C:V,12,FALSE)</f>
        <v>21777.496787159514</v>
      </c>
      <c r="N45" s="179">
        <f>VLOOKUP(B45,Tot_res!C:V,13,FALSE)</f>
        <v>4781.9150968639105</v>
      </c>
      <c r="O45" s="179">
        <f>VLOOKUP(B45,Tot_res!C:V,14,FALSE)</f>
        <v>11953.630772166729</v>
      </c>
      <c r="P45" s="179">
        <f>VLOOKUP(B45,Tot_res!C:V,15,FALSE)</f>
        <v>28114.994569831426</v>
      </c>
      <c r="Q45" s="179">
        <f>VLOOKUP(B45,Tot_res!C:V,16,FALSE)</f>
        <v>6399.0058405680957</v>
      </c>
      <c r="R45" s="179">
        <f>VLOOKUP(B45,Tot_res!C:V,17,FALSE)</f>
        <v>2794.3191613804411</v>
      </c>
      <c r="S45" s="179">
        <f>VLOOKUP(B45,Tot_res!C:V,18,FALSE)</f>
        <v>9548.5289656953555</v>
      </c>
      <c r="T45" s="179">
        <f>VLOOKUP(B45,Tot_res!C:V,19,FALSE)</f>
        <v>1387.1753985447492</v>
      </c>
      <c r="U45" s="179">
        <f>VLOOKUP(B45,Tot_res!C:V,20,FALSE)</f>
        <v>740.02243368703296</v>
      </c>
      <c r="V45" s="122">
        <f t="shared" si="6"/>
        <v>203687.18</v>
      </c>
    </row>
    <row r="46" spans="1:22">
      <c r="A46" s="352"/>
      <c r="B46" s="115"/>
      <c r="C46" s="102"/>
      <c r="D46" s="105"/>
      <c r="E46" s="105"/>
      <c r="F46" s="105"/>
      <c r="G46" s="105"/>
      <c r="H46" s="105"/>
      <c r="I46" s="105"/>
      <c r="J46" s="105"/>
      <c r="K46" s="105"/>
      <c r="L46" s="105"/>
      <c r="M46" s="105"/>
      <c r="N46" s="105"/>
      <c r="O46" s="105"/>
      <c r="P46" s="105"/>
      <c r="Q46" s="105"/>
      <c r="R46" s="105"/>
      <c r="S46" s="105"/>
      <c r="T46" s="105"/>
      <c r="U46" s="105"/>
      <c r="V46" s="122"/>
    </row>
    <row r="47" spans="1:22" ht="13.5">
      <c r="A47" s="352"/>
      <c r="B47" s="115"/>
      <c r="C47" s="128" t="s">
        <v>30</v>
      </c>
      <c r="D47" s="130">
        <f t="shared" ref="D47:V47" si="7">SUM(D48:D61)</f>
        <v>412890.23308684689</v>
      </c>
      <c r="E47" s="130">
        <f t="shared" si="7"/>
        <v>64956.971106283403</v>
      </c>
      <c r="F47" s="130">
        <f t="shared" si="7"/>
        <v>51926.242415728266</v>
      </c>
      <c r="G47" s="130">
        <f t="shared" si="7"/>
        <v>54259.278263109838</v>
      </c>
      <c r="H47" s="130">
        <f t="shared" si="7"/>
        <v>103340.12424767314</v>
      </c>
      <c r="I47" s="130">
        <f t="shared" si="7"/>
        <v>28846.79293325148</v>
      </c>
      <c r="J47" s="130">
        <f t="shared" si="7"/>
        <v>122059.2866170941</v>
      </c>
      <c r="K47" s="130">
        <f t="shared" si="7"/>
        <v>101685.77141829459</v>
      </c>
      <c r="L47" s="130">
        <f t="shared" si="7"/>
        <v>369286.1577897289</v>
      </c>
      <c r="M47" s="130">
        <f t="shared" si="7"/>
        <v>245392.75347825672</v>
      </c>
      <c r="N47" s="130">
        <f t="shared" si="7"/>
        <v>53883.479997139526</v>
      </c>
      <c r="O47" s="130">
        <f t="shared" si="7"/>
        <v>134695.66304672681</v>
      </c>
      <c r="P47" s="130">
        <f t="shared" si="7"/>
        <v>316804.81916475797</v>
      </c>
      <c r="Q47" s="130">
        <f t="shared" si="7"/>
        <v>72105.149553566531</v>
      </c>
      <c r="R47" s="130">
        <f t="shared" si="7"/>
        <v>31486.891253383474</v>
      </c>
      <c r="S47" s="130">
        <f t="shared" si="7"/>
        <v>107594.54300277711</v>
      </c>
      <c r="T47" s="130">
        <f t="shared" si="7"/>
        <v>15630.942065247051</v>
      </c>
      <c r="U47" s="130">
        <f t="shared" si="7"/>
        <v>8338.7059776867791</v>
      </c>
      <c r="V47" s="131">
        <f t="shared" si="7"/>
        <v>2295183.8054175531</v>
      </c>
    </row>
    <row r="48" spans="1:22">
      <c r="A48" s="351" t="str">
        <f>IF(B48="","",(IF(ISERROR(MATCH(B48,Tot_res!C:C,0)),"Eliminar!!!","")))</f>
        <v/>
      </c>
      <c r="B48" s="115" t="s">
        <v>152</v>
      </c>
      <c r="C48" s="329" t="str">
        <f>VLOOKUP(B48,Tot_res!C:D,2,FALSE)</f>
        <v>Coordinación y relaciones financieras con los entes territoriales</v>
      </c>
      <c r="D48" s="179">
        <f>VLOOKUP(B48,Tot_res!C:V,3,FALSE)</f>
        <v>1267.3889689545806</v>
      </c>
      <c r="E48" s="179">
        <f>VLOOKUP(B48,Tot_res!C:V,4,FALSE)</f>
        <v>199.38894660046054</v>
      </c>
      <c r="F48" s="179">
        <f>VLOOKUP(B48,Tot_res!C:V,5,FALSE)</f>
        <v>159.39041799303811</v>
      </c>
      <c r="G48" s="179">
        <f>VLOOKUP(B48,Tot_res!C:V,6,FALSE)</f>
        <v>166.55179808924657</v>
      </c>
      <c r="H48" s="179">
        <f>VLOOKUP(B48,Tot_res!C:V,7,FALSE)</f>
        <v>317.20811737958496</v>
      </c>
      <c r="I48" s="179">
        <f>VLOOKUP(B48,Tot_res!C:V,8,FALSE)</f>
        <v>88.546795791194867</v>
      </c>
      <c r="J48" s="179">
        <f>VLOOKUP(B48,Tot_res!C:V,9,FALSE)</f>
        <v>374.66760175078258</v>
      </c>
      <c r="K48" s="179">
        <f>VLOOKUP(B48,Tot_res!C:V,10,FALSE)</f>
        <v>312.12999162437455</v>
      </c>
      <c r="L48" s="179">
        <f>VLOOKUP(B48,Tot_res!C:V,11,FALSE)</f>
        <v>1133.5438943935455</v>
      </c>
      <c r="M48" s="179">
        <f>VLOOKUP(B48,Tot_res!C:V,12,FALSE)</f>
        <v>753.24636888254099</v>
      </c>
      <c r="N48" s="179">
        <f>VLOOKUP(B48,Tot_res!C:V,13,FALSE)</f>
        <v>165.39826492552342</v>
      </c>
      <c r="O48" s="179">
        <f>VLOOKUP(B48,Tot_res!C:V,14,FALSE)</f>
        <v>413.45564470045809</v>
      </c>
      <c r="P48" s="179">
        <f>VLOOKUP(B48,Tot_res!C:V,15,FALSE)</f>
        <v>972.44957847334422</v>
      </c>
      <c r="Q48" s="179">
        <f>VLOOKUP(B48,Tot_res!C:V,16,FALSE)</f>
        <v>221.33066811921574</v>
      </c>
      <c r="R48" s="179">
        <f>VLOOKUP(B48,Tot_res!C:V,17,FALSE)</f>
        <v>96.650720805054434</v>
      </c>
      <c r="S48" s="179">
        <f>VLOOKUP(B48,Tot_res!C:V,18,FALSE)</f>
        <v>330.26728654234421</v>
      </c>
      <c r="T48" s="179">
        <f>VLOOKUP(B48,Tot_res!C:V,19,FALSE)</f>
        <v>47.980024617572695</v>
      </c>
      <c r="U48" s="179">
        <f>VLOOKUP(B48,Tot_res!C:V,20,FALSE)</f>
        <v>25.596110357139164</v>
      </c>
      <c r="V48" s="122">
        <f t="shared" ref="V48:V61" si="8">SUM(D48:U48)</f>
        <v>7045.1912000000011</v>
      </c>
    </row>
    <row r="49" spans="1:22">
      <c r="A49" s="351" t="str">
        <f>IF(B49="","",(IF(ISERROR(MATCH(B49,Tot_res!C:C,0)),"Eliminar!!!","")))</f>
        <v/>
      </c>
      <c r="B49" s="115" t="s">
        <v>620</v>
      </c>
      <c r="C49" s="329" t="str">
        <f>VLOOKUP(B49,Tot_res!C:D,2,FALSE)</f>
        <v>Gestión del patrimonio del estado</v>
      </c>
      <c r="D49" s="179">
        <f>VLOOKUP(B49,Tot_res!C:V,3,FALSE)</f>
        <v>5690.6624657858156</v>
      </c>
      <c r="E49" s="179">
        <f>VLOOKUP(B49,Tot_res!C:V,4,FALSE)</f>
        <v>895.2698992226085</v>
      </c>
      <c r="F49" s="179">
        <f>VLOOKUP(B49,Tot_res!C:V,5,FALSE)</f>
        <v>715.67379178554256</v>
      </c>
      <c r="G49" s="179">
        <f>VLOOKUP(B49,Tot_res!C:V,6,FALSE)</f>
        <v>747.82887433319536</v>
      </c>
      <c r="H49" s="179">
        <f>VLOOKUP(B49,Tot_res!C:V,7,FALSE)</f>
        <v>1424.2859703154602</v>
      </c>
      <c r="I49" s="179">
        <f>VLOOKUP(B49,Tot_res!C:V,8,FALSE)</f>
        <v>397.58112120085207</v>
      </c>
      <c r="J49" s="179">
        <f>VLOOKUP(B49,Tot_res!C:V,9,FALSE)</f>
        <v>1682.2829538968274</v>
      </c>
      <c r="K49" s="179">
        <f>VLOOKUP(B49,Tot_res!C:V,10,FALSE)</f>
        <v>1401.4848411123608</v>
      </c>
      <c r="L49" s="179">
        <f>VLOOKUP(B49,Tot_res!C:V,11,FALSE)</f>
        <v>5089.6889993187242</v>
      </c>
      <c r="M49" s="179">
        <f>VLOOKUP(B49,Tot_res!C:V,12,FALSE)</f>
        <v>3382.1273057355656</v>
      </c>
      <c r="N49" s="179">
        <f>VLOOKUP(B49,Tot_res!C:V,13,FALSE)</f>
        <v>742.64943215827009</v>
      </c>
      <c r="O49" s="179">
        <f>VLOOKUP(B49,Tot_res!C:V,14,FALSE)</f>
        <v>1856.4438985964471</v>
      </c>
      <c r="P49" s="179">
        <f>VLOOKUP(B49,Tot_res!C:V,15,FALSE)</f>
        <v>4366.3645902269291</v>
      </c>
      <c r="Q49" s="179">
        <f>VLOOKUP(B49,Tot_res!C:V,16,FALSE)</f>
        <v>993.78971763676088</v>
      </c>
      <c r="R49" s="179">
        <f>VLOOKUP(B49,Tot_res!C:V,17,FALSE)</f>
        <v>433.96829438254173</v>
      </c>
      <c r="S49" s="179">
        <f>VLOOKUP(B49,Tot_res!C:V,18,FALSE)</f>
        <v>1482.9225259501216</v>
      </c>
      <c r="T49" s="179">
        <f>VLOOKUP(B49,Tot_res!C:V,19,FALSE)</f>
        <v>215.43356608501873</v>
      </c>
      <c r="U49" s="179">
        <f>VLOOKUP(B49,Tot_res!C:V,20,FALSE)</f>
        <v>114.9282722569628</v>
      </c>
      <c r="V49" s="122">
        <f t="shared" si="8"/>
        <v>31633.386520000007</v>
      </c>
    </row>
    <row r="50" spans="1:22">
      <c r="A50" s="351" t="str">
        <f>IF(B50="","",(IF(ISERROR(MATCH(B50,Tot_res!C:C,0)),"Eliminar!!!","")))</f>
        <v/>
      </c>
      <c r="B50" s="115" t="s">
        <v>683</v>
      </c>
      <c r="C50" s="329" t="str">
        <f>VLOOKUP(B50,Tot_res!C:D,2,FALSE)</f>
        <v>Dirección y servicios generales de hacienda y administraciones públicas</v>
      </c>
      <c r="D50" s="179">
        <f>VLOOKUP(B50,Tot_res!C:V,3,FALSE)</f>
        <v>25974.072046935544</v>
      </c>
      <c r="E50" s="179">
        <f>VLOOKUP(B50,Tot_res!C:V,4,FALSE)</f>
        <v>4086.3089321622015</v>
      </c>
      <c r="F50" s="179">
        <f>VLOOKUP(B50,Tot_res!C:V,5,FALSE)</f>
        <v>3266.5726954821785</v>
      </c>
      <c r="G50" s="179">
        <f>VLOOKUP(B50,Tot_res!C:V,6,FALSE)</f>
        <v>3413.3391634969989</v>
      </c>
      <c r="H50" s="179">
        <f>VLOOKUP(B50,Tot_res!C:V,7,FALSE)</f>
        <v>6500.9138445368581</v>
      </c>
      <c r="I50" s="179">
        <f>VLOOKUP(B50,Tot_res!C:V,8,FALSE)</f>
        <v>1814.6921819138909</v>
      </c>
      <c r="J50" s="179">
        <f>VLOOKUP(B50,Tot_res!C:V,9,FALSE)</f>
        <v>7678.4976987409245</v>
      </c>
      <c r="K50" s="179">
        <f>VLOOKUP(B50,Tot_res!C:V,10,FALSE)</f>
        <v>6396.841923871465</v>
      </c>
      <c r="L50" s="179">
        <f>VLOOKUP(B50,Tot_res!C:V,11,FALSE)</f>
        <v>23231.029701661373</v>
      </c>
      <c r="M50" s="179">
        <f>VLOOKUP(B50,Tot_res!C:V,12,FALSE)</f>
        <v>15437.151445768068</v>
      </c>
      <c r="N50" s="179">
        <f>VLOOKUP(B50,Tot_res!C:V,13,FALSE)</f>
        <v>3389.6984705155942</v>
      </c>
      <c r="O50" s="179">
        <f>VLOOKUP(B50,Tot_res!C:V,14,FALSE)</f>
        <v>8473.4260489265325</v>
      </c>
      <c r="P50" s="179">
        <f>VLOOKUP(B50,Tot_res!C:V,15,FALSE)</f>
        <v>19929.537049792587</v>
      </c>
      <c r="Q50" s="179">
        <f>VLOOKUP(B50,Tot_res!C:V,16,FALSE)</f>
        <v>4535.9860790542443</v>
      </c>
      <c r="R50" s="179">
        <f>VLOOKUP(B50,Tot_res!C:V,17,FALSE)</f>
        <v>1980.7753160811214</v>
      </c>
      <c r="S50" s="179">
        <f>VLOOKUP(B50,Tot_res!C:V,18,FALSE)</f>
        <v>6768.5505440943889</v>
      </c>
      <c r="T50" s="179">
        <f>VLOOKUP(B50,Tot_res!C:V,19,FALSE)</f>
        <v>983.31029128219882</v>
      </c>
      <c r="U50" s="179">
        <f>VLOOKUP(B50,Tot_res!C:V,20,FALSE)</f>
        <v>524.57077568383932</v>
      </c>
      <c r="V50" s="122">
        <f t="shared" si="8"/>
        <v>144385.27421</v>
      </c>
    </row>
    <row r="51" spans="1:22">
      <c r="A51" s="351" t="str">
        <f>IF(B51="","",(IF(ISERROR(MATCH(B51,Tot_res!C:C,0)),"Eliminar!!!","")))</f>
        <v/>
      </c>
      <c r="B51" s="115" t="s">
        <v>153</v>
      </c>
      <c r="C51" s="329" t="str">
        <f>VLOOKUP(B51,Tot_res!C:D,2,FALSE)</f>
        <v>Formación del personal de economía y hacienda</v>
      </c>
      <c r="D51" s="179">
        <f>VLOOKUP(B51,Tot_res!C:V,3,FALSE)</f>
        <v>1128.0388992410542</v>
      </c>
      <c r="E51" s="179">
        <f>VLOOKUP(B51,Tot_res!C:V,4,FALSE)</f>
        <v>177.46602925662455</v>
      </c>
      <c r="F51" s="179">
        <f>VLOOKUP(B51,Tot_res!C:V,5,FALSE)</f>
        <v>141.8653594647798</v>
      </c>
      <c r="G51" s="179">
        <f>VLOOKUP(B51,Tot_res!C:V,6,FALSE)</f>
        <v>148.23934213202463</v>
      </c>
      <c r="H51" s="179">
        <f>VLOOKUP(B51,Tot_res!C:V,7,FALSE)</f>
        <v>282.33092154364289</v>
      </c>
      <c r="I51" s="179">
        <f>VLOOKUP(B51,Tot_res!C:V,8,FALSE)</f>
        <v>78.811030001320304</v>
      </c>
      <c r="J51" s="179">
        <f>VLOOKUP(B51,Tot_res!C:V,9,FALSE)</f>
        <v>333.47270602241178</v>
      </c>
      <c r="K51" s="179">
        <f>VLOOKUP(B51,Tot_res!C:V,10,FALSE)</f>
        <v>277.81113832993833</v>
      </c>
      <c r="L51" s="179">
        <f>VLOOKUP(B51,Tot_res!C:V,11,FALSE)</f>
        <v>1008.9101595446638</v>
      </c>
      <c r="M51" s="179">
        <f>VLOOKUP(B51,Tot_res!C:V,12,FALSE)</f>
        <v>670.42654277830707</v>
      </c>
      <c r="N51" s="179">
        <f>VLOOKUP(B51,Tot_res!C:V,13,FALSE)</f>
        <v>147.21264053360562</v>
      </c>
      <c r="O51" s="179">
        <f>VLOOKUP(B51,Tot_res!C:V,14,FALSE)</f>
        <v>367.99598367785649</v>
      </c>
      <c r="P51" s="179">
        <f>VLOOKUP(B51,Tot_res!C:V,15,FALSE)</f>
        <v>865.52824660714725</v>
      </c>
      <c r="Q51" s="179">
        <f>VLOOKUP(B51,Tot_res!C:V,16,FALSE)</f>
        <v>196.9952471966281</v>
      </c>
      <c r="R51" s="179">
        <f>VLOOKUP(B51,Tot_res!C:V,17,FALSE)</f>
        <v>86.023924287205318</v>
      </c>
      <c r="S51" s="179">
        <f>VLOOKUP(B51,Tot_res!C:V,18,FALSE)</f>
        <v>293.95422833280713</v>
      </c>
      <c r="T51" s="179">
        <f>VLOOKUP(B51,Tot_res!C:V,19,FALSE)</f>
        <v>42.704596206016852</v>
      </c>
      <c r="U51" s="179">
        <f>VLOOKUP(B51,Tot_res!C:V,20,FALSE)</f>
        <v>22.781804843967002</v>
      </c>
      <c r="V51" s="122">
        <f t="shared" si="8"/>
        <v>6270.5688000000009</v>
      </c>
    </row>
    <row r="52" spans="1:22">
      <c r="A52" s="351" t="str">
        <f>IF(B52="","",(IF(ISERROR(MATCH(B52,Tot_res!C:C,0)),"Eliminar!!!","")))</f>
        <v/>
      </c>
      <c r="B52" s="115" t="s">
        <v>685</v>
      </c>
      <c r="C52" s="329" t="str">
        <f>VLOOKUP(B52,Tot_res!C:D,2,FALSE)</f>
        <v>Gestión de la deuda y de la tesorería del estado</v>
      </c>
      <c r="D52" s="179">
        <f>VLOOKUP(B52,Tot_res!C:V,3,FALSE)</f>
        <v>12776.266158422715</v>
      </c>
      <c r="E52" s="179">
        <f>VLOOKUP(B52,Tot_res!C:V,4,FALSE)</f>
        <v>2009.9955997852073</v>
      </c>
      <c r="F52" s="179">
        <f>VLOOKUP(B52,Tot_res!C:V,5,FALSE)</f>
        <v>1606.7793339412306</v>
      </c>
      <c r="G52" s="179">
        <f>VLOOKUP(B52,Tot_res!C:V,6,FALSE)</f>
        <v>1678.9716130378849</v>
      </c>
      <c r="H52" s="179">
        <f>VLOOKUP(B52,Tot_res!C:V,7,FALSE)</f>
        <v>3197.7044415943706</v>
      </c>
      <c r="I52" s="179">
        <f>VLOOKUP(B52,Tot_res!C:V,8,FALSE)</f>
        <v>892.62054366543271</v>
      </c>
      <c r="J52" s="179">
        <f>VLOOKUP(B52,Tot_res!C:V,9,FALSE)</f>
        <v>3776.9407168301377</v>
      </c>
      <c r="K52" s="179">
        <f>VLOOKUP(B52,Tot_res!C:V,10,FALSE)</f>
        <v>3146.5129859136205</v>
      </c>
      <c r="L52" s="179">
        <f>VLOOKUP(B52,Tot_res!C:V,11,FALSE)</f>
        <v>11427.003746902546</v>
      </c>
      <c r="M52" s="179">
        <f>VLOOKUP(B52,Tot_res!C:V,12,FALSE)</f>
        <v>7593.3090214971598</v>
      </c>
      <c r="N52" s="179">
        <f>VLOOKUP(B52,Tot_res!C:V,13,FALSE)</f>
        <v>1667.3431019151703</v>
      </c>
      <c r="O52" s="179">
        <f>VLOOKUP(B52,Tot_res!C:V,14,FALSE)</f>
        <v>4167.9543461330341</v>
      </c>
      <c r="P52" s="179">
        <f>VLOOKUP(B52,Tot_res!C:V,15,FALSE)</f>
        <v>9803.0477971334385</v>
      </c>
      <c r="Q52" s="179">
        <f>VLOOKUP(B52,Tot_res!C:V,16,FALSE)</f>
        <v>2231.1852116285577</v>
      </c>
      <c r="R52" s="179">
        <f>VLOOKUP(B52,Tot_res!C:V,17,FALSE)</f>
        <v>974.3144083282865</v>
      </c>
      <c r="S52" s="179">
        <f>VLOOKUP(B52,Tot_res!C:V,18,FALSE)</f>
        <v>3329.3510198101362</v>
      </c>
      <c r="T52" s="179">
        <f>VLOOKUP(B52,Tot_res!C:V,19,FALSE)</f>
        <v>483.67595096509882</v>
      </c>
      <c r="U52" s="179">
        <f>VLOOKUP(B52,Tot_res!C:V,20,FALSE)</f>
        <v>258.02869249597342</v>
      </c>
      <c r="V52" s="122">
        <f t="shared" si="8"/>
        <v>71021.004690000002</v>
      </c>
    </row>
    <row r="53" spans="1:22">
      <c r="A53" s="351" t="str">
        <f>IF(B53="","",(IF(ISERROR(MATCH(B53,Tot_res!C:C,0)),"Eliminar!!!","")))</f>
        <v/>
      </c>
      <c r="B53" s="115" t="s">
        <v>1183</v>
      </c>
      <c r="C53" s="329" t="str">
        <f>VLOOKUP(B53,Tot_res!C:D,2,FALSE)</f>
        <v>Dirección y Servicios Generales de Economía y Competitividad</v>
      </c>
      <c r="D53" s="179">
        <f>VLOOKUP(B53,Tot_res!C:V,3,FALSE)</f>
        <v>12362.802628710015</v>
      </c>
      <c r="E53" s="179">
        <f>VLOOKUP(B53,Tot_res!C:V,4,FALSE)</f>
        <v>1944.9484361546724</v>
      </c>
      <c r="F53" s="179">
        <f>VLOOKUP(B53,Tot_res!C:V,5,FALSE)</f>
        <v>1554.7809921218723</v>
      </c>
      <c r="G53" s="179">
        <f>VLOOKUP(B53,Tot_res!C:V,6,FALSE)</f>
        <v>1624.6369959591366</v>
      </c>
      <c r="H53" s="179">
        <f>VLOOKUP(B53,Tot_res!C:V,7,FALSE)</f>
        <v>3094.2208299502927</v>
      </c>
      <c r="I53" s="179">
        <f>VLOOKUP(B53,Tot_res!C:V,8,FALSE)</f>
        <v>863.7336970623918</v>
      </c>
      <c r="J53" s="179">
        <f>VLOOKUP(B53,Tot_res!C:V,9,FALSE)</f>
        <v>3654.7119513260072</v>
      </c>
      <c r="K53" s="179">
        <f>VLOOKUP(B53,Tot_res!C:V,10,FALSE)</f>
        <v>3044.6860241619638</v>
      </c>
      <c r="L53" s="179">
        <f>VLOOKUP(B53,Tot_res!C:V,11,FALSE)</f>
        <v>11057.204836591032</v>
      </c>
      <c r="M53" s="179">
        <f>VLOOKUP(B53,Tot_res!C:V,12,FALSE)</f>
        <v>7347.575541050076</v>
      </c>
      <c r="N53" s="179">
        <f>VLOOKUP(B53,Tot_res!C:V,13,FALSE)</f>
        <v>1613.384804896953</v>
      </c>
      <c r="O53" s="179">
        <f>VLOOKUP(B53,Tot_res!C:V,14,FALSE)</f>
        <v>4033.0716586353665</v>
      </c>
      <c r="P53" s="179">
        <f>VLOOKUP(B53,Tot_res!C:V,15,FALSE)</f>
        <v>9485.8030955996473</v>
      </c>
      <c r="Q53" s="179">
        <f>VLOOKUP(B53,Tot_res!C:V,16,FALSE)</f>
        <v>2158.97994433029</v>
      </c>
      <c r="R53" s="179">
        <f>VLOOKUP(B53,Tot_res!C:V,17,FALSE)</f>
        <v>942.78379763794942</v>
      </c>
      <c r="S53" s="179">
        <f>VLOOKUP(B53,Tot_res!C:V,18,FALSE)</f>
        <v>3221.6070821655853</v>
      </c>
      <c r="T53" s="179">
        <f>VLOOKUP(B53,Tot_res!C:V,19,FALSE)</f>
        <v>468.02330539217144</v>
      </c>
      <c r="U53" s="179">
        <f>VLOOKUP(B53,Tot_res!C:V,20,FALSE)</f>
        <v>249.67840825457898</v>
      </c>
      <c r="V53" s="122">
        <f t="shared" ref="V53" si="9">SUM(D53:U53)</f>
        <v>68722.634030000016</v>
      </c>
    </row>
    <row r="54" spans="1:22">
      <c r="A54" s="351" t="str">
        <f>IF(B54="","",(IF(ISERROR(MATCH(B54,Tot_res!C:C,0)),"Eliminar!!!","")))</f>
        <v/>
      </c>
      <c r="B54" s="115" t="s">
        <v>1185</v>
      </c>
      <c r="C54" s="329" t="str">
        <f>VLOOKUP(B54,Tot_res!C:D,2,FALSE)</f>
        <v>Contratación centralizada</v>
      </c>
      <c r="D54" s="179">
        <f>VLOOKUP(B54,Tot_res!C:V,3,FALSE)</f>
        <v>576.954849336302</v>
      </c>
      <c r="E54" s="179">
        <f>VLOOKUP(B54,Tot_res!C:V,4,FALSE)</f>
        <v>90.768045535447058</v>
      </c>
      <c r="F54" s="179">
        <f>VLOOKUP(B54,Tot_res!C:V,5,FALSE)</f>
        <v>72.559472152166975</v>
      </c>
      <c r="G54" s="179">
        <f>VLOOKUP(B54,Tot_res!C:V,6,FALSE)</f>
        <v>75.819554948892034</v>
      </c>
      <c r="H54" s="179">
        <f>VLOOKUP(B54,Tot_res!C:V,7,FALSE)</f>
        <v>144.40299391429306</v>
      </c>
      <c r="I54" s="179">
        <f>VLOOKUP(B54,Tot_res!C:V,8,FALSE)</f>
        <v>40.309253493867168</v>
      </c>
      <c r="J54" s="179">
        <f>VLOOKUP(B54,Tot_res!C:V,9,FALSE)</f>
        <v>170.56033705076624</v>
      </c>
      <c r="K54" s="179">
        <f>VLOOKUP(B54,Tot_res!C:V,10,FALSE)</f>
        <v>142.09127324149523</v>
      </c>
      <c r="L54" s="179">
        <f>VLOOKUP(B54,Tot_res!C:V,11,FALSE)</f>
        <v>516.02441146807121</v>
      </c>
      <c r="M54" s="179">
        <f>VLOOKUP(B54,Tot_res!C:V,12,FALSE)</f>
        <v>342.90115814264857</v>
      </c>
      <c r="N54" s="179">
        <f>VLOOKUP(B54,Tot_res!C:V,13,FALSE)</f>
        <v>75.294430800755194</v>
      </c>
      <c r="O54" s="179">
        <f>VLOOKUP(B54,Tot_res!C:V,14,FALSE)</f>
        <v>188.21785974053651</v>
      </c>
      <c r="P54" s="179">
        <f>VLOOKUP(B54,Tot_res!C:V,15,FALSE)</f>
        <v>442.68927202201758</v>
      </c>
      <c r="Q54" s="179">
        <f>VLOOKUP(B54,Tot_res!C:V,16,FALSE)</f>
        <v>100.75659912328106</v>
      </c>
      <c r="R54" s="179">
        <f>VLOOKUP(B54,Tot_res!C:V,17,FALSE)</f>
        <v>43.998412031565941</v>
      </c>
      <c r="S54" s="179">
        <f>VLOOKUP(B54,Tot_res!C:V,18,FALSE)</f>
        <v>150.34793359841544</v>
      </c>
      <c r="T54" s="179">
        <f>VLOOKUP(B54,Tot_res!C:V,19,FALSE)</f>
        <v>21.841998433375799</v>
      </c>
      <c r="U54" s="179">
        <f>VLOOKUP(B54,Tot_res!C:V,20,FALSE)</f>
        <v>11.652144966102998</v>
      </c>
      <c r="V54" s="122">
        <f t="shared" ref="V54" si="10">SUM(D54:U54)</f>
        <v>3207.1899999999991</v>
      </c>
    </row>
    <row r="55" spans="1:22">
      <c r="A55" s="351" t="str">
        <f>IF(B55="","",(IF(ISERROR(MATCH(B55,Tot_res!C:C,0)),"Eliminar!!!","")))</f>
        <v/>
      </c>
      <c r="B55" s="115" t="s">
        <v>687</v>
      </c>
      <c r="C55" s="329" t="str">
        <f>VLOOKUP(B55,Tot_res!C:D,2,FALSE)</f>
        <v>Previsión y política económica</v>
      </c>
      <c r="D55" s="179">
        <f>VLOOKUP(B55,Tot_res!C:V,3,FALSE)</f>
        <v>49032.137914844658</v>
      </c>
      <c r="E55" s="179">
        <f>VLOOKUP(B55,Tot_res!C:V,4,FALSE)</f>
        <v>7713.8641473845246</v>
      </c>
      <c r="F55" s="179">
        <f>VLOOKUP(B55,Tot_res!C:V,5,FALSE)</f>
        <v>6166.4202141398446</v>
      </c>
      <c r="G55" s="179">
        <f>VLOOKUP(B55,Tot_res!C:V,6,FALSE)</f>
        <v>6443.4762601835127</v>
      </c>
      <c r="H55" s="179">
        <f>VLOOKUP(B55,Tot_res!C:V,7,FALSE)</f>
        <v>12271.995843465031</v>
      </c>
      <c r="I55" s="179">
        <f>VLOOKUP(B55,Tot_res!C:V,8,FALSE)</f>
        <v>3425.6560610060383</v>
      </c>
      <c r="J55" s="179">
        <f>VLOOKUP(B55,Tot_res!C:V,9,FALSE)</f>
        <v>14494.960877260733</v>
      </c>
      <c r="K55" s="179">
        <f>VLOOKUP(B55,Tot_res!C:V,10,FALSE)</f>
        <v>12075.535744412893</v>
      </c>
      <c r="L55" s="179">
        <f>VLOOKUP(B55,Tot_res!C:V,11,FALSE)</f>
        <v>43854.003722535359</v>
      </c>
      <c r="M55" s="179">
        <f>VLOOKUP(B55,Tot_res!C:V,12,FALSE)</f>
        <v>29141.235049070619</v>
      </c>
      <c r="N55" s="179">
        <f>VLOOKUP(B55,Tot_res!C:V,13,FALSE)</f>
        <v>6398.8489211751303</v>
      </c>
      <c r="O55" s="179">
        <f>VLOOKUP(B55,Tot_res!C:V,14,FALSE)</f>
        <v>15995.574120663176</v>
      </c>
      <c r="P55" s="179">
        <f>VLOOKUP(B55,Tot_res!C:V,15,FALSE)</f>
        <v>37621.663920799292</v>
      </c>
      <c r="Q55" s="179">
        <f>VLOOKUP(B55,Tot_res!C:V,16,FALSE)</f>
        <v>8562.7349691687359</v>
      </c>
      <c r="R55" s="179">
        <f>VLOOKUP(B55,Tot_res!C:V,17,FALSE)</f>
        <v>3739.1768337636572</v>
      </c>
      <c r="S55" s="179">
        <f>VLOOKUP(B55,Tot_res!C:V,18,FALSE)</f>
        <v>12777.222730495512</v>
      </c>
      <c r="T55" s="179">
        <f>VLOOKUP(B55,Tot_res!C:V,19,FALSE)</f>
        <v>1856.2282312958769</v>
      </c>
      <c r="U55" s="179">
        <f>VLOOKUP(B55,Tot_res!C:V,20,FALSE)</f>
        <v>990.25006833542022</v>
      </c>
      <c r="V55" s="122">
        <f t="shared" si="8"/>
        <v>272560.98563000007</v>
      </c>
    </row>
    <row r="56" spans="1:22">
      <c r="A56" s="351" t="str">
        <f>IF(B56="","",(IF(ISERROR(MATCH(B56,Tot_res!C:C,0)),"Eliminar!!!","")))</f>
        <v/>
      </c>
      <c r="B56" s="115" t="s">
        <v>155</v>
      </c>
      <c r="C56" s="329" t="str">
        <f>VLOOKUP(B56,Tot_res!C:D,2,FALSE)</f>
        <v>Política presupuestaria</v>
      </c>
      <c r="D56" s="179">
        <f>VLOOKUP(B56,Tot_res!C:V,3,FALSE)</f>
        <v>10857.927198455734</v>
      </c>
      <c r="E56" s="179">
        <f>VLOOKUP(B56,Tot_res!C:V,4,FALSE)</f>
        <v>1708.1974984762264</v>
      </c>
      <c r="F56" s="179">
        <f>VLOOKUP(B56,Tot_res!C:V,5,FALSE)</f>
        <v>1365.5236056909835</v>
      </c>
      <c r="G56" s="179">
        <f>VLOOKUP(B56,Tot_res!C:V,6,FALSE)</f>
        <v>1426.8763124209786</v>
      </c>
      <c r="H56" s="179">
        <f>VLOOKUP(B56,Tot_res!C:V,7,FALSE)</f>
        <v>2717.573475574542</v>
      </c>
      <c r="I56" s="179">
        <f>VLOOKUP(B56,Tot_res!C:V,8,FALSE)</f>
        <v>758.59478495411724</v>
      </c>
      <c r="J56" s="179">
        <f>VLOOKUP(B56,Tot_res!C:V,9,FALSE)</f>
        <v>3209.8382131143453</v>
      </c>
      <c r="K56" s="179">
        <f>VLOOKUP(B56,Tot_res!C:V,10,FALSE)</f>
        <v>2674.0683472316946</v>
      </c>
      <c r="L56" s="179">
        <f>VLOOKUP(B56,Tot_res!C:V,11,FALSE)</f>
        <v>9711.2547000716331</v>
      </c>
      <c r="M56" s="179">
        <f>VLOOKUP(B56,Tot_res!C:V,12,FALSE)</f>
        <v>6453.1840154597885</v>
      </c>
      <c r="N56" s="179">
        <f>VLOOKUP(B56,Tot_res!C:V,13,FALSE)</f>
        <v>1416.9938064030814</v>
      </c>
      <c r="O56" s="179">
        <f>VLOOKUP(B56,Tot_res!C:V,14,FALSE)</f>
        <v>3542.1416786128239</v>
      </c>
      <c r="P56" s="179">
        <f>VLOOKUP(B56,Tot_res!C:V,15,FALSE)</f>
        <v>8331.1335240214903</v>
      </c>
      <c r="Q56" s="179">
        <f>VLOOKUP(B56,Tot_res!C:V,16,FALSE)</f>
        <v>1896.1757914038899</v>
      </c>
      <c r="R56" s="179">
        <f>VLOOKUP(B56,Tot_res!C:V,17,FALSE)</f>
        <v>828.02242712052544</v>
      </c>
      <c r="S56" s="179">
        <f>VLOOKUP(B56,Tot_res!C:V,18,FALSE)</f>
        <v>2829.4534993990501</v>
      </c>
      <c r="T56" s="179">
        <f>VLOOKUP(B56,Tot_res!C:V,19,FALSE)</f>
        <v>411.05266578692152</v>
      </c>
      <c r="U56" s="179">
        <f>VLOOKUP(B56,Tot_res!C:V,20,FALSE)</f>
        <v>219.28603580217501</v>
      </c>
      <c r="V56" s="122">
        <f t="shared" si="8"/>
        <v>60357.297579999999</v>
      </c>
    </row>
    <row r="57" spans="1:22">
      <c r="A57" s="351" t="str">
        <f>IF(B57="","",(IF(ISERROR(MATCH(B57,Tot_res!C:C,0)),"Eliminar!!!","")))</f>
        <v/>
      </c>
      <c r="B57" s="115" t="s">
        <v>157</v>
      </c>
      <c r="C57" s="329" t="str">
        <f>VLOOKUP(B57,Tot_res!C:D,2,FALSE)</f>
        <v>Política tributaria</v>
      </c>
      <c r="D57" s="179">
        <f>VLOOKUP(B57,Tot_res!C:V,3,FALSE)</f>
        <v>1022.8218669137576</v>
      </c>
      <c r="E57" s="179">
        <f>VLOOKUP(B57,Tot_res!C:V,4,FALSE)</f>
        <v>160.91301060642192</v>
      </c>
      <c r="F57" s="179">
        <f>VLOOKUP(B57,Tot_res!C:V,5,FALSE)</f>
        <v>128.63296816783787</v>
      </c>
      <c r="G57" s="179">
        <f>VLOOKUP(B57,Tot_res!C:V,6,FALSE)</f>
        <v>134.41242209958932</v>
      </c>
      <c r="H57" s="179">
        <f>VLOOKUP(B57,Tot_res!C:V,7,FALSE)</f>
        <v>255.99670406316491</v>
      </c>
      <c r="I57" s="179">
        <f>VLOOKUP(B57,Tot_res!C:V,8,FALSE)</f>
        <v>71.459986790864093</v>
      </c>
      <c r="J57" s="179">
        <f>VLOOKUP(B57,Tot_res!C:V,9,FALSE)</f>
        <v>302.36827468282081</v>
      </c>
      <c r="K57" s="179">
        <f>VLOOKUP(B57,Tot_res!C:V,10,FALSE)</f>
        <v>251.89850043933859</v>
      </c>
      <c r="L57" s="179">
        <f>VLOOKUP(B57,Tot_res!C:V,11,FALSE)</f>
        <v>914.8047763494834</v>
      </c>
      <c r="M57" s="179">
        <f>VLOOKUP(B57,Tot_res!C:V,12,FALSE)</f>
        <v>607.89298008641538</v>
      </c>
      <c r="N57" s="179">
        <f>VLOOKUP(B57,Tot_res!C:V,13,FALSE)</f>
        <v>133.48148536827196</v>
      </c>
      <c r="O57" s="179">
        <f>VLOOKUP(B57,Tot_res!C:V,14,FALSE)</f>
        <v>333.67141797626687</v>
      </c>
      <c r="P57" s="179">
        <f>VLOOKUP(B57,Tot_res!C:V,15,FALSE)</f>
        <v>784.79671016392399</v>
      </c>
      <c r="Q57" s="179">
        <f>VLOOKUP(B57,Tot_res!C:V,16,FALSE)</f>
        <v>178.62065452384286</v>
      </c>
      <c r="R57" s="179">
        <f>VLOOKUP(B57,Tot_res!C:V,17,FALSE)</f>
        <v>78.000103452004126</v>
      </c>
      <c r="S57" s="179">
        <f>VLOOKUP(B57,Tot_res!C:V,18,FALSE)</f>
        <v>266.53585511354351</v>
      </c>
      <c r="T57" s="179">
        <f>VLOOKUP(B57,Tot_res!C:V,19,FALSE)</f>
        <v>38.721355129352126</v>
      </c>
      <c r="U57" s="179">
        <f>VLOOKUP(B57,Tot_res!C:V,20,FALSE)</f>
        <v>20.656848073101596</v>
      </c>
      <c r="V57" s="122">
        <f t="shared" si="8"/>
        <v>5685.6859199999999</v>
      </c>
    </row>
    <row r="58" spans="1:22">
      <c r="A58" s="351" t="str">
        <f>IF(B58="","",(IF(ISERROR(MATCH(B58,Tot_res!C:C,0)),"Eliminar!!!","")))</f>
        <v/>
      </c>
      <c r="B58" s="115" t="s">
        <v>159</v>
      </c>
      <c r="C58" s="329" t="str">
        <f>VLOOKUP(B58,Tot_res!C:D,2,FALSE)</f>
        <v>Control interno y contabilidad pública</v>
      </c>
      <c r="D58" s="179">
        <f>VLOOKUP(B58,Tot_res!C:V,3,FALSE)</f>
        <v>12743.715067374525</v>
      </c>
      <c r="E58" s="179">
        <f>VLOOKUP(B58,Tot_res!C:V,4,FALSE)</f>
        <v>2004.8745770259925</v>
      </c>
      <c r="F58" s="179">
        <f>VLOOKUP(B58,Tot_res!C:V,5,FALSE)</f>
        <v>1602.6856167514873</v>
      </c>
      <c r="G58" s="179">
        <f>VLOOKUP(B58,Tot_res!C:V,6,FALSE)</f>
        <v>1674.6939659408656</v>
      </c>
      <c r="H58" s="179">
        <f>VLOOKUP(B58,Tot_res!C:V,7,FALSE)</f>
        <v>3189.5574002653261</v>
      </c>
      <c r="I58" s="179">
        <f>VLOOKUP(B58,Tot_res!C:V,8,FALSE)</f>
        <v>890.34634459756307</v>
      </c>
      <c r="J58" s="179">
        <f>VLOOKUP(B58,Tot_res!C:V,9,FALSE)</f>
        <v>3767.3179100074963</v>
      </c>
      <c r="K58" s="179">
        <f>VLOOKUP(B58,Tot_res!C:V,10,FALSE)</f>
        <v>3138.4963690539862</v>
      </c>
      <c r="L58" s="179">
        <f>VLOOKUP(B58,Tot_res!C:V,11,FALSE)</f>
        <v>11397.890277070186</v>
      </c>
      <c r="M58" s="179">
        <f>VLOOKUP(B58,Tot_res!C:V,12,FALSE)</f>
        <v>7573.9629551072667</v>
      </c>
      <c r="N58" s="179">
        <f>VLOOKUP(B58,Tot_res!C:V,13,FALSE)</f>
        <v>1663.0950816840614</v>
      </c>
      <c r="O58" s="179">
        <f>VLOOKUP(B58,Tot_res!C:V,14,FALSE)</f>
        <v>4157.3353233509961</v>
      </c>
      <c r="P58" s="179">
        <f>VLOOKUP(B58,Tot_res!C:V,15,FALSE)</f>
        <v>9778.0718066963673</v>
      </c>
      <c r="Q58" s="179">
        <f>VLOOKUP(B58,Tot_res!C:V,16,FALSE)</f>
        <v>2225.5006468215529</v>
      </c>
      <c r="R58" s="179">
        <f>VLOOKUP(B58,Tot_res!C:V,17,FALSE)</f>
        <v>971.83207142157221</v>
      </c>
      <c r="S58" s="179">
        <f>VLOOKUP(B58,Tot_res!C:V,18,FALSE)</f>
        <v>3320.8685722128953</v>
      </c>
      <c r="T58" s="179">
        <f>VLOOKUP(B58,Tot_res!C:V,19,FALSE)</f>
        <v>482.44365197238369</v>
      </c>
      <c r="U58" s="179">
        <f>VLOOKUP(B58,Tot_res!C:V,20,FALSE)</f>
        <v>257.37129264547445</v>
      </c>
      <c r="V58" s="122">
        <f t="shared" si="8"/>
        <v>70840.058929999999</v>
      </c>
    </row>
    <row r="59" spans="1:22">
      <c r="A59" s="351" t="str">
        <f>IF(B59="","",(IF(ISERROR(MATCH(B59,Tot_res!C:C,0)),"Eliminar!!!","")))</f>
        <v/>
      </c>
      <c r="B59" s="115" t="s">
        <v>160</v>
      </c>
      <c r="C59" s="329" t="str">
        <f>VLOOKUP(B59,Tot_res!C:D,2,FALSE)</f>
        <v>Aplicación del sistema tributario estatal +  AF01: ajuste forales, gestión tributaria</v>
      </c>
      <c r="D59" s="179">
        <f>VLOOKUP(B59,Tot_res!C:V,3,FALSE)</f>
        <v>250662.45671941363</v>
      </c>
      <c r="E59" s="179">
        <f>VLOOKUP(B59,Tot_res!C:V,4,FALSE)</f>
        <v>39434.873130380322</v>
      </c>
      <c r="F59" s="179">
        <f>VLOOKUP(B59,Tot_res!C:V,5,FALSE)</f>
        <v>31524.018853205722</v>
      </c>
      <c r="G59" s="179">
        <f>VLOOKUP(B59,Tot_res!C:V,6,FALSE)</f>
        <v>32940.3868131524</v>
      </c>
      <c r="H59" s="179">
        <f>VLOOKUP(B59,Tot_res!C:V,7,FALSE)</f>
        <v>62736.987571616126</v>
      </c>
      <c r="I59" s="179">
        <f>VLOOKUP(B59,Tot_res!C:V,8,FALSE)</f>
        <v>17512.664155473292</v>
      </c>
      <c r="J59" s="179">
        <f>VLOOKUP(B59,Tot_res!C:V,9,FALSE)</f>
        <v>74101.245796299554</v>
      </c>
      <c r="K59" s="179">
        <f>VLOOKUP(B59,Tot_res!C:V,10,FALSE)</f>
        <v>61732.642805714349</v>
      </c>
      <c r="L59" s="179">
        <f>VLOOKUP(B59,Tot_res!C:V,11,FALSE)</f>
        <v>224190.76094874885</v>
      </c>
      <c r="M59" s="179">
        <f>VLOOKUP(B59,Tot_res!C:V,12,FALSE)</f>
        <v>148976.03653187692</v>
      </c>
      <c r="N59" s="179">
        <f>VLOOKUP(B59,Tot_res!C:V,13,FALSE)</f>
        <v>32712.242601857379</v>
      </c>
      <c r="O59" s="179">
        <f>VLOOKUP(B59,Tot_res!C:V,14,FALSE)</f>
        <v>81772.691875811885</v>
      </c>
      <c r="P59" s="179">
        <f>VLOOKUP(B59,Tot_res!C:V,15,FALSE)</f>
        <v>192329.74749413502</v>
      </c>
      <c r="Q59" s="179">
        <f>VLOOKUP(B59,Tot_res!C:V,16,FALSE)</f>
        <v>43774.47680002651</v>
      </c>
      <c r="R59" s="179">
        <f>VLOOKUP(B59,Tot_res!C:V,17,FALSE)</f>
        <v>19115.447360000893</v>
      </c>
      <c r="S59" s="179">
        <f>VLOOKUP(B59,Tot_res!C:V,18,FALSE)</f>
        <v>65319.812186029325</v>
      </c>
      <c r="T59" s="179">
        <f>VLOOKUP(B59,Tot_res!C:V,19,FALSE)</f>
        <v>9489.4236408094548</v>
      </c>
      <c r="U59" s="179">
        <f>VLOOKUP(B59,Tot_res!C:V,20,FALSE)</f>
        <v>5062.3636955543516</v>
      </c>
      <c r="V59" s="122">
        <f t="shared" si="8"/>
        <v>1393388.2789801061</v>
      </c>
    </row>
    <row r="60" spans="1:22">
      <c r="A60" s="351" t="str">
        <f>IF(B60="","",(IF(ISERROR(MATCH(B60,Tot_res!C:C,0)),"Eliminar!!!","")))</f>
        <v/>
      </c>
      <c r="B60" s="115" t="s">
        <v>161</v>
      </c>
      <c r="C60" s="329" t="str">
        <f>VLOOKUP(B60,Tot_res!C:D,2,FALSE)</f>
        <v>Gestión del catastro inmobiliario + AF02: corrección forales, catastro</v>
      </c>
      <c r="D60" s="179">
        <f>VLOOKUP(B60,Tot_res!C:V,3,FALSE)</f>
        <v>23690.021557643111</v>
      </c>
      <c r="E60" s="179">
        <f>VLOOKUP(B60,Tot_res!C:V,4,FALSE)</f>
        <v>3726.9761367868887</v>
      </c>
      <c r="F60" s="179">
        <f>VLOOKUP(B60,Tot_res!C:V,5,FALSE)</f>
        <v>2979.3240519139617</v>
      </c>
      <c r="G60" s="179">
        <f>VLOOKUP(B60,Tot_res!C:V,6,FALSE)</f>
        <v>3113.184494932962</v>
      </c>
      <c r="H60" s="179">
        <f>VLOOKUP(B60,Tot_res!C:V,7,FALSE)</f>
        <v>5929.2508638293648</v>
      </c>
      <c r="I60" s="179">
        <f>VLOOKUP(B60,Tot_res!C:V,8,FALSE)</f>
        <v>1655.115795180006</v>
      </c>
      <c r="J60" s="179">
        <f>VLOOKUP(B60,Tot_res!C:V,9,FALSE)</f>
        <v>7003.2829540467364</v>
      </c>
      <c r="K60" s="179">
        <f>VLOOKUP(B60,Tot_res!C:V,10,FALSE)</f>
        <v>5834.3305895014364</v>
      </c>
      <c r="L60" s="179">
        <f>VLOOKUP(B60,Tot_res!C:V,11,FALSE)</f>
        <v>21188.190802124751</v>
      </c>
      <c r="M60" s="179">
        <f>VLOOKUP(B60,Tot_res!C:V,12,FALSE)</f>
        <v>14079.67337112217</v>
      </c>
      <c r="N60" s="179">
        <f>VLOOKUP(B60,Tot_res!C:V,13,FALSE)</f>
        <v>3091.6226649143546</v>
      </c>
      <c r="O60" s="179">
        <f>VLOOKUP(B60,Tot_res!C:V,14,FALSE)</f>
        <v>7728.3086534691929</v>
      </c>
      <c r="P60" s="179">
        <f>VLOOKUP(B60,Tot_res!C:V,15,FALSE)</f>
        <v>18177.017507700959</v>
      </c>
      <c r="Q60" s="179">
        <f>VLOOKUP(B60,Tot_res!C:V,16,FALSE)</f>
        <v>4137.1105694858525</v>
      </c>
      <c r="R60" s="179">
        <f>VLOOKUP(B60,Tot_res!C:V,17,FALSE)</f>
        <v>1806.5942780945411</v>
      </c>
      <c r="S60" s="179">
        <f>VLOOKUP(B60,Tot_res!C:V,18,FALSE)</f>
        <v>6173.3527193519531</v>
      </c>
      <c r="T60" s="179">
        <f>VLOOKUP(B60,Tot_res!C:V,19,FALSE)</f>
        <v>896.84212611075543</v>
      </c>
      <c r="U60" s="179">
        <f>VLOOKUP(B60,Tot_res!C:V,20,FALSE)</f>
        <v>478.44223123751163</v>
      </c>
      <c r="V60" s="122">
        <f t="shared" si="8"/>
        <v>131688.64136744651</v>
      </c>
    </row>
    <row r="61" spans="1:22">
      <c r="A61" s="351" t="str">
        <f>IF(B61="","",(IF(ISERROR(MATCH(B61,Tot_res!C:C,0)),"Eliminar!!!","")))</f>
        <v/>
      </c>
      <c r="B61" s="115" t="s">
        <v>162</v>
      </c>
      <c r="C61" s="329" t="str">
        <f>VLOOKUP(B61,Tot_res!C:D,2,FALSE)</f>
        <v>Resolución de reclamaciones económico-administrativas</v>
      </c>
      <c r="D61" s="179">
        <f>VLOOKUP(B61,Tot_res!C:V,3,FALSE)</f>
        <v>5104.9667448154005</v>
      </c>
      <c r="E61" s="179">
        <f>VLOOKUP(B61,Tot_res!C:V,4,FALSE)</f>
        <v>803.1267169058043</v>
      </c>
      <c r="F61" s="179">
        <f>VLOOKUP(B61,Tot_res!C:V,5,FALSE)</f>
        <v>642.0150429176141</v>
      </c>
      <c r="G61" s="179">
        <f>VLOOKUP(B61,Tot_res!C:V,6,FALSE)</f>
        <v>670.8606523821519</v>
      </c>
      <c r="H61" s="179">
        <f>VLOOKUP(B61,Tot_res!C:V,7,FALSE)</f>
        <v>1277.6952696250848</v>
      </c>
      <c r="I61" s="179">
        <f>VLOOKUP(B61,Tot_res!C:V,8,FALSE)</f>
        <v>356.66118212064805</v>
      </c>
      <c r="J61" s="179">
        <f>VLOOKUP(B61,Tot_res!C:V,9,FALSE)</f>
        <v>1509.1386260645522</v>
      </c>
      <c r="K61" s="179">
        <f>VLOOKUP(B61,Tot_res!C:V,10,FALSE)</f>
        <v>1257.2408836856814</v>
      </c>
      <c r="L61" s="179">
        <f>VLOOKUP(B61,Tot_res!C:V,11,FALSE)</f>
        <v>4565.8468129486828</v>
      </c>
      <c r="M61" s="179">
        <f>VLOOKUP(B61,Tot_res!C:V,12,FALSE)</f>
        <v>3034.0311916791893</v>
      </c>
      <c r="N61" s="179">
        <f>VLOOKUP(B61,Tot_res!C:V,13,FALSE)</f>
        <v>666.21428999136538</v>
      </c>
      <c r="O61" s="179">
        <f>VLOOKUP(B61,Tot_res!C:V,14,FALSE)</f>
        <v>1665.3745364322251</v>
      </c>
      <c r="P61" s="179">
        <f>VLOOKUP(B61,Tot_res!C:V,15,FALSE)</f>
        <v>3916.9685713858239</v>
      </c>
      <c r="Q61" s="179">
        <f>VLOOKUP(B61,Tot_res!C:V,16,FALSE)</f>
        <v>891.50665504716267</v>
      </c>
      <c r="R61" s="179">
        <f>VLOOKUP(B61,Tot_res!C:V,17,FALSE)</f>
        <v>389.30330597655905</v>
      </c>
      <c r="S61" s="179">
        <f>VLOOKUP(B61,Tot_res!C:V,18,FALSE)</f>
        <v>1330.2968196810202</v>
      </c>
      <c r="T61" s="179">
        <f>VLOOKUP(B61,Tot_res!C:V,19,FALSE)</f>
        <v>193.26066116085207</v>
      </c>
      <c r="U61" s="179">
        <f>VLOOKUP(B61,Tot_res!C:V,20,FALSE)</f>
        <v>103.09959718017964</v>
      </c>
      <c r="V61" s="122">
        <f t="shared" si="8"/>
        <v>28377.60756</v>
      </c>
    </row>
    <row r="62" spans="1:22">
      <c r="A62" s="352"/>
      <c r="B62" s="115"/>
      <c r="C62" s="102"/>
      <c r="D62" s="105"/>
      <c r="E62" s="105"/>
      <c r="F62" s="105"/>
      <c r="G62" s="105"/>
      <c r="H62" s="105"/>
      <c r="I62" s="105"/>
      <c r="J62" s="105"/>
      <c r="K62" s="105"/>
      <c r="L62" s="105"/>
      <c r="M62" s="105"/>
      <c r="N62" s="105"/>
      <c r="O62" s="105"/>
      <c r="P62" s="105"/>
      <c r="Q62" s="105"/>
      <c r="R62" s="105"/>
      <c r="S62" s="105"/>
      <c r="T62" s="105"/>
      <c r="U62" s="105"/>
      <c r="V62" s="122"/>
    </row>
    <row r="63" spans="1:22" ht="13.5">
      <c r="A63" s="352"/>
      <c r="B63" s="115"/>
      <c r="C63" s="128" t="s">
        <v>0</v>
      </c>
      <c r="D63" s="130">
        <f t="shared" ref="D63:U63" si="11">SUM(D64:D77)</f>
        <v>139456.68192424404</v>
      </c>
      <c r="E63" s="130">
        <f t="shared" si="11"/>
        <v>21939.689855598695</v>
      </c>
      <c r="F63" s="130">
        <f t="shared" si="11"/>
        <v>17538.46638113197</v>
      </c>
      <c r="G63" s="130">
        <f t="shared" si="11"/>
        <v>18326.466222285191</v>
      </c>
      <c r="H63" s="130">
        <f t="shared" si="11"/>
        <v>34903.879245281933</v>
      </c>
      <c r="I63" s="130">
        <f t="shared" si="11"/>
        <v>9743.2143079558282</v>
      </c>
      <c r="J63" s="130">
        <f t="shared" si="11"/>
        <v>41226.412604630073</v>
      </c>
      <c r="K63" s="130">
        <f t="shared" si="11"/>
        <v>34345.109534038638</v>
      </c>
      <c r="L63" s="130">
        <f t="shared" si="11"/>
        <v>124729.08806994255</v>
      </c>
      <c r="M63" s="130">
        <f t="shared" si="11"/>
        <v>82883.188862289069</v>
      </c>
      <c r="N63" s="130">
        <f t="shared" si="11"/>
        <v>18199.537622271338</v>
      </c>
      <c r="O63" s="130">
        <f t="shared" si="11"/>
        <v>45494.440732221155</v>
      </c>
      <c r="P63" s="130">
        <f t="shared" si="11"/>
        <v>107003.13390322903</v>
      </c>
      <c r="Q63" s="130">
        <f t="shared" si="11"/>
        <v>24354.039162453872</v>
      </c>
      <c r="R63" s="130">
        <f t="shared" si="11"/>
        <v>10634.926734589895</v>
      </c>
      <c r="S63" s="130">
        <f t="shared" si="11"/>
        <v>36340.84015052639</v>
      </c>
      <c r="T63" s="130">
        <f t="shared" si="11"/>
        <v>5279.4644704296961</v>
      </c>
      <c r="U63" s="130">
        <f t="shared" si="11"/>
        <v>2816.4586468807488</v>
      </c>
      <c r="V63" s="131">
        <f>SUM(V64:V77)</f>
        <v>775215.03843000007</v>
      </c>
    </row>
    <row r="64" spans="1:22">
      <c r="A64" s="351" t="str">
        <f>IF(B64="","",(IF(ISERROR(MATCH(B64,Tot_res!C:C,0)),"Eliminar!!!","")))</f>
        <v/>
      </c>
      <c r="B64" s="115" t="s">
        <v>163</v>
      </c>
      <c r="C64" s="329" t="str">
        <f>VLOOKUP(B64,Tot_res!C:D,2,FALSE)</f>
        <v>Registros vinculados con la fe pública</v>
      </c>
      <c r="D64" s="179">
        <f>VLOOKUP(B64,Tot_res!C:V,3,FALSE)</f>
        <v>3809.4302661343154</v>
      </c>
      <c r="E64" s="179">
        <f>VLOOKUP(B64,Tot_res!C:V,4,FALSE)</f>
        <v>599.30953047426556</v>
      </c>
      <c r="F64" s="179">
        <f>VLOOKUP(B64,Tot_res!C:V,5,FALSE)</f>
        <v>479.08471456503474</v>
      </c>
      <c r="G64" s="179">
        <f>VLOOKUP(B64,Tot_res!C:V,6,FALSE)</f>
        <v>500.60989645792375</v>
      </c>
      <c r="H64" s="179">
        <f>VLOOKUP(B64,Tot_res!C:V,7,FALSE)</f>
        <v>953.44226011847388</v>
      </c>
      <c r="I64" s="179">
        <f>VLOOKUP(B64,Tot_res!C:V,8,FALSE)</f>
        <v>266.14784578283684</v>
      </c>
      <c r="J64" s="179">
        <f>VLOOKUP(B64,Tot_res!C:V,9,FALSE)</f>
        <v>1126.1500114102212</v>
      </c>
      <c r="K64" s="179">
        <f>VLOOKUP(B64,Tot_res!C:V,10,FALSE)</f>
        <v>938.17878030209863</v>
      </c>
      <c r="L64" s="179">
        <f>VLOOKUP(B64,Tot_res!C:V,11,FALSE)</f>
        <v>3407.1279812829757</v>
      </c>
      <c r="M64" s="179">
        <f>VLOOKUP(B64,Tot_res!C:V,12,FALSE)</f>
        <v>2264.0559337074023</v>
      </c>
      <c r="N64" s="179">
        <f>VLOOKUP(B64,Tot_res!C:V,13,FALSE)</f>
        <v>497.14268611088931</v>
      </c>
      <c r="O64" s="179">
        <f>VLOOKUP(B64,Tot_res!C:V,14,FALSE)</f>
        <v>1242.7364330977111</v>
      </c>
      <c r="P64" s="179">
        <f>VLOOKUP(B64,Tot_res!C:V,15,FALSE)</f>
        <v>2922.921807960498</v>
      </c>
      <c r="Q64" s="179">
        <f>VLOOKUP(B64,Tot_res!C:V,16,FALSE)</f>
        <v>665.26044222441521</v>
      </c>
      <c r="R64" s="179">
        <f>VLOOKUP(B64,Tot_res!C:V,17,FALSE)</f>
        <v>290.50606411871536</v>
      </c>
      <c r="S64" s="179">
        <f>VLOOKUP(B64,Tot_res!C:V,18,FALSE)</f>
        <v>992.6946092218576</v>
      </c>
      <c r="T64" s="179">
        <f>VLOOKUP(B64,Tot_res!C:V,19,FALSE)</f>
        <v>144.21504559789264</v>
      </c>
      <c r="U64" s="179">
        <f>VLOOKUP(B64,Tot_res!C:V,20,FALSE)</f>
        <v>76.935021432472553</v>
      </c>
      <c r="V64" s="122">
        <f t="shared" ref="V64:V77" si="12">SUM(D64:U64)</f>
        <v>21175.949329999999</v>
      </c>
    </row>
    <row r="65" spans="1:22">
      <c r="A65" s="351" t="str">
        <f>IF(B65="","",(IF(ISERROR(MATCH(B65,Tot_res!C:C,0)),"Eliminar!!!","")))</f>
        <v/>
      </c>
      <c r="B65" s="115" t="s">
        <v>164</v>
      </c>
      <c r="C65" s="329" t="str">
        <f>VLOOKUP(B65,Tot_res!C:D,2,FALSE)</f>
        <v>Derecho de asilo y apátridas</v>
      </c>
      <c r="D65" s="179">
        <f>VLOOKUP(B65,Tot_res!C:V,3,FALSE)</f>
        <v>443.97918455444596</v>
      </c>
      <c r="E65" s="179">
        <f>VLOOKUP(B65,Tot_res!C:V,4,FALSE)</f>
        <v>69.847966243435792</v>
      </c>
      <c r="F65" s="179">
        <f>VLOOKUP(B65,Tot_res!C:V,5,FALSE)</f>
        <v>55.83607680025294</v>
      </c>
      <c r="G65" s="179">
        <f>VLOOKUP(B65,Tot_res!C:V,6,FALSE)</f>
        <v>58.344780736678807</v>
      </c>
      <c r="H65" s="179">
        <f>VLOOKUP(B65,Tot_res!C:V,7,FALSE)</f>
        <v>111.12121435332311</v>
      </c>
      <c r="I65" s="179">
        <f>VLOOKUP(B65,Tot_res!C:V,8,FALSE)</f>
        <v>31.018838851589059</v>
      </c>
      <c r="J65" s="179">
        <f>VLOOKUP(B65,Tot_res!C:V,9,FALSE)</f>
        <v>131.24985334336111</v>
      </c>
      <c r="K65" s="179">
        <f>VLOOKUP(B65,Tot_res!C:V,10,FALSE)</f>
        <v>109.34229549960848</v>
      </c>
      <c r="L65" s="179">
        <f>VLOOKUP(B65,Tot_res!C:V,11,FALSE)</f>
        <v>397.09190013279419</v>
      </c>
      <c r="M65" s="179">
        <f>VLOOKUP(B65,Tot_res!C:V,12,FALSE)</f>
        <v>263.86982750916837</v>
      </c>
      <c r="N65" s="179">
        <f>VLOOKUP(B65,Tot_res!C:V,13,FALSE)</f>
        <v>57.940686393165024</v>
      </c>
      <c r="O65" s="179">
        <f>VLOOKUP(B65,Tot_res!C:V,14,FALSE)</f>
        <v>144.83769740789072</v>
      </c>
      <c r="P65" s="179">
        <f>VLOOKUP(B65,Tot_res!C:V,15,FALSE)</f>
        <v>340.65893064150742</v>
      </c>
      <c r="Q65" s="179">
        <f>VLOOKUP(B65,Tot_res!C:V,16,FALSE)</f>
        <v>77.534373389343969</v>
      </c>
      <c r="R65" s="179">
        <f>VLOOKUP(B65,Tot_res!C:V,17,FALSE)</f>
        <v>33.857725813270271</v>
      </c>
      <c r="S65" s="179">
        <f>VLOOKUP(B65,Tot_res!C:V,18,FALSE)</f>
        <v>115.69597349819948</v>
      </c>
      <c r="T65" s="179">
        <f>VLOOKUP(B65,Tot_res!C:V,19,FALSE)</f>
        <v>16.80788828561721</v>
      </c>
      <c r="U65" s="179">
        <f>VLOOKUP(B65,Tot_res!C:V,20,FALSE)</f>
        <v>8.9665765463479516</v>
      </c>
      <c r="V65" s="122">
        <f t="shared" si="12"/>
        <v>2468.0017900000003</v>
      </c>
    </row>
    <row r="66" spans="1:22">
      <c r="A66" s="351" t="str">
        <f>IF(B66="","",(IF(ISERROR(MATCH(B66,Tot_res!C:C,0)),"Eliminar!!!","")))</f>
        <v/>
      </c>
      <c r="B66" s="115" t="s">
        <v>165</v>
      </c>
      <c r="C66" s="329" t="str">
        <f>VLOOKUP(B66,Tot_res!C:D,2,FALSE)</f>
        <v>Protección de datos de carácter personal</v>
      </c>
      <c r="D66" s="179">
        <f>VLOOKUP(B66,Tot_res!C:V,3,FALSE)</f>
        <v>2074.3992949131534</v>
      </c>
      <c r="E66" s="179">
        <f>VLOOKUP(B66,Tot_res!C:V,4,FALSE)</f>
        <v>326.34992127369094</v>
      </c>
      <c r="F66" s="179">
        <f>VLOOKUP(B66,Tot_res!C:V,5,FALSE)</f>
        <v>260.88231695231059</v>
      </c>
      <c r="G66" s="179">
        <f>VLOOKUP(B66,Tot_res!C:V,6,FALSE)</f>
        <v>272.60370808484799</v>
      </c>
      <c r="H66" s="179">
        <f>VLOOKUP(B66,Tot_res!C:V,7,FALSE)</f>
        <v>519.19048622911055</v>
      </c>
      <c r="I66" s="179">
        <f>VLOOKUP(B66,Tot_res!C:V,8,FALSE)</f>
        <v>144.92899595582338</v>
      </c>
      <c r="J66" s="179">
        <f>VLOOKUP(B66,Tot_res!C:V,9,FALSE)</f>
        <v>613.2373154073731</v>
      </c>
      <c r="K66" s="179">
        <f>VLOOKUP(B66,Tot_res!C:V,10,FALSE)</f>
        <v>510.87886229665838</v>
      </c>
      <c r="L66" s="179">
        <f>VLOOKUP(B66,Tot_res!C:V,11,FALSE)</f>
        <v>1855.3283268850578</v>
      </c>
      <c r="M66" s="179">
        <f>VLOOKUP(B66,Tot_res!C:V,12,FALSE)</f>
        <v>1232.8762319863874</v>
      </c>
      <c r="N66" s="179">
        <f>VLOOKUP(B66,Tot_res!C:V,13,FALSE)</f>
        <v>270.71566231507927</v>
      </c>
      <c r="O66" s="179">
        <f>VLOOKUP(B66,Tot_res!C:V,14,FALSE)</f>
        <v>676.72365694641758</v>
      </c>
      <c r="P66" s="179">
        <f>VLOOKUP(B66,Tot_res!C:V,15,FALSE)</f>
        <v>1591.6571544627277</v>
      </c>
      <c r="Q66" s="179">
        <f>VLOOKUP(B66,Tot_res!C:V,16,FALSE)</f>
        <v>362.26304089412668</v>
      </c>
      <c r="R66" s="179">
        <f>VLOOKUP(B66,Tot_res!C:V,17,FALSE)</f>
        <v>158.19309777978506</v>
      </c>
      <c r="S66" s="179">
        <f>VLOOKUP(B66,Tot_res!C:V,18,FALSE)</f>
        <v>540.56508547761496</v>
      </c>
      <c r="T66" s="179">
        <f>VLOOKUP(B66,Tot_res!C:V,19,FALSE)</f>
        <v>78.531320434883312</v>
      </c>
      <c r="U66" s="179">
        <f>VLOOKUP(B66,Tot_res!C:V,20,FALSE)</f>
        <v>41.894441704953458</v>
      </c>
      <c r="V66" s="122">
        <f t="shared" si="12"/>
        <v>11531.218920000001</v>
      </c>
    </row>
    <row r="67" spans="1:22">
      <c r="A67" s="351" t="str">
        <f>IF(B67="","",(IF(ISERROR(MATCH(B67,Tot_res!C:C,0)),"Eliminar!!!","")))</f>
        <v/>
      </c>
      <c r="B67" s="115" t="s">
        <v>166</v>
      </c>
      <c r="C67" s="329" t="str">
        <f>VLOOKUP(B67,Tot_res!C:D,2,FALSE)</f>
        <v>Meteorología</v>
      </c>
      <c r="D67" s="179">
        <f>VLOOKUP(B67,Tot_res!C:V,3,FALSE)</f>
        <v>16244.079078084973</v>
      </c>
      <c r="E67" s="179">
        <f>VLOOKUP(B67,Tot_res!C:V,4,FALSE)</f>
        <v>2555.5609960417878</v>
      </c>
      <c r="F67" s="179">
        <f>VLOOKUP(B67,Tot_res!C:V,5,FALSE)</f>
        <v>2042.9012857068005</v>
      </c>
      <c r="G67" s="179">
        <f>VLOOKUP(B67,Tot_res!C:V,6,FALSE)</f>
        <v>2134.6884382231983</v>
      </c>
      <c r="H67" s="179">
        <f>VLOOKUP(B67,Tot_res!C:V,7,FALSE)</f>
        <v>4065.6450932934526</v>
      </c>
      <c r="I67" s="179">
        <f>VLOOKUP(B67,Tot_res!C:V,8,FALSE)</f>
        <v>1134.9011141620228</v>
      </c>
      <c r="J67" s="179">
        <f>VLOOKUP(B67,Tot_res!C:V,9,FALSE)</f>
        <v>4802.1012490398825</v>
      </c>
      <c r="K67" s="179">
        <f>VLOOKUP(B67,Tot_res!C:V,10,FALSE)</f>
        <v>4000.5589371435058</v>
      </c>
      <c r="L67" s="179">
        <f>VLOOKUP(B67,Tot_res!C:V,11,FALSE)</f>
        <v>14528.591545338781</v>
      </c>
      <c r="M67" s="179">
        <f>VLOOKUP(B67,Tot_res!C:V,12,FALSE)</f>
        <v>9654.3317648576231</v>
      </c>
      <c r="N67" s="179">
        <f>VLOOKUP(B67,Tot_res!C:V,13,FALSE)</f>
        <v>2119.9036449279174</v>
      </c>
      <c r="O67" s="179">
        <f>VLOOKUP(B67,Tot_res!C:V,14,FALSE)</f>
        <v>5299.24620800099</v>
      </c>
      <c r="P67" s="179">
        <f>VLOOKUP(B67,Tot_res!C:V,15,FALSE)</f>
        <v>12463.851460851323</v>
      </c>
      <c r="Q67" s="179">
        <f>VLOOKUP(B67,Tot_res!C:V,16,FALSE)</f>
        <v>2836.7872558489707</v>
      </c>
      <c r="R67" s="179">
        <f>VLOOKUP(B67,Tot_res!C:V,17,FALSE)</f>
        <v>1238.768831171262</v>
      </c>
      <c r="S67" s="179">
        <f>VLOOKUP(B67,Tot_res!C:V,18,FALSE)</f>
        <v>4233.0239973002708</v>
      </c>
      <c r="T67" s="179">
        <f>VLOOKUP(B67,Tot_res!C:V,19,FALSE)</f>
        <v>614.95825918321179</v>
      </c>
      <c r="U67" s="179">
        <f>VLOOKUP(B67,Tot_res!C:V,20,FALSE)</f>
        <v>328.06443082404553</v>
      </c>
      <c r="V67" s="122">
        <f t="shared" si="12"/>
        <v>90297.963590000028</v>
      </c>
    </row>
    <row r="68" spans="1:22">
      <c r="A68" s="351" t="str">
        <f>IF(B68="","",(IF(ISERROR(MATCH(B68,Tot_res!C:C,0)),"Eliminar!!!","")))</f>
        <v/>
      </c>
      <c r="B68" s="115" t="s">
        <v>168</v>
      </c>
      <c r="C68" s="329" t="str">
        <f>VLOOKUP(B68,Tot_res!C:D,2,FALSE)</f>
        <v>Metrología</v>
      </c>
      <c r="D68" s="179">
        <f>VLOOKUP(B68,Tot_res!C:V,3,FALSE)</f>
        <v>982.99405765239521</v>
      </c>
      <c r="E68" s="179">
        <f>VLOOKUP(B68,Tot_res!C:V,4,FALSE)</f>
        <v>154.64719551054213</v>
      </c>
      <c r="F68" s="179">
        <f>VLOOKUP(B68,Tot_res!C:V,5,FALSE)</f>
        <v>123.62411033380455</v>
      </c>
      <c r="G68" s="179">
        <f>VLOOKUP(B68,Tot_res!C:V,6,FALSE)</f>
        <v>129.17851726932471</v>
      </c>
      <c r="H68" s="179">
        <f>VLOOKUP(B68,Tot_res!C:V,7,FALSE)</f>
        <v>246.0284112149393</v>
      </c>
      <c r="I68" s="179">
        <f>VLOOKUP(B68,Tot_res!C:V,8,FALSE)</f>
        <v>68.67739598420313</v>
      </c>
      <c r="J68" s="179">
        <f>VLOOKUP(B68,Tot_res!C:V,9,FALSE)</f>
        <v>290.5943125098259</v>
      </c>
      <c r="K68" s="179">
        <f>VLOOKUP(B68,Tot_res!C:V,10,FALSE)</f>
        <v>242.08978813736829</v>
      </c>
      <c r="L68" s="179">
        <f>VLOOKUP(B68,Tot_res!C:V,11,FALSE)</f>
        <v>879.18306026927496</v>
      </c>
      <c r="M68" s="179">
        <f>VLOOKUP(B68,Tot_res!C:V,12,FALSE)</f>
        <v>584.22214702605379</v>
      </c>
      <c r="N68" s="179">
        <f>VLOOKUP(B68,Tot_res!C:V,13,FALSE)</f>
        <v>128.28383041862554</v>
      </c>
      <c r="O68" s="179">
        <f>VLOOKUP(B68,Tot_res!C:V,14,FALSE)</f>
        <v>320.67853815915242</v>
      </c>
      <c r="P68" s="179">
        <f>VLOOKUP(B68,Tot_res!C:V,15,FALSE)</f>
        <v>754.23739705922185</v>
      </c>
      <c r="Q68" s="179">
        <f>VLOOKUP(B68,Tot_res!C:V,16,FALSE)</f>
        <v>171.66531890906842</v>
      </c>
      <c r="R68" s="179">
        <f>VLOOKUP(B68,Tot_res!C:V,17,FALSE)</f>
        <v>74.962846092590539</v>
      </c>
      <c r="S68" s="179">
        <f>VLOOKUP(B68,Tot_res!C:V,18,FALSE)</f>
        <v>256.15717673154188</v>
      </c>
      <c r="T68" s="179">
        <f>VLOOKUP(B68,Tot_res!C:V,19,FALSE)</f>
        <v>37.213578656908616</v>
      </c>
      <c r="U68" s="179">
        <f>VLOOKUP(B68,Tot_res!C:V,20,FALSE)</f>
        <v>19.852488065157218</v>
      </c>
      <c r="V68" s="122">
        <f t="shared" si="12"/>
        <v>5464.2901699999984</v>
      </c>
    </row>
    <row r="69" spans="1:22">
      <c r="A69" s="351" t="str">
        <f>IF(B69="","",(IF(ISERROR(MATCH(B69,Tot_res!C:C,0)),"Eliminar!!!","")))</f>
        <v/>
      </c>
      <c r="B69" s="115" t="s">
        <v>169</v>
      </c>
      <c r="C69" s="329" t="str">
        <f>VLOOKUP(B69,Tot_res!C:D,2,FALSE)</f>
        <v>Dirección y organización de la administración pública</v>
      </c>
      <c r="D69" s="179">
        <f>VLOOKUP(B69,Tot_res!C:V,3,FALSE)</f>
        <v>8113.3355574105817</v>
      </c>
      <c r="E69" s="179">
        <f>VLOOKUP(B69,Tot_res!C:V,4,FALSE)</f>
        <v>1276.4111648711455</v>
      </c>
      <c r="F69" s="179">
        <f>VLOOKUP(B69,Tot_res!C:V,5,FALSE)</f>
        <v>1020.3560055285565</v>
      </c>
      <c r="G69" s="179">
        <f>VLOOKUP(B69,Tot_res!C:V,6,FALSE)</f>
        <v>1066.2003999472859</v>
      </c>
      <c r="H69" s="179">
        <f>VLOOKUP(B69,Tot_res!C:V,7,FALSE)</f>
        <v>2030.6440728752209</v>
      </c>
      <c r="I69" s="179">
        <f>VLOOKUP(B69,Tot_res!C:V,8,FALSE)</f>
        <v>566.84244883404892</v>
      </c>
      <c r="J69" s="179">
        <f>VLOOKUP(B69,Tot_res!C:V,9,FALSE)</f>
        <v>2398.477539221275</v>
      </c>
      <c r="K69" s="179">
        <f>VLOOKUP(B69,Tot_res!C:V,10,FALSE)</f>
        <v>1998.1358695816921</v>
      </c>
      <c r="L69" s="179">
        <f>VLOOKUP(B69,Tot_res!C:V,11,FALSE)</f>
        <v>7256.510991929269</v>
      </c>
      <c r="M69" s="179">
        <f>VLOOKUP(B69,Tot_res!C:V,12,FALSE)</f>
        <v>4821.9928513234036</v>
      </c>
      <c r="N69" s="179">
        <f>VLOOKUP(B69,Tot_res!C:V,13,FALSE)</f>
        <v>1058.8159253596561</v>
      </c>
      <c r="O69" s="179">
        <f>VLOOKUP(B69,Tot_res!C:V,14,FALSE)</f>
        <v>2646.7836360666306</v>
      </c>
      <c r="P69" s="179">
        <f>VLOOKUP(B69,Tot_res!C:V,15,FALSE)</f>
        <v>6225.2472887819986</v>
      </c>
      <c r="Q69" s="179">
        <f>VLOOKUP(B69,Tot_res!C:V,16,FALSE)</f>
        <v>1416.8736067493951</v>
      </c>
      <c r="R69" s="179">
        <f>VLOOKUP(B69,Tot_res!C:V,17,FALSE)</f>
        <v>618.72065243224688</v>
      </c>
      <c r="S69" s="179">
        <f>VLOOKUP(B69,Tot_res!C:V,18,FALSE)</f>
        <v>2114.2438390984116</v>
      </c>
      <c r="T69" s="179">
        <f>VLOOKUP(B69,Tot_res!C:V,19,FALSE)</f>
        <v>307.14961965961231</v>
      </c>
      <c r="U69" s="179">
        <f>VLOOKUP(B69,Tot_res!C:V,20,FALSE)</f>
        <v>163.85643032957842</v>
      </c>
      <c r="V69" s="122">
        <f t="shared" si="12"/>
        <v>45100.597900000008</v>
      </c>
    </row>
    <row r="70" spans="1:22">
      <c r="A70" s="351" t="str">
        <f>IF(B70="","",(IF(ISERROR(MATCH(B70,Tot_res!C:C,0)),"Eliminar!!!","")))</f>
        <v/>
      </c>
      <c r="B70" s="115" t="s">
        <v>698</v>
      </c>
      <c r="C70" s="329" t="str">
        <f>VLOOKUP(B70,Tot_res!C:D,2,FALSE)</f>
        <v>Formación del personal de las administraciones públicas</v>
      </c>
      <c r="D70" s="179">
        <f>VLOOKUP(B70,Tot_res!C:V,3,FALSE)</f>
        <v>2673.9780909999604</v>
      </c>
      <c r="E70" s="179">
        <f>VLOOKUP(B70,Tot_res!C:V,4,FALSE)</f>
        <v>420.67722526966338</v>
      </c>
      <c r="F70" s="179">
        <f>VLOOKUP(B70,Tot_res!C:V,5,FALSE)</f>
        <v>336.2870405762414</v>
      </c>
      <c r="G70" s="179">
        <f>VLOOKUP(B70,Tot_res!C:V,6,FALSE)</f>
        <v>351.39635109389582</v>
      </c>
      <c r="H70" s="179">
        <f>VLOOKUP(B70,Tot_res!C:V,7,FALSE)</f>
        <v>669.25590875231239</v>
      </c>
      <c r="I70" s="179">
        <f>VLOOKUP(B70,Tot_res!C:V,8,FALSE)</f>
        <v>186.81888336869989</v>
      </c>
      <c r="J70" s="179">
        <f>VLOOKUP(B70,Tot_res!C:V,9,FALSE)</f>
        <v>790.48578063250795</v>
      </c>
      <c r="K70" s="179">
        <f>VLOOKUP(B70,Tot_res!C:V,10,FALSE)</f>
        <v>658.54191538058853</v>
      </c>
      <c r="L70" s="179">
        <f>VLOOKUP(B70,Tot_res!C:V,11,FALSE)</f>
        <v>2391.5874392494716</v>
      </c>
      <c r="M70" s="179">
        <f>VLOOKUP(B70,Tot_res!C:V,12,FALSE)</f>
        <v>1589.2234640314045</v>
      </c>
      <c r="N70" s="179">
        <f>VLOOKUP(B70,Tot_res!C:V,13,FALSE)</f>
        <v>348.96258965001812</v>
      </c>
      <c r="O70" s="179">
        <f>VLOOKUP(B70,Tot_res!C:V,14,FALSE)</f>
        <v>872.32204367474594</v>
      </c>
      <c r="P70" s="179">
        <f>VLOOKUP(B70,Tot_res!C:V,15,FALSE)</f>
        <v>2051.7054599147741</v>
      </c>
      <c r="Q70" s="179">
        <f>VLOOKUP(B70,Tot_res!C:V,16,FALSE)</f>
        <v>466.97057644848087</v>
      </c>
      <c r="R70" s="179">
        <f>VLOOKUP(B70,Tot_res!C:V,17,FALSE)</f>
        <v>203.91680552912513</v>
      </c>
      <c r="S70" s="179">
        <f>VLOOKUP(B70,Tot_res!C:V,18,FALSE)</f>
        <v>696.80856471134632</v>
      </c>
      <c r="T70" s="179">
        <f>VLOOKUP(B70,Tot_res!C:V,19,FALSE)</f>
        <v>101.22980219628687</v>
      </c>
      <c r="U70" s="179">
        <f>VLOOKUP(B70,Tot_res!C:V,20,FALSE)</f>
        <v>54.003498520476789</v>
      </c>
      <c r="V70" s="122">
        <f t="shared" si="12"/>
        <v>14864.17144</v>
      </c>
    </row>
    <row r="71" spans="1:22">
      <c r="A71" s="351" t="str">
        <f>IF(B71="","",(IF(ISERROR(MATCH(B71,Tot_res!C:C,0)),"Eliminar!!!","")))</f>
        <v/>
      </c>
      <c r="B71" s="115" t="s">
        <v>170</v>
      </c>
      <c r="C71" s="329" t="str">
        <f>VLOOKUP(B71,Tot_res!C:D,2,FALSE)</f>
        <v>Administración periférica del estado</v>
      </c>
      <c r="D71" s="179">
        <f>VLOOKUP(B71,Tot_res!C:V,3,FALSE)</f>
        <v>50456.016354538282</v>
      </c>
      <c r="E71" s="179">
        <f>VLOOKUP(B71,Tot_res!C:V,4,FALSE)</f>
        <v>7937.8724267147463</v>
      </c>
      <c r="F71" s="179">
        <f>VLOOKUP(B71,Tot_res!C:V,5,FALSE)</f>
        <v>6345.4911901648657</v>
      </c>
      <c r="G71" s="179">
        <f>VLOOKUP(B71,Tot_res!C:V,6,FALSE)</f>
        <v>6630.5928599019871</v>
      </c>
      <c r="H71" s="179">
        <f>VLOOKUP(B71,Tot_res!C:V,7,FALSE)</f>
        <v>12628.370887193836</v>
      </c>
      <c r="I71" s="179">
        <f>VLOOKUP(B71,Tot_res!C:V,8,FALSE)</f>
        <v>3525.1360758392393</v>
      </c>
      <c r="J71" s="179">
        <f>VLOOKUP(B71,Tot_res!C:V,9,FALSE)</f>
        <v>14915.890152528693</v>
      </c>
      <c r="K71" s="179">
        <f>VLOOKUP(B71,Tot_res!C:V,10,FALSE)</f>
        <v>12426.205646347022</v>
      </c>
      <c r="L71" s="179">
        <f>VLOOKUP(B71,Tot_res!C:V,11,FALSE)</f>
        <v>45127.510713056719</v>
      </c>
      <c r="M71" s="179">
        <f>VLOOKUP(B71,Tot_res!C:V,12,FALSE)</f>
        <v>29987.487691867449</v>
      </c>
      <c r="N71" s="179">
        <f>VLOOKUP(B71,Tot_res!C:V,13,FALSE)</f>
        <v>6584.6695564805232</v>
      </c>
      <c r="O71" s="179">
        <f>VLOOKUP(B71,Tot_res!C:V,14,FALSE)</f>
        <v>16460.08075018214</v>
      </c>
      <c r="P71" s="179">
        <f>VLOOKUP(B71,Tot_res!C:V,15,FALSE)</f>
        <v>38714.185650430169</v>
      </c>
      <c r="Q71" s="179">
        <f>VLOOKUP(B71,Tot_res!C:V,16,FALSE)</f>
        <v>8811.3942001528048</v>
      </c>
      <c r="R71" s="179">
        <f>VLOOKUP(B71,Tot_res!C:V,17,FALSE)</f>
        <v>3847.7613969137387</v>
      </c>
      <c r="S71" s="179">
        <f>VLOOKUP(B71,Tot_res!C:V,18,FALSE)</f>
        <v>13148.269410057243</v>
      </c>
      <c r="T71" s="179">
        <f>VLOOKUP(B71,Tot_res!C:V,19,FALSE)</f>
        <v>1910.1325371265359</v>
      </c>
      <c r="U71" s="179">
        <f>VLOOKUP(B71,Tot_res!C:V,20,FALSE)</f>
        <v>1019.0066305040273</v>
      </c>
      <c r="V71" s="122">
        <f t="shared" si="12"/>
        <v>280476.07413000002</v>
      </c>
    </row>
    <row r="72" spans="1:22">
      <c r="A72" s="351" t="str">
        <f>IF(B72="","",(IF(ISERROR(MATCH(B72,Tot_res!C:C,0)),"Eliminar!!!","")))</f>
        <v/>
      </c>
      <c r="B72" s="115" t="s">
        <v>171</v>
      </c>
      <c r="C72" s="329" t="str">
        <f>VLOOKUP(B72,Tot_res!C:D,2,FALSE)</f>
        <v>Publicidad de las normas legales</v>
      </c>
      <c r="D72" s="179">
        <f>VLOOKUP(B72,Tot_res!C:V,3,FALSE)</f>
        <v>4698.2867857731389</v>
      </c>
      <c r="E72" s="179">
        <f>VLOOKUP(B72,Tot_res!C:V,4,FALSE)</f>
        <v>739.14676235101524</v>
      </c>
      <c r="F72" s="179">
        <f>VLOOKUP(B72,Tot_res!C:V,5,FALSE)</f>
        <v>590.86982211408611</v>
      </c>
      <c r="G72" s="179">
        <f>VLOOKUP(B72,Tot_res!C:V,6,FALSE)</f>
        <v>617.41748687849417</v>
      </c>
      <c r="H72" s="179">
        <f>VLOOKUP(B72,Tot_res!C:V,7,FALSE)</f>
        <v>1175.9094821961385</v>
      </c>
      <c r="I72" s="179">
        <f>VLOOKUP(B72,Tot_res!C:V,8,FALSE)</f>
        <v>328.24827324438564</v>
      </c>
      <c r="J72" s="179">
        <f>VLOOKUP(B72,Tot_res!C:V,9,FALSE)</f>
        <v>1388.9152308268972</v>
      </c>
      <c r="K72" s="179">
        <f>VLOOKUP(B72,Tot_res!C:V,10,FALSE)</f>
        <v>1157.0845659970657</v>
      </c>
      <c r="L72" s="179">
        <f>VLOOKUP(B72,Tot_res!C:V,11,FALSE)</f>
        <v>4202.1150811467051</v>
      </c>
      <c r="M72" s="179">
        <f>VLOOKUP(B72,Tot_res!C:V,12,FALSE)</f>
        <v>2792.329385880324</v>
      </c>
      <c r="N72" s="179">
        <f>VLOOKUP(B72,Tot_res!C:V,13,FALSE)</f>
        <v>613.1412703791965</v>
      </c>
      <c r="O72" s="179">
        <f>VLOOKUP(B72,Tot_res!C:V,14,FALSE)</f>
        <v>1532.7048282594692</v>
      </c>
      <c r="P72" s="179">
        <f>VLOOKUP(B72,Tot_res!C:V,15,FALSE)</f>
        <v>3604.9288074052233</v>
      </c>
      <c r="Q72" s="179">
        <f>VLOOKUP(B72,Tot_res!C:V,16,FALSE)</f>
        <v>820.48603765945938</v>
      </c>
      <c r="R72" s="179">
        <f>VLOOKUP(B72,Tot_res!C:V,17,FALSE)</f>
        <v>358.29000844815585</v>
      </c>
      <c r="S72" s="179">
        <f>VLOOKUP(B72,Tot_res!C:V,18,FALSE)</f>
        <v>1224.3206041275355</v>
      </c>
      <c r="T72" s="179">
        <f>VLOOKUP(B72,Tot_res!C:V,19,FALSE)</f>
        <v>177.864823794194</v>
      </c>
      <c r="U72" s="179">
        <f>VLOOKUP(B72,Tot_res!C:V,20,FALSE)</f>
        <v>94.886313518519813</v>
      </c>
      <c r="V72" s="122">
        <f t="shared" si="12"/>
        <v>26116.945570000003</v>
      </c>
    </row>
    <row r="73" spans="1:22">
      <c r="A73" s="351" t="str">
        <f>IF(B73="","",(IF(ISERROR(MATCH(B73,Tot_res!C:C,0)),"Eliminar!!!","")))</f>
        <v/>
      </c>
      <c r="B73" s="115" t="s">
        <v>173</v>
      </c>
      <c r="C73" s="329" t="str">
        <f>VLOOKUP(B73,Tot_res!C:D,2,FALSE)</f>
        <v>Asesoramiento y defensa intereses del estado</v>
      </c>
      <c r="D73" s="179">
        <f>VLOOKUP(B73,Tot_res!C:V,3,FALSE)</f>
        <v>5471.8561974556769</v>
      </c>
      <c r="E73" s="179">
        <f>VLOOKUP(B73,Tot_res!C:V,4,FALSE)</f>
        <v>860.84672494809138</v>
      </c>
      <c r="F73" s="179">
        <f>VLOOKUP(B73,Tot_res!C:V,5,FALSE)</f>
        <v>688.15609720011059</v>
      </c>
      <c r="G73" s="179">
        <f>VLOOKUP(B73,Tot_res!C:V,6,FALSE)</f>
        <v>719.07481514831636</v>
      </c>
      <c r="H73" s="179">
        <f>VLOOKUP(B73,Tot_res!C:V,7,FALSE)</f>
        <v>1369.5221005422311</v>
      </c>
      <c r="I73" s="179">
        <f>VLOOKUP(B73,Tot_res!C:V,8,FALSE)</f>
        <v>382.29410637410672</v>
      </c>
      <c r="J73" s="179">
        <f>VLOOKUP(B73,Tot_res!C:V,9,FALSE)</f>
        <v>1617.5990866615673</v>
      </c>
      <c r="K73" s="179">
        <f>VLOOKUP(B73,Tot_res!C:V,10,FALSE)</f>
        <v>1347.5976759450787</v>
      </c>
      <c r="L73" s="179">
        <f>VLOOKUP(B73,Tot_res!C:V,11,FALSE)</f>
        <v>4893.9901920888869</v>
      </c>
      <c r="M73" s="179">
        <f>VLOOKUP(B73,Tot_res!C:V,12,FALSE)</f>
        <v>3252.0843345991157</v>
      </c>
      <c r="N73" s="179">
        <f>VLOOKUP(B73,Tot_res!C:V,13,FALSE)</f>
        <v>714.09452279489972</v>
      </c>
      <c r="O73" s="179">
        <f>VLOOKUP(B73,Tot_res!C:V,14,FALSE)</f>
        <v>1785.063533962564</v>
      </c>
      <c r="P73" s="179">
        <f>VLOOKUP(B73,Tot_res!C:V,15,FALSE)</f>
        <v>4198.4776442165967</v>
      </c>
      <c r="Q73" s="179">
        <f>VLOOKUP(B73,Tot_res!C:V,16,FALSE)</f>
        <v>955.57845121069374</v>
      </c>
      <c r="R73" s="179">
        <f>VLOOKUP(B73,Tot_res!C:V,17,FALSE)</f>
        <v>417.28219085095105</v>
      </c>
      <c r="S73" s="179">
        <f>VLOOKUP(B73,Tot_res!C:V,18,FALSE)</f>
        <v>1425.9040775573924</v>
      </c>
      <c r="T73" s="179">
        <f>VLOOKUP(B73,Tot_res!C:V,19,FALSE)</f>
        <v>207.15013424355419</v>
      </c>
      <c r="U73" s="179">
        <f>VLOOKUP(B73,Tot_res!C:V,20,FALSE)</f>
        <v>110.50927420016912</v>
      </c>
      <c r="V73" s="122">
        <f t="shared" si="12"/>
        <v>30417.081160000005</v>
      </c>
    </row>
    <row r="74" spans="1:22">
      <c r="A74" s="351" t="str">
        <f>IF(B74="","",(IF(ISERROR(MATCH(B74,Tot_res!C:C,0)),"Eliminar!!!","")))</f>
        <v/>
      </c>
      <c r="B74" s="115" t="s">
        <v>174</v>
      </c>
      <c r="C74" s="329" t="str">
        <f>VLOOKUP(B74,Tot_res!C:D,2,FALSE)</f>
        <v>Servicios de transportes de ministerios</v>
      </c>
      <c r="D74" s="179">
        <f>VLOOKUP(B74,Tot_res!C:V,3,FALSE)</f>
        <v>6461.4760513775354</v>
      </c>
      <c r="E74" s="179">
        <f>VLOOKUP(B74,Tot_res!C:V,4,FALSE)</f>
        <v>1016.536308053065</v>
      </c>
      <c r="F74" s="179">
        <f>VLOOKUP(B74,Tot_res!C:V,5,FALSE)</f>
        <v>812.61348639525613</v>
      </c>
      <c r="G74" s="179">
        <f>VLOOKUP(B74,Tot_res!C:V,6,FALSE)</f>
        <v>849.12405033414825</v>
      </c>
      <c r="H74" s="179">
        <f>VLOOKUP(B74,Tot_res!C:V,7,FALSE)</f>
        <v>1617.2088474475236</v>
      </c>
      <c r="I74" s="179">
        <f>VLOOKUP(B74,Tot_res!C:V,8,FALSE)</f>
        <v>451.4344170937207</v>
      </c>
      <c r="J74" s="179">
        <f>VLOOKUP(B74,Tot_res!C:V,9,FALSE)</f>
        <v>1910.1521279111714</v>
      </c>
      <c r="K74" s="179">
        <f>VLOOKUP(B74,Tot_res!C:V,10,FALSE)</f>
        <v>1591.3192517851587</v>
      </c>
      <c r="L74" s="179">
        <f>VLOOKUP(B74,Tot_res!C:V,11,FALSE)</f>
        <v>5779.0993185388879</v>
      </c>
      <c r="M74" s="179">
        <f>VLOOKUP(B74,Tot_res!C:V,12,FALSE)</f>
        <v>3840.2443863278163</v>
      </c>
      <c r="N74" s="179">
        <f>VLOOKUP(B74,Tot_res!C:V,13,FALSE)</f>
        <v>843.24304056173798</v>
      </c>
      <c r="O74" s="179">
        <f>VLOOKUP(B74,Tot_res!C:V,14,FALSE)</f>
        <v>2107.9035812837419</v>
      </c>
      <c r="P74" s="179">
        <f>VLOOKUP(B74,Tot_res!C:V,15,FALSE)</f>
        <v>4957.7989207691089</v>
      </c>
      <c r="Q74" s="179">
        <f>VLOOKUP(B74,Tot_res!C:V,16,FALSE)</f>
        <v>1128.4008670734715</v>
      </c>
      <c r="R74" s="179">
        <f>VLOOKUP(B74,Tot_res!C:V,17,FALSE)</f>
        <v>492.75031827471759</v>
      </c>
      <c r="S74" s="179">
        <f>VLOOKUP(B74,Tot_res!C:V,18,FALSE)</f>
        <v>1683.7878621486375</v>
      </c>
      <c r="T74" s="179">
        <f>VLOOKUP(B74,Tot_res!C:V,19,FALSE)</f>
        <v>244.61454818142798</v>
      </c>
      <c r="U74" s="179">
        <f>VLOOKUP(B74,Tot_res!C:V,20,FALSE)</f>
        <v>130.49557644287674</v>
      </c>
      <c r="V74" s="122">
        <f t="shared" si="12"/>
        <v>35918.202960000002</v>
      </c>
    </row>
    <row r="75" spans="1:22">
      <c r="A75" s="351" t="str">
        <f>IF(B75="","",(IF(ISERROR(MATCH(B75,Tot_res!C:C,0)),"Eliminar!!!","")))</f>
        <v/>
      </c>
      <c r="B75" s="115" t="s">
        <v>175</v>
      </c>
      <c r="C75" s="329" t="str">
        <f>VLOOKUP(B75,Tot_res!C:D,2,FALSE)</f>
        <v>Evaluación de políticas y programas públicos, calidad de los servicios e impacto normativo</v>
      </c>
      <c r="D75" s="179">
        <f>VLOOKUP(B75,Tot_res!C:V,3,FALSE)</f>
        <v>546.21537733830792</v>
      </c>
      <c r="E75" s="179">
        <f>VLOOKUP(B75,Tot_res!C:V,4,FALSE)</f>
        <v>85.932031422281739</v>
      </c>
      <c r="F75" s="179">
        <f>VLOOKUP(B75,Tot_res!C:V,5,FALSE)</f>
        <v>68.693589293262932</v>
      </c>
      <c r="G75" s="179">
        <f>VLOOKUP(B75,Tot_res!C:V,6,FALSE)</f>
        <v>71.779978734335728</v>
      </c>
      <c r="H75" s="179">
        <f>VLOOKUP(B75,Tot_res!C:V,7,FALSE)</f>
        <v>136.70937318649925</v>
      </c>
      <c r="I75" s="179">
        <f>VLOOKUP(B75,Tot_res!C:V,8,FALSE)</f>
        <v>38.161624142176727</v>
      </c>
      <c r="J75" s="179">
        <f>VLOOKUP(B75,Tot_res!C:V,9,FALSE)</f>
        <v>161.47308401741074</v>
      </c>
      <c r="K75" s="179">
        <f>VLOOKUP(B75,Tot_res!C:V,10,FALSE)</f>
        <v>134.52081825703542</v>
      </c>
      <c r="L75" s="179">
        <f>VLOOKUP(B75,Tot_res!C:V,11,FALSE)</f>
        <v>488.53124113619629</v>
      </c>
      <c r="M75" s="179">
        <f>VLOOKUP(B75,Tot_res!C:V,12,FALSE)</f>
        <v>324.63178999203672</v>
      </c>
      <c r="N75" s="179">
        <f>VLOOKUP(B75,Tot_res!C:V,13,FALSE)</f>
        <v>71.282832579738042</v>
      </c>
      <c r="O75" s="179">
        <f>VLOOKUP(B75,Tot_res!C:V,14,FALSE)</f>
        <v>178.18983478213258</v>
      </c>
      <c r="P75" s="179">
        <f>VLOOKUP(B75,Tot_res!C:V,15,FALSE)</f>
        <v>419.10331118506963</v>
      </c>
      <c r="Q75" s="179">
        <f>VLOOKUP(B75,Tot_res!C:V,16,FALSE)</f>
        <v>95.388406688593875</v>
      </c>
      <c r="R75" s="179">
        <f>VLOOKUP(B75,Tot_res!C:V,17,FALSE)</f>
        <v>41.654228676219574</v>
      </c>
      <c r="S75" s="179">
        <f>VLOOKUP(B75,Tot_res!C:V,18,FALSE)</f>
        <v>142.33757351543625</v>
      </c>
      <c r="T75" s="179">
        <f>VLOOKUP(B75,Tot_res!C:V,19,FALSE)</f>
        <v>20.678282589761096</v>
      </c>
      <c r="U75" s="179">
        <f>VLOOKUP(B75,Tot_res!C:V,20,FALSE)</f>
        <v>11.031332463505745</v>
      </c>
      <c r="V75" s="122">
        <f t="shared" si="12"/>
        <v>3036.314710000001</v>
      </c>
    </row>
    <row r="76" spans="1:22">
      <c r="A76" s="351" t="str">
        <f>IF(B76="","",(IF(ISERROR(MATCH(B76,Tot_res!C:C,0)),"Eliminar!!!","")))</f>
        <v/>
      </c>
      <c r="B76" s="115" t="s">
        <v>176</v>
      </c>
      <c r="C76" s="329" t="str">
        <f>VLOOKUP(B76,Tot_res!C:D,2,FALSE)</f>
        <v>Organización territorial del estado y desarrollo de sus sistemas de colaboración</v>
      </c>
      <c r="D76" s="179">
        <f>VLOOKUP(B76,Tot_res!C:V,3,FALSE)</f>
        <v>456.58319578478421</v>
      </c>
      <c r="E76" s="179">
        <f>VLOOKUP(B76,Tot_res!C:V,4,FALSE)</f>
        <v>71.8308622475177</v>
      </c>
      <c r="F76" s="179">
        <f>VLOOKUP(B76,Tot_res!C:V,5,FALSE)</f>
        <v>57.421192867698018</v>
      </c>
      <c r="G76" s="179">
        <f>VLOOKUP(B76,Tot_res!C:V,6,FALSE)</f>
        <v>60.001115756922403</v>
      </c>
      <c r="H76" s="179">
        <f>VLOOKUP(B76,Tot_res!C:V,7,FALSE)</f>
        <v>114.27580601519044</v>
      </c>
      <c r="I76" s="179">
        <f>VLOOKUP(B76,Tot_res!C:V,8,FALSE)</f>
        <v>31.899424714256988</v>
      </c>
      <c r="J76" s="179">
        <f>VLOOKUP(B76,Tot_res!C:V,9,FALSE)</f>
        <v>134.97587177636518</v>
      </c>
      <c r="K76" s="179">
        <f>VLOOKUP(B76,Tot_res!C:V,10,FALSE)</f>
        <v>112.44638589026738</v>
      </c>
      <c r="L76" s="179">
        <f>VLOOKUP(B76,Tot_res!C:V,11,FALSE)</f>
        <v>408.36484026797825</v>
      </c>
      <c r="M76" s="179">
        <f>VLOOKUP(B76,Tot_res!C:V,12,FALSE)</f>
        <v>271.36076038389444</v>
      </c>
      <c r="N76" s="179">
        <f>VLOOKUP(B76,Tot_res!C:V,13,FALSE)</f>
        <v>59.585549682703771</v>
      </c>
      <c r="O76" s="179">
        <f>VLOOKUP(B76,Tot_res!C:V,14,FALSE)</f>
        <v>148.94945766200578</v>
      </c>
      <c r="P76" s="179">
        <f>VLOOKUP(B76,Tot_res!C:V,15,FALSE)</f>
        <v>350.32980967568886</v>
      </c>
      <c r="Q76" s="179">
        <f>VLOOKUP(B76,Tot_res!C:V,16,FALSE)</f>
        <v>79.735476835031946</v>
      </c>
      <c r="R76" s="179">
        <f>VLOOKUP(B76,Tot_res!C:V,17,FALSE)</f>
        <v>34.818904109978995</v>
      </c>
      <c r="S76" s="179">
        <f>VLOOKUP(B76,Tot_res!C:V,18,FALSE)</f>
        <v>118.98043682442417</v>
      </c>
      <c r="T76" s="179">
        <f>VLOOKUP(B76,Tot_res!C:V,19,FALSE)</f>
        <v>17.285043116474402</v>
      </c>
      <c r="U76" s="179">
        <f>VLOOKUP(B76,Tot_res!C:V,20,FALSE)</f>
        <v>9.2211263888169697</v>
      </c>
      <c r="V76" s="122">
        <f t="shared" si="12"/>
        <v>2538.0652599999999</v>
      </c>
    </row>
    <row r="77" spans="1:22">
      <c r="A77" s="351" t="str">
        <f>IF(B77="","",(IF(ISERROR(MATCH(B77,Tot_res!C:C,0)),"Eliminar!!!","")))</f>
        <v/>
      </c>
      <c r="B77" s="115" t="s">
        <v>177</v>
      </c>
      <c r="C77" s="329" t="str">
        <f>VLOOKUP(B77,Tot_res!C:D,2,FALSE)</f>
        <v>Elecciones y partidos políticos</v>
      </c>
      <c r="D77" s="179">
        <f>VLOOKUP(B77,Tot_res!C:V,3,FALSE)</f>
        <v>37024.052432226497</v>
      </c>
      <c r="E77" s="179">
        <f>VLOOKUP(B77,Tot_res!C:V,4,FALSE)</f>
        <v>5824.7207401774494</v>
      </c>
      <c r="F77" s="179">
        <f>VLOOKUP(B77,Tot_res!C:V,5,FALSE)</f>
        <v>4656.2494526336886</v>
      </c>
      <c r="G77" s="179">
        <f>VLOOKUP(B77,Tot_res!C:V,6,FALSE)</f>
        <v>4865.4538237178331</v>
      </c>
      <c r="H77" s="179">
        <f>VLOOKUP(B77,Tot_res!C:V,7,FALSE)</f>
        <v>9266.5553018636801</v>
      </c>
      <c r="I77" s="179">
        <f>VLOOKUP(B77,Tot_res!C:V,8,FALSE)</f>
        <v>2586.704863608717</v>
      </c>
      <c r="J77" s="179">
        <f>VLOOKUP(B77,Tot_res!C:V,9,FALSE)</f>
        <v>10945.110989343517</v>
      </c>
      <c r="K77" s="179">
        <f>VLOOKUP(B77,Tot_res!C:V,10,FALSE)</f>
        <v>9118.208741475486</v>
      </c>
      <c r="L77" s="179">
        <f>VLOOKUP(B77,Tot_res!C:V,11,FALSE)</f>
        <v>33114.055438619536</v>
      </c>
      <c r="M77" s="179">
        <f>VLOOKUP(B77,Tot_res!C:V,12,FALSE)</f>
        <v>22004.478292796983</v>
      </c>
      <c r="N77" s="179">
        <f>VLOOKUP(B77,Tot_res!C:V,13,FALSE)</f>
        <v>4831.7558246171884</v>
      </c>
      <c r="O77" s="179">
        <f>VLOOKUP(B77,Tot_res!C:V,14,FALSE)</f>
        <v>12078.220532735562</v>
      </c>
      <c r="P77" s="179">
        <f>VLOOKUP(B77,Tot_res!C:V,15,FALSE)</f>
        <v>28408.030259875115</v>
      </c>
      <c r="Q77" s="179">
        <f>VLOOKUP(B77,Tot_res!C:V,16,FALSE)</f>
        <v>6465.7011083700172</v>
      </c>
      <c r="R77" s="179">
        <f>VLOOKUP(B77,Tot_res!C:V,17,FALSE)</f>
        <v>2823.4436643791387</v>
      </c>
      <c r="S77" s="179">
        <f>VLOOKUP(B77,Tot_res!C:V,18,FALSE)</f>
        <v>9648.050940256473</v>
      </c>
      <c r="T77" s="179">
        <f>VLOOKUP(B77,Tot_res!C:V,19,FALSE)</f>
        <v>1401.6335873633368</v>
      </c>
      <c r="U77" s="179">
        <f>VLOOKUP(B77,Tot_res!C:V,20,FALSE)</f>
        <v>747.73550593980099</v>
      </c>
      <c r="V77" s="122">
        <f t="shared" si="12"/>
        <v>205810.16150000005</v>
      </c>
    </row>
    <row r="78" spans="1:22">
      <c r="A78" s="352"/>
      <c r="B78" s="115"/>
      <c r="C78" s="102"/>
      <c r="D78" s="105"/>
      <c r="E78" s="105"/>
      <c r="F78" s="105"/>
      <c r="G78" s="105"/>
      <c r="H78" s="105"/>
      <c r="I78" s="105"/>
      <c r="J78" s="105"/>
      <c r="K78" s="105"/>
      <c r="L78" s="105"/>
      <c r="M78" s="105"/>
      <c r="N78" s="105"/>
      <c r="O78" s="105"/>
      <c r="P78" s="105"/>
      <c r="Q78" s="105"/>
      <c r="R78" s="105"/>
      <c r="S78" s="105"/>
      <c r="T78" s="105"/>
      <c r="U78" s="105"/>
      <c r="V78" s="122"/>
    </row>
    <row r="79" spans="1:22" ht="13.5">
      <c r="A79" s="352"/>
      <c r="B79" s="115"/>
      <c r="C79" s="128" t="s">
        <v>25</v>
      </c>
      <c r="D79" s="130">
        <f t="shared" ref="D79:V79" si="13">SUM(D80:D91)</f>
        <v>382882.4451591043</v>
      </c>
      <c r="E79" s="130">
        <f t="shared" si="13"/>
        <v>60236.067444278262</v>
      </c>
      <c r="F79" s="130">
        <f t="shared" si="13"/>
        <v>48152.378213016607</v>
      </c>
      <c r="G79" s="130">
        <f t="shared" si="13"/>
        <v>50315.855084850016</v>
      </c>
      <c r="H79" s="130">
        <f t="shared" si="13"/>
        <v>95829.632876475007</v>
      </c>
      <c r="I79" s="130">
        <f t="shared" si="13"/>
        <v>26750.283073318715</v>
      </c>
      <c r="J79" s="130">
        <f t="shared" si="13"/>
        <v>113188.33522637207</v>
      </c>
      <c r="K79" s="130">
        <f t="shared" si="13"/>
        <v>94295.514106620016</v>
      </c>
      <c r="L79" s="130">
        <f t="shared" si="13"/>
        <v>342447.40061022877</v>
      </c>
      <c r="M79" s="130">
        <f t="shared" si="13"/>
        <v>227558.24659169765</v>
      </c>
      <c r="N79" s="130">
        <f t="shared" si="13"/>
        <v>49967.368859139249</v>
      </c>
      <c r="O79" s="130">
        <f t="shared" si="13"/>
        <v>124906.33269305219</v>
      </c>
      <c r="P79" s="130">
        <f t="shared" si="13"/>
        <v>293780.2691362683</v>
      </c>
      <c r="Q79" s="130">
        <f t="shared" si="13"/>
        <v>66864.734879367941</v>
      </c>
      <c r="R79" s="130">
        <f t="shared" si="13"/>
        <v>29198.505916264869</v>
      </c>
      <c r="S79" s="130">
        <f t="shared" si="13"/>
        <v>99774.851545143101</v>
      </c>
      <c r="T79" s="130">
        <f t="shared" si="13"/>
        <v>14494.925862833985</v>
      </c>
      <c r="U79" s="130">
        <f t="shared" si="13"/>
        <v>7732.6705219689584</v>
      </c>
      <c r="V79" s="131">
        <f t="shared" si="13"/>
        <v>2128375.8178000003</v>
      </c>
    </row>
    <row r="80" spans="1:22">
      <c r="A80" s="351" t="str">
        <f>IF(B80="","",(IF(ISERROR(MATCH(B80,Tot_res!C:C,0)),"Eliminar!!!","")))</f>
        <v/>
      </c>
      <c r="B80" s="115" t="s">
        <v>178</v>
      </c>
      <c r="C80" s="329" t="str">
        <f>VLOOKUP(B80,Tot_res!C:D,2,FALSE)</f>
        <v>Investigación y estudios sociológicos y constitucionales</v>
      </c>
      <c r="D80" s="179">
        <f>VLOOKUP(B80,Tot_res!C:V,3,FALSE)</f>
        <v>1976.8263301331783</v>
      </c>
      <c r="E80" s="179">
        <f>VLOOKUP(B80,Tot_res!C:V,4,FALSE)</f>
        <v>310.99948731795695</v>
      </c>
      <c r="F80" s="179">
        <f>VLOOKUP(B80,Tot_res!C:V,5,FALSE)</f>
        <v>248.61126518993916</v>
      </c>
      <c r="G80" s="179">
        <f>VLOOKUP(B80,Tot_res!C:V,6,FALSE)</f>
        <v>259.78132038298219</v>
      </c>
      <c r="H80" s="179">
        <f>VLOOKUP(B80,Tot_res!C:V,7,FALSE)</f>
        <v>494.76946220005448</v>
      </c>
      <c r="I80" s="179">
        <f>VLOOKUP(B80,Tot_res!C:V,8,FALSE)</f>
        <v>138.11200953827512</v>
      </c>
      <c r="J80" s="179">
        <f>VLOOKUP(B80,Tot_res!C:V,9,FALSE)</f>
        <v>584.39263582965702</v>
      </c>
      <c r="K80" s="179">
        <f>VLOOKUP(B80,Tot_res!C:V,10,FALSE)</f>
        <v>486.8487898993418</v>
      </c>
      <c r="L80" s="179">
        <f>VLOOKUP(B80,Tot_res!C:V,11,FALSE)</f>
        <v>1768.0597446316954</v>
      </c>
      <c r="M80" s="179">
        <f>VLOOKUP(B80,Tot_res!C:V,12,FALSE)</f>
        <v>1174.8857624289283</v>
      </c>
      <c r="N80" s="179">
        <f>VLOOKUP(B80,Tot_res!C:V,13,FALSE)</f>
        <v>257.98208211707657</v>
      </c>
      <c r="O80" s="179">
        <f>VLOOKUP(B80,Tot_res!C:V,14,FALSE)</f>
        <v>644.89278730288879</v>
      </c>
      <c r="P80" s="179">
        <f>VLOOKUP(B80,Tot_res!C:V,15,FALSE)</f>
        <v>1516.7908026205243</v>
      </c>
      <c r="Q80" s="179">
        <f>VLOOKUP(B80,Tot_res!C:V,16,FALSE)</f>
        <v>345.2233711367528</v>
      </c>
      <c r="R80" s="179">
        <f>VLOOKUP(B80,Tot_res!C:V,17,FALSE)</f>
        <v>150.75221135259008</v>
      </c>
      <c r="S80" s="179">
        <f>VLOOKUP(B80,Tot_res!C:V,18,FALSE)</f>
        <v>515.13867014092841</v>
      </c>
      <c r="T80" s="179">
        <f>VLOOKUP(B80,Tot_res!C:V,19,FALSE)</f>
        <v>74.837463720938274</v>
      </c>
      <c r="U80" s="179">
        <f>VLOOKUP(B80,Tot_res!C:V,20,FALSE)</f>
        <v>39.923864056292388</v>
      </c>
      <c r="V80" s="122">
        <f t="shared" ref="V80:V91" si="14">SUM(D80:U80)</f>
        <v>10988.828060000002</v>
      </c>
    </row>
    <row r="81" spans="1:22">
      <c r="A81" s="351" t="str">
        <f>IF(B81="","",(IF(ISERROR(MATCH(B81,Tot_res!C:C,0)),"Eliminar!!!","")))</f>
        <v/>
      </c>
      <c r="B81" s="115" t="s">
        <v>180</v>
      </c>
      <c r="C81" s="329" t="str">
        <f>VLOOKUP(B81,Tot_res!C:D,2,FALSE)</f>
        <v>Investigación y estudios estadísticos y económicos</v>
      </c>
      <c r="D81" s="179">
        <f>VLOOKUP(B81,Tot_res!C:V,3,FALSE)</f>
        <v>1123.2271919690238</v>
      </c>
      <c r="E81" s="179">
        <f>VLOOKUP(B81,Tot_res!C:V,4,FALSE)</f>
        <v>176.70903888680044</v>
      </c>
      <c r="F81" s="179">
        <f>VLOOKUP(B81,Tot_res!C:V,5,FALSE)</f>
        <v>141.26022556182207</v>
      </c>
      <c r="G81" s="179">
        <f>VLOOKUP(B81,Tot_res!C:V,6,FALSE)</f>
        <v>147.6070196819588</v>
      </c>
      <c r="H81" s="179">
        <f>VLOOKUP(B81,Tot_res!C:V,7,FALSE)</f>
        <v>281.12662464464</v>
      </c>
      <c r="I81" s="179">
        <f>VLOOKUP(B81,Tot_res!C:V,8,FALSE)</f>
        <v>78.474857546249211</v>
      </c>
      <c r="J81" s="179">
        <f>VLOOKUP(B81,Tot_res!C:V,9,FALSE)</f>
        <v>332.05026124176527</v>
      </c>
      <c r="K81" s="179">
        <f>VLOOKUP(B81,Tot_res!C:V,10,FALSE)</f>
        <v>276.62612079601058</v>
      </c>
      <c r="L81" s="179">
        <f>VLOOKUP(B81,Tot_res!C:V,11,FALSE)</f>
        <v>1004.6066019680832</v>
      </c>
      <c r="M81" s="179">
        <f>VLOOKUP(B81,Tot_res!C:V,12,FALSE)</f>
        <v>667.56680427689628</v>
      </c>
      <c r="N81" s="179">
        <f>VLOOKUP(B81,Tot_res!C:V,13,FALSE)</f>
        <v>146.58469753140335</v>
      </c>
      <c r="O81" s="179">
        <f>VLOOKUP(B81,Tot_res!C:V,14,FALSE)</f>
        <v>366.42627810127391</v>
      </c>
      <c r="P81" s="179">
        <f>VLOOKUP(B81,Tot_res!C:V,15,FALSE)</f>
        <v>861.83629186946098</v>
      </c>
      <c r="Q81" s="179">
        <f>VLOOKUP(B81,Tot_res!C:V,16,FALSE)</f>
        <v>196.1549539548532</v>
      </c>
      <c r="R81" s="179">
        <f>VLOOKUP(B81,Tot_res!C:V,17,FALSE)</f>
        <v>85.656984864868178</v>
      </c>
      <c r="S81" s="179">
        <f>VLOOKUP(B81,Tot_res!C:V,18,FALSE)</f>
        <v>292.70035162778862</v>
      </c>
      <c r="T81" s="179">
        <f>VLOOKUP(B81,Tot_res!C:V,19,FALSE)</f>
        <v>42.522437579880936</v>
      </c>
      <c r="U81" s="179">
        <f>VLOOKUP(B81,Tot_res!C:V,20,FALSE)</f>
        <v>22.684627897222128</v>
      </c>
      <c r="V81" s="122">
        <f t="shared" si="14"/>
        <v>6243.8213700000015</v>
      </c>
    </row>
    <row r="82" spans="1:22">
      <c r="A82" s="351" t="str">
        <f>IF(B82="","",(IF(ISERROR(MATCH(B82,Tot_res!C:C,0)),"Eliminar!!!","")))</f>
        <v/>
      </c>
      <c r="B82" s="115" t="s">
        <v>182</v>
      </c>
      <c r="C82" s="329" t="str">
        <f>VLOOKUP(B82,Tot_res!C:D,2,FALSE)</f>
        <v>Investigación científica</v>
      </c>
      <c r="D82" s="179">
        <f>VLOOKUP(B82,Tot_res!C:V,3,FALSE)</f>
        <v>129250.95913878053</v>
      </c>
      <c r="E82" s="179">
        <f>VLOOKUP(B82,Tot_res!C:V,4,FALSE)</f>
        <v>20334.098860776954</v>
      </c>
      <c r="F82" s="179">
        <f>VLOOKUP(B82,Tot_res!C:V,5,FALSE)</f>
        <v>16254.965845350993</v>
      </c>
      <c r="G82" s="179">
        <f>VLOOKUP(B82,Tot_res!C:V,6,FALSE)</f>
        <v>16985.298260154806</v>
      </c>
      <c r="H82" s="179">
        <f>VLOOKUP(B82,Tot_res!C:V,7,FALSE)</f>
        <v>32349.542581025518</v>
      </c>
      <c r="I82" s="179">
        <f>VLOOKUP(B82,Tot_res!C:V,8,FALSE)</f>
        <v>9030.1861267721179</v>
      </c>
      <c r="J82" s="179">
        <f>VLOOKUP(B82,Tot_res!C:V,9,FALSE)</f>
        <v>38209.380127759927</v>
      </c>
      <c r="K82" s="179">
        <f>VLOOKUP(B82,Tot_res!C:V,10,FALSE)</f>
        <v>31831.664770372259</v>
      </c>
      <c r="L82" s="179">
        <f>VLOOKUP(B82,Tot_res!C:V,11,FALSE)</f>
        <v>115601.1604686176</v>
      </c>
      <c r="M82" s="179">
        <f>VLOOKUP(B82,Tot_res!C:V,12,FALSE)</f>
        <v>76817.629023691712</v>
      </c>
      <c r="N82" s="179">
        <f>VLOOKUP(B82,Tot_res!C:V,13,FALSE)</f>
        <v>16867.658552486693</v>
      </c>
      <c r="O82" s="179">
        <f>VLOOKUP(B82,Tot_res!C:V,14,FALSE)</f>
        <v>42165.06530189958</v>
      </c>
      <c r="P82" s="179">
        <f>VLOOKUP(B82,Tot_res!C:V,15,FALSE)</f>
        <v>99172.427574037778</v>
      </c>
      <c r="Q82" s="179">
        <f>VLOOKUP(B82,Tot_res!C:V,16,FALSE)</f>
        <v>22571.761189331406</v>
      </c>
      <c r="R82" s="179">
        <f>VLOOKUP(B82,Tot_res!C:V,17,FALSE)</f>
        <v>9856.6412297339939</v>
      </c>
      <c r="S82" s="179">
        <f>VLOOKUP(B82,Tot_res!C:V,18,FALSE)</f>
        <v>33681.34377323134</v>
      </c>
      <c r="T82" s="179">
        <f>VLOOKUP(B82,Tot_res!C:V,19,FALSE)</f>
        <v>4893.1025543317746</v>
      </c>
      <c r="U82" s="179">
        <f>VLOOKUP(B82,Tot_res!C:V,20,FALSE)</f>
        <v>2610.3444916450676</v>
      </c>
      <c r="V82" s="122">
        <f t="shared" si="14"/>
        <v>718483.22987000016</v>
      </c>
    </row>
    <row r="83" spans="1:22">
      <c r="A83" s="351" t="str">
        <f>IF(B83="","",(IF(ISERROR(MATCH(B83,Tot_res!C:C,0)),"Eliminar!!!","")))</f>
        <v/>
      </c>
      <c r="B83" s="115" t="s">
        <v>184</v>
      </c>
      <c r="C83" s="329" t="str">
        <f>VLOOKUP(B83,Tot_res!C:D,2,FALSE)</f>
        <v>Fomento y coordinación de la investigación científica y técnica</v>
      </c>
      <c r="D83" s="179">
        <f>VLOOKUP(B83,Tot_res!C:V,3,FALSE)</f>
        <v>102934.78062206322</v>
      </c>
      <c r="E83" s="179">
        <f>VLOOKUP(B83,Tot_res!C:V,4,FALSE)</f>
        <v>16193.968844239012</v>
      </c>
      <c r="F83" s="179">
        <f>VLOOKUP(B83,Tot_res!C:V,5,FALSE)</f>
        <v>12945.368873539806</v>
      </c>
      <c r="G83" s="179">
        <f>VLOOKUP(B83,Tot_res!C:V,6,FALSE)</f>
        <v>13527.001748064886</v>
      </c>
      <c r="H83" s="179">
        <f>VLOOKUP(B83,Tot_res!C:V,7,FALSE)</f>
        <v>25763.004707969332</v>
      </c>
      <c r="I83" s="179">
        <f>VLOOKUP(B83,Tot_res!C:V,8,FALSE)</f>
        <v>7191.5924967151204</v>
      </c>
      <c r="J83" s="179">
        <f>VLOOKUP(B83,Tot_res!C:V,9,FALSE)</f>
        <v>30429.748354385003</v>
      </c>
      <c r="K83" s="179">
        <f>VLOOKUP(B83,Tot_res!C:V,10,FALSE)</f>
        <v>25350.569557129256</v>
      </c>
      <c r="L83" s="179">
        <f>VLOOKUP(B83,Tot_res!C:V,11,FALSE)</f>
        <v>92064.153115617257</v>
      </c>
      <c r="M83" s="179">
        <f>VLOOKUP(B83,Tot_res!C:V,12,FALSE)</f>
        <v>61177.15368727396</v>
      </c>
      <c r="N83" s="179">
        <f>VLOOKUP(B83,Tot_res!C:V,13,FALSE)</f>
        <v>13433.314106735594</v>
      </c>
      <c r="O83" s="179">
        <f>VLOOKUP(B83,Tot_res!C:V,14,FALSE)</f>
        <v>33580.035116843879</v>
      </c>
      <c r="P83" s="179">
        <f>VLOOKUP(B83,Tot_res!C:V,15,FALSE)</f>
        <v>78980.397082625059</v>
      </c>
      <c r="Q83" s="179">
        <f>VLOOKUP(B83,Tot_res!C:V,16,FALSE)</f>
        <v>17976.03129414851</v>
      </c>
      <c r="R83" s="179">
        <f>VLOOKUP(B83,Tot_res!C:V,17,FALSE)</f>
        <v>7849.7769719732287</v>
      </c>
      <c r="S83" s="179">
        <f>VLOOKUP(B83,Tot_res!C:V,18,FALSE)</f>
        <v>26823.644137381318</v>
      </c>
      <c r="T83" s="179">
        <f>VLOOKUP(B83,Tot_res!C:V,19,FALSE)</f>
        <v>3896.8410087432526</v>
      </c>
      <c r="U83" s="179">
        <f>VLOOKUP(B83,Tot_res!C:V,20,FALSE)</f>
        <v>2078.8645545522818</v>
      </c>
      <c r="V83" s="122">
        <f t="shared" si="14"/>
        <v>572196.24627999996</v>
      </c>
    </row>
    <row r="84" spans="1:22">
      <c r="A84" s="351" t="str">
        <f>IF(B84="","",(IF(ISERROR(MATCH(B84,Tot_res!C:C,0)),"Eliminar!!!","")))</f>
        <v/>
      </c>
      <c r="B84" s="115" t="s">
        <v>185</v>
      </c>
      <c r="C84" s="329" t="str">
        <f>VLOOKUP(B84,Tot_res!C:D,2,FALSE)</f>
        <v>Investigación sanitaria</v>
      </c>
      <c r="D84" s="179">
        <f>VLOOKUP(B84,Tot_res!C:V,3,FALSE)</f>
        <v>48353.08693294452</v>
      </c>
      <c r="E84" s="179">
        <f>VLOOKUP(B84,Tot_res!C:V,4,FALSE)</f>
        <v>7607.0340713102796</v>
      </c>
      <c r="F84" s="179">
        <f>VLOOKUP(B84,Tot_res!C:V,5,FALSE)</f>
        <v>6081.0208438637055</v>
      </c>
      <c r="G84" s="179">
        <f>VLOOKUP(B84,Tot_res!C:V,6,FALSE)</f>
        <v>6354.2399130161339</v>
      </c>
      <c r="H84" s="179">
        <f>VLOOKUP(B84,Tot_res!C:V,7,FALSE)</f>
        <v>12102.039745653183</v>
      </c>
      <c r="I84" s="179">
        <f>VLOOKUP(B84,Tot_res!C:V,8,FALSE)</f>
        <v>3378.213807602398</v>
      </c>
      <c r="J84" s="179">
        <f>VLOOKUP(B84,Tot_res!C:V,9,FALSE)</f>
        <v>14294.218714367444</v>
      </c>
      <c r="K84" s="179">
        <f>VLOOKUP(B84,Tot_res!C:V,10,FALSE)</f>
        <v>11908.300442161648</v>
      </c>
      <c r="L84" s="179">
        <f>VLOOKUP(B84,Tot_res!C:V,11,FALSE)</f>
        <v>43246.665238952242</v>
      </c>
      <c r="M84" s="179">
        <f>VLOOKUP(B84,Tot_res!C:V,12,FALSE)</f>
        <v>28737.655170334328</v>
      </c>
      <c r="N84" s="179">
        <f>VLOOKUP(B84,Tot_res!C:V,13,FALSE)</f>
        <v>6310.2306224890535</v>
      </c>
      <c r="O84" s="179">
        <f>VLOOKUP(B84,Tot_res!C:V,14,FALSE)</f>
        <v>15774.049814879145</v>
      </c>
      <c r="P84" s="179">
        <f>VLOOKUP(B84,Tot_res!C:V,15,FALSE)</f>
        <v>37100.637734453841</v>
      </c>
      <c r="Q84" s="179">
        <f>VLOOKUP(B84,Tot_res!C:V,16,FALSE)</f>
        <v>8444.1487961843377</v>
      </c>
      <c r="R84" s="179">
        <f>VLOOKUP(B84,Tot_res!C:V,17,FALSE)</f>
        <v>3687.39259982152</v>
      </c>
      <c r="S84" s="179">
        <f>VLOOKUP(B84,Tot_res!C:V,18,FALSE)</f>
        <v>12600.269694995241</v>
      </c>
      <c r="T84" s="179">
        <f>VLOOKUP(B84,Tot_res!C:V,19,FALSE)</f>
        <v>1830.5211408711984</v>
      </c>
      <c r="U84" s="179">
        <f>VLOOKUP(B84,Tot_res!C:V,20,FALSE)</f>
        <v>976.53599609982496</v>
      </c>
      <c r="V84" s="122">
        <f t="shared" si="14"/>
        <v>268786.26128000004</v>
      </c>
    </row>
    <row r="85" spans="1:22">
      <c r="A85" s="351" t="str">
        <f>IF(B85="","",(IF(ISERROR(MATCH(B85,Tot_res!C:C,0)),"Eliminar!!!","")))</f>
        <v/>
      </c>
      <c r="B85" s="115" t="s">
        <v>709</v>
      </c>
      <c r="C85" s="329" t="str">
        <f>VLOOKUP(B85,Tot_res!C:D,2,FALSE)</f>
        <v>Investigación y desarrollo tecnológico-industrial</v>
      </c>
      <c r="D85" s="179">
        <f>VLOOKUP(B85,Tot_res!C:V,3,FALSE)</f>
        <v>27887.021294199083</v>
      </c>
      <c r="E85" s="179">
        <f>VLOOKUP(B85,Tot_res!C:V,4,FALSE)</f>
        <v>4387.259109775503</v>
      </c>
      <c r="F85" s="179">
        <f>VLOOKUP(B85,Tot_res!C:V,5,FALSE)</f>
        <v>3507.150598233145</v>
      </c>
      <c r="G85" s="179">
        <f>VLOOKUP(B85,Tot_res!C:V,6,FALSE)</f>
        <v>3664.726184048407</v>
      </c>
      <c r="H85" s="179">
        <f>VLOOKUP(B85,Tot_res!C:V,7,FALSE)</f>
        <v>6979.6958477191083</v>
      </c>
      <c r="I85" s="179">
        <f>VLOOKUP(B85,Tot_res!C:V,8,FALSE)</f>
        <v>1948.341385517173</v>
      </c>
      <c r="J85" s="179">
        <f>VLOOKUP(B85,Tot_res!C:V,9,FALSE)</f>
        <v>8244.0068867642258</v>
      </c>
      <c r="K85" s="179">
        <f>VLOOKUP(B85,Tot_res!C:V,10,FALSE)</f>
        <v>6867.9591950109934</v>
      </c>
      <c r="L85" s="179">
        <f>VLOOKUP(B85,Tot_res!C:V,11,FALSE)</f>
        <v>24941.95822687092</v>
      </c>
      <c r="M85" s="179">
        <f>VLOOKUP(B85,Tot_res!C:V,12,FALSE)</f>
        <v>16574.073187754202</v>
      </c>
      <c r="N85" s="179">
        <f>VLOOKUP(B85,Tot_res!C:V,13,FALSE)</f>
        <v>3639.3443914903996</v>
      </c>
      <c r="O85" s="179">
        <f>VLOOKUP(B85,Tot_res!C:V,14,FALSE)</f>
        <v>9097.4804502828902</v>
      </c>
      <c r="P85" s="179">
        <f>VLOOKUP(B85,Tot_res!C:V,15,FALSE)</f>
        <v>21397.315872798103</v>
      </c>
      <c r="Q85" s="179">
        <f>VLOOKUP(B85,Tot_res!C:V,16,FALSE)</f>
        <v>4870.0542659694511</v>
      </c>
      <c r="R85" s="179">
        <f>VLOOKUP(B85,Tot_res!C:V,17,FALSE)</f>
        <v>2126.6562793374246</v>
      </c>
      <c r="S85" s="179">
        <f>VLOOKUP(B85,Tot_res!C:V,18,FALSE)</f>
        <v>7267.0435660970052</v>
      </c>
      <c r="T85" s="179">
        <f>VLOOKUP(B85,Tot_res!C:V,19,FALSE)</f>
        <v>1055.7295360635228</v>
      </c>
      <c r="U85" s="179">
        <f>VLOOKUP(B85,Tot_res!C:V,20,FALSE)</f>
        <v>563.20458206843523</v>
      </c>
      <c r="V85" s="122">
        <f t="shared" si="14"/>
        <v>155019.02086000002</v>
      </c>
    </row>
    <row r="86" spans="1:22">
      <c r="A86" s="351" t="str">
        <f>IF(B86="","",(IF(ISERROR(MATCH(B86,Tot_res!C:C,0)),"Eliminar!!!","")))</f>
        <v/>
      </c>
      <c r="B86" s="115" t="s">
        <v>186</v>
      </c>
      <c r="C86" s="329" t="str">
        <f>VLOOKUP(B86,Tot_res!C:D,2,FALSE)</f>
        <v>Investigación y experimentación agraria</v>
      </c>
      <c r="D86" s="179">
        <f>VLOOKUP(B86,Tot_res!C:V,3,FALSE)</f>
        <v>9946.9606411976838</v>
      </c>
      <c r="E86" s="179">
        <f>VLOOKUP(B86,Tot_res!C:V,4,FALSE)</f>
        <v>1564.8818576672679</v>
      </c>
      <c r="F86" s="179">
        <f>VLOOKUP(B86,Tot_res!C:V,5,FALSE)</f>
        <v>1250.9578773346693</v>
      </c>
      <c r="G86" s="179">
        <f>VLOOKUP(B86,Tot_res!C:V,6,FALSE)</f>
        <v>1307.1631684477836</v>
      </c>
      <c r="H86" s="179">
        <f>VLOOKUP(B86,Tot_res!C:V,7,FALSE)</f>
        <v>2489.57244850079</v>
      </c>
      <c r="I86" s="179">
        <f>VLOOKUP(B86,Tot_res!C:V,8,FALSE)</f>
        <v>694.94962810485708</v>
      </c>
      <c r="J86" s="179">
        <f>VLOOKUP(B86,Tot_res!C:V,9,FALSE)</f>
        <v>2940.5367881819716</v>
      </c>
      <c r="K86" s="179">
        <f>VLOOKUP(B86,Tot_res!C:V,10,FALSE)</f>
        <v>2449.7173461956186</v>
      </c>
      <c r="L86" s="179">
        <f>VLOOKUP(B86,Tot_res!C:V,11,FALSE)</f>
        <v>8896.492536070522</v>
      </c>
      <c r="M86" s="179">
        <f>VLOOKUP(B86,Tot_res!C:V,12,FALSE)</f>
        <v>5911.7699206266452</v>
      </c>
      <c r="N86" s="179">
        <f>VLOOKUP(B86,Tot_res!C:V,13,FALSE)</f>
        <v>1298.1097923659838</v>
      </c>
      <c r="O86" s="179">
        <f>VLOOKUP(B86,Tot_res!C:V,14,FALSE)</f>
        <v>3244.9604071501544</v>
      </c>
      <c r="P86" s="179">
        <f>VLOOKUP(B86,Tot_res!C:V,15,FALSE)</f>
        <v>7632.16180633357</v>
      </c>
      <c r="Q86" s="179">
        <f>VLOOKUP(B86,Tot_res!C:V,16,FALSE)</f>
        <v>1737.0890061381965</v>
      </c>
      <c r="R86" s="179">
        <f>VLOOKUP(B86,Tot_res!C:V,17,FALSE)</f>
        <v>758.5523776368891</v>
      </c>
      <c r="S86" s="179">
        <f>VLOOKUP(B86,Tot_res!C:V,18,FALSE)</f>
        <v>2592.0658777878198</v>
      </c>
      <c r="T86" s="179">
        <f>VLOOKUP(B86,Tot_res!C:V,19,FALSE)</f>
        <v>376.56585951537892</v>
      </c>
      <c r="U86" s="179">
        <f>VLOOKUP(B86,Tot_res!C:V,20,FALSE)</f>
        <v>200.88821074419488</v>
      </c>
      <c r="V86" s="122">
        <f t="shared" si="14"/>
        <v>55293.395549999994</v>
      </c>
    </row>
    <row r="87" spans="1:22">
      <c r="A87" s="351" t="str">
        <f>IF(B87="","",(IF(ISERROR(MATCH(B87,Tot_res!C:C,0)),"Eliminar!!!","")))</f>
        <v/>
      </c>
      <c r="B87" s="115" t="s">
        <v>187</v>
      </c>
      <c r="C87" s="329" t="str">
        <f>VLOOKUP(B87,Tot_res!C:D,2,FALSE)</f>
        <v>Investigación oceanográfica y pesquera</v>
      </c>
      <c r="D87" s="179">
        <f>VLOOKUP(B87,Tot_res!C:V,3,FALSE)</f>
        <v>8350.1183086152651</v>
      </c>
      <c r="E87" s="179">
        <f>VLOOKUP(B87,Tot_res!C:V,4,FALSE)</f>
        <v>1313.6624464369017</v>
      </c>
      <c r="F87" s="179">
        <f>VLOOKUP(B87,Tot_res!C:V,5,FALSE)</f>
        <v>1050.1344733963863</v>
      </c>
      <c r="G87" s="179">
        <f>VLOOKUP(B87,Tot_res!C:V,6,FALSE)</f>
        <v>1097.316808512991</v>
      </c>
      <c r="H87" s="179">
        <f>VLOOKUP(B87,Tot_res!C:V,7,FALSE)</f>
        <v>2089.9071819738829</v>
      </c>
      <c r="I87" s="179">
        <f>VLOOKUP(B87,Tot_res!C:V,8,FALSE)</f>
        <v>583.38540007583913</v>
      </c>
      <c r="J87" s="179">
        <f>VLOOKUP(B87,Tot_res!C:V,9,FALSE)</f>
        <v>2468.475643751874</v>
      </c>
      <c r="K87" s="179">
        <f>VLOOKUP(B87,Tot_res!C:V,10,FALSE)</f>
        <v>2056.4502465888368</v>
      </c>
      <c r="L87" s="179">
        <f>VLOOKUP(B87,Tot_res!C:V,11,FALSE)</f>
        <v>7468.287840631976</v>
      </c>
      <c r="M87" s="179">
        <f>VLOOKUP(B87,Tot_res!C:V,12,FALSE)</f>
        <v>4962.7197725195574</v>
      </c>
      <c r="N87" s="179">
        <f>VLOOKUP(B87,Tot_res!C:V,13,FALSE)</f>
        <v>1089.7168225371429</v>
      </c>
      <c r="O87" s="179">
        <f>VLOOKUP(B87,Tot_res!C:V,14,FALSE)</f>
        <v>2724.0284026311001</v>
      </c>
      <c r="P87" s="179">
        <f>VLOOKUP(B87,Tot_res!C:V,15,FALSE)</f>
        <v>6406.9273351127504</v>
      </c>
      <c r="Q87" s="179">
        <f>VLOOKUP(B87,Tot_res!C:V,16,FALSE)</f>
        <v>1458.2241990355715</v>
      </c>
      <c r="R87" s="179">
        <f>VLOOKUP(B87,Tot_res!C:V,17,FALSE)</f>
        <v>636.77763741375077</v>
      </c>
      <c r="S87" s="179">
        <f>VLOOKUP(B87,Tot_res!C:V,18,FALSE)</f>
        <v>2175.9467564000411</v>
      </c>
      <c r="T87" s="179">
        <f>VLOOKUP(B87,Tot_res!C:V,19,FALSE)</f>
        <v>316.11359402747223</v>
      </c>
      <c r="U87" s="179">
        <f>VLOOKUP(B87,Tot_res!C:V,20,FALSE)</f>
        <v>168.6384803386623</v>
      </c>
      <c r="V87" s="122">
        <f t="shared" si="14"/>
        <v>46416.83135</v>
      </c>
    </row>
    <row r="88" spans="1:22">
      <c r="A88" s="351" t="str">
        <f>IF(B88="","",(IF(ISERROR(MATCH(B88,Tot_res!C:C,0)),"Eliminar!!!","")))</f>
        <v/>
      </c>
      <c r="B88" s="115" t="s">
        <v>188</v>
      </c>
      <c r="C88" s="329" t="str">
        <f>VLOOKUP(B88,Tot_res!C:D,2,FALSE)</f>
        <v>Investigación geológico-minera y medioambiental</v>
      </c>
      <c r="D88" s="179">
        <f>VLOOKUP(B88,Tot_res!C:V,3,FALSE)</f>
        <v>3936.2882367935126</v>
      </c>
      <c r="E88" s="179">
        <f>VLOOKUP(B88,Tot_res!C:V,4,FALSE)</f>
        <v>619.26715813018041</v>
      </c>
      <c r="F88" s="179">
        <f>VLOOKUP(B88,Tot_res!C:V,5,FALSE)</f>
        <v>495.03873141733277</v>
      </c>
      <c r="G88" s="179">
        <f>VLOOKUP(B88,Tot_res!C:V,6,FALSE)</f>
        <v>517.28072414602502</v>
      </c>
      <c r="H88" s="179">
        <f>VLOOKUP(B88,Tot_res!C:V,7,FALSE)</f>
        <v>985.19287420231842</v>
      </c>
      <c r="I88" s="179">
        <f>VLOOKUP(B88,Tot_res!C:V,8,FALSE)</f>
        <v>275.01084451298271</v>
      </c>
      <c r="J88" s="179">
        <f>VLOOKUP(B88,Tot_res!C:V,9,FALSE)</f>
        <v>1163.6519723662627</v>
      </c>
      <c r="K88" s="179">
        <f>VLOOKUP(B88,Tot_res!C:V,10,FALSE)</f>
        <v>969.42110471020965</v>
      </c>
      <c r="L88" s="179">
        <f>VLOOKUP(B88,Tot_res!C:V,11,FALSE)</f>
        <v>3520.5888694698933</v>
      </c>
      <c r="M88" s="179">
        <f>VLOOKUP(B88,Tot_res!C:V,12,FALSE)</f>
        <v>2339.4513396195021</v>
      </c>
      <c r="N88" s="179">
        <f>VLOOKUP(B88,Tot_res!C:V,13,FALSE)</f>
        <v>513.69805210583831</v>
      </c>
      <c r="O88" s="179">
        <f>VLOOKUP(B88,Tot_res!C:V,14,FALSE)</f>
        <v>1284.1208425640125</v>
      </c>
      <c r="P88" s="179">
        <f>VLOOKUP(B88,Tot_res!C:V,15,FALSE)</f>
        <v>3020.2581294177357</v>
      </c>
      <c r="Q88" s="179">
        <f>VLOOKUP(B88,Tot_res!C:V,16,FALSE)</f>
        <v>687.4143035014373</v>
      </c>
      <c r="R88" s="179">
        <f>VLOOKUP(B88,Tot_res!C:V,17,FALSE)</f>
        <v>300.18021673043597</v>
      </c>
      <c r="S88" s="179">
        <f>VLOOKUP(B88,Tot_res!C:V,18,FALSE)</f>
        <v>1025.7523671574033</v>
      </c>
      <c r="T88" s="179">
        <f>VLOOKUP(B88,Tot_res!C:V,19,FALSE)</f>
        <v>149.01755588026018</v>
      </c>
      <c r="U88" s="179">
        <f>VLOOKUP(B88,Tot_res!C:V,20,FALSE)</f>
        <v>79.497037274660229</v>
      </c>
      <c r="V88" s="122">
        <f t="shared" si="14"/>
        <v>21881.130360000003</v>
      </c>
    </row>
    <row r="89" spans="1:22">
      <c r="A89" s="351" t="str">
        <f>IF(B89="","",(IF(ISERROR(MATCH(B89,Tot_res!C:C,0)),"Eliminar!!!","")))</f>
        <v/>
      </c>
      <c r="B89" s="115" t="s">
        <v>190</v>
      </c>
      <c r="C89" s="329" t="str">
        <f>VLOOKUP(B89,Tot_res!C:D,2,FALSE)</f>
        <v>Investigación energética, medioambiental y tecnológica</v>
      </c>
      <c r="D89" s="179">
        <f>VLOOKUP(B89,Tot_res!C:V,3,FALSE)</f>
        <v>15094.762740110484</v>
      </c>
      <c r="E89" s="179">
        <f>VLOOKUP(B89,Tot_res!C:V,4,FALSE)</f>
        <v>2374.7475444867709</v>
      </c>
      <c r="F89" s="179">
        <f>VLOOKUP(B89,Tot_res!C:V,5,FALSE)</f>
        <v>1898.3600154233072</v>
      </c>
      <c r="G89" s="179">
        <f>VLOOKUP(B89,Tot_res!C:V,6,FALSE)</f>
        <v>1983.6529571262663</v>
      </c>
      <c r="H89" s="179">
        <f>VLOOKUP(B89,Tot_res!C:V,7,FALSE)</f>
        <v>3777.9887535485927</v>
      </c>
      <c r="I89" s="179">
        <f>VLOOKUP(B89,Tot_res!C:V,8,FALSE)</f>
        <v>1054.6035247313246</v>
      </c>
      <c r="J89" s="179">
        <f>VLOOKUP(B89,Tot_res!C:V,9,FALSE)</f>
        <v>4462.3384717473764</v>
      </c>
      <c r="K89" s="179">
        <f>VLOOKUP(B89,Tot_res!C:V,10,FALSE)</f>
        <v>3717.5076342418861</v>
      </c>
      <c r="L89" s="179">
        <f>VLOOKUP(B89,Tot_res!C:V,11,FALSE)</f>
        <v>13500.650992319481</v>
      </c>
      <c r="M89" s="179">
        <f>VLOOKUP(B89,Tot_res!C:V,12,FALSE)</f>
        <v>8971.2594173124489</v>
      </c>
      <c r="N89" s="179">
        <f>VLOOKUP(B89,Tot_res!C:V,13,FALSE)</f>
        <v>1969.9142314108196</v>
      </c>
      <c r="O89" s="179">
        <f>VLOOKUP(B89,Tot_res!C:V,14,FALSE)</f>
        <v>4924.308963696285</v>
      </c>
      <c r="P89" s="179">
        <f>VLOOKUP(B89,Tot_res!C:V,15,FALSE)</f>
        <v>11581.997337315966</v>
      </c>
      <c r="Q89" s="179">
        <f>VLOOKUP(B89,Tot_res!C:V,16,FALSE)</f>
        <v>2636.0762198565626</v>
      </c>
      <c r="R89" s="179">
        <f>VLOOKUP(B89,Tot_res!C:V,17,FALSE)</f>
        <v>1151.1222954831005</v>
      </c>
      <c r="S89" s="179">
        <f>VLOOKUP(B89,Tot_res!C:V,18,FALSE)</f>
        <v>3933.5251081512511</v>
      </c>
      <c r="T89" s="179">
        <f>VLOOKUP(B89,Tot_res!C:V,19,FALSE)</f>
        <v>571.44815491358042</v>
      </c>
      <c r="U89" s="179">
        <f>VLOOKUP(B89,Tot_res!C:V,20,FALSE)</f>
        <v>304.85290812448795</v>
      </c>
      <c r="V89" s="122">
        <f t="shared" si="14"/>
        <v>83909.117270000002</v>
      </c>
    </row>
    <row r="90" spans="1:22">
      <c r="A90" s="351" t="str">
        <f>IF(B90="","",(IF(ISERROR(MATCH(B90,Tot_res!C:C,0)),"Eliminar!!!","")))</f>
        <v/>
      </c>
      <c r="B90" s="115" t="s">
        <v>191</v>
      </c>
      <c r="C90" s="329" t="str">
        <f>VLOOKUP(B90,Tot_res!C:D,2,FALSE)</f>
        <v>Desarrollo y aplicación de la información geográfica española</v>
      </c>
      <c r="D90" s="179">
        <f>VLOOKUP(B90,Tot_res!C:V,3,FALSE)</f>
        <v>5101.6492027121376</v>
      </c>
      <c r="E90" s="179">
        <f>VLOOKUP(B90,Tot_res!C:V,4,FALSE)</f>
        <v>802.60479250731612</v>
      </c>
      <c r="F90" s="179">
        <f>VLOOKUP(B90,Tot_res!C:V,5,FALSE)</f>
        <v>641.59781944833878</v>
      </c>
      <c r="G90" s="179">
        <f>VLOOKUP(B90,Tot_res!C:V,6,FALSE)</f>
        <v>670.42468314455402</v>
      </c>
      <c r="H90" s="179">
        <f>VLOOKUP(B90,Tot_res!C:V,7,FALSE)</f>
        <v>1276.8649394654565</v>
      </c>
      <c r="I90" s="179">
        <f>VLOOKUP(B90,Tot_res!C:V,8,FALSE)</f>
        <v>356.42940029964279</v>
      </c>
      <c r="J90" s="179">
        <f>VLOOKUP(B90,Tot_res!C:V,9,FALSE)</f>
        <v>1508.1578888370839</v>
      </c>
      <c r="K90" s="179">
        <f>VLOOKUP(B90,Tot_res!C:V,10,FALSE)</f>
        <v>1256.4238461271495</v>
      </c>
      <c r="L90" s="179">
        <f>VLOOKUP(B90,Tot_res!C:V,11,FALSE)</f>
        <v>4562.8796263251097</v>
      </c>
      <c r="M90" s="179">
        <f>VLOOKUP(B90,Tot_res!C:V,12,FALSE)</f>
        <v>3032.059479281409</v>
      </c>
      <c r="N90" s="179">
        <f>VLOOKUP(B90,Tot_res!C:V,13,FALSE)</f>
        <v>665.78134026469263</v>
      </c>
      <c r="O90" s="179">
        <f>VLOOKUP(B90,Tot_res!C:V,14,FALSE)</f>
        <v>1664.2922668664289</v>
      </c>
      <c r="P90" s="179">
        <f>VLOOKUP(B90,Tot_res!C:V,15,FALSE)</f>
        <v>3914.4230683879982</v>
      </c>
      <c r="Q90" s="179">
        <f>VLOOKUP(B90,Tot_res!C:V,16,FALSE)</f>
        <v>890.92729557014718</v>
      </c>
      <c r="R90" s="179">
        <f>VLOOKUP(B90,Tot_res!C:V,17,FALSE)</f>
        <v>389.05031116325728</v>
      </c>
      <c r="S90" s="179">
        <f>VLOOKUP(B90,Tot_res!C:V,18,FALSE)</f>
        <v>1329.4323055852897</v>
      </c>
      <c r="T90" s="179">
        <f>VLOOKUP(B90,Tot_res!C:V,19,FALSE)</f>
        <v>193.13506771189245</v>
      </c>
      <c r="U90" s="179">
        <f>VLOOKUP(B90,Tot_res!C:V,20,FALSE)</f>
        <v>103.03259630209909</v>
      </c>
      <c r="V90" s="122">
        <f t="shared" si="14"/>
        <v>28359.165930000006</v>
      </c>
    </row>
    <row r="91" spans="1:22">
      <c r="A91" s="351" t="str">
        <f>IF(B91="","",(IF(ISERROR(MATCH(B91,Tot_res!C:C,0)),"Eliminar!!!","")))</f>
        <v/>
      </c>
      <c r="B91" s="115" t="s">
        <v>192</v>
      </c>
      <c r="C91" s="329" t="str">
        <f>VLOOKUP(B91,Tot_res!C:D,2,FALSE)</f>
        <v>Elaboración y difusión estadística</v>
      </c>
      <c r="D91" s="179">
        <f>VLOOKUP(B91,Tot_res!C:V,3,FALSE)</f>
        <v>28926.764519585631</v>
      </c>
      <c r="E91" s="179">
        <f>VLOOKUP(B91,Tot_res!C:V,4,FALSE)</f>
        <v>4550.834232743312</v>
      </c>
      <c r="F91" s="179">
        <f>VLOOKUP(B91,Tot_res!C:V,5,FALSE)</f>
        <v>3637.9116442571544</v>
      </c>
      <c r="G91" s="179">
        <f>VLOOKUP(B91,Tot_res!C:V,6,FALSE)</f>
        <v>3801.3622981232238</v>
      </c>
      <c r="H91" s="179">
        <f>VLOOKUP(B91,Tot_res!C:V,7,FALSE)</f>
        <v>7239.92770957214</v>
      </c>
      <c r="I91" s="179">
        <f>VLOOKUP(B91,Tot_res!C:V,8,FALSE)</f>
        <v>2020.9835919027332</v>
      </c>
      <c r="J91" s="179">
        <f>VLOOKUP(B91,Tot_res!C:V,9,FALSE)</f>
        <v>8551.3774811394742</v>
      </c>
      <c r="K91" s="179">
        <f>VLOOKUP(B91,Tot_res!C:V,10,FALSE)</f>
        <v>7124.0250533868166</v>
      </c>
      <c r="L91" s="179">
        <f>VLOOKUP(B91,Tot_res!C:V,11,FALSE)</f>
        <v>25871.897348754042</v>
      </c>
      <c r="M91" s="179">
        <f>VLOOKUP(B91,Tot_res!C:V,12,FALSE)</f>
        <v>17192.023026578077</v>
      </c>
      <c r="N91" s="179">
        <f>VLOOKUP(B91,Tot_res!C:V,13,FALSE)</f>
        <v>3775.0341676045591</v>
      </c>
      <c r="O91" s="179">
        <f>VLOOKUP(B91,Tot_res!C:V,14,FALSE)</f>
        <v>9436.672060834564</v>
      </c>
      <c r="P91" s="179">
        <f>VLOOKUP(B91,Tot_res!C:V,15,FALSE)</f>
        <v>22195.096101295501</v>
      </c>
      <c r="Q91" s="179">
        <f>VLOOKUP(B91,Tot_res!C:V,16,FALSE)</f>
        <v>5051.6299845407239</v>
      </c>
      <c r="R91" s="179">
        <f>VLOOKUP(B91,Tot_res!C:V,17,FALSE)</f>
        <v>2205.9468007538089</v>
      </c>
      <c r="S91" s="179">
        <f>VLOOKUP(B91,Tot_res!C:V,18,FALSE)</f>
        <v>7537.9889365876861</v>
      </c>
      <c r="T91" s="179">
        <f>VLOOKUP(B91,Tot_res!C:V,19,FALSE)</f>
        <v>1095.091489474835</v>
      </c>
      <c r="U91" s="179">
        <f>VLOOKUP(B91,Tot_res!C:V,20,FALSE)</f>
        <v>584.20317286572947</v>
      </c>
      <c r="V91" s="122">
        <f t="shared" si="14"/>
        <v>160798.76962000004</v>
      </c>
    </row>
    <row r="92" spans="1:22">
      <c r="A92" s="352"/>
      <c r="B92" s="115"/>
      <c r="C92" s="129"/>
      <c r="D92" s="105"/>
      <c r="E92" s="105"/>
      <c r="F92" s="105"/>
      <c r="G92" s="105"/>
      <c r="H92" s="105"/>
      <c r="I92" s="105"/>
      <c r="J92" s="105"/>
      <c r="K92" s="105"/>
      <c r="L92" s="105"/>
      <c r="M92" s="105"/>
      <c r="N92" s="105"/>
      <c r="O92" s="105"/>
      <c r="P92" s="105"/>
      <c r="Q92" s="105"/>
      <c r="R92" s="105"/>
      <c r="S92" s="105"/>
      <c r="T92" s="105"/>
      <c r="U92" s="105"/>
      <c r="V92" s="122"/>
    </row>
    <row r="93" spans="1:22" ht="13.5">
      <c r="A93" s="352"/>
      <c r="B93" s="115"/>
      <c r="C93" s="128" t="s">
        <v>21</v>
      </c>
      <c r="D93" s="114">
        <f t="shared" ref="D93:V93" si="15">SUM(D94:D100)</f>
        <v>102908.4498943502</v>
      </c>
      <c r="E93" s="114">
        <f t="shared" si="15"/>
        <v>16189.826425304869</v>
      </c>
      <c r="F93" s="114">
        <f t="shared" si="15"/>
        <v>12942.057446819956</v>
      </c>
      <c r="G93" s="114">
        <f t="shared" si="15"/>
        <v>13523.541539594537</v>
      </c>
      <c r="H93" s="114">
        <f t="shared" si="15"/>
        <v>25756.414528654474</v>
      </c>
      <c r="I93" s="114">
        <f t="shared" si="15"/>
        <v>7189.7528865978238</v>
      </c>
      <c r="J93" s="114">
        <f t="shared" si="15"/>
        <v>30421.964421554396</v>
      </c>
      <c r="K93" s="114">
        <f t="shared" si="15"/>
        <v>25344.084878769372</v>
      </c>
      <c r="L93" s="114">
        <f t="shared" si="15"/>
        <v>92040.603095564104</v>
      </c>
      <c r="M93" s="114">
        <f t="shared" si="15"/>
        <v>61161.504564924231</v>
      </c>
      <c r="N93" s="114">
        <f t="shared" si="15"/>
        <v>13429.877863573754</v>
      </c>
      <c r="O93" s="114">
        <f t="shared" si="15"/>
        <v>33571.445340327991</v>
      </c>
      <c r="P93" s="114">
        <f t="shared" si="15"/>
        <v>78960.193888741691</v>
      </c>
      <c r="Q93" s="114">
        <f t="shared" si="15"/>
        <v>17971.433023452184</v>
      </c>
      <c r="R93" s="114">
        <f t="shared" si="15"/>
        <v>7847.7689981979129</v>
      </c>
      <c r="S93" s="114">
        <f t="shared" si="15"/>
        <v>26816.782646388827</v>
      </c>
      <c r="T93" s="114">
        <f t="shared" si="15"/>
        <v>3895.844196403224</v>
      </c>
      <c r="U93" s="114">
        <f t="shared" si="15"/>
        <v>2078.3327807805072</v>
      </c>
      <c r="V93" s="126">
        <f t="shared" si="15"/>
        <v>572049.87841999996</v>
      </c>
    </row>
    <row r="94" spans="1:22">
      <c r="A94" s="351" t="str">
        <f>IF(B94="","",(IF(ISERROR(MATCH(B94,Tot_res!C:C,0)),"Eliminar!!!","")))</f>
        <v/>
      </c>
      <c r="B94" s="115" t="s">
        <v>1188</v>
      </c>
      <c r="C94" s="329" t="str">
        <f>VLOOKUP(B94,Tot_res!C:D,2,FALSE)</f>
        <v>Defensa de la competencia en los mercados y regulación de sectores productivos </v>
      </c>
      <c r="D94" s="179">
        <f>VLOOKUP(B94,Tot_res!C:V,3,FALSE)</f>
        <v>7732.292387838781</v>
      </c>
      <c r="E94" s="179">
        <f>VLOOKUP(B94,Tot_res!C:V,4,FALSE)</f>
        <v>1216.4644570716516</v>
      </c>
      <c r="F94" s="179">
        <f>VLOOKUP(B94,Tot_res!C:V,5,FALSE)</f>
        <v>972.43493981063477</v>
      </c>
      <c r="G94" s="179">
        <f>VLOOKUP(B94,Tot_res!C:V,6,FALSE)</f>
        <v>1016.1262501823895</v>
      </c>
      <c r="H94" s="179">
        <f>VLOOKUP(B94,Tot_res!C:V,7,FALSE)</f>
        <v>1935.2747826091695</v>
      </c>
      <c r="I94" s="179">
        <f>VLOOKUP(B94,Tot_res!C:V,8,FALSE)</f>
        <v>540.22066771539619</v>
      </c>
      <c r="J94" s="179">
        <f>VLOOKUP(B94,Tot_res!C:V,9,FALSE)</f>
        <v>2285.8329336549632</v>
      </c>
      <c r="K94" s="179">
        <f>VLOOKUP(B94,Tot_res!C:V,10,FALSE)</f>
        <v>1904.2933285462623</v>
      </c>
      <c r="L94" s="179">
        <f>VLOOKUP(B94,Tot_res!C:V,11,FALSE)</f>
        <v>6915.7086266342958</v>
      </c>
      <c r="M94" s="179">
        <f>VLOOKUP(B94,Tot_res!C:V,12,FALSE)</f>
        <v>4595.5277400606756</v>
      </c>
      <c r="N94" s="179">
        <f>VLOOKUP(B94,Tot_res!C:V,13,FALSE)</f>
        <v>1009.0885877760855</v>
      </c>
      <c r="O94" s="179">
        <f>VLOOKUP(B94,Tot_res!C:V,14,FALSE)</f>
        <v>2522.4773234876538</v>
      </c>
      <c r="P94" s="179">
        <f>VLOOKUP(B94,Tot_res!C:V,15,FALSE)</f>
        <v>5932.8782697144798</v>
      </c>
      <c r="Q94" s="179">
        <f>VLOOKUP(B94,Tot_res!C:V,16,FALSE)</f>
        <v>1350.3300740459692</v>
      </c>
      <c r="R94" s="179">
        <f>VLOOKUP(B94,Tot_res!C:V,17,FALSE)</f>
        <v>589.66240914697107</v>
      </c>
      <c r="S94" s="179">
        <f>VLOOKUP(B94,Tot_res!C:V,18,FALSE)</f>
        <v>2014.9482820495143</v>
      </c>
      <c r="T94" s="179">
        <f>VLOOKUP(B94,Tot_res!C:V,19,FALSE)</f>
        <v>292.72432394988761</v>
      </c>
      <c r="U94" s="179">
        <f>VLOOKUP(B94,Tot_res!C:V,20,FALSE)</f>
        <v>156.16090570524864</v>
      </c>
      <c r="V94" s="122">
        <f t="shared" ref="V94:V100" si="16">SUM(D94:U94)</f>
        <v>42982.446290000029</v>
      </c>
    </row>
    <row r="95" spans="1:22">
      <c r="A95" s="351" t="str">
        <f>IF(B95="","",(IF(ISERROR(MATCH(B95,Tot_res!C:C,0)),"Eliminar!!!","")))</f>
        <v/>
      </c>
      <c r="B95" s="115" t="s">
        <v>194</v>
      </c>
      <c r="C95" s="329" t="str">
        <f>VLOOKUP(B95,Tot_res!C:D,2,FALSE)</f>
        <v>Dirección, control y gestión de seguros</v>
      </c>
      <c r="D95" s="179">
        <f>VLOOKUP(B95,Tot_res!C:V,3,FALSE)</f>
        <v>2131.2763296390822</v>
      </c>
      <c r="E95" s="179">
        <f>VLOOKUP(B95,Tot_res!C:V,4,FALSE)</f>
        <v>335.29796510045327</v>
      </c>
      <c r="F95" s="179">
        <f>VLOOKUP(B95,Tot_res!C:V,5,FALSE)</f>
        <v>268.03533355671442</v>
      </c>
      <c r="G95" s="179">
        <f>VLOOKUP(B95,Tot_res!C:V,6,FALSE)</f>
        <v>280.07810831684765</v>
      </c>
      <c r="H95" s="179">
        <f>VLOOKUP(B95,Tot_res!C:V,7,FALSE)</f>
        <v>533.42594002387352</v>
      </c>
      <c r="I95" s="179">
        <f>VLOOKUP(B95,Tot_res!C:V,8,FALSE)</f>
        <v>148.90273985170072</v>
      </c>
      <c r="J95" s="179">
        <f>VLOOKUP(B95,Tot_res!C:V,9,FALSE)</f>
        <v>630.05139752222487</v>
      </c>
      <c r="K95" s="179">
        <f>VLOOKUP(B95,Tot_res!C:V,10,FALSE)</f>
        <v>524.88642335920031</v>
      </c>
      <c r="L95" s="179">
        <f>VLOOKUP(B95,Tot_res!C:V,11,FALSE)</f>
        <v>1906.1987518485694</v>
      </c>
      <c r="M95" s="179">
        <f>VLOOKUP(B95,Tot_res!C:V,12,FALSE)</f>
        <v>1266.6799188809098</v>
      </c>
      <c r="N95" s="179">
        <f>VLOOKUP(B95,Tot_res!C:V,13,FALSE)</f>
        <v>278.13829505705201</v>
      </c>
      <c r="O95" s="179">
        <f>VLOOKUP(B95,Tot_res!C:V,14,FALSE)</f>
        <v>695.27844291765484</v>
      </c>
      <c r="P95" s="179">
        <f>VLOOKUP(B95,Tot_res!C:V,15,FALSE)</f>
        <v>1635.2980964299491</v>
      </c>
      <c r="Q95" s="179">
        <f>VLOOKUP(B95,Tot_res!C:V,16,FALSE)</f>
        <v>372.19577062816683</v>
      </c>
      <c r="R95" s="179">
        <f>VLOOKUP(B95,Tot_res!C:V,17,FALSE)</f>
        <v>162.53052420385245</v>
      </c>
      <c r="S95" s="179">
        <f>VLOOKUP(B95,Tot_res!C:V,18,FALSE)</f>
        <v>555.38659993422402</v>
      </c>
      <c r="T95" s="179">
        <f>VLOOKUP(B95,Tot_res!C:V,19,FALSE)</f>
        <v>80.684535898464006</v>
      </c>
      <c r="U95" s="179">
        <f>VLOOKUP(B95,Tot_res!C:V,20,FALSE)</f>
        <v>43.043126831061635</v>
      </c>
      <c r="V95" s="122">
        <f t="shared" ref="V95" si="17">SUM(D95:U95)</f>
        <v>11847.388300000002</v>
      </c>
    </row>
    <row r="96" spans="1:22">
      <c r="A96" s="351" t="str">
        <f>IF(B96="","",(IF(ISERROR(MATCH(B96,Tot_res!C:C,0)),"Eliminar!!!","")))</f>
        <v/>
      </c>
      <c r="B96" s="115" t="s">
        <v>196</v>
      </c>
      <c r="C96" s="329" t="str">
        <f>VLOOKUP(B96,Tot_res!C:D,2,FALSE)</f>
        <v>Regulación contable y de auditorias</v>
      </c>
      <c r="D96" s="179">
        <f>VLOOKUP(B96,Tot_res!C:V,3,FALSE)</f>
        <v>1009.3282339370679</v>
      </c>
      <c r="E96" s="179">
        <f>VLOOKUP(B96,Tot_res!C:V,4,FALSE)</f>
        <v>158.79015698299591</v>
      </c>
      <c r="F96" s="179">
        <f>VLOOKUP(B96,Tot_res!C:V,5,FALSE)</f>
        <v>126.93597075577006</v>
      </c>
      <c r="G96" s="179">
        <f>VLOOKUP(B96,Tot_res!C:V,6,FALSE)</f>
        <v>132.6391789279387</v>
      </c>
      <c r="H96" s="179">
        <f>VLOOKUP(B96,Tot_res!C:V,7,FALSE)</f>
        <v>252.61945365465183</v>
      </c>
      <c r="I96" s="179">
        <f>VLOOKUP(B96,Tot_res!C:V,8,FALSE)</f>
        <v>70.517247037768527</v>
      </c>
      <c r="J96" s="179">
        <f>VLOOKUP(B96,Tot_res!C:V,9,FALSE)</f>
        <v>298.37926481282659</v>
      </c>
      <c r="K96" s="179">
        <f>VLOOKUP(B96,Tot_res!C:V,10,FALSE)</f>
        <v>248.57531580449782</v>
      </c>
      <c r="L96" s="179">
        <f>VLOOKUP(B96,Tot_res!C:V,11,FALSE)</f>
        <v>902.73616470097681</v>
      </c>
      <c r="M96" s="179">
        <f>VLOOKUP(B96,Tot_res!C:V,12,FALSE)</f>
        <v>599.87331896287799</v>
      </c>
      <c r="N96" s="179">
        <f>VLOOKUP(B96,Tot_res!C:V,13,FALSE)</f>
        <v>131.72052362996109</v>
      </c>
      <c r="O96" s="179">
        <f>VLOOKUP(B96,Tot_res!C:V,14,FALSE)</f>
        <v>329.26943968989241</v>
      </c>
      <c r="P96" s="179">
        <f>VLOOKUP(B96,Tot_res!C:V,15,FALSE)</f>
        <v>774.44323698269568</v>
      </c>
      <c r="Q96" s="179">
        <f>VLOOKUP(B96,Tot_res!C:V,16,FALSE)</f>
        <v>176.26419184723483</v>
      </c>
      <c r="R96" s="179">
        <f>VLOOKUP(B96,Tot_res!C:V,17,FALSE)</f>
        <v>76.971082854995402</v>
      </c>
      <c r="S96" s="179">
        <f>VLOOKUP(B96,Tot_res!C:V,18,FALSE)</f>
        <v>263.01956638295309</v>
      </c>
      <c r="T96" s="179">
        <f>VLOOKUP(B96,Tot_res!C:V,19,FALSE)</f>
        <v>38.210521550820907</v>
      </c>
      <c r="U96" s="179">
        <f>VLOOKUP(B96,Tot_res!C:V,20,FALSE)</f>
        <v>20.38433148407449</v>
      </c>
      <c r="V96" s="122">
        <f t="shared" si="16"/>
        <v>5610.6771999999983</v>
      </c>
    </row>
    <row r="97" spans="1:28">
      <c r="A97" s="351" t="str">
        <f>IF(B97="","",(IF(ISERROR(MATCH(B97,Tot_res!C:C,0)),"Eliminar!!!","")))</f>
        <v/>
      </c>
      <c r="B97" s="115" t="s">
        <v>468</v>
      </c>
      <c r="C97" s="329" t="str">
        <f>VLOOKUP(B97,Tot_res!C:D,2,FALSE)</f>
        <v>Regulación del juego</v>
      </c>
      <c r="D97" s="179">
        <f>VLOOKUP(B97,Tot_res!C:V,3,FALSE)</f>
        <v>1135.229592052254</v>
      </c>
      <c r="E97" s="179">
        <f>VLOOKUP(B97,Tot_res!C:V,4,FALSE)</f>
        <v>178.59728785210947</v>
      </c>
      <c r="F97" s="179">
        <f>VLOOKUP(B97,Tot_res!C:V,5,FALSE)</f>
        <v>142.76968131143599</v>
      </c>
      <c r="G97" s="179">
        <f>VLOOKUP(B97,Tot_res!C:V,6,FALSE)</f>
        <v>149.18429498118871</v>
      </c>
      <c r="H97" s="179">
        <f>VLOOKUP(B97,Tot_res!C:V,7,FALSE)</f>
        <v>284.13064221753916</v>
      </c>
      <c r="I97" s="179">
        <f>VLOOKUP(B97,Tot_res!C:V,8,FALSE)</f>
        <v>79.31341153023304</v>
      </c>
      <c r="J97" s="179">
        <f>VLOOKUP(B97,Tot_res!C:V,9,FALSE)</f>
        <v>335.5984304026083</v>
      </c>
      <c r="K97" s="179">
        <f>VLOOKUP(B97,Tot_res!C:V,10,FALSE)</f>
        <v>279.58204761028708</v>
      </c>
      <c r="L97" s="179">
        <f>VLOOKUP(B97,Tot_res!C:V,11,FALSE)</f>
        <v>1015.34146527026</v>
      </c>
      <c r="M97" s="179">
        <f>VLOOKUP(B97,Tot_res!C:V,12,FALSE)</f>
        <v>674.70018203386553</v>
      </c>
      <c r="N97" s="179">
        <f>VLOOKUP(B97,Tot_res!C:V,13,FALSE)</f>
        <v>148.15104866537743</v>
      </c>
      <c r="O97" s="179">
        <f>VLOOKUP(B97,Tot_res!C:V,14,FALSE)</f>
        <v>370.34177696225748</v>
      </c>
      <c r="P97" s="179">
        <f>VLOOKUP(B97,Tot_res!C:V,15,FALSE)</f>
        <v>871.04556320408005</v>
      </c>
      <c r="Q97" s="179">
        <f>VLOOKUP(B97,Tot_res!C:V,16,FALSE)</f>
        <v>198.2509949450527</v>
      </c>
      <c r="R97" s="179">
        <f>VLOOKUP(B97,Tot_res!C:V,17,FALSE)</f>
        <v>86.572284467319136</v>
      </c>
      <c r="S97" s="179">
        <f>VLOOKUP(B97,Tot_res!C:V,18,FALSE)</f>
        <v>295.82804186700054</v>
      </c>
      <c r="T97" s="179">
        <f>VLOOKUP(B97,Tot_res!C:V,19,FALSE)</f>
        <v>42.976816989493727</v>
      </c>
      <c r="U97" s="179">
        <f>VLOOKUP(B97,Tot_res!C:V,20,FALSE)</f>
        <v>22.927027637638293</v>
      </c>
      <c r="V97" s="122">
        <f t="shared" si="16"/>
        <v>6310.5405899999996</v>
      </c>
    </row>
    <row r="98" spans="1:28">
      <c r="A98" s="351" t="str">
        <f>IF(B98="","",(IF(ISERROR(MATCH(B98,Tot_res!C:C,0)),"Eliminar!!!","")))</f>
        <v/>
      </c>
      <c r="B98" s="115" t="s">
        <v>197</v>
      </c>
      <c r="C98" s="329" t="str">
        <f>VLOOKUP(B98,Tot_res!C:D,2,FALSE)</f>
        <v>Comisión Nacional del Mercado de Valores, CNMV</v>
      </c>
      <c r="D98" s="179">
        <f>VLOOKUP(B98,Tot_res!C:V,3,FALSE)</f>
        <v>7261.4290059085461</v>
      </c>
      <c r="E98" s="179">
        <f>VLOOKUP(B98,Tot_res!C:V,4,FALSE)</f>
        <v>1142.386998599497</v>
      </c>
      <c r="F98" s="179">
        <f>VLOOKUP(B98,Tot_res!C:V,5,FALSE)</f>
        <v>913.21783038180456</v>
      </c>
      <c r="G98" s="179">
        <f>VLOOKUP(B98,Tot_res!C:V,6,FALSE)</f>
        <v>954.24852768686208</v>
      </c>
      <c r="H98" s="179">
        <f>VLOOKUP(B98,Tot_res!C:V,7,FALSE)</f>
        <v>1817.4248639308676</v>
      </c>
      <c r="I98" s="179">
        <f>VLOOKUP(B98,Tot_res!C:V,8,FALSE)</f>
        <v>507.32355029790818</v>
      </c>
      <c r="J98" s="179">
        <f>VLOOKUP(B98,Tot_res!C:V,9,FALSE)</f>
        <v>2146.6355298732469</v>
      </c>
      <c r="K98" s="179">
        <f>VLOOKUP(B98,Tot_res!C:V,10,FALSE)</f>
        <v>1788.3300472977762</v>
      </c>
      <c r="L98" s="179">
        <f>VLOOKUP(B98,Tot_res!C:V,11,FALSE)</f>
        <v>6494.5716870246833</v>
      </c>
      <c r="M98" s="179">
        <f>VLOOKUP(B98,Tot_res!C:V,12,FALSE)</f>
        <v>4315.6798469775758</v>
      </c>
      <c r="N98" s="179">
        <f>VLOOKUP(B98,Tot_res!C:V,13,FALSE)</f>
        <v>947.63942868133267</v>
      </c>
      <c r="O98" s="179">
        <f>VLOOKUP(B98,Tot_res!C:V,14,FALSE)</f>
        <v>2368.8692931902247</v>
      </c>
      <c r="P98" s="179">
        <f>VLOOKUP(B98,Tot_res!C:V,15,FALSE)</f>
        <v>5571.5914757681139</v>
      </c>
      <c r="Q98" s="179">
        <f>VLOOKUP(B98,Tot_res!C:V,16,FALSE)</f>
        <v>1268.1007747003575</v>
      </c>
      <c r="R98" s="179">
        <f>VLOOKUP(B98,Tot_res!C:V,17,FALSE)</f>
        <v>553.75450211997395</v>
      </c>
      <c r="S98" s="179">
        <f>VLOOKUP(B98,Tot_res!C:V,18,FALSE)</f>
        <v>1892.2465896002541</v>
      </c>
      <c r="T98" s="179">
        <f>VLOOKUP(B98,Tot_res!C:V,19,FALSE)</f>
        <v>274.89867041341927</v>
      </c>
      <c r="U98" s="179">
        <f>VLOOKUP(B98,Tot_res!C:V,20,FALSE)</f>
        <v>146.65137754755645</v>
      </c>
      <c r="V98" s="122">
        <f t="shared" si="16"/>
        <v>40365.000000000007</v>
      </c>
    </row>
    <row r="99" spans="1:28">
      <c r="A99" s="351" t="str">
        <f>IF(B99="","",(IF(ISERROR(MATCH(B99,Tot_res!C:C,0)),"Eliminar!!!","")))</f>
        <v/>
      </c>
      <c r="B99" s="115" t="s">
        <v>198</v>
      </c>
      <c r="C99" s="329" t="str">
        <f>VLOOKUP(B99,Tot_res!C:D,2,FALSE)</f>
        <v>Banco de España</v>
      </c>
      <c r="D99" s="179">
        <f>VLOOKUP(B99,Tot_res!C:V,3,FALSE)</f>
        <v>83359.370067085401</v>
      </c>
      <c r="E99" s="179">
        <f>VLOOKUP(B99,Tot_res!C:V,4,FALSE)</f>
        <v>13114.314069392665</v>
      </c>
      <c r="F99" s="179">
        <f>VLOOKUP(B99,Tot_res!C:V,5,FALSE)</f>
        <v>10483.509927965331</v>
      </c>
      <c r="G99" s="179">
        <f>VLOOKUP(B99,Tot_res!C:V,6,FALSE)</f>
        <v>10954.531964809566</v>
      </c>
      <c r="H99" s="179">
        <f>VLOOKUP(B99,Tot_res!C:V,7,FALSE)</f>
        <v>20863.578185266579</v>
      </c>
      <c r="I99" s="179">
        <f>VLOOKUP(B99,Tot_res!C:V,8,FALSE)</f>
        <v>5823.9461597186846</v>
      </c>
      <c r="J99" s="179">
        <f>VLOOKUP(B99,Tot_res!C:V,9,FALSE)</f>
        <v>24642.833440670511</v>
      </c>
      <c r="K99" s="179">
        <f>VLOOKUP(B99,Tot_res!C:V,10,FALSE)</f>
        <v>20529.577042409106</v>
      </c>
      <c r="L99" s="179">
        <f>VLOOKUP(B99,Tot_res!C:V,11,FALSE)</f>
        <v>74556.041826669098</v>
      </c>
      <c r="M99" s="179">
        <f>VLOOKUP(B99,Tot_res!C:V,12,FALSE)</f>
        <v>49542.914096184046</v>
      </c>
      <c r="N99" s="179">
        <f>VLOOKUP(B99,Tot_res!C:V,13,FALSE)</f>
        <v>10878.661178306847</v>
      </c>
      <c r="O99" s="179">
        <f>VLOOKUP(B99,Tot_res!C:V,14,FALSE)</f>
        <v>27194.020886373994</v>
      </c>
      <c r="P99" s="179">
        <f>VLOOKUP(B99,Tot_res!C:V,15,FALSE)</f>
        <v>63960.462233158149</v>
      </c>
      <c r="Q99" s="179">
        <f>VLOOKUP(B99,Tot_res!C:V,16,FALSE)</f>
        <v>14557.476451892771</v>
      </c>
      <c r="R99" s="179">
        <f>VLOOKUP(B99,Tot_res!C:V,17,FALSE)</f>
        <v>6356.9617538053644</v>
      </c>
      <c r="S99" s="179">
        <f>VLOOKUP(B99,Tot_res!C:V,18,FALSE)</f>
        <v>21722.512688937586</v>
      </c>
      <c r="T99" s="179">
        <f>VLOOKUP(B99,Tot_res!C:V,19,FALSE)</f>
        <v>3155.7672710558704</v>
      </c>
      <c r="U99" s="179">
        <f>VLOOKUP(B99,Tot_res!C:V,20,FALSE)</f>
        <v>1683.5207562984442</v>
      </c>
      <c r="V99" s="122">
        <f t="shared" ref="V99" si="18">SUM(D99:U99)</f>
        <v>463380</v>
      </c>
    </row>
    <row r="100" spans="1:28">
      <c r="A100" s="351" t="str">
        <f>IF(B100="","",(IF(ISERROR(MATCH(B100,Tot_res!C:C,0)),"Eliminar!!!","")))</f>
        <v/>
      </c>
      <c r="B100" s="115" t="s">
        <v>1191</v>
      </c>
      <c r="C100" s="329" t="str">
        <f>VLOOKUP(B100,Tot_res!C:D,2,FALSE)</f>
        <v>Control y supervisión de la política fiscal</v>
      </c>
      <c r="D100" s="179">
        <f>VLOOKUP(B100,Tot_res!C:V,3,FALSE)</f>
        <v>279.5242778890626</v>
      </c>
      <c r="E100" s="179">
        <f>VLOOKUP(B100,Tot_res!C:V,4,FALSE)</f>
        <v>43.975490305495896</v>
      </c>
      <c r="F100" s="179">
        <f>VLOOKUP(B100,Tot_res!C:V,5,FALSE)</f>
        <v>35.153763038264614</v>
      </c>
      <c r="G100" s="179">
        <f>VLOOKUP(B100,Tot_res!C:V,6,FALSE)</f>
        <v>36.733214689743768</v>
      </c>
      <c r="H100" s="179">
        <f>VLOOKUP(B100,Tot_res!C:V,7,FALSE)</f>
        <v>69.96066095179583</v>
      </c>
      <c r="I100" s="179">
        <f>VLOOKUP(B100,Tot_res!C:V,8,FALSE)</f>
        <v>19.529110446132528</v>
      </c>
      <c r="J100" s="179">
        <f>VLOOKUP(B100,Tot_res!C:V,9,FALSE)</f>
        <v>82.633424618016818</v>
      </c>
      <c r="K100" s="179">
        <f>VLOOKUP(B100,Tot_res!C:V,10,FALSE)</f>
        <v>68.840673742244917</v>
      </c>
      <c r="L100" s="179">
        <f>VLOOKUP(B100,Tot_res!C:V,11,FALSE)</f>
        <v>250.00457341621907</v>
      </c>
      <c r="M100" s="179">
        <f>VLOOKUP(B100,Tot_res!C:V,12,FALSE)</f>
        <v>166.12946182427777</v>
      </c>
      <c r="N100" s="179">
        <f>VLOOKUP(B100,Tot_res!C:V,13,FALSE)</f>
        <v>36.478801457098413</v>
      </c>
      <c r="O100" s="179">
        <f>VLOOKUP(B100,Tot_res!C:V,14,FALSE)</f>
        <v>91.188177706314022</v>
      </c>
      <c r="P100" s="179">
        <f>VLOOKUP(B100,Tot_res!C:V,15,FALSE)</f>
        <v>214.4750134842196</v>
      </c>
      <c r="Q100" s="179">
        <f>VLOOKUP(B100,Tot_res!C:V,16,FALSE)</f>
        <v>48.814765392631955</v>
      </c>
      <c r="R100" s="179">
        <f>VLOOKUP(B100,Tot_res!C:V,17,FALSE)</f>
        <v>21.316441599436409</v>
      </c>
      <c r="S100" s="179">
        <f>VLOOKUP(B100,Tot_res!C:V,18,FALSE)</f>
        <v>72.840877617293884</v>
      </c>
      <c r="T100" s="179">
        <f>VLOOKUP(B100,Tot_res!C:V,19,FALSE)</f>
        <v>10.582056545268138</v>
      </c>
      <c r="U100" s="179">
        <f>VLOOKUP(B100,Tot_res!C:V,20,FALSE)</f>
        <v>5.6452552764836996</v>
      </c>
      <c r="V100" s="122">
        <f t="shared" si="16"/>
        <v>1553.8260399999999</v>
      </c>
    </row>
    <row r="101" spans="1:28">
      <c r="A101" s="352"/>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c r="A102" s="352"/>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c r="A103" s="352"/>
      <c r="B103" s="115"/>
      <c r="C103" s="134" t="s">
        <v>77</v>
      </c>
      <c r="D103" s="111">
        <f t="shared" ref="D103:V103" si="19">D106+D213+D238+D277+D293</f>
        <v>29180388.352254666</v>
      </c>
      <c r="E103" s="111">
        <f t="shared" si="19"/>
        <v>5553505.7589793997</v>
      </c>
      <c r="F103" s="111">
        <f t="shared" si="19"/>
        <v>4224289.4992561564</v>
      </c>
      <c r="G103" s="111">
        <f t="shared" si="19"/>
        <v>4502658.4158443566</v>
      </c>
      <c r="H103" s="111">
        <f t="shared" si="19"/>
        <v>9476767.0969431549</v>
      </c>
      <c r="I103" s="111">
        <f t="shared" si="19"/>
        <v>2474552.9167416911</v>
      </c>
      <c r="J103" s="111">
        <f t="shared" si="19"/>
        <v>10517362.777630225</v>
      </c>
      <c r="K103" s="111">
        <f t="shared" si="19"/>
        <v>7499930.813592569</v>
      </c>
      <c r="L103" s="111">
        <f t="shared" si="19"/>
        <v>27764088.401692901</v>
      </c>
      <c r="M103" s="111">
        <f t="shared" si="19"/>
        <v>16216839.932594981</v>
      </c>
      <c r="N103" s="111">
        <f t="shared" si="19"/>
        <v>4585436.925090163</v>
      </c>
      <c r="O103" s="111">
        <f t="shared" si="19"/>
        <v>10813198.607574161</v>
      </c>
      <c r="P103" s="111">
        <f t="shared" si="19"/>
        <v>22384676.999317944</v>
      </c>
      <c r="Q103" s="111">
        <f t="shared" si="19"/>
        <v>4860132.9143910632</v>
      </c>
      <c r="R103" s="111">
        <f t="shared" si="19"/>
        <v>3008727.5850642514</v>
      </c>
      <c r="S103" s="111">
        <f t="shared" si="19"/>
        <v>12965516.647377033</v>
      </c>
      <c r="T103" s="111">
        <f t="shared" si="19"/>
        <v>1306857.0174781852</v>
      </c>
      <c r="U103" s="111">
        <f t="shared" si="19"/>
        <v>1095974.2438904897</v>
      </c>
      <c r="V103" s="125">
        <f t="shared" si="19"/>
        <v>178430904.90571341</v>
      </c>
    </row>
    <row r="104" spans="1:28">
      <c r="A104" s="352"/>
      <c r="B104" s="115"/>
      <c r="C104" s="134" t="s">
        <v>44</v>
      </c>
      <c r="D104" s="114">
        <f t="shared" ref="D104:V104" si="20">D103-D197</f>
        <v>28575851.456896089</v>
      </c>
      <c r="E104" s="114">
        <f t="shared" si="20"/>
        <v>5425388.3389927959</v>
      </c>
      <c r="F104" s="114">
        <f t="shared" si="20"/>
        <v>4127088.4963720823</v>
      </c>
      <c r="G104" s="114">
        <f t="shared" si="20"/>
        <v>4304258.4380372912</v>
      </c>
      <c r="H104" s="114">
        <f t="shared" si="20"/>
        <v>9375064.7146950923</v>
      </c>
      <c r="I104" s="114">
        <f t="shared" si="20"/>
        <v>2435547.4845011081</v>
      </c>
      <c r="J104" s="114">
        <f t="shared" si="20"/>
        <v>10356805.589099202</v>
      </c>
      <c r="K104" s="114">
        <f t="shared" si="20"/>
        <v>7478696.4329187935</v>
      </c>
      <c r="L104" s="114">
        <f t="shared" si="20"/>
        <v>26885908.001610473</v>
      </c>
      <c r="M104" s="114">
        <f t="shared" si="20"/>
        <v>15676072.273690473</v>
      </c>
      <c r="N104" s="114">
        <f t="shared" si="20"/>
        <v>4420663.5011270121</v>
      </c>
      <c r="O104" s="114">
        <f t="shared" si="20"/>
        <v>10553528.078319492</v>
      </c>
      <c r="P104" s="114">
        <f t="shared" si="20"/>
        <v>22861457.924178902</v>
      </c>
      <c r="Q104" s="114">
        <f t="shared" si="20"/>
        <v>4687611.3979210742</v>
      </c>
      <c r="R104" s="114">
        <f t="shared" si="20"/>
        <v>3443576.289950252</v>
      </c>
      <c r="S104" s="114">
        <f t="shared" si="20"/>
        <v>13854642.16161387</v>
      </c>
      <c r="T104" s="114">
        <f t="shared" si="20"/>
        <v>1287107.3089292627</v>
      </c>
      <c r="U104" s="114">
        <f t="shared" si="20"/>
        <v>1095974.2438904897</v>
      </c>
      <c r="V104" s="126">
        <f t="shared" si="20"/>
        <v>176845242.13274378</v>
      </c>
    </row>
    <row r="105" spans="1:28">
      <c r="A105" s="352"/>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5">
      <c r="A106" s="352"/>
      <c r="B106" s="115"/>
      <c r="C106" s="128" t="s">
        <v>43</v>
      </c>
      <c r="D106" s="114">
        <f t="shared" ref="D106:U106" si="21">D195+D197</f>
        <v>16692424.838031407</v>
      </c>
      <c r="E106" s="114">
        <f t="shared" si="21"/>
        <v>3138256.6383278449</v>
      </c>
      <c r="F106" s="114">
        <f t="shared" si="21"/>
        <v>2472890.7902636109</v>
      </c>
      <c r="G106" s="114">
        <f t="shared" si="21"/>
        <v>2488775.620249568</v>
      </c>
      <c r="H106" s="114">
        <f t="shared" si="21"/>
        <v>4820790.5534338411</v>
      </c>
      <c r="I106" s="114">
        <f t="shared" si="21"/>
        <v>1516752.4728596676</v>
      </c>
      <c r="J106" s="114">
        <f t="shared" si="21"/>
        <v>5972000.1741702184</v>
      </c>
      <c r="K106" s="114">
        <f t="shared" si="21"/>
        <v>4425364.9594876217</v>
      </c>
      <c r="L106" s="114">
        <f t="shared" si="21"/>
        <v>15321541.651176024</v>
      </c>
      <c r="M106" s="114">
        <f t="shared" si="21"/>
        <v>9516767.3355053458</v>
      </c>
      <c r="N106" s="114">
        <f t="shared" si="21"/>
        <v>2800008.1614976777</v>
      </c>
      <c r="O106" s="114">
        <f t="shared" si="21"/>
        <v>6513602.1797525622</v>
      </c>
      <c r="P106" s="114">
        <f t="shared" si="21"/>
        <v>11659667.80526828</v>
      </c>
      <c r="Q106" s="114">
        <f t="shared" si="21"/>
        <v>2871384.3343171119</v>
      </c>
      <c r="R106" s="114">
        <f t="shared" si="21"/>
        <v>1957119.1311172266</v>
      </c>
      <c r="S106" s="114">
        <f t="shared" si="21"/>
        <v>9299579.1232766286</v>
      </c>
      <c r="T106" s="114">
        <f t="shared" si="21"/>
        <v>789098.23542035336</v>
      </c>
      <c r="U106" s="114">
        <f t="shared" si="21"/>
        <v>689167.85863156826</v>
      </c>
      <c r="V106" s="126">
        <f>V195+V197</f>
        <v>102945191.86278656</v>
      </c>
      <c r="W106" s="136"/>
    </row>
    <row r="107" spans="1:28" s="103" customFormat="1">
      <c r="A107" s="352"/>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5">
      <c r="A108" s="352"/>
      <c r="B108" s="137"/>
      <c r="C108" s="128" t="s">
        <v>200</v>
      </c>
      <c r="D108" s="114">
        <f t="shared" ref="D108:V108" si="22">SUM(D109:D124)</f>
        <v>16901988.572211422</v>
      </c>
      <c r="E108" s="114">
        <f t="shared" si="22"/>
        <v>3096102.6809333954</v>
      </c>
      <c r="F108" s="114">
        <f t="shared" si="22"/>
        <v>2451788.830795926</v>
      </c>
      <c r="G108" s="114">
        <f t="shared" si="22"/>
        <v>2346897.2743529347</v>
      </c>
      <c r="H108" s="114">
        <f t="shared" si="22"/>
        <v>4996421.2912914446</v>
      </c>
      <c r="I108" s="114">
        <f t="shared" si="22"/>
        <v>1611546.425939417</v>
      </c>
      <c r="J108" s="114">
        <f t="shared" si="22"/>
        <v>5827060.5573389772</v>
      </c>
      <c r="K108" s="114">
        <f t="shared" si="22"/>
        <v>4415679.6973862238</v>
      </c>
      <c r="L108" s="114">
        <f t="shared" si="22"/>
        <v>16590556.558007574</v>
      </c>
      <c r="M108" s="114">
        <f t="shared" si="22"/>
        <v>9191167.2599954959</v>
      </c>
      <c r="N108" s="114">
        <f t="shared" si="22"/>
        <v>2643163.6427868488</v>
      </c>
      <c r="O108" s="114">
        <f t="shared" si="22"/>
        <v>6481834.1459353305</v>
      </c>
      <c r="P108" s="114">
        <f t="shared" si="22"/>
        <v>13148827.621260956</v>
      </c>
      <c r="Q108" s="114">
        <f t="shared" si="22"/>
        <v>2717200.9214700107</v>
      </c>
      <c r="R108" s="114">
        <f t="shared" si="22"/>
        <v>0</v>
      </c>
      <c r="S108" s="114">
        <f t="shared" si="22"/>
        <v>0</v>
      </c>
      <c r="T108" s="114">
        <f t="shared" si="22"/>
        <v>838989.01245107735</v>
      </c>
      <c r="U108" s="114">
        <f t="shared" si="22"/>
        <v>72550.48000000001</v>
      </c>
      <c r="V108" s="114">
        <f t="shared" si="22"/>
        <v>93331774.972157046</v>
      </c>
      <c r="W108" s="103"/>
      <c r="X108" s="103"/>
      <c r="Y108" s="103"/>
      <c r="Z108" s="103"/>
      <c r="AA108" s="103"/>
      <c r="AB108" s="103"/>
    </row>
    <row r="109" spans="1:28">
      <c r="A109" s="351" t="str">
        <f>IF(B109="","",(IF(ISERROR(MATCH(B109,Tot_res!C:C,0)),"Eliminar!!!","")))</f>
        <v/>
      </c>
      <c r="B109" s="115" t="s">
        <v>981</v>
      </c>
      <c r="C109" s="329" t="str">
        <f>VLOOKUP(B109,Tot_res!C:D,2,FALSE)</f>
        <v>Transferencias a Comunidades Autónomas por participación en ingresos del Estado</v>
      </c>
      <c r="D109" s="179">
        <f>VLOOKUP(B109,Tot_res!C:V,3,FALSE)</f>
        <v>4926283.2543500001</v>
      </c>
      <c r="E109" s="179">
        <f>VLOOKUP(B109,Tot_res!C:V,4,FALSE)</f>
        <v>418108.47970000003</v>
      </c>
      <c r="F109" s="179">
        <f>VLOOKUP(B109,Tot_res!C:V,5,FALSE)</f>
        <v>370498.84736999997</v>
      </c>
      <c r="G109" s="179">
        <f>VLOOKUP(B109,Tot_res!C:V,6,FALSE)</f>
        <v>335100.65590999997</v>
      </c>
      <c r="H109" s="179">
        <f>VLOOKUP(B109,Tot_res!C:V,7,FALSE)</f>
        <v>2717488.4308799994</v>
      </c>
      <c r="I109" s="179">
        <f>VLOOKUP(B109,Tot_res!C:V,8,FALSE)</f>
        <v>463610.87455000001</v>
      </c>
      <c r="J109" s="179">
        <f>VLOOKUP(B109,Tot_res!C:V,9,FALSE)</f>
        <v>1340108.1704299999</v>
      </c>
      <c r="K109" s="179">
        <f>VLOOKUP(B109,Tot_res!C:V,10,FALSE)</f>
        <v>1173442.06764</v>
      </c>
      <c r="L109" s="179">
        <f>VLOOKUP(B109,Tot_res!C:V,11,FALSE)</f>
        <v>482423.07624999987</v>
      </c>
      <c r="M109" s="179">
        <f>VLOOKUP(B109,Tot_res!C:V,12,FALSE)</f>
        <v>2207534.5418499997</v>
      </c>
      <c r="N109" s="179">
        <f>VLOOKUP(B109,Tot_res!C:V,13,FALSE)</f>
        <v>1161136.7437200001</v>
      </c>
      <c r="O109" s="179">
        <f>VLOOKUP(B109,Tot_res!C:V,14,FALSE)</f>
        <v>1814361.7092399998</v>
      </c>
      <c r="P109" s="179">
        <f>VLOOKUP(B109,Tot_res!C:V,15,FALSE)</f>
        <v>-2502775.6016500001</v>
      </c>
      <c r="Q109" s="179">
        <f>VLOOKUP(B109,Tot_res!C:V,16,FALSE)</f>
        <v>733719.7905</v>
      </c>
      <c r="R109" s="179">
        <f>VLOOKUP(B109,Tot_res!C:V,17,FALSE)</f>
        <v>0</v>
      </c>
      <c r="S109" s="179">
        <f>VLOOKUP(B109,Tot_res!C:V,18,FALSE)</f>
        <v>0</v>
      </c>
      <c r="T109" s="179">
        <f>VLOOKUP(B109,Tot_res!C:V,19,FALSE)</f>
        <v>248641.77098</v>
      </c>
      <c r="U109" s="179">
        <f>VLOOKUP(B109,Tot_res!C:V,20,FALSE)</f>
        <v>73723.63</v>
      </c>
      <c r="V109" s="122">
        <f t="shared" ref="V109:V124" si="23">SUM(D109:U109)</f>
        <v>15963406.44172</v>
      </c>
    </row>
    <row r="110" spans="1:28">
      <c r="A110" s="351" t="str">
        <f>IF(B110="","",(IF(ISERROR(MATCH(B110,Tot_res!C:C,0)),"Eliminar!!!","")))</f>
        <v/>
      </c>
      <c r="B110" s="115" t="s">
        <v>201</v>
      </c>
      <c r="C110" s="329" t="str">
        <f>VLOOKUP(B110,Tot_res!C:D,2,FALSE)</f>
        <v>Transferencias al Estado por Fondos de Suficiencia negativos</v>
      </c>
      <c r="D110" s="179">
        <f>VLOOKUP(B110,Tot_res!C:V,3,FALSE)</f>
        <v>-287256.70603</v>
      </c>
      <c r="E110" s="179">
        <f>VLOOKUP(B110,Tot_res!C:V,4,FALSE)</f>
        <v>-47084.678780000002</v>
      </c>
      <c r="F110" s="179">
        <f>VLOOKUP(B110,Tot_res!C:V,5,FALSE)</f>
        <v>-39176.745690000003</v>
      </c>
      <c r="G110" s="179">
        <f>VLOOKUP(B110,Tot_res!C:V,6,FALSE)</f>
        <v>-671862.69575000007</v>
      </c>
      <c r="H110" s="179">
        <f>VLOOKUP(B110,Tot_res!C:V,7,FALSE)</f>
        <v>-64549.999920000002</v>
      </c>
      <c r="I110" s="179">
        <f>VLOOKUP(B110,Tot_res!C:V,8,FALSE)</f>
        <v>-12147.94037</v>
      </c>
      <c r="J110" s="179">
        <f>VLOOKUP(B110,Tot_res!C:V,9,FALSE)</f>
        <v>-94516.99656</v>
      </c>
      <c r="K110" s="179">
        <f>VLOOKUP(B110,Tot_res!C:V,10,FALSE)</f>
        <v>-77278.223580000005</v>
      </c>
      <c r="L110" s="179">
        <f>VLOOKUP(B110,Tot_res!C:V,11,FALSE)</f>
        <v>-283370.98216000001</v>
      </c>
      <c r="M110" s="179">
        <f>VLOOKUP(B110,Tot_res!C:V,12,FALSE)</f>
        <v>-1455305.5609500001</v>
      </c>
      <c r="N110" s="179">
        <f>VLOOKUP(B110,Tot_res!C:V,13,FALSE)</f>
        <v>-36863.982969999997</v>
      </c>
      <c r="O110" s="179">
        <f>VLOOKUP(B110,Tot_res!C:V,14,FALSE)</f>
        <v>-101583.25005</v>
      </c>
      <c r="P110" s="179">
        <f>VLOOKUP(B110,Tot_res!C:V,15,FALSE)</f>
        <v>-825510.86595000001</v>
      </c>
      <c r="Q110" s="179">
        <f>VLOOKUP(B110,Tot_res!C:V,16,FALSE)</f>
        <v>-220022.52656</v>
      </c>
      <c r="R110" s="179">
        <f>VLOOKUP(B110,Tot_res!C:V,17,FALSE)</f>
        <v>0</v>
      </c>
      <c r="S110" s="179">
        <f>VLOOKUP(B110,Tot_res!C:V,18,FALSE)</f>
        <v>0</v>
      </c>
      <c r="T110" s="179">
        <f>VLOOKUP(B110,Tot_res!C:V,19,FALSE)</f>
        <v>-8766.4239799999996</v>
      </c>
      <c r="U110" s="179">
        <f>VLOOKUP(B110,Tot_res!C:V,20,FALSE)</f>
        <v>0</v>
      </c>
      <c r="V110" s="122">
        <f t="shared" si="23"/>
        <v>-4225297.5793000003</v>
      </c>
      <c r="W110" s="103"/>
    </row>
    <row r="111" spans="1:28">
      <c r="A111" s="351" t="str">
        <f>IF(B111="","",(IF(ISERROR(MATCH(B111,Tot_res!C:C,0)),"Eliminar!!!","")))</f>
        <v/>
      </c>
      <c r="B111" s="115" t="s">
        <v>202</v>
      </c>
      <c r="C111" s="329" t="str">
        <f>VLOOKUP(B111,Tot_res!C:D,2,FALSE)</f>
        <v>Otros Flujos de financiación regional, en parte extrapresupuestarios</v>
      </c>
      <c r="D111" s="179">
        <f>VLOOKUP(B111,Tot_res!C:V,3,FALSE)</f>
        <v>-581822.25200000009</v>
      </c>
      <c r="E111" s="179">
        <f>VLOOKUP(B111,Tot_res!C:V,4,FALSE)</f>
        <v>-85911.76999999999</v>
      </c>
      <c r="F111" s="179">
        <f>VLOOKUP(B111,Tot_res!C:V,5,FALSE)</f>
        <v>-72499.54800000001</v>
      </c>
      <c r="G111" s="179">
        <f>VLOOKUP(B111,Tot_res!C:V,6,FALSE)</f>
        <v>-30801.928000000007</v>
      </c>
      <c r="H111" s="179">
        <f>VLOOKUP(B111,Tot_res!C:V,7,FALSE)</f>
        <v>-137438.976</v>
      </c>
      <c r="I111" s="179">
        <f>VLOOKUP(B111,Tot_res!C:V,8,FALSE)</f>
        <v>-46424.346000000005</v>
      </c>
      <c r="J111" s="179">
        <f>VLOOKUP(B111,Tot_res!C:V,9,FALSE)</f>
        <v>-179406.728</v>
      </c>
      <c r="K111" s="179">
        <f>VLOOKUP(B111,Tot_res!C:V,10,FALSE)</f>
        <v>-124581.83600000001</v>
      </c>
      <c r="L111" s="179">
        <f>VLOOKUP(B111,Tot_res!C:V,11,FALSE)</f>
        <v>-303068.22600000008</v>
      </c>
      <c r="M111" s="179">
        <f>VLOOKUP(B111,Tot_res!C:V,12,FALSE)</f>
        <v>-221576.80200000005</v>
      </c>
      <c r="N111" s="179">
        <f>VLOOKUP(B111,Tot_res!C:V,13,FALSE)</f>
        <v>-96625.864000000031</v>
      </c>
      <c r="O111" s="179">
        <f>VLOOKUP(B111,Tot_res!C:V,14,FALSE)</f>
        <v>-205959.91400000002</v>
      </c>
      <c r="P111" s="179">
        <f>VLOOKUP(B111,Tot_res!C:V,15,FALSE)</f>
        <v>-133622.39599999998</v>
      </c>
      <c r="Q111" s="179">
        <f>VLOOKUP(B111,Tot_res!C:V,16,FALSE)</f>
        <v>-71038.706000000006</v>
      </c>
      <c r="R111" s="179">
        <f>VLOOKUP(B111,Tot_res!C:V,17,FALSE)</f>
        <v>0</v>
      </c>
      <c r="S111" s="179">
        <f>VLOOKUP(B111,Tot_res!C:V,18,FALSE)</f>
        <v>0</v>
      </c>
      <c r="T111" s="179">
        <f>VLOOKUP(B111,Tot_res!C:V,19,FALSE)</f>
        <v>-24002.646000000008</v>
      </c>
      <c r="U111" s="179">
        <f>VLOOKUP(B111,Tot_res!C:V,20,FALSE)</f>
        <v>-1173.1500000000001</v>
      </c>
      <c r="V111" s="122">
        <f t="shared" si="23"/>
        <v>-2315955.0880000005</v>
      </c>
    </row>
    <row r="112" spans="1:28">
      <c r="A112" s="351" t="str">
        <f>IF(B112="","",(IF(ISERROR(MATCH(B112,Tot_res!C:C,0)),"Eliminar!!!","")))</f>
        <v/>
      </c>
      <c r="B112" s="115" t="s">
        <v>1193</v>
      </c>
      <c r="C112" s="329" t="str">
        <f>VLOOKUP(B112,Tot_res!C:D,2,FALSE)</f>
        <v xml:space="preserve"> Compensación  a CC.AA por Impuesto de Depósito de Entidades de Crédito y otros</v>
      </c>
      <c r="D112" s="179">
        <f>VLOOKUP(B112,Tot_res!C:V,3,FALSE)</f>
        <v>285802.33124999999</v>
      </c>
      <c r="E112" s="179">
        <f>VLOOKUP(B112,Tot_res!C:V,4,FALSE)</f>
        <v>0</v>
      </c>
      <c r="F112" s="179">
        <f>VLOOKUP(B112,Tot_res!C:V,5,FALSE)</f>
        <v>0</v>
      </c>
      <c r="G112" s="179">
        <f>VLOOKUP(B112,Tot_res!C:V,6,FALSE)</f>
        <v>0</v>
      </c>
      <c r="H112" s="179">
        <f>VLOOKUP(B112,Tot_res!C:V,7,FALSE)</f>
        <v>94135.709740000006</v>
      </c>
      <c r="I112" s="179">
        <f>VLOOKUP(B112,Tot_res!C:V,8,FALSE)</f>
        <v>0</v>
      </c>
      <c r="J112" s="179">
        <f>VLOOKUP(B112,Tot_res!C:V,9,FALSE)</f>
        <v>0</v>
      </c>
      <c r="K112" s="179">
        <f>VLOOKUP(B112,Tot_res!C:V,10,FALSE)</f>
        <v>0</v>
      </c>
      <c r="L112" s="179">
        <f>VLOOKUP(B112,Tot_res!C:V,11,FALSE)</f>
        <v>0</v>
      </c>
      <c r="M112" s="179">
        <f>VLOOKUP(B112,Tot_res!C:V,12,FALSE)</f>
        <v>0</v>
      </c>
      <c r="N112" s="179">
        <f>VLOOKUP(B112,Tot_res!C:V,13,FALSE)</f>
        <v>0</v>
      </c>
      <c r="O112" s="179">
        <f>VLOOKUP(B112,Tot_res!C:V,14,FALSE)</f>
        <v>0</v>
      </c>
      <c r="P112" s="179">
        <f>VLOOKUP(B112,Tot_res!C:V,15,FALSE)</f>
        <v>0</v>
      </c>
      <c r="Q112" s="179">
        <f>VLOOKUP(B112,Tot_res!C:V,16,FALSE)</f>
        <v>0</v>
      </c>
      <c r="R112" s="179">
        <f>VLOOKUP(B112,Tot_res!C:V,17,FALSE)</f>
        <v>0</v>
      </c>
      <c r="S112" s="179">
        <f>VLOOKUP(B112,Tot_res!C:V,18,FALSE)</f>
        <v>0</v>
      </c>
      <c r="T112" s="179">
        <f>VLOOKUP(B112,Tot_res!C:V,19,FALSE)</f>
        <v>0</v>
      </c>
      <c r="U112" s="179">
        <f>VLOOKUP(B112,Tot_res!C:V,20,FALSE)</f>
        <v>0</v>
      </c>
      <c r="V112" s="122">
        <f t="shared" ref="V112" si="24">SUM(D112:U112)</f>
        <v>379938.04099000001</v>
      </c>
    </row>
    <row r="113" spans="1:28">
      <c r="A113" s="351" t="str">
        <f>IF(B113="","",(IF(ISERROR(MATCH(B113,Tot_res!C:C,0)),"Eliminar!!!","")))</f>
        <v/>
      </c>
      <c r="B113" s="115" t="s">
        <v>935</v>
      </c>
      <c r="C113" s="329" t="str">
        <f>VLOOKUP(B113,Tot_res!C:D,2,FALSE)</f>
        <v>Participación CCAARC en IRPF, sin ejercicio de la capacidad normativa</v>
      </c>
      <c r="D113" s="179">
        <f>VLOOKUP(B113,Tot_res!C:V,3,FALSE)</f>
        <v>3839188.4786903001</v>
      </c>
      <c r="E113" s="179">
        <f>VLOOKUP(B113,Tot_res!C:V,4,FALSE)</f>
        <v>1042914.5082503965</v>
      </c>
      <c r="F113" s="179">
        <f>VLOOKUP(B113,Tot_res!C:V,5,FALSE)</f>
        <v>833692.6050845735</v>
      </c>
      <c r="G113" s="179">
        <f>VLOOKUP(B113,Tot_res!C:V,6,FALSE)</f>
        <v>757567.36704259983</v>
      </c>
      <c r="H113" s="179">
        <f>VLOOKUP(B113,Tot_res!C:V,7,FALSE)</f>
        <v>1047613.6713256571</v>
      </c>
      <c r="I113" s="179">
        <f>VLOOKUP(B113,Tot_res!C:V,8,FALSE)</f>
        <v>442668.77713251283</v>
      </c>
      <c r="J113" s="179">
        <f>VLOOKUP(B113,Tot_res!C:V,9,FALSE)</f>
        <v>1706009.4858952998</v>
      </c>
      <c r="K113" s="179">
        <f>VLOOKUP(B113,Tot_res!C:V,10,FALSE)</f>
        <v>1056330.8194632707</v>
      </c>
      <c r="L113" s="179">
        <f>VLOOKUP(B113,Tot_res!C:V,11,FALSE)</f>
        <v>6946201.1405593092</v>
      </c>
      <c r="M113" s="179">
        <f>VLOOKUP(B113,Tot_res!C:V,12,FALSE)</f>
        <v>2816827.8187883594</v>
      </c>
      <c r="N113" s="179">
        <f>VLOOKUP(B113,Tot_res!C:V,13,FALSE)</f>
        <v>451414.40821940603</v>
      </c>
      <c r="O113" s="179">
        <f>VLOOKUP(B113,Tot_res!C:V,14,FALSE)</f>
        <v>1712152.4102804484</v>
      </c>
      <c r="P113" s="179">
        <f>VLOOKUP(B113,Tot_res!C:V,15,FALSE)</f>
        <v>8406209.4832376186</v>
      </c>
      <c r="Q113" s="179">
        <f>VLOOKUP(B113,Tot_res!C:V,16,FALSE)</f>
        <v>685425.72782752966</v>
      </c>
      <c r="R113" s="179">
        <f>VLOOKUP(B113,Tot_res!C:V,17,FALSE)</f>
        <v>0</v>
      </c>
      <c r="S113" s="179">
        <f>VLOOKUP(B113,Tot_res!C:V,18,FALSE)</f>
        <v>0</v>
      </c>
      <c r="T113" s="179">
        <f>VLOOKUP(B113,Tot_res!C:V,19,FALSE)</f>
        <v>232104.05498222285</v>
      </c>
      <c r="U113" s="179">
        <f>VLOOKUP(B113,Tot_res!C:V,20,FALSE)</f>
        <v>0</v>
      </c>
      <c r="V113" s="122">
        <f t="shared" si="23"/>
        <v>31976320.756779503</v>
      </c>
    </row>
    <row r="114" spans="1:28">
      <c r="A114" s="351" t="str">
        <f>IF(B114="","",(IF(ISERROR(MATCH(B114,Tot_res!C:C,0)),"Eliminar!!!","")))</f>
        <v/>
      </c>
      <c r="B114" s="115" t="s">
        <v>203</v>
      </c>
      <c r="C114" s="329" t="str">
        <f>VLOOKUP(B114,Tot_res!C:D,2,FALSE)</f>
        <v>Participación CCAARC en el IVA</v>
      </c>
      <c r="D114" s="179">
        <f>VLOOKUP(B114,Tot_res!C:V,3,FALSE)</f>
        <v>5025911.79</v>
      </c>
      <c r="E114" s="179">
        <f>VLOOKUP(B114,Tot_res!C:V,4,FALSE)</f>
        <v>986848.11</v>
      </c>
      <c r="F114" s="179">
        <f>VLOOKUP(B114,Tot_res!C:V,5,FALSE)</f>
        <v>794732.27</v>
      </c>
      <c r="G114" s="179">
        <f>VLOOKUP(B114,Tot_res!C:V,6,FALSE)</f>
        <v>1106376.21</v>
      </c>
      <c r="H114" s="179">
        <f>VLOOKUP(B114,Tot_res!C:V,7,FALSE)</f>
        <v>0</v>
      </c>
      <c r="I114" s="179">
        <f>VLOOKUP(B114,Tot_res!C:V,8,FALSE)</f>
        <v>428717.37</v>
      </c>
      <c r="J114" s="179">
        <f>VLOOKUP(B114,Tot_res!C:V,9,FALSE)</f>
        <v>1766510.7</v>
      </c>
      <c r="K114" s="179">
        <f>VLOOKUP(B114,Tot_res!C:V,10,FALSE)</f>
        <v>1317140.3700000001</v>
      </c>
      <c r="L114" s="179">
        <f>VLOOKUP(B114,Tot_res!C:V,11,FALSE)</f>
        <v>5650607.5800000001</v>
      </c>
      <c r="M114" s="179">
        <f>VLOOKUP(B114,Tot_res!C:V,12,FALSE)</f>
        <v>3269807.93</v>
      </c>
      <c r="N114" s="179">
        <f>VLOOKUP(B114,Tot_res!C:V,13,FALSE)</f>
        <v>661668.66999999993</v>
      </c>
      <c r="O114" s="179">
        <f>VLOOKUP(B114,Tot_res!C:V,14,FALSE)</f>
        <v>1901931.41</v>
      </c>
      <c r="P114" s="179">
        <f>VLOOKUP(B114,Tot_res!C:V,15,FALSE)</f>
        <v>4755223.58</v>
      </c>
      <c r="Q114" s="179">
        <f>VLOOKUP(B114,Tot_res!C:V,16,FALSE)</f>
        <v>843065.93</v>
      </c>
      <c r="R114" s="179">
        <f>VLOOKUP(B114,Tot_res!C:V,17,FALSE)</f>
        <v>0</v>
      </c>
      <c r="S114" s="179">
        <f>VLOOKUP(B114,Tot_res!C:V,18,FALSE)</f>
        <v>0</v>
      </c>
      <c r="T114" s="179">
        <f>VLOOKUP(B114,Tot_res!C:V,19,FALSE)</f>
        <v>230611.35</v>
      </c>
      <c r="U114" s="179">
        <f>VLOOKUP(B114,Tot_res!C:V,20,FALSE)</f>
        <v>0</v>
      </c>
      <c r="V114" s="122">
        <f t="shared" si="23"/>
        <v>28739153.270000003</v>
      </c>
    </row>
    <row r="115" spans="1:28">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179">
        <f>VLOOKUP(B115,Tot_res!C:V,3,FALSE)</f>
        <v>1797182.38</v>
      </c>
      <c r="E115" s="179">
        <f>VLOOKUP(B115,Tot_res!C:V,4,FALSE)</f>
        <v>440684.9</v>
      </c>
      <c r="F115" s="179">
        <f>VLOOKUP(B115,Tot_res!C:V,5,FALSE)</f>
        <v>287127.62</v>
      </c>
      <c r="G115" s="179">
        <f>VLOOKUP(B115,Tot_res!C:V,6,FALSE)</f>
        <v>364400.34</v>
      </c>
      <c r="H115" s="179">
        <f>VLOOKUP(B115,Tot_res!C:V,7,FALSE)</f>
        <v>27579.750000000004</v>
      </c>
      <c r="I115" s="179">
        <f>VLOOKUP(B115,Tot_res!C:V,8,FALSE)</f>
        <v>167666.70000000001</v>
      </c>
      <c r="J115" s="179">
        <f>VLOOKUP(B115,Tot_res!C:V,9,FALSE)</f>
        <v>726669.37</v>
      </c>
      <c r="K115" s="179">
        <f>VLOOKUP(B115,Tot_res!C:V,10,FALSE)</f>
        <v>600390.5</v>
      </c>
      <c r="L115" s="179">
        <f>VLOOKUP(B115,Tot_res!C:V,11,FALSE)</f>
        <v>2043281.9799999997</v>
      </c>
      <c r="M115" s="179">
        <f>VLOOKUP(B115,Tot_res!C:V,12,FALSE)</f>
        <v>1272584.74</v>
      </c>
      <c r="N115" s="179">
        <f>VLOOKUP(B115,Tot_res!C:V,13,FALSE)</f>
        <v>315636.18</v>
      </c>
      <c r="O115" s="179">
        <f>VLOOKUP(B115,Tot_res!C:V,14,FALSE)</f>
        <v>754729.79999999993</v>
      </c>
      <c r="P115" s="179">
        <f>VLOOKUP(B115,Tot_res!C:V,15,FALSE)</f>
        <v>1466636.9700000002</v>
      </c>
      <c r="Q115" s="179">
        <f>VLOOKUP(B115,Tot_res!C:V,16,FALSE)</f>
        <v>437102.27</v>
      </c>
      <c r="R115" s="179">
        <f>VLOOKUP(B115,Tot_res!C:V,17,FALSE)</f>
        <v>0</v>
      </c>
      <c r="S115" s="179">
        <f>VLOOKUP(B115,Tot_res!C:V,18,FALSE)</f>
        <v>0</v>
      </c>
      <c r="T115" s="179">
        <f>VLOOKUP(B115,Tot_res!C:V,19,FALSE)</f>
        <v>86044.62</v>
      </c>
      <c r="U115" s="179">
        <f>VLOOKUP(B115,Tot_res!C:V,20,FALSE)</f>
        <v>0</v>
      </c>
      <c r="V115" s="122">
        <f t="shared" si="23"/>
        <v>10787718.119999999</v>
      </c>
    </row>
    <row r="116" spans="1:28">
      <c r="A116" s="351" t="str">
        <f>IF(B116="","",(IF(ISERROR(MATCH(B116,Tot_res!C:C,0)),"Eliminar!!!","")))</f>
        <v/>
      </c>
      <c r="B116" s="115" t="s">
        <v>204</v>
      </c>
      <c r="C116" s="329" t="str">
        <f>VLOOKUP(B116,Tot_res!C:D,2,FALSE)</f>
        <v>Participación de las CCAARC en el impuesto sobre la electricidad</v>
      </c>
      <c r="D116" s="179">
        <f>VLOOKUP(B116,Tot_res!C:V,3,FALSE)</f>
        <v>290775.88</v>
      </c>
      <c r="E116" s="179">
        <f>VLOOKUP(B116,Tot_res!C:V,4,FALSE)</f>
        <v>80431.360000000001</v>
      </c>
      <c r="F116" s="179">
        <f>VLOOKUP(B116,Tot_res!C:V,5,FALSE)</f>
        <v>79198.64</v>
      </c>
      <c r="G116" s="179">
        <f>VLOOKUP(B116,Tot_res!C:V,6,FALSE)</f>
        <v>41828.5</v>
      </c>
      <c r="H116" s="179">
        <f>VLOOKUP(B116,Tot_res!C:V,7,FALSE)</f>
        <v>60974.420000000006</v>
      </c>
      <c r="I116" s="179">
        <f>VLOOKUP(B116,Tot_res!C:V,8,FALSE)</f>
        <v>37063.800000000003</v>
      </c>
      <c r="J116" s="179">
        <f>VLOOKUP(B116,Tot_res!C:V,9,FALSE)</f>
        <v>98086.23</v>
      </c>
      <c r="K116" s="179">
        <f>VLOOKUP(B116,Tot_res!C:V,10,FALSE)</f>
        <v>89700.31</v>
      </c>
      <c r="L116" s="179">
        <f>VLOOKUP(B116,Tot_res!C:V,11,FALSE)</f>
        <v>344494.57</v>
      </c>
      <c r="M116" s="179">
        <f>VLOOKUP(B116,Tot_res!C:V,12,FALSE)</f>
        <v>181992.16999999998</v>
      </c>
      <c r="N116" s="179">
        <f>VLOOKUP(B116,Tot_res!C:V,13,FALSE)</f>
        <v>35769.32</v>
      </c>
      <c r="O116" s="179">
        <f>VLOOKUP(B116,Tot_res!C:V,14,FALSE)</f>
        <v>147752.20000000001</v>
      </c>
      <c r="P116" s="179">
        <f>VLOOKUP(B116,Tot_res!C:V,15,FALSE)</f>
        <v>217805.19</v>
      </c>
      <c r="Q116" s="179">
        <f>VLOOKUP(B116,Tot_res!C:V,16,FALSE)</f>
        <v>58212.639999999999</v>
      </c>
      <c r="R116" s="179">
        <f>VLOOKUP(B116,Tot_res!C:V,17,FALSE)</f>
        <v>0</v>
      </c>
      <c r="S116" s="179">
        <f>VLOOKUP(B116,Tot_res!C:V,18,FALSE)</f>
        <v>0</v>
      </c>
      <c r="T116" s="179">
        <f>VLOOKUP(B116,Tot_res!C:V,19,FALSE)</f>
        <v>11733.59</v>
      </c>
      <c r="U116" s="179">
        <f>VLOOKUP(B116,Tot_res!C:V,20,FALSE)</f>
        <v>0</v>
      </c>
      <c r="V116" s="122">
        <f t="shared" si="23"/>
        <v>1775818.82</v>
      </c>
    </row>
    <row r="117" spans="1:28">
      <c r="A117" s="351" t="str">
        <f>IF(B117="","",(IF(ISERROR(MATCH(B117,Tot_res!C:C,0)),"Eliminar!!!","")))</f>
        <v/>
      </c>
      <c r="B117" s="115" t="s">
        <v>936</v>
      </c>
      <c r="C117" s="329" t="str">
        <f>VLOOKUP(B117,Tot_res!C:D,2,FALSE)</f>
        <v>Sucesiones y donaciones, ingresos homogeneizados de las CCAARC</v>
      </c>
      <c r="D117" s="179">
        <f>VLOOKUP(B117,Tot_res!C:V,3,FALSE)</f>
        <v>347407.31892555061</v>
      </c>
      <c r="E117" s="179">
        <f>VLOOKUP(B117,Tot_res!C:V,4,FALSE)</f>
        <v>98040.800400798995</v>
      </c>
      <c r="F117" s="179">
        <f>VLOOKUP(B117,Tot_res!C:V,5,FALSE)</f>
        <v>84280.527283151474</v>
      </c>
      <c r="G117" s="179">
        <f>VLOOKUP(B117,Tot_res!C:V,6,FALSE)</f>
        <v>49715.276183930619</v>
      </c>
      <c r="H117" s="179">
        <f>VLOOKUP(B117,Tot_res!C:V,7,FALSE)</f>
        <v>76438.005149791148</v>
      </c>
      <c r="I117" s="179">
        <f>VLOOKUP(B117,Tot_res!C:V,8,FALSE)</f>
        <v>43868.790597264866</v>
      </c>
      <c r="J117" s="179">
        <f>VLOOKUP(B117,Tot_res!C:V,9,FALSE)</f>
        <v>176832.59200651047</v>
      </c>
      <c r="K117" s="179">
        <f>VLOOKUP(B117,Tot_res!C:V,10,FALSE)</f>
        <v>97243.5095577295</v>
      </c>
      <c r="L117" s="179">
        <f>VLOOKUP(B117,Tot_res!C:V,11,FALSE)</f>
        <v>432233.08947359095</v>
      </c>
      <c r="M117" s="179">
        <f>VLOOKUP(B117,Tot_res!C:V,12,FALSE)</f>
        <v>252543.10471183431</v>
      </c>
      <c r="N117" s="179">
        <f>VLOOKUP(B117,Tot_res!C:V,13,FALSE)</f>
        <v>55604.710234508471</v>
      </c>
      <c r="O117" s="179">
        <f>VLOOKUP(B117,Tot_res!C:V,14,FALSE)</f>
        <v>195848.24783360882</v>
      </c>
      <c r="P117" s="179">
        <f>VLOOKUP(B117,Tot_res!C:V,15,FALSE)</f>
        <v>364665.29153258062</v>
      </c>
      <c r="Q117" s="179">
        <f>VLOOKUP(B117,Tot_res!C:V,16,FALSE)</f>
        <v>55624.316881209321</v>
      </c>
      <c r="R117" s="179">
        <f>VLOOKUP(B117,Tot_res!C:V,17,FALSE)</f>
        <v>0</v>
      </c>
      <c r="S117" s="179">
        <f>VLOOKUP(B117,Tot_res!C:V,18,FALSE)</f>
        <v>0</v>
      </c>
      <c r="T117" s="179">
        <f>VLOOKUP(B117,Tot_res!C:V,19,FALSE)</f>
        <v>21139.419227939743</v>
      </c>
      <c r="U117" s="179">
        <f>VLOOKUP(B117,Tot_res!C:V,20,FALSE)</f>
        <v>0</v>
      </c>
      <c r="V117" s="122">
        <f t="shared" si="23"/>
        <v>2351484.9999999995</v>
      </c>
    </row>
    <row r="118" spans="1:28">
      <c r="A118" s="351" t="str">
        <f>IF(B118="","",(IF(ISERROR(MATCH(B118,Tot_res!C:C,0)),"Eliminar!!!","")))</f>
        <v/>
      </c>
      <c r="B118" s="115" t="s">
        <v>937</v>
      </c>
      <c r="C118" s="329" t="str">
        <f>VLOOKUP(B118,Tot_res!C:D,2,FALSE)</f>
        <v>ITP y AJD, ingresos homogeneizados de las CCAARC</v>
      </c>
      <c r="D118" s="179">
        <f>VLOOKUP(B118,Tot_res!C:V,3,FALSE)</f>
        <v>1061325.5023418725</v>
      </c>
      <c r="E118" s="179">
        <f>VLOOKUP(B118,Tot_res!C:V,4,FALSE)</f>
        <v>121570.00000000001</v>
      </c>
      <c r="F118" s="179">
        <f>VLOOKUP(B118,Tot_res!C:V,5,FALSE)</f>
        <v>82705.259447728939</v>
      </c>
      <c r="G118" s="179">
        <f>VLOOKUP(B118,Tot_res!C:V,6,FALSE)</f>
        <v>335622.99268485955</v>
      </c>
      <c r="H118" s="179">
        <f>VLOOKUP(B118,Tot_res!C:V,7,FALSE)</f>
        <v>230948.33849455943</v>
      </c>
      <c r="I118" s="179">
        <f>VLOOKUP(B118,Tot_res!C:V,8,FALSE)</f>
        <v>65549.355910065962</v>
      </c>
      <c r="J118" s="179">
        <f>VLOOKUP(B118,Tot_res!C:V,9,FALSE)</f>
        <v>203014.48644300617</v>
      </c>
      <c r="K118" s="179">
        <f>VLOOKUP(B118,Tot_res!C:V,10,FALSE)</f>
        <v>225930.01619904349</v>
      </c>
      <c r="L118" s="179">
        <f>VLOOKUP(B118,Tot_res!C:V,11,FALSE)</f>
        <v>1043214.1735280307</v>
      </c>
      <c r="M118" s="179">
        <f>VLOOKUP(B118,Tot_res!C:V,12,FALSE)</f>
        <v>680377.02788684214</v>
      </c>
      <c r="N118" s="179">
        <f>VLOOKUP(B118,Tot_res!C:V,13,FALSE)</f>
        <v>71728.88083429051</v>
      </c>
      <c r="O118" s="179">
        <f>VLOOKUP(B118,Tot_res!C:V,14,FALSE)</f>
        <v>184257.02046223544</v>
      </c>
      <c r="P118" s="179">
        <f>VLOOKUP(B118,Tot_res!C:V,15,FALSE)</f>
        <v>970210.60984771117</v>
      </c>
      <c r="Q118" s="179">
        <f>VLOOKUP(B118,Tot_res!C:V,16,FALSE)</f>
        <v>162712.6731623282</v>
      </c>
      <c r="R118" s="179">
        <f>VLOOKUP(B118,Tot_res!C:V,17,FALSE)</f>
        <v>0</v>
      </c>
      <c r="S118" s="179">
        <f>VLOOKUP(B118,Tot_res!C:V,18,FALSE)</f>
        <v>0</v>
      </c>
      <c r="T118" s="179">
        <f>VLOOKUP(B118,Tot_res!C:V,19,FALSE)</f>
        <v>33071</v>
      </c>
      <c r="U118" s="179">
        <f>VLOOKUP(B118,Tot_res!C:V,20,FALSE)</f>
        <v>0</v>
      </c>
      <c r="V118" s="122">
        <f t="shared" si="23"/>
        <v>5472237.3372425754</v>
      </c>
    </row>
    <row r="119" spans="1:28">
      <c r="A119" s="351" t="str">
        <f>IF(B119="","",(IF(ISERROR(MATCH(B119,Tot_res!C:C,0)),"Eliminar!!!","")))</f>
        <v/>
      </c>
      <c r="B119" s="115" t="s">
        <v>938</v>
      </c>
      <c r="C119" s="329" t="str">
        <f>VLOOKUP(B119,Tot_res!C:D,2,FALSE)</f>
        <v>Tasas sobre el juego, ingresos homogeneizados de las CCAARC</v>
      </c>
      <c r="D119" s="179">
        <f>VLOOKUP(B119,Tot_res!C:V,3,FALSE)</f>
        <v>142874.33982069624</v>
      </c>
      <c r="E119" s="179">
        <f>VLOOKUP(B119,Tot_res!C:V,4,FALSE)</f>
        <v>27991.851362200523</v>
      </c>
      <c r="F119" s="179">
        <f>VLOOKUP(B119,Tot_res!C:V,5,FALSE)</f>
        <v>20292.430122131798</v>
      </c>
      <c r="G119" s="179">
        <f>VLOOKUP(B119,Tot_res!C:V,6,FALSE)</f>
        <v>35972.47087904004</v>
      </c>
      <c r="H119" s="179">
        <f>VLOOKUP(B119,Tot_res!C:V,7,FALSE)</f>
        <v>37455.669151930138</v>
      </c>
      <c r="I119" s="179">
        <f>VLOOKUP(B119,Tot_res!C:V,8,FALSE)</f>
        <v>13667.522533321078</v>
      </c>
      <c r="J119" s="179">
        <f>VLOOKUP(B119,Tot_res!C:V,9,FALSE)</f>
        <v>58774.855594283727</v>
      </c>
      <c r="K119" s="179">
        <f>VLOOKUP(B119,Tot_res!C:V,10,FALSE)</f>
        <v>42311.542253329288</v>
      </c>
      <c r="L119" s="179">
        <f>VLOOKUP(B119,Tot_res!C:V,11,FALSE)</f>
        <v>138621.75219666012</v>
      </c>
      <c r="M119" s="179">
        <f>VLOOKUP(B119,Tot_res!C:V,12,FALSE)</f>
        <v>136538.18797787378</v>
      </c>
      <c r="N119" s="179">
        <f>VLOOKUP(B119,Tot_res!C:V,13,FALSE)</f>
        <v>17153.471486504281</v>
      </c>
      <c r="O119" s="179">
        <f>VLOOKUP(B119,Tot_res!C:V,14,FALSE)</f>
        <v>46548.247315622117</v>
      </c>
      <c r="P119" s="179">
        <f>VLOOKUP(B119,Tot_res!C:V,15,FALSE)</f>
        <v>256607.592606369</v>
      </c>
      <c r="Q119" s="179">
        <f>VLOOKUP(B119,Tot_res!C:V,16,FALSE)</f>
        <v>21097.27945912314</v>
      </c>
      <c r="R119" s="179">
        <f>VLOOKUP(B119,Tot_res!C:V,17,FALSE)</f>
        <v>0</v>
      </c>
      <c r="S119" s="179">
        <f>VLOOKUP(B119,Tot_res!C:V,18,FALSE)</f>
        <v>0</v>
      </c>
      <c r="T119" s="179">
        <f>VLOOKUP(B119,Tot_res!C:V,19,FALSE)</f>
        <v>4647.7872409147985</v>
      </c>
      <c r="U119" s="179">
        <f>VLOOKUP(B119,Tot_res!C:V,20,FALSE)</f>
        <v>0</v>
      </c>
      <c r="V119" s="122">
        <f t="shared" si="23"/>
        <v>1000555.0000000001</v>
      </c>
    </row>
    <row r="120" spans="1:28">
      <c r="A120" s="351" t="str">
        <f>IF(B120="","",(IF(ISERROR(MATCH(B120,Tot_res!C:C,0)),"Eliminar!!!","")))</f>
        <v/>
      </c>
      <c r="B120" s="115" t="s">
        <v>939</v>
      </c>
      <c r="C120" s="329" t="str">
        <f>VLOOKUP(B120,Tot_res!C:D,2,FALSE)</f>
        <v>Impuesto sobre la venta minorista de hidrocarburos (IVMH),  sin ejercicio capacidad normativa</v>
      </c>
      <c r="D120" s="179">
        <f>VLOOKUP(B120,Tot_res!C:V,3,FALSE)</f>
        <v>947.00486300424905</v>
      </c>
      <c r="E120" s="179">
        <f>VLOOKUP(B120,Tot_res!C:V,4,FALSE)</f>
        <v>35.71</v>
      </c>
      <c r="F120" s="179">
        <f>VLOOKUP(B120,Tot_res!C:V,5,FALSE)</f>
        <v>58.835178340320759</v>
      </c>
      <c r="G120" s="179">
        <f>VLOOKUP(B120,Tot_res!C:V,6,FALSE)</f>
        <v>35.785402504406584</v>
      </c>
      <c r="H120" s="179">
        <f>VLOOKUP(B120,Tot_res!C:V,7,FALSE)</f>
        <v>0</v>
      </c>
      <c r="I120" s="179">
        <f>VLOOKUP(B120,Tot_res!C:V,8,FALSE)</f>
        <v>75.341586252142179</v>
      </c>
      <c r="J120" s="179">
        <f>VLOOKUP(B120,Tot_res!C:V,9,FALSE)</f>
        <v>278.9115298763848</v>
      </c>
      <c r="K120" s="179">
        <f>VLOOKUP(B120,Tot_res!C:V,10,FALSE)</f>
        <v>166.27185285105068</v>
      </c>
      <c r="L120" s="179">
        <f>VLOOKUP(B120,Tot_res!C:V,11,FALSE)</f>
        <v>286.09415998183306</v>
      </c>
      <c r="M120" s="179">
        <f>VLOOKUP(B120,Tot_res!C:V,12,FALSE)</f>
        <v>593.98173058363091</v>
      </c>
      <c r="N120" s="179">
        <f>VLOOKUP(B120,Tot_res!C:V,13,FALSE)</f>
        <v>196.04526213958181</v>
      </c>
      <c r="O120" s="179">
        <f>VLOOKUP(B120,Tot_res!C:V,14,FALSE)</f>
        <v>358.0348534153382</v>
      </c>
      <c r="P120" s="179">
        <f>VLOOKUP(B120,Tot_res!C:V,15,FALSE)</f>
        <v>356.17763667817013</v>
      </c>
      <c r="Q120" s="179">
        <f>VLOOKUP(B120,Tot_res!C:V,16,FALSE)</f>
        <v>239.66619982032464</v>
      </c>
      <c r="R120" s="179">
        <f>VLOOKUP(B120,Tot_res!C:V,17,FALSE)</f>
        <v>0</v>
      </c>
      <c r="S120" s="179">
        <f>VLOOKUP(B120,Tot_res!C:V,18,FALSE)</f>
        <v>0</v>
      </c>
      <c r="T120" s="179">
        <f>VLOOKUP(B120,Tot_res!C:V,19,FALSE)</f>
        <v>0</v>
      </c>
      <c r="U120" s="179">
        <f>VLOOKUP(B120,Tot_res!C:V,20,FALSE)</f>
        <v>0</v>
      </c>
      <c r="V120" s="122">
        <f t="shared" si="23"/>
        <v>3627.8602554474323</v>
      </c>
    </row>
    <row r="121" spans="1:28">
      <c r="A121" s="351" t="str">
        <f>IF(B121="","",(IF(ISERROR(MATCH(B121,Tot_res!C:C,0)),"Eliminar!!!","")))</f>
        <v/>
      </c>
      <c r="B121" s="115" t="s">
        <v>940</v>
      </c>
      <c r="C121" s="329" t="str">
        <f>VLOOKUP(B121,Tot_res!C:D,2,FALSE)</f>
        <v>Impuesto de matriculación, ingresos de las CCAARC sin ej cap normativa</v>
      </c>
      <c r="D121" s="179">
        <f>VLOOKUP(B121,Tot_res!C:V,3,FALSE)</f>
        <v>32816.83</v>
      </c>
      <c r="E121" s="179">
        <f>VLOOKUP(B121,Tot_res!C:V,4,FALSE)</f>
        <v>5807.05</v>
      </c>
      <c r="F121" s="179">
        <f>VLOOKUP(B121,Tot_res!C:V,5,FALSE)</f>
        <v>4511.4799999999996</v>
      </c>
      <c r="G121" s="179">
        <f>VLOOKUP(B121,Tot_res!C:V,6,FALSE)</f>
        <v>18261.060000000001</v>
      </c>
      <c r="H121" s="179">
        <f>VLOOKUP(B121,Tot_res!C:V,7,FALSE)</f>
        <v>0</v>
      </c>
      <c r="I121" s="179">
        <f>VLOOKUP(B121,Tot_res!C:V,8,FALSE)</f>
        <v>4476.6099999999997</v>
      </c>
      <c r="J121" s="179">
        <f>VLOOKUP(B121,Tot_res!C:V,9,FALSE)</f>
        <v>10223.75</v>
      </c>
      <c r="K121" s="179">
        <f>VLOOKUP(B121,Tot_res!C:V,10,FALSE)</f>
        <v>7507.01</v>
      </c>
      <c r="L121" s="179">
        <f>VLOOKUP(B121,Tot_res!C:V,11,FALSE)</f>
        <v>53810.13</v>
      </c>
      <c r="M121" s="179">
        <f>VLOOKUP(B121,Tot_res!C:V,12,FALSE)</f>
        <v>29318.3</v>
      </c>
      <c r="N121" s="179">
        <f>VLOOKUP(B121,Tot_res!C:V,13,FALSE)</f>
        <v>3289.38</v>
      </c>
      <c r="O121" s="179">
        <f>VLOOKUP(B121,Tot_res!C:V,14,FALSE)</f>
        <v>16336.82</v>
      </c>
      <c r="P121" s="179">
        <f>VLOOKUP(B121,Tot_res!C:V,15,FALSE)</f>
        <v>94066.59</v>
      </c>
      <c r="Q121" s="179">
        <f>VLOOKUP(B121,Tot_res!C:V,16,FALSE)</f>
        <v>6611.37</v>
      </c>
      <c r="R121" s="179">
        <f>VLOOKUP(B121,Tot_res!C:V,17,FALSE)</f>
        <v>0</v>
      </c>
      <c r="S121" s="179">
        <f>VLOOKUP(B121,Tot_res!C:V,18,FALSE)</f>
        <v>0</v>
      </c>
      <c r="T121" s="179">
        <f>VLOOKUP(B121,Tot_res!C:V,19,FALSE)</f>
        <v>1872.07</v>
      </c>
      <c r="U121" s="179">
        <f>VLOOKUP(B121,Tot_res!C:V,20,FALSE)</f>
        <v>0</v>
      </c>
      <c r="V121" s="122">
        <f t="shared" si="23"/>
        <v>288908.45</v>
      </c>
    </row>
    <row r="122" spans="1:28">
      <c r="A122" s="351" t="str">
        <f>IF(B122="","",(IF(ISERROR(MATCH(B122,Tot_res!C:C,0)),"Eliminar!!!","")))</f>
        <v/>
      </c>
      <c r="B122" s="115" t="s">
        <v>941</v>
      </c>
      <c r="C122" s="329" t="str">
        <f>VLOOKUP(B122,Tot_res!C:D,2,FALSE)</f>
        <v>Recursos REF de la comunidad autónoma de Canarias, neto de compensación por supresión del IGTE</v>
      </c>
      <c r="D122" s="179">
        <f>VLOOKUP(B122,Tot_res!C:V,3,FALSE)</f>
        <v>0</v>
      </c>
      <c r="E122" s="179">
        <f>VLOOKUP(B122,Tot_res!C:V,4,FALSE)</f>
        <v>0</v>
      </c>
      <c r="F122" s="179">
        <f>VLOOKUP(B122,Tot_res!C:V,5,FALSE)</f>
        <v>0</v>
      </c>
      <c r="G122" s="179">
        <f>VLOOKUP(B122,Tot_res!C:V,6,FALSE)</f>
        <v>0</v>
      </c>
      <c r="H122" s="179">
        <f>VLOOKUP(B122,Tot_res!C:V,7,FALSE)</f>
        <v>900597.81246950803</v>
      </c>
      <c r="I122" s="179">
        <f>VLOOKUP(B122,Tot_res!C:V,8,FALSE)</f>
        <v>0</v>
      </c>
      <c r="J122" s="179">
        <f>VLOOKUP(B122,Tot_res!C:V,9,FALSE)</f>
        <v>0</v>
      </c>
      <c r="K122" s="179">
        <f>VLOOKUP(B122,Tot_res!C:V,10,FALSE)</f>
        <v>0</v>
      </c>
      <c r="L122" s="179">
        <f>VLOOKUP(B122,Tot_res!C:V,11,FALSE)</f>
        <v>0</v>
      </c>
      <c r="M122" s="179">
        <f>VLOOKUP(B122,Tot_res!C:V,12,FALSE)</f>
        <v>0</v>
      </c>
      <c r="N122" s="179">
        <f>VLOOKUP(B122,Tot_res!C:V,13,FALSE)</f>
        <v>0</v>
      </c>
      <c r="O122" s="179">
        <f>VLOOKUP(B122,Tot_res!C:V,14,FALSE)</f>
        <v>0</v>
      </c>
      <c r="P122" s="179">
        <f>VLOOKUP(B122,Tot_res!C:V,15,FALSE)</f>
        <v>0</v>
      </c>
      <c r="Q122" s="179">
        <f>VLOOKUP(B122,Tot_res!C:V,16,FALSE)</f>
        <v>0</v>
      </c>
      <c r="R122" s="179">
        <f>VLOOKUP(B122,Tot_res!C:V,17,FALSE)</f>
        <v>0</v>
      </c>
      <c r="S122" s="179">
        <f>VLOOKUP(B122,Tot_res!C:V,18,FALSE)</f>
        <v>0</v>
      </c>
      <c r="T122" s="179">
        <f>VLOOKUP(B122,Tot_res!C:V,19,FALSE)</f>
        <v>0</v>
      </c>
      <c r="U122" s="179">
        <f>VLOOKUP(B122,Tot_res!C:V,20,FALSE)</f>
        <v>0</v>
      </c>
      <c r="V122" s="122">
        <f t="shared" ref="V122" si="25">SUM(D122:U122)</f>
        <v>900597.81246950803</v>
      </c>
    </row>
    <row r="123" spans="1:28">
      <c r="A123" s="351" t="str">
        <f>IF(B123="","",(IF(ISERROR(MATCH(B123,Tot_res!C:C,0)),"Eliminar!!!","")))</f>
        <v/>
      </c>
      <c r="B123" s="115" t="s">
        <v>1195</v>
      </c>
      <c r="C123" s="329" t="str">
        <f>VLOOKUP(B123,Tot_res!C:D,2,FALSE)</f>
        <v xml:space="preserve"> Impuesto sobre la actividad de juego. Ingresos homogeneizados de las CCAARC</v>
      </c>
      <c r="D123" s="179">
        <f>VLOOKUP(B123,Tot_res!C:V,3,FALSE)</f>
        <v>2552.42</v>
      </c>
      <c r="E123" s="179">
        <f>VLOOKUP(B123,Tot_res!C:V,4,FALSE)</f>
        <v>1566.36</v>
      </c>
      <c r="F123" s="179">
        <f>VLOOKUP(B123,Tot_res!C:V,5,FALSE)</f>
        <v>1866.61</v>
      </c>
      <c r="G123" s="179">
        <f>VLOOKUP(B123,Tot_res!C:V,6,FALSE)</f>
        <v>1381.24</v>
      </c>
      <c r="H123" s="179">
        <f>VLOOKUP(B123,Tot_res!C:V,7,FALSE)</f>
        <v>1378.46</v>
      </c>
      <c r="I123" s="179">
        <f>VLOOKUP(B123,Tot_res!C:V,8,FALSE)</f>
        <v>853.57</v>
      </c>
      <c r="J123" s="179">
        <f>VLOOKUP(B123,Tot_res!C:V,9,FALSE)</f>
        <v>3575.73</v>
      </c>
      <c r="K123" s="179">
        <f>VLOOKUP(B123,Tot_res!C:V,10,FALSE)</f>
        <v>1277.3399999999999</v>
      </c>
      <c r="L123" s="179">
        <f>VLOOKUP(B123,Tot_res!C:V,11,FALSE)</f>
        <v>9522.18</v>
      </c>
      <c r="M123" s="179">
        <f>VLOOKUP(B123,Tot_res!C:V,12,FALSE)</f>
        <v>4631.82</v>
      </c>
      <c r="N123" s="179">
        <f>VLOOKUP(B123,Tot_res!C:V,13,FALSE)</f>
        <v>355.68</v>
      </c>
      <c r="O123" s="179">
        <f>VLOOKUP(B123,Tot_res!C:V,14,FALSE)</f>
        <v>3401.41</v>
      </c>
      <c r="P123" s="179">
        <f>VLOOKUP(B123,Tot_res!C:V,15,FALSE)</f>
        <v>12255</v>
      </c>
      <c r="Q123" s="179">
        <f>VLOOKUP(B123,Tot_res!C:V,16,FALSE)</f>
        <v>750.49</v>
      </c>
      <c r="R123" s="179">
        <f>VLOOKUP(B123,Tot_res!C:V,17,FALSE)</f>
        <v>0</v>
      </c>
      <c r="S123" s="179">
        <f>VLOOKUP(B123,Tot_res!C:V,18,FALSE)</f>
        <v>0</v>
      </c>
      <c r="T123" s="179">
        <f>VLOOKUP(B123,Tot_res!C:V,19,FALSE)</f>
        <v>692.42</v>
      </c>
      <c r="U123" s="179">
        <f>VLOOKUP(B123,Tot_res!C:V,20,FALSE)</f>
        <v>0</v>
      </c>
      <c r="V123" s="122">
        <f t="shared" ref="V123" si="26">SUM(D123:U123)</f>
        <v>46060.729999999996</v>
      </c>
    </row>
    <row r="124" spans="1:28" s="103" customFormat="1">
      <c r="A124" s="351" t="str">
        <f>IF(B124="","",(IF(ISERROR(MATCH(B124,Tot_res!C:C,0)),"Eliminar!!!","")))</f>
        <v/>
      </c>
      <c r="B124" s="115" t="s">
        <v>1197</v>
      </c>
      <c r="C124" s="329" t="str">
        <f>VLOOKUP(B124,Tot_res!C:D,2,FALSE)</f>
        <v xml:space="preserve"> Impuesto sobre depósito de entidades de crédito. Ingresos homogeneizados de las CCAARC</v>
      </c>
      <c r="D124" s="179">
        <f>VLOOKUP(B124,Tot_res!C:V,3,FALSE)</f>
        <v>18000</v>
      </c>
      <c r="E124" s="179">
        <f>VLOOKUP(B124,Tot_res!C:V,4,FALSE)</f>
        <v>5100</v>
      </c>
      <c r="F124" s="179">
        <f>VLOOKUP(B124,Tot_res!C:V,5,FALSE)</f>
        <v>4500</v>
      </c>
      <c r="G124" s="179">
        <f>VLOOKUP(B124,Tot_res!C:V,6,FALSE)</f>
        <v>3300</v>
      </c>
      <c r="H124" s="179">
        <f>VLOOKUP(B124,Tot_res!C:V,7,FALSE)</f>
        <v>3800</v>
      </c>
      <c r="I124" s="179">
        <f>VLOOKUP(B124,Tot_res!C:V,8,FALSE)</f>
        <v>1900</v>
      </c>
      <c r="J124" s="179">
        <f>VLOOKUP(B124,Tot_res!C:V,9,FALSE)</f>
        <v>10900</v>
      </c>
      <c r="K124" s="179">
        <f>VLOOKUP(B124,Tot_res!C:V,10,FALSE)</f>
        <v>6100</v>
      </c>
      <c r="L124" s="179">
        <f>VLOOKUP(B124,Tot_res!C:V,11,FALSE)</f>
        <v>32299.999999999996</v>
      </c>
      <c r="M124" s="179">
        <f>VLOOKUP(B124,Tot_res!C:V,12,FALSE)</f>
        <v>15300</v>
      </c>
      <c r="N124" s="179">
        <f>VLOOKUP(B124,Tot_res!C:V,13,FALSE)</f>
        <v>2700</v>
      </c>
      <c r="O124" s="179">
        <f>VLOOKUP(B124,Tot_res!C:V,14,FALSE)</f>
        <v>11700</v>
      </c>
      <c r="P124" s="179">
        <f>VLOOKUP(B124,Tot_res!C:V,15,FALSE)</f>
        <v>66700</v>
      </c>
      <c r="Q124" s="179">
        <f>VLOOKUP(B124,Tot_res!C:V,16,FALSE)</f>
        <v>3700</v>
      </c>
      <c r="R124" s="179">
        <f>VLOOKUP(B124,Tot_res!C:V,17,FALSE)</f>
        <v>0</v>
      </c>
      <c r="S124" s="179">
        <f>VLOOKUP(B124,Tot_res!C:V,18,FALSE)</f>
        <v>0</v>
      </c>
      <c r="T124" s="179">
        <f>VLOOKUP(B124,Tot_res!C:V,19,FALSE)</f>
        <v>1200</v>
      </c>
      <c r="U124" s="179">
        <f>VLOOKUP(B124,Tot_res!C:V,20,FALSE)</f>
        <v>0</v>
      </c>
      <c r="V124" s="122">
        <f t="shared" si="23"/>
        <v>187200</v>
      </c>
      <c r="W124" s="102"/>
      <c r="X124" s="102"/>
      <c r="Y124" s="102"/>
      <c r="Z124" s="102"/>
      <c r="AA124" s="102"/>
      <c r="AB124" s="102"/>
    </row>
    <row r="125" spans="1:28">
      <c r="A125" s="352"/>
      <c r="B125" s="115"/>
      <c r="C125" s="138"/>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5">
      <c r="A126" s="352"/>
      <c r="B126" s="137"/>
      <c r="C126" s="128" t="s">
        <v>36</v>
      </c>
      <c r="D126" s="114">
        <f t="shared" ref="D126:U126" si="27">D127</f>
        <v>-814100.62953859032</v>
      </c>
      <c r="E126" s="114">
        <f t="shared" si="27"/>
        <v>-85963.462592154174</v>
      </c>
      <c r="F126" s="114">
        <f t="shared" si="27"/>
        <v>-76099.043416389322</v>
      </c>
      <c r="G126" s="114">
        <f t="shared" si="27"/>
        <v>-56521.631910432247</v>
      </c>
      <c r="H126" s="114">
        <f t="shared" si="27"/>
        <v>-277333.12010566611</v>
      </c>
      <c r="I126" s="114">
        <f t="shared" si="27"/>
        <v>-133799.3853203324</v>
      </c>
      <c r="J126" s="114">
        <f t="shared" si="27"/>
        <v>-15617.571699782398</v>
      </c>
      <c r="K126" s="114">
        <f t="shared" si="27"/>
        <v>-11549.118572377529</v>
      </c>
      <c r="L126" s="114">
        <f t="shared" si="27"/>
        <v>-2147195.3069139752</v>
      </c>
      <c r="M126" s="114">
        <f t="shared" si="27"/>
        <v>-215167.58339465759</v>
      </c>
      <c r="N126" s="114">
        <f t="shared" si="27"/>
        <v>-7928.9052523220025</v>
      </c>
      <c r="O126" s="114">
        <f t="shared" si="27"/>
        <v>-227902.49543743904</v>
      </c>
      <c r="P126" s="114">
        <f t="shared" si="27"/>
        <v>-1012378.8911317169</v>
      </c>
      <c r="Q126" s="114">
        <f t="shared" si="27"/>
        <v>-18338.103622888109</v>
      </c>
      <c r="R126" s="114">
        <f t="shared" si="27"/>
        <v>0</v>
      </c>
      <c r="S126" s="114">
        <f t="shared" si="27"/>
        <v>0</v>
      </c>
      <c r="T126" s="114">
        <f t="shared" si="27"/>
        <v>-69640.485579646527</v>
      </c>
      <c r="U126" s="114">
        <f t="shared" si="27"/>
        <v>0</v>
      </c>
      <c r="V126" s="126">
        <f>V127</f>
        <v>-5169535.7344883699</v>
      </c>
    </row>
    <row r="127" spans="1:28" s="103" customFormat="1">
      <c r="A127" s="351" t="str">
        <f>IF(B127="","",(IF(ISERROR(MATCH(B127,Tot_res!C:C,0)),"Eliminar!!!","")))</f>
        <v/>
      </c>
      <c r="B127" s="115" t="s">
        <v>942</v>
      </c>
      <c r="C127" s="329" t="str">
        <f>VLOOKUP(B127,Tot_res!C:D,2,FALSE)</f>
        <v>Financiación para competencias no homogéneas de las comunidades de régimen común (caja)</v>
      </c>
      <c r="D127" s="179">
        <f>VLOOKUP(B127,Tot_res!C:V,3,FALSE)</f>
        <v>-814100.62953859032</v>
      </c>
      <c r="E127" s="179">
        <f>VLOOKUP(B127,Tot_res!C:V,4,FALSE)</f>
        <v>-85963.462592154174</v>
      </c>
      <c r="F127" s="179">
        <f>VLOOKUP(B127,Tot_res!C:V,5,FALSE)</f>
        <v>-76099.043416389322</v>
      </c>
      <c r="G127" s="179">
        <f>VLOOKUP(B127,Tot_res!C:V,6,FALSE)</f>
        <v>-56521.631910432247</v>
      </c>
      <c r="H127" s="179">
        <f>VLOOKUP(B127,Tot_res!C:V,7,FALSE)</f>
        <v>-277333.12010566611</v>
      </c>
      <c r="I127" s="179">
        <f>VLOOKUP(B127,Tot_res!C:V,8,FALSE)</f>
        <v>-133799.3853203324</v>
      </c>
      <c r="J127" s="179">
        <f>VLOOKUP(B127,Tot_res!C:V,9,FALSE)</f>
        <v>-15617.571699782398</v>
      </c>
      <c r="K127" s="179">
        <f>VLOOKUP(B127,Tot_res!C:V,10,FALSE)</f>
        <v>-11549.118572377529</v>
      </c>
      <c r="L127" s="179">
        <f>VLOOKUP(B127,Tot_res!C:V,11,FALSE)</f>
        <v>-2147195.3069139752</v>
      </c>
      <c r="M127" s="179">
        <f>VLOOKUP(B127,Tot_res!C:V,12,FALSE)</f>
        <v>-215167.58339465759</v>
      </c>
      <c r="N127" s="179">
        <f>VLOOKUP(B127,Tot_res!C:V,13,FALSE)</f>
        <v>-7928.9052523220025</v>
      </c>
      <c r="O127" s="179">
        <f>VLOOKUP(B127,Tot_res!C:V,14,FALSE)</f>
        <v>-227902.49543743904</v>
      </c>
      <c r="P127" s="179">
        <f>VLOOKUP(B127,Tot_res!C:V,15,FALSE)</f>
        <v>-1012378.8911317169</v>
      </c>
      <c r="Q127" s="179">
        <f>VLOOKUP(B127,Tot_res!C:V,16,FALSE)</f>
        <v>-18338.103622888109</v>
      </c>
      <c r="R127" s="179">
        <f>VLOOKUP(B127,Tot_res!C:V,17,FALSE)</f>
        <v>0</v>
      </c>
      <c r="S127" s="179">
        <f>VLOOKUP(B127,Tot_res!C:V,18,FALSE)</f>
        <v>0</v>
      </c>
      <c r="T127" s="179">
        <f>VLOOKUP(B127,Tot_res!C:V,19,FALSE)</f>
        <v>-69640.485579646527</v>
      </c>
      <c r="U127" s="179">
        <f>VLOOKUP(B127,Tot_res!C:V,20,FALSE)</f>
        <v>0</v>
      </c>
      <c r="V127" s="122">
        <f>SUM(D127:U127)</f>
        <v>-5169535.7344883699</v>
      </c>
      <c r="W127" s="102"/>
      <c r="X127" s="102"/>
      <c r="Y127" s="102"/>
      <c r="Z127" s="102"/>
      <c r="AA127" s="102"/>
      <c r="AB127" s="102"/>
    </row>
    <row r="128" spans="1:28">
      <c r="A128" s="352"/>
      <c r="B128" s="115"/>
      <c r="C128" s="129"/>
      <c r="D128" s="105"/>
      <c r="E128" s="105"/>
      <c r="F128" s="105"/>
      <c r="G128" s="105"/>
      <c r="H128" s="105"/>
      <c r="I128" s="105"/>
      <c r="J128" s="105"/>
      <c r="K128" s="105"/>
      <c r="L128" s="105"/>
      <c r="M128" s="105"/>
      <c r="N128" s="105"/>
      <c r="O128" s="105"/>
      <c r="P128" s="105"/>
      <c r="Q128" s="105"/>
      <c r="R128" s="105"/>
      <c r="S128" s="105"/>
      <c r="T128" s="105"/>
      <c r="U128" s="105"/>
      <c r="V128" s="122"/>
      <c r="W128" s="103"/>
      <c r="X128" s="103"/>
      <c r="Y128" s="103"/>
      <c r="Z128" s="103"/>
      <c r="AA128" s="103"/>
      <c r="AB128" s="103"/>
    </row>
    <row r="129" spans="1:22" ht="13.5">
      <c r="A129" s="352"/>
      <c r="B129" s="137"/>
      <c r="C129" s="128" t="s">
        <v>70</v>
      </c>
      <c r="D129" s="114">
        <f t="shared" ref="D129:V129" si="28">SUM(D130:D146)</f>
        <v>0</v>
      </c>
      <c r="E129" s="114">
        <f t="shared" si="28"/>
        <v>0</v>
      </c>
      <c r="F129" s="114">
        <f t="shared" si="28"/>
        <v>0</v>
      </c>
      <c r="G129" s="114">
        <f t="shared" si="28"/>
        <v>0</v>
      </c>
      <c r="H129" s="114">
        <f t="shared" si="28"/>
        <v>0</v>
      </c>
      <c r="I129" s="114">
        <f t="shared" si="28"/>
        <v>0</v>
      </c>
      <c r="J129" s="114">
        <f t="shared" si="28"/>
        <v>0</v>
      </c>
      <c r="K129" s="114">
        <f t="shared" si="28"/>
        <v>0</v>
      </c>
      <c r="L129" s="114">
        <f t="shared" si="28"/>
        <v>0</v>
      </c>
      <c r="M129" s="114">
        <f t="shared" si="28"/>
        <v>0</v>
      </c>
      <c r="N129" s="114">
        <f t="shared" si="28"/>
        <v>0</v>
      </c>
      <c r="O129" s="114">
        <f t="shared" si="28"/>
        <v>0</v>
      </c>
      <c r="P129" s="114">
        <f t="shared" si="28"/>
        <v>0</v>
      </c>
      <c r="Q129" s="114">
        <f t="shared" si="28"/>
        <v>0</v>
      </c>
      <c r="R129" s="114">
        <f t="shared" si="28"/>
        <v>0</v>
      </c>
      <c r="S129" s="114">
        <f t="shared" si="28"/>
        <v>0</v>
      </c>
      <c r="T129" s="114">
        <f t="shared" si="28"/>
        <v>0</v>
      </c>
      <c r="U129" s="114">
        <f t="shared" si="28"/>
        <v>616617.37863156828</v>
      </c>
      <c r="V129" s="139">
        <f t="shared" si="28"/>
        <v>616617.37863156828</v>
      </c>
    </row>
    <row r="130" spans="1:22">
      <c r="A130" s="351" t="str">
        <f>IF(B130="","",(IF(ISERROR(MATCH(B130,Tot_res!C:C,0)),"Eliminar!!!","")))</f>
        <v/>
      </c>
      <c r="B130" s="115" t="s">
        <v>943</v>
      </c>
      <c r="C130" s="329" t="str">
        <f>VLOOKUP(B130,Tot_res!C:D,2,FALSE)</f>
        <v>Dirección y Servicios Generales de la Educación, gasto directo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4740.3111388904545</v>
      </c>
      <c r="V130" s="122">
        <f t="shared" ref="V130:V146" si="29">SUM(D130:U130)</f>
        <v>4740.3111388904545</v>
      </c>
    </row>
    <row r="131" spans="1:22">
      <c r="A131" s="351" t="str">
        <f>IF(B131="","",(IF(ISERROR(MATCH(B131,Tot_res!C:C,0)),"Eliminar!!!","")))</f>
        <v/>
      </c>
      <c r="B131" s="115" t="s">
        <v>944</v>
      </c>
      <c r="C131" s="329" t="str">
        <f>VLOOKUP(B131,Tot_res!C:D,2,FALSE)</f>
        <v>Formación permanente del profesorado de Educación,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462.34682000000004</v>
      </c>
      <c r="V131" s="122">
        <f t="shared" ref="V131" si="30">SUM(D131:U131)</f>
        <v>462.34682000000004</v>
      </c>
    </row>
    <row r="132" spans="1:22">
      <c r="A132" s="351" t="str">
        <f>IF(B132="","",(IF(ISERROR(MATCH(B132,Tot_res!C:C,0)),"Eliminar!!!","")))</f>
        <v/>
      </c>
      <c r="B132" s="115" t="s">
        <v>945</v>
      </c>
      <c r="C132" s="329" t="str">
        <f>VLOOKUP(B132,Tot_res!C:D,2,FALSE)</f>
        <v xml:space="preserve">Educación infantil y primaria, gasto directo del Estado en Ceuta y Melilla  </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59215.714780000002</v>
      </c>
      <c r="V132" s="122">
        <f t="shared" si="29"/>
        <v>59215.714780000002</v>
      </c>
    </row>
    <row r="133" spans="1:22">
      <c r="A133" s="351" t="str">
        <f>IF(B133="","",(IF(ISERROR(MATCH(B133,Tot_res!C:C,0)),"Eliminar!!!","")))</f>
        <v/>
      </c>
      <c r="B133" s="115" t="s">
        <v>946</v>
      </c>
      <c r="C133" s="329" t="str">
        <f>VLOOKUP(B133,Tot_res!C:D,2,FALSE)</f>
        <v>Educ. secundaria, formación profesional y EE.OO de Idiomas,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64927.041660000003</v>
      </c>
      <c r="V133" s="122">
        <f t="shared" si="29"/>
        <v>64927.041660000003</v>
      </c>
    </row>
    <row r="134" spans="1:22">
      <c r="A134" s="351" t="str">
        <f>IF(B134="","",(IF(ISERROR(MATCH(B134,Tot_res!C:C,0)),"Eliminar!!!","")))</f>
        <v/>
      </c>
      <c r="B134" s="115" t="s">
        <v>947</v>
      </c>
      <c r="C134" s="329" t="str">
        <f>VLOOKUP(B134,Tot_res!C:D,2,FALSE)</f>
        <v>Enseñanzas universitarias, gasto directo del Estado en Ceuta y Melilla</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8217</v>
      </c>
      <c r="V134" s="122">
        <f t="shared" si="29"/>
        <v>8217</v>
      </c>
    </row>
    <row r="135" spans="1:22">
      <c r="A135" s="351" t="str">
        <f>IF(B135="","",(IF(ISERROR(MATCH(B135,Tot_res!C:C,0)),"Eliminar!!!","")))</f>
        <v/>
      </c>
      <c r="B135" s="115" t="s">
        <v>948</v>
      </c>
      <c r="C135" s="329" t="str">
        <f>VLOOKUP(B135,Tot_res!C:D,2,FALSE)</f>
        <v>Enseñanzas artísticas, gasto directo del Estado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5284.3436400000001</v>
      </c>
      <c r="V135" s="122">
        <f t="shared" ref="V135:V136" si="31">SUM(D135:U135)</f>
        <v>5284.3436400000001</v>
      </c>
    </row>
    <row r="136" spans="1:22">
      <c r="A136" s="351" t="str">
        <f>IF(B136="","",(IF(ISERROR(MATCH(B136,Tot_res!C:C,0)),"Eliminar!!!","")))</f>
        <v/>
      </c>
      <c r="B136" s="115" t="s">
        <v>949</v>
      </c>
      <c r="C136" s="329" t="str">
        <f>VLOOKUP(B136,Tot_res!C:D,2,FALSE)</f>
        <v>Educación compensatoria,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3434.0584800000006</v>
      </c>
      <c r="V136" s="122">
        <f t="shared" si="31"/>
        <v>3434.0584800000006</v>
      </c>
    </row>
    <row r="137" spans="1:22">
      <c r="A137" s="351" t="str">
        <f>IF(B137="","",(IF(ISERROR(MATCH(B137,Tot_res!C:C,0)),"Eliminar!!!","")))</f>
        <v/>
      </c>
      <c r="B137" s="115" t="s">
        <v>950</v>
      </c>
      <c r="C137" s="329" t="str">
        <f>VLOOKUP(B137,Tot_res!C:D,2,FALSE)</f>
        <v>Otras enseñanzas y actividades educativas, gasto directo en Ceuta y Melilla</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15342.695469999999</v>
      </c>
      <c r="V137" s="122">
        <f t="shared" si="29"/>
        <v>15342.695469999999</v>
      </c>
    </row>
    <row r="138" spans="1:22">
      <c r="A138" s="351" t="str">
        <f>IF(B138="","",(IF(ISERROR(MATCH(B138,Tot_res!C:C,0)),"Eliminar!!!","")))</f>
        <v/>
      </c>
      <c r="B138" s="115" t="s">
        <v>951</v>
      </c>
      <c r="C138" s="329" t="str">
        <f>VLOOKUP(B138,Tot_res!C:D,2,FALSE)</f>
        <v>Servicios complementarios de la enseñanza, gasto directo del Estado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2497.7586999999999</v>
      </c>
      <c r="V138" s="122">
        <f t="shared" si="29"/>
        <v>2497.7586999999999</v>
      </c>
    </row>
    <row r="139" spans="1:22" ht="15" customHeight="1">
      <c r="A139" s="351" t="str">
        <f>IF(B139="","",(IF(ISERROR(MATCH(B139,Tot_res!C:C,0)),"Eliminar!!!","")))</f>
        <v/>
      </c>
      <c r="B139" s="115" t="s">
        <v>982</v>
      </c>
      <c r="C139" s="329" t="str">
        <f>VLOOKUP(B139,Tot_res!C:D,2,FALSE)</f>
        <v xml:space="preserve">Atención Primaria de Salud, gasto directo del INGESA en Ceuta y Melilla </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58130.16977</v>
      </c>
      <c r="V139" s="122">
        <f t="shared" si="29"/>
        <v>58130.16977</v>
      </c>
    </row>
    <row r="140" spans="1:22">
      <c r="A140" s="351" t="str">
        <f>IF(B140="","",(IF(ISERROR(MATCH(B140,Tot_res!C:C,0)),"Eliminar!!!","")))</f>
        <v/>
      </c>
      <c r="B140" s="115" t="s">
        <v>983</v>
      </c>
      <c r="C140" s="329" t="str">
        <f>VLOOKUP(B140,Tot_res!C:D,2,FALSE)</f>
        <v>Atención Especializada,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140449.9303897715</v>
      </c>
      <c r="V140" s="122">
        <f t="shared" si="29"/>
        <v>140449.9303897715</v>
      </c>
    </row>
    <row r="141" spans="1:22">
      <c r="A141" s="351" t="str">
        <f>IF(B141="","",(IF(ISERROR(MATCH(B141,Tot_res!C:C,0)),"Eliminar!!!","")))</f>
        <v/>
      </c>
      <c r="B141" s="115" t="s">
        <v>952</v>
      </c>
      <c r="C141" s="329" t="str">
        <f>VLOOKUP(B141,Tot_res!C:D,2,FALSE)</f>
        <v>Admón.,Ser.Grales.y Cont.Int.Asist.San, gasto directo del INGESA en Ceuta y Melila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13996.123929379688</v>
      </c>
      <c r="V141" s="122">
        <f t="shared" si="29"/>
        <v>13996.123929379688</v>
      </c>
    </row>
    <row r="142" spans="1:22">
      <c r="A142" s="351" t="str">
        <f>IF(B142="","",(IF(ISERROR(MATCH(B142,Tot_res!C:C,0)),"Eliminar!!!","")))</f>
        <v/>
      </c>
      <c r="B142" s="115" t="s">
        <v>953</v>
      </c>
      <c r="C142" s="329" t="str">
        <f>VLOOKUP(B142,Tot_res!C:D,2,FALSE)</f>
        <v>Formación del Personal Sanitario, gasto directo del INGESA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1917.6963699999999</v>
      </c>
      <c r="V142" s="122">
        <f t="shared" si="29"/>
        <v>1917.6963699999999</v>
      </c>
    </row>
    <row r="143" spans="1:22">
      <c r="A143" s="351" t="str">
        <f>IF(B143="","",(IF(ISERROR(MATCH(B143,Tot_res!C:C,0)),"Eliminar!!!","")))</f>
        <v/>
      </c>
      <c r="B143" s="115" t="s">
        <v>954</v>
      </c>
      <c r="C143" s="329" t="str">
        <f>VLOOKUP(B143,Tot_res!C:D,2,FALSE)</f>
        <v>Servicios Sociales Generales, gasto directo del IMSERSO en Ceuta y Melilla</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24575.836473526666</v>
      </c>
      <c r="V143" s="122">
        <f t="shared" si="29"/>
        <v>24575.836473526666</v>
      </c>
    </row>
    <row r="144" spans="1:22">
      <c r="A144" s="351" t="str">
        <f>IF(B144="","",(IF(ISERROR(MATCH(B144,Tot_res!C:C,0)),"Eliminar!!!","")))</f>
        <v/>
      </c>
      <c r="B144" s="115" t="s">
        <v>955</v>
      </c>
      <c r="C144" s="329" t="str">
        <f>VLOOKUP(B144,Tot_res!C:D,2,FALSE)</f>
        <v>Administración y Servicios Generales de Servicios Sociales, gasto directo del IMSERSO en Ceuta y Melilla</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1956.23704</v>
      </c>
      <c r="V144" s="122">
        <f t="shared" si="29"/>
        <v>1956.23704</v>
      </c>
    </row>
    <row r="145" spans="1:28">
      <c r="A145" s="351" t="str">
        <f>IF(B145="","",(IF(ISERROR(MATCH(B145,Tot_res!C:C,0)),"Eliminar!!!","")))</f>
        <v/>
      </c>
      <c r="B145" s="115" t="s">
        <v>212</v>
      </c>
      <c r="C145" s="329" t="str">
        <f>VLOOKUP(B145,Tot_res!C:D,2,FALSE)</f>
        <v>Recaudación IPSI</v>
      </c>
      <c r="D145" s="179">
        <f>VLOOKUP(B145,Tot_res!C:V,3,FALSE)</f>
        <v>0</v>
      </c>
      <c r="E145" s="179">
        <f>VLOOKUP(B145,Tot_res!C:V,4,FALSE)</f>
        <v>0</v>
      </c>
      <c r="F145" s="179">
        <f>VLOOKUP(B145,Tot_res!C:V,5,FALSE)</f>
        <v>0</v>
      </c>
      <c r="G145" s="179">
        <f>VLOOKUP(B145,Tot_res!C:V,6,FALSE)</f>
        <v>0</v>
      </c>
      <c r="H145" s="179">
        <f>VLOOKUP(B145,Tot_res!C:V,7,FALSE)</f>
        <v>0</v>
      </c>
      <c r="I145" s="179">
        <f>VLOOKUP(B145,Tot_res!C:V,8,FALSE)</f>
        <v>0</v>
      </c>
      <c r="J145" s="179">
        <f>VLOOKUP(B145,Tot_res!C:V,9,FALSE)</f>
        <v>0</v>
      </c>
      <c r="K145" s="179">
        <f>VLOOKUP(B145,Tot_res!C:V,10,FALSE)</f>
        <v>0</v>
      </c>
      <c r="L145" s="179">
        <f>VLOOKUP(B145,Tot_res!C:V,11,FALSE)</f>
        <v>0</v>
      </c>
      <c r="M145" s="179">
        <f>VLOOKUP(B145,Tot_res!C:V,12,FALSE)</f>
        <v>0</v>
      </c>
      <c r="N145" s="179">
        <f>VLOOKUP(B145,Tot_res!C:V,13,FALSE)</f>
        <v>0</v>
      </c>
      <c r="O145" s="179">
        <f>VLOOKUP(B145,Tot_res!C:V,14,FALSE)</f>
        <v>0</v>
      </c>
      <c r="P145" s="179">
        <f>VLOOKUP(B145,Tot_res!C:V,15,FALSE)</f>
        <v>0</v>
      </c>
      <c r="Q145" s="179">
        <f>VLOOKUP(B145,Tot_res!C:V,16,FALSE)</f>
        <v>0</v>
      </c>
      <c r="R145" s="179">
        <f>VLOOKUP(B145,Tot_res!C:V,17,FALSE)</f>
        <v>0</v>
      </c>
      <c r="S145" s="179">
        <f>VLOOKUP(B145,Tot_res!C:V,18,FALSE)</f>
        <v>0</v>
      </c>
      <c r="T145" s="179">
        <f>VLOOKUP(B145,Tot_res!C:V,19,FALSE)</f>
        <v>0</v>
      </c>
      <c r="U145" s="179">
        <f>VLOOKUP(B145,Tot_res!C:V,20,FALSE)</f>
        <v>139501</v>
      </c>
      <c r="V145" s="122">
        <f t="shared" si="29"/>
        <v>139501</v>
      </c>
    </row>
    <row r="146" spans="1:28" s="103" customFormat="1">
      <c r="A146" s="351" t="str">
        <f>IF(B146="","",(IF(ISERROR(MATCH(B146,Tot_res!C:C,0)),"Eliminar!!!","")))</f>
        <v/>
      </c>
      <c r="B146" s="115" t="s">
        <v>956</v>
      </c>
      <c r="C146" s="329" t="str">
        <f>VLOOKUP(B146,Tot_res!C:D,2,FALSE)</f>
        <v xml:space="preserve">Otras aportaciones a Corporaciones Locales, compensaciones IPSI Ceuta y Melilla </v>
      </c>
      <c r="D146" s="179">
        <f>VLOOKUP(B146,Tot_res!C:V,3,FALSE)</f>
        <v>0</v>
      </c>
      <c r="E146" s="179">
        <f>VLOOKUP(B146,Tot_res!C:V,4,FALSE)</f>
        <v>0</v>
      </c>
      <c r="F146" s="179">
        <f>VLOOKUP(B146,Tot_res!C:V,5,FALSE)</f>
        <v>0</v>
      </c>
      <c r="G146" s="179">
        <f>VLOOKUP(B146,Tot_res!C:V,6,FALSE)</f>
        <v>0</v>
      </c>
      <c r="H146" s="179">
        <f>VLOOKUP(B146,Tot_res!C:V,7,FALSE)</f>
        <v>0</v>
      </c>
      <c r="I146" s="179">
        <f>VLOOKUP(B146,Tot_res!C:V,8,FALSE)</f>
        <v>0</v>
      </c>
      <c r="J146" s="179">
        <f>VLOOKUP(B146,Tot_res!C:V,9,FALSE)</f>
        <v>0</v>
      </c>
      <c r="K146" s="179">
        <f>VLOOKUP(B146,Tot_res!C:V,10,FALSE)</f>
        <v>0</v>
      </c>
      <c r="L146" s="179">
        <f>VLOOKUP(B146,Tot_res!C:V,11,FALSE)</f>
        <v>0</v>
      </c>
      <c r="M146" s="179">
        <f>VLOOKUP(B146,Tot_res!C:V,12,FALSE)</f>
        <v>0</v>
      </c>
      <c r="N146" s="179">
        <f>VLOOKUP(B146,Tot_res!C:V,13,FALSE)</f>
        <v>0</v>
      </c>
      <c r="O146" s="179">
        <f>VLOOKUP(B146,Tot_res!C:V,14,FALSE)</f>
        <v>0</v>
      </c>
      <c r="P146" s="179">
        <f>VLOOKUP(B146,Tot_res!C:V,15,FALSE)</f>
        <v>0</v>
      </c>
      <c r="Q146" s="179">
        <f>VLOOKUP(B146,Tot_res!C:V,16,FALSE)</f>
        <v>0</v>
      </c>
      <c r="R146" s="179">
        <f>VLOOKUP(B146,Tot_res!C:V,17,FALSE)</f>
        <v>0</v>
      </c>
      <c r="S146" s="179">
        <f>VLOOKUP(B146,Tot_res!C:V,18,FALSE)</f>
        <v>0</v>
      </c>
      <c r="T146" s="179">
        <f>VLOOKUP(B146,Tot_res!C:V,19,FALSE)</f>
        <v>0</v>
      </c>
      <c r="U146" s="179">
        <f>VLOOKUP(B146,Tot_res!C:V,20,FALSE)</f>
        <v>71969.113970000006</v>
      </c>
      <c r="V146" s="122">
        <f t="shared" si="29"/>
        <v>71969.113970000006</v>
      </c>
      <c r="W146" s="102"/>
      <c r="X146" s="102"/>
      <c r="Y146" s="102"/>
      <c r="Z146" s="102"/>
      <c r="AA146" s="102"/>
      <c r="AB146" s="102"/>
    </row>
    <row r="147" spans="1:28">
      <c r="A147" s="352"/>
      <c r="B147" s="115"/>
      <c r="C147" s="140"/>
      <c r="D147" s="105"/>
      <c r="E147" s="105"/>
      <c r="F147" s="105"/>
      <c r="G147" s="105"/>
      <c r="H147" s="105"/>
      <c r="I147" s="105"/>
      <c r="J147" s="105"/>
      <c r="K147" s="105"/>
      <c r="L147" s="105"/>
      <c r="M147" s="105"/>
      <c r="N147" s="105"/>
      <c r="O147" s="105"/>
      <c r="P147" s="105"/>
      <c r="Q147" s="105"/>
      <c r="R147" s="105"/>
      <c r="S147" s="105"/>
      <c r="T147" s="105"/>
      <c r="U147" s="105"/>
      <c r="V147" s="122"/>
      <c r="W147" s="103"/>
      <c r="X147" s="103"/>
      <c r="Y147" s="103"/>
      <c r="Z147" s="103"/>
      <c r="AA147" s="103"/>
      <c r="AB147" s="103"/>
    </row>
    <row r="148" spans="1:28" ht="13.5">
      <c r="A148" s="352"/>
      <c r="B148" s="137"/>
      <c r="C148" s="117" t="s">
        <v>213</v>
      </c>
      <c r="D148" s="114">
        <f t="shared" ref="D148:V148" si="32">SUM(D149:D162)</f>
        <v>0</v>
      </c>
      <c r="E148" s="114">
        <f t="shared" si="32"/>
        <v>0</v>
      </c>
      <c r="F148" s="114">
        <f t="shared" si="32"/>
        <v>0</v>
      </c>
      <c r="G148" s="114">
        <f t="shared" si="32"/>
        <v>0</v>
      </c>
      <c r="H148" s="114">
        <f t="shared" si="32"/>
        <v>0</v>
      </c>
      <c r="I148" s="114">
        <f t="shared" si="32"/>
        <v>0</v>
      </c>
      <c r="J148" s="114">
        <f t="shared" si="32"/>
        <v>0</v>
      </c>
      <c r="K148" s="114">
        <f t="shared" si="32"/>
        <v>0</v>
      </c>
      <c r="L148" s="114">
        <f t="shared" si="32"/>
        <v>0</v>
      </c>
      <c r="M148" s="114">
        <f t="shared" si="32"/>
        <v>0</v>
      </c>
      <c r="N148" s="114">
        <f t="shared" si="32"/>
        <v>0</v>
      </c>
      <c r="O148" s="114">
        <f t="shared" si="32"/>
        <v>0</v>
      </c>
      <c r="P148" s="114">
        <f t="shared" si="32"/>
        <v>0</v>
      </c>
      <c r="Q148" s="114">
        <f t="shared" si="32"/>
        <v>0</v>
      </c>
      <c r="R148" s="114">
        <f t="shared" si="32"/>
        <v>3400637.138886</v>
      </c>
      <c r="S148" s="114">
        <f t="shared" si="32"/>
        <v>13159985.994236836</v>
      </c>
      <c r="T148" s="114">
        <f t="shared" si="32"/>
        <v>0</v>
      </c>
      <c r="U148" s="114">
        <f t="shared" si="32"/>
        <v>0</v>
      </c>
      <c r="V148" s="126">
        <f t="shared" si="32"/>
        <v>16560623.133122837</v>
      </c>
    </row>
    <row r="149" spans="1:28">
      <c r="A149" s="351" t="str">
        <f>IF(B149="","",(IF(ISERROR(MATCH(B149,Tot_res!C:C,0)),"Eliminar!!!","")))</f>
        <v/>
      </c>
      <c r="B149" s="115" t="s">
        <v>957</v>
      </c>
      <c r="C149" s="329" t="str">
        <f>VLOOKUP(B149,Tot_res!C:D,2,FALSE)</f>
        <v>IRPF, ingresos homogeneizados de las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1405959.0288910526</v>
      </c>
      <c r="S149" s="179">
        <f>VLOOKUP(B149,Tot_res!C:V,18,FALSE)</f>
        <v>5258275.3891569432</v>
      </c>
      <c r="T149" s="179">
        <f>VLOOKUP(B149,Tot_res!C:V,19,FALSE)</f>
        <v>0</v>
      </c>
      <c r="U149" s="179">
        <f>VLOOKUP(B149,Tot_res!C:V,20,FALSE)</f>
        <v>0</v>
      </c>
      <c r="V149" s="122">
        <f t="shared" ref="V149:V162" si="33">SUM(D149:U149)</f>
        <v>6664234.4180479962</v>
      </c>
    </row>
    <row r="150" spans="1:28">
      <c r="A150" s="351" t="str">
        <f>IF(B150="","",(IF(ISERROR(MATCH(B150,Tot_res!C:C,0)),"Eliminar!!!","")))</f>
        <v/>
      </c>
      <c r="B150" s="115" t="s">
        <v>958</v>
      </c>
      <c r="C150" s="329" t="str">
        <f>VLOOKUP(B150,Tot_res!C:D,2,FALSE)</f>
        <v>Sociedades, ingresos homogeneizados de las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351806.75992157578</v>
      </c>
      <c r="S150" s="179">
        <f>VLOOKUP(B150,Tot_res!C:V,18,FALSE)</f>
        <v>1223736.9552686848</v>
      </c>
      <c r="T150" s="179">
        <f>VLOOKUP(B150,Tot_res!C:V,19,FALSE)</f>
        <v>0</v>
      </c>
      <c r="U150" s="179">
        <f>VLOOKUP(B150,Tot_res!C:V,20,FALSE)</f>
        <v>0</v>
      </c>
      <c r="V150" s="122">
        <f t="shared" si="33"/>
        <v>1575543.7151902607</v>
      </c>
    </row>
    <row r="151" spans="1:28">
      <c r="A151" s="351" t="str">
        <f>IF(B151="","",(IF(ISERROR(MATCH(B151,Tot_res!C:C,0)),"Eliminar!!!","")))</f>
        <v/>
      </c>
      <c r="B151" s="115" t="s">
        <v>214</v>
      </c>
      <c r="C151" s="329" t="str">
        <f>VLOOKUP(B151,Tot_res!C:D,2,FALSE)</f>
        <v>No residentes, ingresos comunidades forales</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5739</v>
      </c>
      <c r="S151" s="179">
        <f>VLOOKUP(B151,Tot_res!C:V,18,FALSE)</f>
        <v>9593</v>
      </c>
      <c r="T151" s="179">
        <f>VLOOKUP(B151,Tot_res!C:V,19,FALSE)</f>
        <v>0</v>
      </c>
      <c r="U151" s="179">
        <f>VLOOKUP(B151,Tot_res!C:V,20,FALSE)</f>
        <v>0</v>
      </c>
      <c r="V151" s="122">
        <f t="shared" si="33"/>
        <v>15332</v>
      </c>
    </row>
    <row r="152" spans="1:28">
      <c r="A152" s="351" t="str">
        <f>IF(B152="","",(IF(ISERROR(MATCH(B152,Tot_res!C:C,0)),"Eliminar!!!","")))</f>
        <v/>
      </c>
      <c r="B152" s="115" t="s">
        <v>215</v>
      </c>
      <c r="C152" s="329" t="str">
        <f>VLOOKUP(B152,Tot_res!C:D,2,FALSE)</f>
        <v xml:space="preserve"> IVA,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1096283</v>
      </c>
      <c r="S152" s="179">
        <f>VLOOKUP(B152,Tot_res!C:V,18,FALSE)</f>
        <v>4791671</v>
      </c>
      <c r="T152" s="179">
        <f>VLOOKUP(B152,Tot_res!C:V,19,FALSE)</f>
        <v>0</v>
      </c>
      <c r="U152" s="179">
        <f>VLOOKUP(B152,Tot_res!C:V,20,FALSE)</f>
        <v>0</v>
      </c>
      <c r="V152" s="122">
        <f t="shared" si="33"/>
        <v>5887954</v>
      </c>
    </row>
    <row r="153" spans="1:28">
      <c r="A153" s="351" t="str">
        <f>IF(B153="","",(IF(ISERROR(MATCH(B153,Tot_res!C:C,0)),"Eliminar!!!","")))</f>
        <v/>
      </c>
      <c r="B153" s="115" t="s">
        <v>1091</v>
      </c>
      <c r="C153" s="329" t="str">
        <f>VLOOKUP(B153,Tot_res!C:D,2,FALSE)</f>
        <v>Imp. Especiales (incl. Matriculación y electricidad),  sin ejercicio de la capacidad normativa en el IH</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395935.32999999996</v>
      </c>
      <c r="S153" s="179">
        <f>VLOOKUP(B153,Tot_res!C:V,18,FALSE)</f>
        <v>1353930</v>
      </c>
      <c r="T153" s="179">
        <f>VLOOKUP(B153,Tot_res!C:V,19,FALSE)</f>
        <v>0</v>
      </c>
      <c r="U153" s="179">
        <f>VLOOKUP(B153,Tot_res!C:V,20,FALSE)</f>
        <v>0</v>
      </c>
      <c r="V153" s="122">
        <f t="shared" si="33"/>
        <v>1749865.33</v>
      </c>
    </row>
    <row r="154" spans="1:28">
      <c r="A154" s="351" t="str">
        <f>IF(B154="","",(IF(ISERROR(MATCH(B154,Tot_res!C:C,0)),"Eliminar!!!","")))</f>
        <v/>
      </c>
      <c r="B154" s="115" t="s">
        <v>216</v>
      </c>
      <c r="C154" s="329" t="str">
        <f>VLOOKUP(B154,Tot_res!C:D,2,FALSE)</f>
        <v>Primas de seguross, ingresos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19696</v>
      </c>
      <c r="S154" s="179">
        <f>VLOOKUP(B154,Tot_res!C:V,18,FALSE)</f>
        <v>70215</v>
      </c>
      <c r="T154" s="179">
        <f>VLOOKUP(B154,Tot_res!C:V,19,FALSE)</f>
        <v>0</v>
      </c>
      <c r="U154" s="179">
        <f>VLOOKUP(B154,Tot_res!C:V,20,FALSE)</f>
        <v>0</v>
      </c>
      <c r="V154" s="122">
        <f t="shared" si="33"/>
        <v>89911</v>
      </c>
    </row>
    <row r="155" spans="1:28">
      <c r="A155" s="351" t="str">
        <f>IF(B155="","",(IF(ISERROR(MATCH(B155,Tot_res!C:C,0)),"Eliminar!!!","")))</f>
        <v/>
      </c>
      <c r="B155" s="115" t="s">
        <v>959</v>
      </c>
      <c r="C155" s="329" t="str">
        <f>VLOOKUP(B155,Tot_res!C:D,2,FALSE)</f>
        <v>Sucesiones y donaciones,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42697.503158311352</v>
      </c>
      <c r="S155" s="179">
        <f>VLOOKUP(B155,Tot_res!C:V,18,FALSE)</f>
        <v>165628.10334529882</v>
      </c>
      <c r="T155" s="179">
        <f>VLOOKUP(B155,Tot_res!C:V,19,FALSE)</f>
        <v>0</v>
      </c>
      <c r="U155" s="179">
        <f>VLOOKUP(B155,Tot_res!C:V,20,FALSE)</f>
        <v>0</v>
      </c>
      <c r="V155" s="122">
        <f t="shared" si="33"/>
        <v>208325.60650361018</v>
      </c>
    </row>
    <row r="156" spans="1:28">
      <c r="A156" s="351" t="str">
        <f>IF(B156="","",(IF(ISERROR(MATCH(B156,Tot_res!C:C,0)),"Eliminar!!!","")))</f>
        <v/>
      </c>
      <c r="B156" s="115" t="s">
        <v>1081</v>
      </c>
      <c r="C156" s="329" t="str">
        <f>VLOOKUP(B156,Tot_res!C:D,2,FALSE)</f>
        <v>Venta minorista de hidrocarburos (IVMH), ingresos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-934.47133883818242</v>
      </c>
      <c r="S156" s="179">
        <f>VLOOKUP(B156,Tot_res!C:V,18,FALSE)</f>
        <v>202</v>
      </c>
      <c r="T156" s="179">
        <f>VLOOKUP(B156,Tot_res!C:V,19,FALSE)</f>
        <v>0</v>
      </c>
      <c r="U156" s="179">
        <f>VLOOKUP(B156,Tot_res!C:V,20,FALSE)</f>
        <v>0</v>
      </c>
      <c r="V156" s="122">
        <f t="shared" si="33"/>
        <v>-732.47133883818242</v>
      </c>
    </row>
    <row r="157" spans="1:28">
      <c r="A157" s="351" t="str">
        <f>IF(B157="","",(IF(ISERROR(MATCH(B157,Tot_res!C:C,0)),"Eliminar!!!","")))</f>
        <v/>
      </c>
      <c r="B157" s="115" t="s">
        <v>960</v>
      </c>
      <c r="C157" s="329" t="str">
        <f>VLOOKUP(B157,Tot_res!C:D,2,FALSE)</f>
        <v>ITP y AJD, ingresos homogeneizados de las comunidades forales</v>
      </c>
      <c r="D157" s="179">
        <f>VLOOKUP(B157,Tot_res!C:V,3,FALSE)</f>
        <v>0</v>
      </c>
      <c r="E157" s="179">
        <f>VLOOKUP(B157,Tot_res!C:V,4,FALSE)</f>
        <v>0</v>
      </c>
      <c r="F157" s="179">
        <f>VLOOKUP(B157,Tot_res!C:V,5,FALSE)</f>
        <v>0</v>
      </c>
      <c r="G157" s="179">
        <f>VLOOKUP(B157,Tot_res!C:V,6,FALSE)</f>
        <v>0</v>
      </c>
      <c r="H157" s="179">
        <f>VLOOKUP(B157,Tot_res!C:V,7,FALSE)</f>
        <v>0</v>
      </c>
      <c r="I157" s="179">
        <f>VLOOKUP(B157,Tot_res!C:V,8,FALSE)</f>
        <v>0</v>
      </c>
      <c r="J157" s="179">
        <f>VLOOKUP(B157,Tot_res!C:V,9,FALSE)</f>
        <v>0</v>
      </c>
      <c r="K157" s="179">
        <f>VLOOKUP(B157,Tot_res!C:V,10,FALSE)</f>
        <v>0</v>
      </c>
      <c r="L157" s="179">
        <f>VLOOKUP(B157,Tot_res!C:V,11,FALSE)</f>
        <v>0</v>
      </c>
      <c r="M157" s="179">
        <f>VLOOKUP(B157,Tot_res!C:V,12,FALSE)</f>
        <v>0</v>
      </c>
      <c r="N157" s="179">
        <f>VLOOKUP(B157,Tot_res!C:V,13,FALSE)</f>
        <v>0</v>
      </c>
      <c r="O157" s="179">
        <f>VLOOKUP(B157,Tot_res!C:V,14,FALSE)</f>
        <v>0</v>
      </c>
      <c r="P157" s="179">
        <f>VLOOKUP(B157,Tot_res!C:V,15,FALSE)</f>
        <v>0</v>
      </c>
      <c r="Q157" s="179">
        <f>VLOOKUP(B157,Tot_res!C:V,16,FALSE)</f>
        <v>0</v>
      </c>
      <c r="R157" s="179">
        <f>VLOOKUP(B157,Tot_res!C:V,17,FALSE)</f>
        <v>58758.308627139486</v>
      </c>
      <c r="S157" s="179">
        <f>VLOOKUP(B157,Tot_res!C:V,18,FALSE)</f>
        <v>209624.52365977745</v>
      </c>
      <c r="T157" s="179">
        <f>VLOOKUP(B157,Tot_res!C:V,19,FALSE)</f>
        <v>0</v>
      </c>
      <c r="U157" s="179">
        <f>VLOOKUP(B157,Tot_res!C:V,20,FALSE)</f>
        <v>0</v>
      </c>
      <c r="V157" s="122">
        <f t="shared" si="33"/>
        <v>268382.83228691691</v>
      </c>
    </row>
    <row r="158" spans="1:28">
      <c r="A158" s="351" t="str">
        <f>IF(B158="","",(IF(ISERROR(MATCH(B158,Tot_res!C:C,0)),"Eliminar!!!","")))</f>
        <v/>
      </c>
      <c r="B158" s="115" t="s">
        <v>961</v>
      </c>
      <c r="C158" s="329" t="str">
        <f>VLOOKUP(B158,Tot_res!C:D,2,FALSE)</f>
        <v>Tasas juego, ingresos homogeneizados de las comunidades forales</v>
      </c>
      <c r="D158" s="179">
        <f>VLOOKUP(B158,Tot_res!C:V,3,FALSE)</f>
        <v>0</v>
      </c>
      <c r="E158" s="179">
        <f>VLOOKUP(B158,Tot_res!C:V,4,FALSE)</f>
        <v>0</v>
      </c>
      <c r="F158" s="179">
        <f>VLOOKUP(B158,Tot_res!C:V,5,FALSE)</f>
        <v>0</v>
      </c>
      <c r="G158" s="179">
        <f>VLOOKUP(B158,Tot_res!C:V,6,FALSE)</f>
        <v>0</v>
      </c>
      <c r="H158" s="179">
        <f>VLOOKUP(B158,Tot_res!C:V,7,FALSE)</f>
        <v>0</v>
      </c>
      <c r="I158" s="179">
        <f>VLOOKUP(B158,Tot_res!C:V,8,FALSE)</f>
        <v>0</v>
      </c>
      <c r="J158" s="179">
        <f>VLOOKUP(B158,Tot_res!C:V,9,FALSE)</f>
        <v>0</v>
      </c>
      <c r="K158" s="179">
        <f>VLOOKUP(B158,Tot_res!C:V,10,FALSE)</f>
        <v>0</v>
      </c>
      <c r="L158" s="179">
        <f>VLOOKUP(B158,Tot_res!C:V,11,FALSE)</f>
        <v>0</v>
      </c>
      <c r="M158" s="179">
        <f>VLOOKUP(B158,Tot_res!C:V,12,FALSE)</f>
        <v>0</v>
      </c>
      <c r="N158" s="179">
        <f>VLOOKUP(B158,Tot_res!C:V,13,FALSE)</f>
        <v>0</v>
      </c>
      <c r="O158" s="179">
        <f>VLOOKUP(B158,Tot_res!C:V,14,FALSE)</f>
        <v>0</v>
      </c>
      <c r="P158" s="179">
        <f>VLOOKUP(B158,Tot_res!C:V,15,FALSE)</f>
        <v>0</v>
      </c>
      <c r="Q158" s="179">
        <f>VLOOKUP(B158,Tot_res!C:V,16,FALSE)</f>
        <v>0</v>
      </c>
      <c r="R158" s="179">
        <f>VLOOKUP(B158,Tot_res!C:V,17,FALSE)</f>
        <v>10157.575626759373</v>
      </c>
      <c r="S158" s="179">
        <f>VLOOKUP(B158,Tot_res!C:V,18,FALSE)</f>
        <v>28099.02280613306</v>
      </c>
      <c r="T158" s="179">
        <f>VLOOKUP(B158,Tot_res!C:V,19,FALSE)</f>
        <v>0</v>
      </c>
      <c r="U158" s="179">
        <f>VLOOKUP(B158,Tot_res!C:V,20,FALSE)</f>
        <v>0</v>
      </c>
      <c r="V158" s="122">
        <f t="shared" ref="V158:V161" si="34">SUM(D158:U158)</f>
        <v>38256.598432892431</v>
      </c>
    </row>
    <row r="159" spans="1:28">
      <c r="A159" s="351" t="str">
        <f>IF(B159="","",(IF(ISERROR(MATCH(B159,Tot_res!C:C,0)),"Eliminar!!!","")))</f>
        <v/>
      </c>
      <c r="B159" s="115" t="s">
        <v>1201</v>
      </c>
      <c r="C159" s="329" t="str">
        <f>VLOOKUP(B159,Tot_res!C:D,2,FALSE)</f>
        <v xml:space="preserve"> Impuesto sobre la actividad de juego. Ingresos homogeneizados. Régimen foral</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1598.104</v>
      </c>
      <c r="S159" s="179">
        <f>VLOOKUP(B159,Tot_res!C:V,18,FALSE)</f>
        <v>7674</v>
      </c>
      <c r="T159" s="179">
        <f>VLOOKUP(B159,Tot_res!C:V,19,FALSE)</f>
        <v>0</v>
      </c>
      <c r="U159" s="179">
        <f>VLOOKUP(B159,Tot_res!C:V,20,FALSE)</f>
        <v>0</v>
      </c>
      <c r="V159" s="122">
        <f t="shared" si="34"/>
        <v>9272.1039999999994</v>
      </c>
    </row>
    <row r="160" spans="1:28">
      <c r="A160" s="351" t="str">
        <f>IF(B160="","",(IF(ISERROR(MATCH(B160,Tot_res!C:C,0)),"Eliminar!!!","")))</f>
        <v/>
      </c>
      <c r="B160" s="115" t="s">
        <v>1203</v>
      </c>
      <c r="C160" s="329" t="str">
        <f>VLOOKUP(B160,Tot_res!C:D,2,FALSE)</f>
        <v>Impuestos medioambientales. Ingresos homogeneizados. Régimen foral</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12941</v>
      </c>
      <c r="S160" s="179">
        <f>VLOOKUP(B160,Tot_res!C:V,18,FALSE)</f>
        <v>28217</v>
      </c>
      <c r="T160" s="179">
        <f>VLOOKUP(B160,Tot_res!C:V,19,FALSE)</f>
        <v>0</v>
      </c>
      <c r="U160" s="179">
        <f>VLOOKUP(B160,Tot_res!C:V,20,FALSE)</f>
        <v>0</v>
      </c>
      <c r="V160" s="122">
        <f t="shared" si="34"/>
        <v>41158</v>
      </c>
    </row>
    <row r="161" spans="1:28">
      <c r="A161" s="351" t="str">
        <f>IF(B161="","",(IF(ISERROR(MATCH(B161,Tot_res!C:C,0)),"Eliminar!!!","")))</f>
        <v/>
      </c>
      <c r="B161" s="115" t="s">
        <v>1205</v>
      </c>
      <c r="C161" s="329" t="str">
        <f>VLOOKUP(B161,Tot_res!C:D,2,FALSE)</f>
        <v>Impuestos sobre gases fluorados. Ingresos homogeneizados. Régimen foral</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821</v>
      </c>
      <c r="T161" s="179">
        <f>VLOOKUP(B161,Tot_res!C:V,19,FALSE)</f>
        <v>0</v>
      </c>
      <c r="U161" s="179">
        <f>VLOOKUP(B161,Tot_res!C:V,20,FALSE)</f>
        <v>0</v>
      </c>
      <c r="V161" s="122">
        <f t="shared" si="34"/>
        <v>821</v>
      </c>
    </row>
    <row r="162" spans="1:28" s="103" customFormat="1">
      <c r="A162" s="351" t="str">
        <f>IF(B162="","",(IF(ISERROR(MATCH(B162,Tot_res!C:C,0)),"Eliminar!!!","")))</f>
        <v/>
      </c>
      <c r="B162" s="115" t="s">
        <v>1207</v>
      </c>
      <c r="C162" s="329" t="str">
        <f>VLOOKUP(B162,Tot_res!C:D,2,FALSE)</f>
        <v>Impuesto sobre depósitos de entidades de crédito. Régimen foral</v>
      </c>
      <c r="D162" s="179">
        <f>VLOOKUP(B162,Tot_res!C:V,3,FALSE)</f>
        <v>0</v>
      </c>
      <c r="E162" s="179">
        <f>VLOOKUP(B162,Tot_res!C:V,4,FALSE)</f>
        <v>0</v>
      </c>
      <c r="F162" s="179">
        <f>VLOOKUP(B162,Tot_res!C:V,5,FALSE)</f>
        <v>0</v>
      </c>
      <c r="G162" s="179">
        <f>VLOOKUP(B162,Tot_res!C:V,6,FALSE)</f>
        <v>0</v>
      </c>
      <c r="H162" s="179">
        <f>VLOOKUP(B162,Tot_res!C:V,7,FALSE)</f>
        <v>0</v>
      </c>
      <c r="I162" s="179">
        <f>VLOOKUP(B162,Tot_res!C:V,8,FALSE)</f>
        <v>0</v>
      </c>
      <c r="J162" s="179">
        <f>VLOOKUP(B162,Tot_res!C:V,9,FALSE)</f>
        <v>0</v>
      </c>
      <c r="K162" s="179">
        <f>VLOOKUP(B162,Tot_res!C:V,10,FALSE)</f>
        <v>0</v>
      </c>
      <c r="L162" s="179">
        <f>VLOOKUP(B162,Tot_res!C:V,11,FALSE)</f>
        <v>0</v>
      </c>
      <c r="M162" s="179">
        <f>VLOOKUP(B162,Tot_res!C:V,12,FALSE)</f>
        <v>0</v>
      </c>
      <c r="N162" s="179">
        <f>VLOOKUP(B162,Tot_res!C:V,13,FALSE)</f>
        <v>0</v>
      </c>
      <c r="O162" s="179">
        <f>VLOOKUP(B162,Tot_res!C:V,14,FALSE)</f>
        <v>0</v>
      </c>
      <c r="P162" s="179">
        <f>VLOOKUP(B162,Tot_res!C:V,15,FALSE)</f>
        <v>0</v>
      </c>
      <c r="Q162" s="179">
        <f>VLOOKUP(B162,Tot_res!C:V,16,FALSE)</f>
        <v>0</v>
      </c>
      <c r="R162" s="179">
        <f>VLOOKUP(B162,Tot_res!C:V,17,FALSE)</f>
        <v>0</v>
      </c>
      <c r="S162" s="179">
        <f>VLOOKUP(B162,Tot_res!C:V,18,FALSE)</f>
        <v>12299</v>
      </c>
      <c r="T162" s="179">
        <f>VLOOKUP(B162,Tot_res!C:V,19,FALSE)</f>
        <v>0</v>
      </c>
      <c r="U162" s="179">
        <f>VLOOKUP(B162,Tot_res!C:V,20,FALSE)</f>
        <v>0</v>
      </c>
      <c r="V162" s="122">
        <f t="shared" si="33"/>
        <v>12299</v>
      </c>
      <c r="W162" s="102"/>
      <c r="X162" s="102"/>
      <c r="Y162" s="102"/>
      <c r="Z162" s="102"/>
      <c r="AA162" s="102"/>
      <c r="AB162" s="102"/>
    </row>
    <row r="163" spans="1:28">
      <c r="A163" s="352"/>
      <c r="B163" s="115"/>
      <c r="C163" s="140"/>
      <c r="D163" s="105"/>
      <c r="E163" s="105"/>
      <c r="F163" s="105"/>
      <c r="G163" s="105"/>
      <c r="H163" s="105"/>
      <c r="I163" s="105"/>
      <c r="J163" s="105"/>
      <c r="K163" s="105"/>
      <c r="L163" s="105"/>
      <c r="M163" s="105"/>
      <c r="N163" s="105"/>
      <c r="O163" s="105"/>
      <c r="P163" s="105"/>
      <c r="Q163" s="105"/>
      <c r="R163" s="105"/>
      <c r="S163" s="105"/>
      <c r="T163" s="105"/>
      <c r="U163" s="105"/>
      <c r="V163" s="122"/>
      <c r="W163" s="103"/>
      <c r="X163" s="103"/>
      <c r="Y163" s="103"/>
      <c r="Z163" s="103"/>
      <c r="AA163" s="103"/>
      <c r="AB163" s="103"/>
    </row>
    <row r="164" spans="1:28" ht="13.5">
      <c r="A164" s="352"/>
      <c r="B164" s="137"/>
      <c r="C164" s="117" t="s">
        <v>5</v>
      </c>
      <c r="D164" s="114">
        <f t="shared" ref="D164:U164" si="35">SUM(D165:D167)</f>
        <v>0</v>
      </c>
      <c r="E164" s="114">
        <f t="shared" si="35"/>
        <v>0</v>
      </c>
      <c r="F164" s="114">
        <f t="shared" si="35"/>
        <v>0</v>
      </c>
      <c r="G164" s="114">
        <f t="shared" si="35"/>
        <v>0</v>
      </c>
      <c r="H164" s="114">
        <f t="shared" si="35"/>
        <v>0</v>
      </c>
      <c r="I164" s="114">
        <f t="shared" si="35"/>
        <v>0</v>
      </c>
      <c r="J164" s="114">
        <f t="shared" si="35"/>
        <v>0</v>
      </c>
      <c r="K164" s="114">
        <f t="shared" si="35"/>
        <v>0</v>
      </c>
      <c r="L164" s="114">
        <f t="shared" si="35"/>
        <v>0</v>
      </c>
      <c r="M164" s="114">
        <f t="shared" si="35"/>
        <v>0</v>
      </c>
      <c r="N164" s="114">
        <f t="shared" si="35"/>
        <v>0</v>
      </c>
      <c r="O164" s="114">
        <f t="shared" si="35"/>
        <v>0</v>
      </c>
      <c r="P164" s="114">
        <f t="shared" si="35"/>
        <v>0</v>
      </c>
      <c r="Q164" s="114">
        <f t="shared" si="35"/>
        <v>0</v>
      </c>
      <c r="R164" s="114">
        <f>SUM(R165:R167)</f>
        <v>-537788</v>
      </c>
      <c r="S164" s="114">
        <f>SUM(S165:S167)</f>
        <v>-952323.00000000023</v>
      </c>
      <c r="T164" s="114">
        <f t="shared" si="35"/>
        <v>0</v>
      </c>
      <c r="U164" s="114">
        <f t="shared" si="35"/>
        <v>0</v>
      </c>
      <c r="V164" s="126">
        <f>SUM(V165:V167)</f>
        <v>-1490111.0000000002</v>
      </c>
    </row>
    <row r="165" spans="1:28">
      <c r="A165" s="351" t="str">
        <f>IF(B165="","",(IF(ISERROR(MATCH(B165,Tot_res!C:C,0)),"Eliminar!!!","")))</f>
        <v/>
      </c>
      <c r="B165" s="115" t="s">
        <v>984</v>
      </c>
      <c r="C165" s="329" t="str">
        <f>VLOOKUP(B165,Tot_res!C:D,2,FALSE)</f>
        <v xml:space="preserve"> Cupo y aportación, antes descuento por Y vasca</v>
      </c>
      <c r="D165" s="179">
        <f>VLOOKUP(B165,Tot_res!C:V,3,FALSE)</f>
        <v>0</v>
      </c>
      <c r="E165" s="179">
        <f>VLOOKUP(B165,Tot_res!C:V,4,FALSE)</f>
        <v>0</v>
      </c>
      <c r="F165" s="179">
        <f>VLOOKUP(B165,Tot_res!C:V,5,FALSE)</f>
        <v>0</v>
      </c>
      <c r="G165" s="179">
        <f>VLOOKUP(B165,Tot_res!C:V,6,FALSE)</f>
        <v>0</v>
      </c>
      <c r="H165" s="179">
        <f>VLOOKUP(B165,Tot_res!C:V,7,FALSE)</f>
        <v>0</v>
      </c>
      <c r="I165" s="179">
        <f>VLOOKUP(B165,Tot_res!C:V,8,FALSE)</f>
        <v>0</v>
      </c>
      <c r="J165" s="179">
        <f>VLOOKUP(B165,Tot_res!C:V,9,FALSE)</f>
        <v>0</v>
      </c>
      <c r="K165" s="179">
        <f>VLOOKUP(B165,Tot_res!C:V,10,FALSE)</f>
        <v>0</v>
      </c>
      <c r="L165" s="179">
        <f>VLOOKUP(B165,Tot_res!C:V,11,FALSE)</f>
        <v>0</v>
      </c>
      <c r="M165" s="179">
        <f>VLOOKUP(B165,Tot_res!C:V,12,FALSE)</f>
        <v>0</v>
      </c>
      <c r="N165" s="179">
        <f>VLOOKUP(B165,Tot_res!C:V,13,FALSE)</f>
        <v>0</v>
      </c>
      <c r="O165" s="179">
        <f>VLOOKUP(B165,Tot_res!C:V,14,FALSE)</f>
        <v>0</v>
      </c>
      <c r="P165" s="179">
        <f>VLOOKUP(B165,Tot_res!C:V,15,FALSE)</f>
        <v>0</v>
      </c>
      <c r="Q165" s="179">
        <f>VLOOKUP(B165,Tot_res!C:V,16,FALSE)</f>
        <v>0</v>
      </c>
      <c r="R165" s="179">
        <f>VLOOKUP(B165,Tot_res!C:V,17,FALSE)</f>
        <v>-537788</v>
      </c>
      <c r="S165" s="179">
        <f>VLOOKUP(B165,Tot_res!C:V,18,FALSE)</f>
        <v>-1027587.1400000001</v>
      </c>
      <c r="T165" s="179">
        <f>VLOOKUP(B165,Tot_res!C:V,19,FALSE)</f>
        <v>0</v>
      </c>
      <c r="U165" s="179">
        <f>VLOOKUP(B165,Tot_res!C:V,20,FALSE)</f>
        <v>0</v>
      </c>
      <c r="V165" s="122">
        <f>SUM(D165:U165)</f>
        <v>-1565375.1400000001</v>
      </c>
    </row>
    <row r="166" spans="1:28">
      <c r="A166" s="351" t="str">
        <f>IF(B166="","",(IF(ISERROR(MATCH(B166,Tot_res!C:C,0)),"Eliminar!!!","")))</f>
        <v/>
      </c>
      <c r="B166" s="115" t="s">
        <v>962</v>
      </c>
      <c r="C166" s="329" t="str">
        <f>VLOOKUP(B166,Tot_res!C:D,2,FALSE)</f>
        <v>Otras transferencias a CCAA: Compensaciones financieras al País Vasco por IE sobre las labores de tabaco</v>
      </c>
      <c r="D166" s="179">
        <f>VLOOKUP(B166,Tot_res!C:V,3,FALSE)</f>
        <v>0</v>
      </c>
      <c r="E166" s="179">
        <f>VLOOKUP(B166,Tot_res!C:V,4,FALSE)</f>
        <v>0</v>
      </c>
      <c r="F166" s="179">
        <f>VLOOKUP(B166,Tot_res!C:V,5,FALSE)</f>
        <v>0</v>
      </c>
      <c r="G166" s="179">
        <f>VLOOKUP(B166,Tot_res!C:V,6,FALSE)</f>
        <v>0</v>
      </c>
      <c r="H166" s="179">
        <f>VLOOKUP(B166,Tot_res!C:V,7,FALSE)</f>
        <v>0</v>
      </c>
      <c r="I166" s="179">
        <f>VLOOKUP(B166,Tot_res!C:V,8,FALSE)</f>
        <v>0</v>
      </c>
      <c r="J166" s="179">
        <f>VLOOKUP(B166,Tot_res!C:V,9,FALSE)</f>
        <v>0</v>
      </c>
      <c r="K166" s="179">
        <f>VLOOKUP(B166,Tot_res!C:V,10,FALSE)</f>
        <v>0</v>
      </c>
      <c r="L166" s="179">
        <f>VLOOKUP(B166,Tot_res!C:V,11,FALSE)</f>
        <v>0</v>
      </c>
      <c r="M166" s="179">
        <f>VLOOKUP(B166,Tot_res!C:V,12,FALSE)</f>
        <v>0</v>
      </c>
      <c r="N166" s="179">
        <f>VLOOKUP(B166,Tot_res!C:V,13,FALSE)</f>
        <v>0</v>
      </c>
      <c r="O166" s="179">
        <f>VLOOKUP(B166,Tot_res!C:V,14,FALSE)</f>
        <v>0</v>
      </c>
      <c r="P166" s="179">
        <f>VLOOKUP(B166,Tot_res!C:V,15,FALSE)</f>
        <v>0</v>
      </c>
      <c r="Q166" s="179">
        <f>VLOOKUP(B166,Tot_res!C:V,16,FALSE)</f>
        <v>0</v>
      </c>
      <c r="R166" s="179">
        <f>VLOOKUP(B166,Tot_res!C:V,17,FALSE)</f>
        <v>0</v>
      </c>
      <c r="S166" s="179">
        <f>VLOOKUP(B166,Tot_res!C:V,18,FALSE)</f>
        <v>136159.94</v>
      </c>
      <c r="T166" s="179">
        <f>VLOOKUP(B166,Tot_res!C:V,19,FALSE)</f>
        <v>0</v>
      </c>
      <c r="U166" s="179">
        <f>VLOOKUP(B166,Tot_res!C:V,20,FALSE)</f>
        <v>0</v>
      </c>
      <c r="V166" s="122">
        <f>SUM(D166:U166)</f>
        <v>136159.94</v>
      </c>
    </row>
    <row r="167" spans="1:28" s="103" customFormat="1">
      <c r="A167" s="351" t="str">
        <f>IF(B167="","",(IF(ISERROR(MATCH(B167,Tot_res!C:C,0)),"Eliminar!!!","")))</f>
        <v/>
      </c>
      <c r="B167" s="115" t="s">
        <v>218</v>
      </c>
      <c r="C167" s="329" t="str">
        <f>VLOOKUP(B167,Tot_res!C:D,2,FALSE)</f>
        <v>compensaciones financieras IE bebidas alcohólicas e hidrocarburos</v>
      </c>
      <c r="D167" s="179">
        <f>VLOOKUP(B167,Tot_res!C:V,3,FALSE)</f>
        <v>0</v>
      </c>
      <c r="E167" s="179">
        <f>VLOOKUP(B167,Tot_res!C:V,4,FALSE)</f>
        <v>0</v>
      </c>
      <c r="F167" s="179">
        <f>VLOOKUP(B167,Tot_res!C:V,5,FALSE)</f>
        <v>0</v>
      </c>
      <c r="G167" s="179">
        <f>VLOOKUP(B167,Tot_res!C:V,6,FALSE)</f>
        <v>0</v>
      </c>
      <c r="H167" s="179">
        <f>VLOOKUP(B167,Tot_res!C:V,7,FALSE)</f>
        <v>0</v>
      </c>
      <c r="I167" s="179">
        <f>VLOOKUP(B167,Tot_res!C:V,8,FALSE)</f>
        <v>0</v>
      </c>
      <c r="J167" s="179">
        <f>VLOOKUP(B167,Tot_res!C:V,9,FALSE)</f>
        <v>0</v>
      </c>
      <c r="K167" s="179">
        <f>VLOOKUP(B167,Tot_res!C:V,10,FALSE)</f>
        <v>0</v>
      </c>
      <c r="L167" s="179">
        <f>VLOOKUP(B167,Tot_res!C:V,11,FALSE)</f>
        <v>0</v>
      </c>
      <c r="M167" s="179">
        <f>VLOOKUP(B167,Tot_res!C:V,12,FALSE)</f>
        <v>0</v>
      </c>
      <c r="N167" s="179">
        <f>VLOOKUP(B167,Tot_res!C:V,13,FALSE)</f>
        <v>0</v>
      </c>
      <c r="O167" s="179">
        <f>VLOOKUP(B167,Tot_res!C:V,14,FALSE)</f>
        <v>0</v>
      </c>
      <c r="P167" s="179">
        <f>VLOOKUP(B167,Tot_res!C:V,15,FALSE)</f>
        <v>0</v>
      </c>
      <c r="Q167" s="179">
        <f>VLOOKUP(B167,Tot_res!C:V,16,FALSE)</f>
        <v>0</v>
      </c>
      <c r="R167" s="179">
        <f>VLOOKUP(B167,Tot_res!C:V,17,FALSE)</f>
        <v>0</v>
      </c>
      <c r="S167" s="179">
        <f>VLOOKUP(B167,Tot_res!C:V,18,FALSE)</f>
        <v>-60895.8</v>
      </c>
      <c r="T167" s="179">
        <f>VLOOKUP(B167,Tot_res!C:V,19,FALSE)</f>
        <v>0</v>
      </c>
      <c r="U167" s="179">
        <f>VLOOKUP(B167,Tot_res!C:V,20,FALSE)</f>
        <v>0</v>
      </c>
      <c r="V167" s="122">
        <f>SUM(D167:U167)</f>
        <v>-60895.8</v>
      </c>
      <c r="W167" s="102"/>
      <c r="X167" s="102"/>
      <c r="Y167" s="102"/>
      <c r="Z167" s="102"/>
      <c r="AA167" s="102"/>
      <c r="AB167" s="102"/>
    </row>
    <row r="168" spans="1:28">
      <c r="A168" s="352"/>
      <c r="B168" s="115"/>
      <c r="C168" s="140"/>
      <c r="D168" s="105"/>
      <c r="E168" s="105"/>
      <c r="F168" s="105"/>
      <c r="G168" s="105"/>
      <c r="H168" s="105"/>
      <c r="I168" s="105"/>
      <c r="J168" s="105"/>
      <c r="K168" s="105"/>
      <c r="L168" s="105"/>
      <c r="M168" s="105"/>
      <c r="N168" s="105"/>
      <c r="O168" s="105"/>
      <c r="P168" s="105"/>
      <c r="Q168" s="105"/>
      <c r="R168" s="105"/>
      <c r="S168" s="105"/>
      <c r="T168" s="105"/>
      <c r="U168" s="105"/>
      <c r="V168" s="122"/>
      <c r="W168" s="103"/>
      <c r="X168" s="103"/>
      <c r="Y168" s="103"/>
      <c r="Z168" s="103"/>
      <c r="AA168" s="103"/>
      <c r="AB168" s="103"/>
    </row>
    <row r="169" spans="1:28" ht="13.5">
      <c r="A169" s="352"/>
      <c r="B169" s="137"/>
      <c r="C169" s="117" t="s">
        <v>52</v>
      </c>
      <c r="D169" s="114">
        <f t="shared" ref="D169:U169" si="36">SUM(D170:D193)</f>
        <v>0</v>
      </c>
      <c r="E169" s="114">
        <f t="shared" si="36"/>
        <v>0</v>
      </c>
      <c r="F169" s="114">
        <f t="shared" si="36"/>
        <v>0</v>
      </c>
      <c r="G169" s="114">
        <f t="shared" si="36"/>
        <v>0</v>
      </c>
      <c r="H169" s="114">
        <f t="shared" si="36"/>
        <v>0</v>
      </c>
      <c r="I169" s="114">
        <f t="shared" si="36"/>
        <v>0</v>
      </c>
      <c r="J169" s="114">
        <f t="shared" si="36"/>
        <v>0</v>
      </c>
      <c r="K169" s="114">
        <f t="shared" si="36"/>
        <v>0</v>
      </c>
      <c r="L169" s="114">
        <f t="shared" si="36"/>
        <v>0</v>
      </c>
      <c r="M169" s="114">
        <f t="shared" si="36"/>
        <v>0</v>
      </c>
      <c r="N169" s="114">
        <f t="shared" si="36"/>
        <v>0</v>
      </c>
      <c r="O169" s="114">
        <f t="shared" si="36"/>
        <v>0</v>
      </c>
      <c r="P169" s="114">
        <f t="shared" si="36"/>
        <v>0</v>
      </c>
      <c r="Q169" s="114">
        <f t="shared" si="36"/>
        <v>0</v>
      </c>
      <c r="R169" s="114">
        <f t="shared" si="36"/>
        <v>-470881.30288277293</v>
      </c>
      <c r="S169" s="114">
        <f t="shared" si="36"/>
        <v>-2018958.3567233717</v>
      </c>
      <c r="T169" s="114">
        <f t="shared" si="36"/>
        <v>0</v>
      </c>
      <c r="U169" s="114">
        <f t="shared" si="36"/>
        <v>0</v>
      </c>
      <c r="V169" s="127">
        <f>SUM(V170:V193)</f>
        <v>-2489839.6596061443</v>
      </c>
    </row>
    <row r="170" spans="1:28">
      <c r="A170" s="352"/>
      <c r="B170" s="115" t="s">
        <v>1097</v>
      </c>
      <c r="C170" s="331" t="str">
        <f>VLOOKUP(B170,Tot_res!C:D,2,FALSE)</f>
        <v>gestión tributaria (prog. 932A)</v>
      </c>
      <c r="D170" s="185">
        <f>IF(ISERROR(VLOOKUP(B170,Tot_res!C:V,3,FALSE)),"",VLOOKUP(B170,Tot_res!C:V,3,FALSE))</f>
        <v>0</v>
      </c>
      <c r="E170" s="185">
        <f>IF(ISERROR(VLOOKUP(B170,Tot_res!C:V,4,FALSE)),"",VLOOKUP(B170,Tot_res!C:V,4,FALSE))</f>
        <v>0</v>
      </c>
      <c r="F170" s="185">
        <f>IF(ISERROR(VLOOKUP(B170,Tot_res!C:V,5,FALSE)),"",VLOOKUP(B170,Tot_res!C:V,5,FALSE))</f>
        <v>0</v>
      </c>
      <c r="G170" s="185">
        <f>IF(ISERROR(VLOOKUP(B170,Tot_res!C:V,6,FALSE)),"",VLOOKUP(B170,Tot_res!C:V,6,FALSE))</f>
        <v>0</v>
      </c>
      <c r="H170" s="185">
        <f>IF(ISERROR(VLOOKUP(B170,Tot_res!C:V,7,FALSE)),"",VLOOKUP(B170,Tot_res!C:V,7,FALSE))</f>
        <v>0</v>
      </c>
      <c r="I170" s="185">
        <f>IF(ISERROR(VLOOKUP(B170,Tot_res!C:V,8,FALSE)),"",VLOOKUP(B170,Tot_res!C:V,8,FALSE))</f>
        <v>0</v>
      </c>
      <c r="J170" s="185">
        <f>IF(ISERROR(VLOOKUP(B170,Tot_res!C:V,9,FALSE)),"",(VLOOKUP(B170,Tot_res!C:V,9,FALSE)))</f>
        <v>0</v>
      </c>
      <c r="K170" s="185">
        <f>IF(ISERROR(VLOOKUP(B170,Tot_res!C:V,10,FALSE)),"",VLOOKUP(B170,Tot_res!C:V,10,FALSE))</f>
        <v>0</v>
      </c>
      <c r="L170" s="185">
        <f>IF(ISERROR(VLOOKUP(B170,Tot_res!C:V,11,FALSE)),"",VLOOKUP(B170,Tot_res!C:V,11,FALSE))</f>
        <v>0</v>
      </c>
      <c r="M170" s="185">
        <f>IF(ISERROR(VLOOKUP(B170,Tot_res!C:V,12,FALSE)),"",VLOOKUP(B170,Tot_res!C:V,12,FALSE))</f>
        <v>0</v>
      </c>
      <c r="N170" s="185">
        <f>IF(ISERROR(VLOOKUP(B170,Tot_res!C:V,13,FALSE)),"",VLOOKUP(B170,Tot_res!C:V,13,FALSE))</f>
        <v>0</v>
      </c>
      <c r="O170" s="185">
        <f>IF(ISERROR(VLOOKUP(B170,Tot_res!C:V,14,FALSE)),"",VLOOKUP(B170,Tot_res!C:V,14,FALSE))</f>
        <v>0</v>
      </c>
      <c r="P170" s="185">
        <f>IF(ISERROR(VLOOKUP(B170,Tot_res!C:V,15,FALSE)),"",VLOOKUP(B170,Tot_res!C:V,15,FALSE))</f>
        <v>0</v>
      </c>
      <c r="Q170" s="185">
        <f>IF(ISERROR(VLOOKUP(B170,Tot_res!C:V,16,FALSE)),"",VLOOKUP(B170,Tot_res!C:V,16,FALSE))</f>
        <v>0</v>
      </c>
      <c r="R170" s="185">
        <f>IF(ISERROR(VLOOKUP(B170,Tot_res!C:V,17,FALSE)),"",VLOOKUP(B170,Tot_res!C:V,17,FALSE))</f>
        <v>-18172.464503754767</v>
      </c>
      <c r="S170" s="185">
        <f>IF(ISERROR(VLOOKUP(B170,Tot_res!C:V,18,FALSE)),"",VLOOKUP(B170,Tot_res!C:V,18,FALSE))</f>
        <v>-62097.524896351184</v>
      </c>
      <c r="T170" s="185">
        <f>IF(ISERROR(VLOOKUP(B170,Tot_res!C:V,19,FALSE)),"",VLOOKUP(B170,Tot_res!C:V,19,FALSE))</f>
        <v>0</v>
      </c>
      <c r="U170" s="185">
        <f>IF(ISERROR(VLOOKUP(B170,Tot_res!C:V,20,FALSE)),"",VLOOKUP(B170,Tot_res!C:V,20,FALSE))</f>
        <v>0</v>
      </c>
      <c r="V170" s="122">
        <f t="shared" ref="V170:V193" si="37">SUM(D170:U170)</f>
        <v>-80269.989400105958</v>
      </c>
    </row>
    <row r="171" spans="1:28">
      <c r="A171" s="352"/>
      <c r="B171" s="115" t="s">
        <v>1098</v>
      </c>
      <c r="C171" s="331" t="str">
        <f>VLOOKUP(B171,Tot_res!C:D,2,FALSE)</f>
        <v>Gestión del catastro inmobiliario (programa 932M)</v>
      </c>
      <c r="D171" s="185">
        <f>IF(ISERROR(VLOOKUP(B171,Tot_res!C:V,3,FALSE)),"",VLOOKUP(B171,Tot_res!C:V,3,FALSE))</f>
        <v>0</v>
      </c>
      <c r="E171" s="185">
        <f>IF(ISERROR(VLOOKUP(B171,Tot_res!C:V,4,FALSE)),"",VLOOKUP(B171,Tot_res!C:V,4,FALSE))</f>
        <v>0</v>
      </c>
      <c r="F171" s="185">
        <f>IF(ISERROR(VLOOKUP(B171,Tot_res!C:V,5,FALSE)),"",VLOOKUP(B171,Tot_res!C:V,5,FALSE))</f>
        <v>0</v>
      </c>
      <c r="G171" s="185">
        <f>IF(ISERROR(VLOOKUP(B171,Tot_res!C:V,6,FALSE)),"",VLOOKUP(B171,Tot_res!C:V,6,FALSE))</f>
        <v>0</v>
      </c>
      <c r="H171" s="185">
        <f>IF(ISERROR(VLOOKUP(B171,Tot_res!C:V,7,FALSE)),"",VLOOKUP(B171,Tot_res!C:V,7,FALSE))</f>
        <v>0</v>
      </c>
      <c r="I171" s="185">
        <f>IF(ISERROR(VLOOKUP(B171,Tot_res!C:V,8,FALSE)),"",VLOOKUP(B171,Tot_res!C:V,8,FALSE))</f>
        <v>0</v>
      </c>
      <c r="J171" s="185">
        <f>IF(ISERROR(VLOOKUP(B171,Tot_res!C:V,9,FALSE)),"",(VLOOKUP(B171,Tot_res!C:V,9,FALSE)))</f>
        <v>0</v>
      </c>
      <c r="K171" s="185">
        <f>IF(ISERROR(VLOOKUP(B171,Tot_res!C:V,10,FALSE)),"",VLOOKUP(B171,Tot_res!C:V,10,FALSE))</f>
        <v>0</v>
      </c>
      <c r="L171" s="185">
        <f>IF(ISERROR(VLOOKUP(B171,Tot_res!C:V,11,FALSE)),"",VLOOKUP(B171,Tot_res!C:V,11,FALSE))</f>
        <v>0</v>
      </c>
      <c r="M171" s="185">
        <f>IF(ISERROR(VLOOKUP(B171,Tot_res!C:V,12,FALSE)),"",VLOOKUP(B171,Tot_res!C:V,12,FALSE))</f>
        <v>0</v>
      </c>
      <c r="N171" s="185">
        <f>IF(ISERROR(VLOOKUP(B171,Tot_res!C:V,13,FALSE)),"",VLOOKUP(B171,Tot_res!C:V,13,FALSE))</f>
        <v>0</v>
      </c>
      <c r="O171" s="185">
        <f>IF(ISERROR(VLOOKUP(B171,Tot_res!C:V,14,FALSE)),"",VLOOKUP(B171,Tot_res!C:V,14,FALSE))</f>
        <v>0</v>
      </c>
      <c r="P171" s="185">
        <f>IF(ISERROR(VLOOKUP(B171,Tot_res!C:V,15,FALSE)),"",VLOOKUP(B171,Tot_res!C:V,15,FALSE))</f>
        <v>0</v>
      </c>
      <c r="Q171" s="185">
        <f>IF(ISERROR(VLOOKUP(B171,Tot_res!C:V,16,FALSE)),"",VLOOKUP(B171,Tot_res!C:V,16,FALSE))</f>
        <v>0</v>
      </c>
      <c r="R171" s="185">
        <f>IF(ISERROR(VLOOKUP(B171,Tot_res!C:V,17,FALSE)),"",VLOOKUP(B171,Tot_res!C:V,17,FALSE))</f>
        <v>-1806.5942780945411</v>
      </c>
      <c r="S171" s="185">
        <f>IF(ISERROR(VLOOKUP(B171,Tot_res!C:V,18,FALSE)),"",VLOOKUP(B171,Tot_res!C:V,18,FALSE))</f>
        <v>-6173.3527193519531</v>
      </c>
      <c r="T171" s="185">
        <f>IF(ISERROR(VLOOKUP(B171,Tot_res!C:V,19,FALSE)),"",VLOOKUP(B171,Tot_res!C:V,19,FALSE))</f>
        <v>0</v>
      </c>
      <c r="U171" s="185">
        <f>IF(ISERROR(VLOOKUP(B171,Tot_res!C:V,20,FALSE)),"",VLOOKUP(B171,Tot_res!C:V,20,FALSE))</f>
        <v>0</v>
      </c>
      <c r="V171" s="122">
        <f t="shared" si="37"/>
        <v>-7979.9469974464937</v>
      </c>
    </row>
    <row r="172" spans="1:28">
      <c r="A172" s="352"/>
      <c r="B172" s="115" t="s">
        <v>1099</v>
      </c>
      <c r="C172" s="331" t="str">
        <f>VLOOKUP(B172,Tot_res!C:D,2,FALSE)</f>
        <v>Pensiones no contributivas y otras prestaciones económicas (sección 3.1)</v>
      </c>
      <c r="D172" s="185">
        <f>IF(ISERROR(VLOOKUP(B172,Tot_res!C:V,3,FALSE)),"",VLOOKUP(B172,Tot_res!C:V,3,FALSE))</f>
        <v>0</v>
      </c>
      <c r="E172" s="185">
        <f>IF(ISERROR(VLOOKUP(B172,Tot_res!C:V,4,FALSE)),"",VLOOKUP(B172,Tot_res!C:V,4,FALSE))</f>
        <v>0</v>
      </c>
      <c r="F172" s="185">
        <f>IF(ISERROR(VLOOKUP(B172,Tot_res!C:V,5,FALSE)),"",VLOOKUP(B172,Tot_res!C:V,5,FALSE))</f>
        <v>0</v>
      </c>
      <c r="G172" s="185">
        <f>IF(ISERROR(VLOOKUP(B172,Tot_res!C:V,6,FALSE)),"",VLOOKUP(B172,Tot_res!C:V,6,FALSE))</f>
        <v>0</v>
      </c>
      <c r="H172" s="185">
        <f>IF(ISERROR(VLOOKUP(B172,Tot_res!C:V,7,FALSE)),"",VLOOKUP(B172,Tot_res!C:V,7,FALSE))</f>
        <v>0</v>
      </c>
      <c r="I172" s="185">
        <f>IF(ISERROR(VLOOKUP(B172,Tot_res!C:V,8,FALSE)),"",VLOOKUP(B172,Tot_res!C:V,8,FALSE))</f>
        <v>0</v>
      </c>
      <c r="J172" s="185">
        <f>IF(ISERROR(VLOOKUP(B172,Tot_res!C:V,9,FALSE)),"",(VLOOKUP(B172,Tot_res!C:V,9,FALSE)))</f>
        <v>0</v>
      </c>
      <c r="K172" s="185">
        <f>IF(ISERROR(VLOOKUP(B172,Tot_res!C:V,10,FALSE)),"",VLOOKUP(B172,Tot_res!C:V,10,FALSE))</f>
        <v>0</v>
      </c>
      <c r="L172" s="185">
        <f>IF(ISERROR(VLOOKUP(B172,Tot_res!C:V,11,FALSE)),"",VLOOKUP(B172,Tot_res!C:V,11,FALSE))</f>
        <v>0</v>
      </c>
      <c r="M172" s="185">
        <f>IF(ISERROR(VLOOKUP(B172,Tot_res!C:V,12,FALSE)),"",VLOOKUP(B172,Tot_res!C:V,12,FALSE))</f>
        <v>0</v>
      </c>
      <c r="N172" s="185">
        <f>IF(ISERROR(VLOOKUP(B172,Tot_res!C:V,13,FALSE)),"",VLOOKUP(B172,Tot_res!C:V,13,FALSE))</f>
        <v>0</v>
      </c>
      <c r="O172" s="185">
        <f>IF(ISERROR(VLOOKUP(B172,Tot_res!C:V,14,FALSE)),"",VLOOKUP(B172,Tot_res!C:V,14,FALSE))</f>
        <v>0</v>
      </c>
      <c r="P172" s="185">
        <f>IF(ISERROR(VLOOKUP(B172,Tot_res!C:V,15,FALSE)),"",VLOOKUP(B172,Tot_res!C:V,15,FALSE))</f>
        <v>0</v>
      </c>
      <c r="Q172" s="185">
        <f>IF(ISERROR(VLOOKUP(B172,Tot_res!C:V,16,FALSE)),"",VLOOKUP(B172,Tot_res!C:V,16,FALSE))</f>
        <v>0</v>
      </c>
      <c r="R172" s="185">
        <f>IF(ISERROR(VLOOKUP(B172,Tot_res!C:V,17,FALSE)),"",VLOOKUP(B172,Tot_res!C:V,17,FALSE))</f>
        <v>-28029.968148515763</v>
      </c>
      <c r="S172" s="185">
        <f>IF(ISERROR(VLOOKUP(B172,Tot_res!C:V,18,FALSE)),"",VLOOKUP(B172,Tot_res!C:V,18,FALSE))</f>
        <v>-135328.48286980117</v>
      </c>
      <c r="T172" s="185">
        <f>IF(ISERROR(VLOOKUP(B172,Tot_res!C:V,19,FALSE)),"",VLOOKUP(B172,Tot_res!C:V,19,FALSE))</f>
        <v>0</v>
      </c>
      <c r="U172" s="185">
        <f>IF(ISERROR(VLOOKUP(B172,Tot_res!C:V,20,FALSE)),"",VLOOKUP(B172,Tot_res!C:V,20,FALSE))</f>
        <v>0</v>
      </c>
      <c r="V172" s="122">
        <f t="shared" si="37"/>
        <v>-163358.45101831693</v>
      </c>
    </row>
    <row r="173" spans="1:28">
      <c r="A173" s="352"/>
      <c r="B173" s="115" t="s">
        <v>1100</v>
      </c>
      <c r="C173" s="331" t="str">
        <f>VLOOKUP(B173,Tot_res!C:D,2,FALSE)</f>
        <v>Financiación provincias</v>
      </c>
      <c r="D173" s="185">
        <f>IF(ISERROR(VLOOKUP(B173,Tot_res!C:V,3,FALSE)),"",VLOOKUP(B173,Tot_res!C:V,3,FALSE))</f>
        <v>0</v>
      </c>
      <c r="E173" s="185">
        <f>IF(ISERROR(VLOOKUP(B173,Tot_res!C:V,4,FALSE)),"",VLOOKUP(B173,Tot_res!C:V,4,FALSE))</f>
        <v>0</v>
      </c>
      <c r="F173" s="185">
        <f>IF(ISERROR(VLOOKUP(B173,Tot_res!C:V,5,FALSE)),"",VLOOKUP(B173,Tot_res!C:V,5,FALSE))</f>
        <v>0</v>
      </c>
      <c r="G173" s="185">
        <f>IF(ISERROR(VLOOKUP(B173,Tot_res!C:V,6,FALSE)),"",VLOOKUP(B173,Tot_res!C:V,6,FALSE))</f>
        <v>0</v>
      </c>
      <c r="H173" s="185">
        <f>IF(ISERROR(VLOOKUP(B173,Tot_res!C:V,7,FALSE)),"",VLOOKUP(B173,Tot_res!C:V,7,FALSE))</f>
        <v>0</v>
      </c>
      <c r="I173" s="185">
        <f>IF(ISERROR(VLOOKUP(B173,Tot_res!C:V,8,FALSE)),"",VLOOKUP(B173,Tot_res!C:V,8,FALSE))</f>
        <v>0</v>
      </c>
      <c r="J173" s="185">
        <f>IF(ISERROR(VLOOKUP(B173,Tot_res!C:V,9,FALSE)),"",(VLOOKUP(B173,Tot_res!C:V,9,FALSE)))</f>
        <v>0</v>
      </c>
      <c r="K173" s="185">
        <f>IF(ISERROR(VLOOKUP(B173,Tot_res!C:V,10,FALSE)),"",VLOOKUP(B173,Tot_res!C:V,10,FALSE))</f>
        <v>0</v>
      </c>
      <c r="L173" s="185">
        <f>IF(ISERROR(VLOOKUP(B173,Tot_res!C:V,11,FALSE)),"",VLOOKUP(B173,Tot_res!C:V,11,FALSE))</f>
        <v>0</v>
      </c>
      <c r="M173" s="185">
        <f>IF(ISERROR(VLOOKUP(B173,Tot_res!C:V,12,FALSE)),"",VLOOKUP(B173,Tot_res!C:V,12,FALSE))</f>
        <v>0</v>
      </c>
      <c r="N173" s="185">
        <f>IF(ISERROR(VLOOKUP(B173,Tot_res!C:V,13,FALSE)),"",VLOOKUP(B173,Tot_res!C:V,13,FALSE))</f>
        <v>0</v>
      </c>
      <c r="O173" s="185">
        <f>IF(ISERROR(VLOOKUP(B173,Tot_res!C:V,14,FALSE)),"",VLOOKUP(B173,Tot_res!C:V,14,FALSE))</f>
        <v>0</v>
      </c>
      <c r="P173" s="185">
        <f>IF(ISERROR(VLOOKUP(B173,Tot_res!C:V,15,FALSE)),"",VLOOKUP(B173,Tot_res!C:V,15,FALSE))</f>
        <v>0</v>
      </c>
      <c r="Q173" s="185">
        <f>IF(ISERROR(VLOOKUP(B173,Tot_res!C:V,16,FALSE)),"",VLOOKUP(B173,Tot_res!C:V,16,FALSE))</f>
        <v>0</v>
      </c>
      <c r="R173" s="185">
        <f>IF(ISERROR(VLOOKUP(B173,Tot_res!C:V,17,FALSE)),"",VLOOKUP(B173,Tot_res!C:V,17,FALSE))</f>
        <v>-100104.05402219974</v>
      </c>
      <c r="S173" s="185">
        <f>IF(ISERROR(VLOOKUP(B173,Tot_res!C:V,18,FALSE)),"",VLOOKUP(B173,Tot_res!C:V,18,FALSE))</f>
        <v>-342104.26912621013</v>
      </c>
      <c r="T173" s="185">
        <f>IF(ISERROR(VLOOKUP(B173,Tot_res!C:V,19,FALSE)),"",VLOOKUP(B173,Tot_res!C:V,19,FALSE))</f>
        <v>0</v>
      </c>
      <c r="U173" s="185">
        <f>IF(ISERROR(VLOOKUP(B173,Tot_res!C:V,20,FALSE)),"",VLOOKUP(B173,Tot_res!C:V,20,FALSE))</f>
        <v>0</v>
      </c>
      <c r="V173" s="122">
        <f t="shared" si="37"/>
        <v>-442208.32314840984</v>
      </c>
    </row>
    <row r="174" spans="1:28">
      <c r="A174" s="352"/>
      <c r="B174" s="115" t="s">
        <v>1101</v>
      </c>
      <c r="C174" s="331" t="str">
        <f>VLOOKUP(B174,Tot_res!C:D,2,FALSE)</f>
        <v>Financiación municipios</v>
      </c>
      <c r="D174" s="185">
        <f>IF(ISERROR(VLOOKUP(B174,Tot_res!C:V,3,FALSE)),"",VLOOKUP(B174,Tot_res!C:V,3,FALSE))</f>
        <v>0</v>
      </c>
      <c r="E174" s="185">
        <f>IF(ISERROR(VLOOKUP(B174,Tot_res!C:V,4,FALSE)),"",VLOOKUP(B174,Tot_res!C:V,4,FALSE))</f>
        <v>0</v>
      </c>
      <c r="F174" s="185">
        <f>IF(ISERROR(VLOOKUP(B174,Tot_res!C:V,5,FALSE)),"",VLOOKUP(B174,Tot_res!C:V,5,FALSE))</f>
        <v>0</v>
      </c>
      <c r="G174" s="185">
        <f>IF(ISERROR(VLOOKUP(B174,Tot_res!C:V,6,FALSE)),"",VLOOKUP(B174,Tot_res!C:V,6,FALSE))</f>
        <v>0</v>
      </c>
      <c r="H174" s="185">
        <f>IF(ISERROR(VLOOKUP(B174,Tot_res!C:V,7,FALSE)),"",VLOOKUP(B174,Tot_res!C:V,7,FALSE))</f>
        <v>0</v>
      </c>
      <c r="I174" s="185">
        <f>IF(ISERROR(VLOOKUP(B174,Tot_res!C:V,8,FALSE)),"",VLOOKUP(B174,Tot_res!C:V,8,FALSE))</f>
        <v>0</v>
      </c>
      <c r="J174" s="185">
        <f>IF(ISERROR(VLOOKUP(B174,Tot_res!C:V,9,FALSE)),"",(VLOOKUP(B174,Tot_res!C:V,9,FALSE)))</f>
        <v>0</v>
      </c>
      <c r="K174" s="185">
        <f>IF(ISERROR(VLOOKUP(B174,Tot_res!C:V,10,FALSE)),"",VLOOKUP(B174,Tot_res!C:V,10,FALSE))</f>
        <v>0</v>
      </c>
      <c r="L174" s="185">
        <f>IF(ISERROR(VLOOKUP(B174,Tot_res!C:V,11,FALSE)),"",VLOOKUP(B174,Tot_res!C:V,11,FALSE))</f>
        <v>0</v>
      </c>
      <c r="M174" s="185">
        <f>IF(ISERROR(VLOOKUP(B174,Tot_res!C:V,12,FALSE)),"",VLOOKUP(B174,Tot_res!C:V,12,FALSE))</f>
        <v>0</v>
      </c>
      <c r="N174" s="185">
        <f>IF(ISERROR(VLOOKUP(B174,Tot_res!C:V,13,FALSE)),"",VLOOKUP(B174,Tot_res!C:V,13,FALSE))</f>
        <v>0</v>
      </c>
      <c r="O174" s="185">
        <f>IF(ISERROR(VLOOKUP(B174,Tot_res!C:V,14,FALSE)),"",VLOOKUP(B174,Tot_res!C:V,14,FALSE))</f>
        <v>0</v>
      </c>
      <c r="P174" s="185">
        <f>IF(ISERROR(VLOOKUP(B174,Tot_res!C:V,15,FALSE)),"",VLOOKUP(B174,Tot_res!C:V,15,FALSE))</f>
        <v>0</v>
      </c>
      <c r="Q174" s="185">
        <f>IF(ISERROR(VLOOKUP(B174,Tot_res!C:V,16,FALSE)),"",VLOOKUP(B174,Tot_res!C:V,16,FALSE))</f>
        <v>0</v>
      </c>
      <c r="R174" s="185">
        <f>IF(ISERROR(VLOOKUP(B174,Tot_res!C:V,17,FALSE)),"",VLOOKUP(B174,Tot_res!C:V,17,FALSE))</f>
        <v>-158844.25853937623</v>
      </c>
      <c r="S174" s="185">
        <f>IF(ISERROR(VLOOKUP(B174,Tot_res!C:V,18,FALSE)),"",VLOOKUP(B174,Tot_res!C:V,18,FALSE))</f>
        <v>-544944.40010081488</v>
      </c>
      <c r="T174" s="185">
        <f>IF(ISERROR(VLOOKUP(B174,Tot_res!C:V,19,FALSE)),"",VLOOKUP(B174,Tot_res!C:V,19,FALSE))</f>
        <v>0</v>
      </c>
      <c r="U174" s="185">
        <f>IF(ISERROR(VLOOKUP(B174,Tot_res!C:V,20,FALSE)),"",VLOOKUP(B174,Tot_res!C:V,20,FALSE))</f>
        <v>0</v>
      </c>
      <c r="V174" s="122">
        <f t="shared" si="37"/>
        <v>-703788.65864019108</v>
      </c>
    </row>
    <row r="175" spans="1:28">
      <c r="A175" s="352"/>
      <c r="B175" s="115" t="s">
        <v>1102</v>
      </c>
      <c r="C175" s="331" t="str">
        <f>VLOOKUP(B175,Tot_res!C:D,2,FALSE)</f>
        <v xml:space="preserve">construcción de carreteras </v>
      </c>
      <c r="D175" s="185">
        <f>IF(ISERROR(VLOOKUP(B175,Tot_res!C:V,3,FALSE)),"",VLOOKUP(B175,Tot_res!C:V,3,FALSE))</f>
        <v>0</v>
      </c>
      <c r="E175" s="185">
        <f>IF(ISERROR(VLOOKUP(B175,Tot_res!C:V,4,FALSE)),"",VLOOKUP(B175,Tot_res!C:V,4,FALSE))</f>
        <v>0</v>
      </c>
      <c r="F175" s="185">
        <f>IF(ISERROR(VLOOKUP(B175,Tot_res!C:V,5,FALSE)),"",VLOOKUP(B175,Tot_res!C:V,5,FALSE))</f>
        <v>0</v>
      </c>
      <c r="G175" s="185">
        <f>IF(ISERROR(VLOOKUP(B175,Tot_res!C:V,6,FALSE)),"",VLOOKUP(B175,Tot_res!C:V,6,FALSE))</f>
        <v>0</v>
      </c>
      <c r="H175" s="185">
        <f>IF(ISERROR(VLOOKUP(B175,Tot_res!C:V,7,FALSE)),"",VLOOKUP(B175,Tot_res!C:V,7,FALSE))</f>
        <v>0</v>
      </c>
      <c r="I175" s="185">
        <f>IF(ISERROR(VLOOKUP(B175,Tot_res!C:V,8,FALSE)),"",VLOOKUP(B175,Tot_res!C:V,8,FALSE))</f>
        <v>0</v>
      </c>
      <c r="J175" s="185">
        <f>IF(ISERROR(VLOOKUP(B175,Tot_res!C:V,9,FALSE)),"",(VLOOKUP(B175,Tot_res!C:V,9,FALSE)))</f>
        <v>0</v>
      </c>
      <c r="K175" s="185">
        <f>IF(ISERROR(VLOOKUP(B175,Tot_res!C:V,10,FALSE)),"",VLOOKUP(B175,Tot_res!C:V,10,FALSE))</f>
        <v>0</v>
      </c>
      <c r="L175" s="185">
        <f>IF(ISERROR(VLOOKUP(B175,Tot_res!C:V,11,FALSE)),"",VLOOKUP(B175,Tot_res!C:V,11,FALSE))</f>
        <v>0</v>
      </c>
      <c r="M175" s="185">
        <f>IF(ISERROR(VLOOKUP(B175,Tot_res!C:V,12,FALSE)),"",VLOOKUP(B175,Tot_res!C:V,12,FALSE))</f>
        <v>0</v>
      </c>
      <c r="N175" s="185">
        <f>IF(ISERROR(VLOOKUP(B175,Tot_res!C:V,13,FALSE)),"",VLOOKUP(B175,Tot_res!C:V,13,FALSE))</f>
        <v>0</v>
      </c>
      <c r="O175" s="185">
        <f>IF(ISERROR(VLOOKUP(B175,Tot_res!C:V,14,FALSE)),"",VLOOKUP(B175,Tot_res!C:V,14,FALSE))</f>
        <v>0</v>
      </c>
      <c r="P175" s="185">
        <f>IF(ISERROR(VLOOKUP(B175,Tot_res!C:V,15,FALSE)),"",VLOOKUP(B175,Tot_res!C:V,15,FALSE))</f>
        <v>0</v>
      </c>
      <c r="Q175" s="185">
        <f>IF(ISERROR(VLOOKUP(B175,Tot_res!C:V,16,FALSE)),"",VLOOKUP(B175,Tot_res!C:V,16,FALSE))</f>
        <v>0</v>
      </c>
      <c r="R175" s="185">
        <f>IF(ISERROR(VLOOKUP(B175,Tot_res!C:V,17,FALSE)),"",VLOOKUP(B175,Tot_res!C:V,17,FALSE))</f>
        <v>-27401.032951928395</v>
      </c>
      <c r="S175" s="185">
        <f>IF(ISERROR(VLOOKUP(B175,Tot_res!C:V,18,FALSE)),"",VLOOKUP(B175,Tot_res!C:V,18,FALSE))</f>
        <v>-93632.667466019455</v>
      </c>
      <c r="T175" s="185">
        <f>IF(ISERROR(VLOOKUP(B175,Tot_res!C:V,19,FALSE)),"",VLOOKUP(B175,Tot_res!C:V,19,FALSE))</f>
        <v>0</v>
      </c>
      <c r="U175" s="185">
        <f>IF(ISERROR(VLOOKUP(B175,Tot_res!C:V,20,FALSE)),"",VLOOKUP(B175,Tot_res!C:V,20,FALSE))</f>
        <v>0</v>
      </c>
      <c r="V175" s="122">
        <f t="shared" si="37"/>
        <v>-121033.70041794785</v>
      </c>
    </row>
    <row r="176" spans="1:28">
      <c r="A176" s="352"/>
      <c r="B176" s="115" t="s">
        <v>1103</v>
      </c>
      <c r="C176" s="331" t="str">
        <f>VLOOKUP(B176,Tot_res!C:D,2,FALSE)</f>
        <v>conservación de carreteras (programa 453C)</v>
      </c>
      <c r="D176" s="185">
        <f>IF(ISERROR(VLOOKUP(B176,Tot_res!C:V,3,FALSE)),"",VLOOKUP(B176,Tot_res!C:V,3,FALSE))</f>
        <v>0</v>
      </c>
      <c r="E176" s="185">
        <f>IF(ISERROR(VLOOKUP(B176,Tot_res!C:V,4,FALSE)),"",VLOOKUP(B176,Tot_res!C:V,4,FALSE))</f>
        <v>0</v>
      </c>
      <c r="F176" s="185">
        <f>IF(ISERROR(VLOOKUP(B176,Tot_res!C:V,5,FALSE)),"",VLOOKUP(B176,Tot_res!C:V,5,FALSE))</f>
        <v>0</v>
      </c>
      <c r="G176" s="185">
        <f>IF(ISERROR(VLOOKUP(B176,Tot_res!C:V,6,FALSE)),"",VLOOKUP(B176,Tot_res!C:V,6,FALSE))</f>
        <v>0</v>
      </c>
      <c r="H176" s="185">
        <f>IF(ISERROR(VLOOKUP(B176,Tot_res!C:V,7,FALSE)),"",VLOOKUP(B176,Tot_res!C:V,7,FALSE))</f>
        <v>0</v>
      </c>
      <c r="I176" s="185">
        <f>IF(ISERROR(VLOOKUP(B176,Tot_res!C:V,8,FALSE)),"",VLOOKUP(B176,Tot_res!C:V,8,FALSE))</f>
        <v>0</v>
      </c>
      <c r="J176" s="185">
        <f>IF(ISERROR(VLOOKUP(B176,Tot_res!C:V,9,FALSE)),"",(VLOOKUP(B176,Tot_res!C:V,9,FALSE)))</f>
        <v>0</v>
      </c>
      <c r="K176" s="185">
        <f>IF(ISERROR(VLOOKUP(B176,Tot_res!C:V,10,FALSE)),"",VLOOKUP(B176,Tot_res!C:V,10,FALSE))</f>
        <v>0</v>
      </c>
      <c r="L176" s="185">
        <f>IF(ISERROR(VLOOKUP(B176,Tot_res!C:V,11,FALSE)),"",VLOOKUP(B176,Tot_res!C:V,11,FALSE))</f>
        <v>0</v>
      </c>
      <c r="M176" s="185">
        <f>IF(ISERROR(VLOOKUP(B176,Tot_res!C:V,12,FALSE)),"",VLOOKUP(B176,Tot_res!C:V,12,FALSE))</f>
        <v>0</v>
      </c>
      <c r="N176" s="185">
        <f>IF(ISERROR(VLOOKUP(B176,Tot_res!C:V,13,FALSE)),"",VLOOKUP(B176,Tot_res!C:V,13,FALSE))</f>
        <v>0</v>
      </c>
      <c r="O176" s="185">
        <f>IF(ISERROR(VLOOKUP(B176,Tot_res!C:V,14,FALSE)),"",VLOOKUP(B176,Tot_res!C:V,14,FALSE))</f>
        <v>0</v>
      </c>
      <c r="P176" s="185">
        <f>IF(ISERROR(VLOOKUP(B176,Tot_res!C:V,15,FALSE)),"",VLOOKUP(B176,Tot_res!C:V,15,FALSE))</f>
        <v>0</v>
      </c>
      <c r="Q176" s="185">
        <f>IF(ISERROR(VLOOKUP(B176,Tot_res!C:V,16,FALSE)),"",VLOOKUP(B176,Tot_res!C:V,16,FALSE))</f>
        <v>0</v>
      </c>
      <c r="R176" s="185">
        <f>IF(ISERROR(VLOOKUP(B176,Tot_res!C:V,17,FALSE)),"",VLOOKUP(B176,Tot_res!C:V,17,FALSE))</f>
        <v>-14300.17039976765</v>
      </c>
      <c r="S176" s="185">
        <f>IF(ISERROR(VLOOKUP(B176,Tot_res!C:V,18,FALSE)),"",VLOOKUP(B176,Tot_res!C:V,18,FALSE))</f>
        <v>-48865.424237761334</v>
      </c>
      <c r="T176" s="185">
        <f>IF(ISERROR(VLOOKUP(B176,Tot_res!C:V,19,FALSE)),"",VLOOKUP(B176,Tot_res!C:V,19,FALSE))</f>
        <v>0</v>
      </c>
      <c r="U176" s="185">
        <f>IF(ISERROR(VLOOKUP(B176,Tot_res!C:V,20,FALSE)),"",VLOOKUP(B176,Tot_res!C:V,20,FALSE))</f>
        <v>0</v>
      </c>
      <c r="V176" s="122">
        <f t="shared" si="37"/>
        <v>-63165.594637528986</v>
      </c>
    </row>
    <row r="177" spans="1:22">
      <c r="A177" s="352"/>
      <c r="B177" s="115" t="s">
        <v>1104</v>
      </c>
      <c r="C177" s="331" t="str">
        <f>VLOOKUP(B177,Tot_res!C:D,2,FALSE)</f>
        <v>"Normalización" lingüística (programa CS06)</v>
      </c>
      <c r="D177" s="185">
        <f>IF(ISERROR(VLOOKUP(B177,Tot_res!C:V,3,FALSE)),"",VLOOKUP(B177,Tot_res!C:V,3,FALSE))</f>
        <v>0</v>
      </c>
      <c r="E177" s="185">
        <f>IF(ISERROR(VLOOKUP(B177,Tot_res!C:V,4,FALSE)),"",VLOOKUP(B177,Tot_res!C:V,4,FALSE))</f>
        <v>0</v>
      </c>
      <c r="F177" s="185">
        <f>IF(ISERROR(VLOOKUP(B177,Tot_res!C:V,5,FALSE)),"",VLOOKUP(B177,Tot_res!C:V,5,FALSE))</f>
        <v>0</v>
      </c>
      <c r="G177" s="185">
        <f>IF(ISERROR(VLOOKUP(B177,Tot_res!C:V,6,FALSE)),"",VLOOKUP(B177,Tot_res!C:V,6,FALSE))</f>
        <v>0</v>
      </c>
      <c r="H177" s="185">
        <f>IF(ISERROR(VLOOKUP(B177,Tot_res!C:V,7,FALSE)),"",VLOOKUP(B177,Tot_res!C:V,7,FALSE))</f>
        <v>0</v>
      </c>
      <c r="I177" s="185">
        <f>IF(ISERROR(VLOOKUP(B177,Tot_res!C:V,8,FALSE)),"",VLOOKUP(B177,Tot_res!C:V,8,FALSE))</f>
        <v>0</v>
      </c>
      <c r="J177" s="185">
        <f>IF(ISERROR(VLOOKUP(B177,Tot_res!C:V,9,FALSE)),"",(VLOOKUP(B177,Tot_res!C:V,9,FALSE)))</f>
        <v>0</v>
      </c>
      <c r="K177" s="185">
        <f>IF(ISERROR(VLOOKUP(B177,Tot_res!C:V,10,FALSE)),"",VLOOKUP(B177,Tot_res!C:V,10,FALSE))</f>
        <v>0</v>
      </c>
      <c r="L177" s="185">
        <f>IF(ISERROR(VLOOKUP(B177,Tot_res!C:V,11,FALSE)),"",VLOOKUP(B177,Tot_res!C:V,11,FALSE))</f>
        <v>0</v>
      </c>
      <c r="M177" s="185">
        <f>IF(ISERROR(VLOOKUP(B177,Tot_res!C:V,12,FALSE)),"",VLOOKUP(B177,Tot_res!C:V,12,FALSE))</f>
        <v>0</v>
      </c>
      <c r="N177" s="185">
        <f>IF(ISERROR(VLOOKUP(B177,Tot_res!C:V,13,FALSE)),"",VLOOKUP(B177,Tot_res!C:V,13,FALSE))</f>
        <v>0</v>
      </c>
      <c r="O177" s="185">
        <f>IF(ISERROR(VLOOKUP(B177,Tot_res!C:V,14,FALSE)),"",VLOOKUP(B177,Tot_res!C:V,14,FALSE))</f>
        <v>0</v>
      </c>
      <c r="P177" s="185">
        <f>IF(ISERROR(VLOOKUP(B177,Tot_res!C:V,15,FALSE)),"",VLOOKUP(B177,Tot_res!C:V,15,FALSE))</f>
        <v>0</v>
      </c>
      <c r="Q177" s="185">
        <f>IF(ISERROR(VLOOKUP(B177,Tot_res!C:V,16,FALSE)),"",VLOOKUP(B177,Tot_res!C:V,16,FALSE))</f>
        <v>0</v>
      </c>
      <c r="R177" s="185">
        <f>IF(ISERROR(VLOOKUP(B177,Tot_res!C:V,17,FALSE)),"",VLOOKUP(B177,Tot_res!C:V,17,FALSE))</f>
        <v>-6180.3491866743489</v>
      </c>
      <c r="S177" s="185">
        <f>IF(ISERROR(VLOOKUP(B177,Tot_res!C:V,18,FALSE)),"",VLOOKUP(B177,Tot_res!C:V,18,FALSE))</f>
        <v>-21119.006032910791</v>
      </c>
      <c r="T177" s="185">
        <f>IF(ISERROR(VLOOKUP(B177,Tot_res!C:V,19,FALSE)),"",VLOOKUP(B177,Tot_res!C:V,19,FALSE))</f>
        <v>0</v>
      </c>
      <c r="U177" s="185">
        <f>IF(ISERROR(VLOOKUP(B177,Tot_res!C:V,20,FALSE)),"",VLOOKUP(B177,Tot_res!C:V,20,FALSE))</f>
        <v>0</v>
      </c>
      <c r="V177" s="122">
        <f t="shared" si="37"/>
        <v>-27299.355219585141</v>
      </c>
    </row>
    <row r="178" spans="1:22">
      <c r="A178" s="352"/>
      <c r="B178" s="115" t="s">
        <v>1105</v>
      </c>
      <c r="C178" s="331" t="str">
        <f>VLOOKUP(B178,Tot_res!C:D,2,FALSE)</f>
        <v>medio ambiente</v>
      </c>
      <c r="D178" s="185">
        <f>IF(ISERROR(VLOOKUP(B178,Tot_res!C:V,3,FALSE)),"",VLOOKUP(B178,Tot_res!C:V,3,FALSE))</f>
        <v>0</v>
      </c>
      <c r="E178" s="185">
        <f>IF(ISERROR(VLOOKUP(B178,Tot_res!C:V,4,FALSE)),"",VLOOKUP(B178,Tot_res!C:V,4,FALSE))</f>
        <v>0</v>
      </c>
      <c r="F178" s="185">
        <f>IF(ISERROR(VLOOKUP(B178,Tot_res!C:V,5,FALSE)),"",VLOOKUP(B178,Tot_res!C:V,5,FALSE))</f>
        <v>0</v>
      </c>
      <c r="G178" s="185">
        <f>IF(ISERROR(VLOOKUP(B178,Tot_res!C:V,6,FALSE)),"",VLOOKUP(B178,Tot_res!C:V,6,FALSE))</f>
        <v>0</v>
      </c>
      <c r="H178" s="185">
        <f>IF(ISERROR(VLOOKUP(B178,Tot_res!C:V,7,FALSE)),"",VLOOKUP(B178,Tot_res!C:V,7,FALSE))</f>
        <v>0</v>
      </c>
      <c r="I178" s="185">
        <f>IF(ISERROR(VLOOKUP(B178,Tot_res!C:V,8,FALSE)),"",VLOOKUP(B178,Tot_res!C:V,8,FALSE))</f>
        <v>0</v>
      </c>
      <c r="J178" s="185">
        <f>IF(ISERROR(VLOOKUP(B178,Tot_res!C:V,9,FALSE)),"",(VLOOKUP(B178,Tot_res!C:V,9,FALSE)))</f>
        <v>0</v>
      </c>
      <c r="K178" s="185">
        <f>IF(ISERROR(VLOOKUP(B178,Tot_res!C:V,10,FALSE)),"",VLOOKUP(B178,Tot_res!C:V,10,FALSE))</f>
        <v>0</v>
      </c>
      <c r="L178" s="185">
        <f>IF(ISERROR(VLOOKUP(B178,Tot_res!C:V,11,FALSE)),"",VLOOKUP(B178,Tot_res!C:V,11,FALSE))</f>
        <v>0</v>
      </c>
      <c r="M178" s="185">
        <f>IF(ISERROR(VLOOKUP(B178,Tot_res!C:V,12,FALSE)),"",VLOOKUP(B178,Tot_res!C:V,12,FALSE))</f>
        <v>0</v>
      </c>
      <c r="N178" s="185">
        <f>IF(ISERROR(VLOOKUP(B178,Tot_res!C:V,13,FALSE)),"",VLOOKUP(B178,Tot_res!C:V,13,FALSE))</f>
        <v>0</v>
      </c>
      <c r="O178" s="185">
        <f>IF(ISERROR(VLOOKUP(B178,Tot_res!C:V,14,FALSE)),"",VLOOKUP(B178,Tot_res!C:V,14,FALSE))</f>
        <v>0</v>
      </c>
      <c r="P178" s="185">
        <f>IF(ISERROR(VLOOKUP(B178,Tot_res!C:V,15,FALSE)),"",VLOOKUP(B178,Tot_res!C:V,15,FALSE))</f>
        <v>0</v>
      </c>
      <c r="Q178" s="185">
        <f>IF(ISERROR(VLOOKUP(B178,Tot_res!C:V,16,FALSE)),"",VLOOKUP(B178,Tot_res!C:V,16,FALSE))</f>
        <v>0</v>
      </c>
      <c r="R178" s="185">
        <f>IF(ISERROR(VLOOKUP(B178,Tot_res!C:V,17,FALSE)),"",VLOOKUP(B178,Tot_res!C:V,17,FALSE))</f>
        <v>-339.77204774829278</v>
      </c>
      <c r="S178" s="185">
        <f>IF(ISERROR(VLOOKUP(B178,Tot_res!C:V,18,FALSE)),"",VLOOKUP(B178,Tot_res!C:V,18,FALSE))</f>
        <v>-3301.1660161836503</v>
      </c>
      <c r="T178" s="185">
        <f>IF(ISERROR(VLOOKUP(B178,Tot_res!C:V,19,FALSE)),"",VLOOKUP(B178,Tot_res!C:V,19,FALSE))</f>
        <v>0</v>
      </c>
      <c r="U178" s="185">
        <f>IF(ISERROR(VLOOKUP(B178,Tot_res!C:V,20,FALSE)),"",VLOOKUP(B178,Tot_res!C:V,20,FALSE))</f>
        <v>0</v>
      </c>
      <c r="V178" s="122">
        <f t="shared" si="37"/>
        <v>-3640.9380639319429</v>
      </c>
    </row>
    <row r="179" spans="1:22">
      <c r="A179" s="352"/>
      <c r="B179" s="115" t="s">
        <v>1117</v>
      </c>
      <c r="C179" s="331" t="e">
        <f>VLOOKUP(B179,Tot_res!C:D,2,FALSE)</f>
        <v>#N/A</v>
      </c>
      <c r="D179" s="185" t="str">
        <f>IF(ISERROR(VLOOKUP(B179,Tot_res!C:V,3,FALSE)),"",VLOOKUP(B179,Tot_res!C:V,3,FALSE))</f>
        <v/>
      </c>
      <c r="E179" s="185" t="str">
        <f>IF(ISERROR(VLOOKUP(B179,Tot_res!C:V,4,FALSE)),"",VLOOKUP(B179,Tot_res!C:V,4,FALSE))</f>
        <v/>
      </c>
      <c r="F179" s="185" t="str">
        <f>IF(ISERROR(VLOOKUP(B179,Tot_res!C:V,5,FALSE)),"",VLOOKUP(B179,Tot_res!C:V,5,FALSE))</f>
        <v/>
      </c>
      <c r="G179" s="185" t="str">
        <f>IF(ISERROR(VLOOKUP(B179,Tot_res!C:V,6,FALSE)),"",VLOOKUP(B179,Tot_res!C:V,6,FALSE))</f>
        <v/>
      </c>
      <c r="H179" s="185" t="str">
        <f>IF(ISERROR(VLOOKUP(B179,Tot_res!C:V,7,FALSE)),"",VLOOKUP(B179,Tot_res!C:V,7,FALSE))</f>
        <v/>
      </c>
      <c r="I179" s="185" t="str">
        <f>IF(ISERROR(VLOOKUP(B179,Tot_res!C:V,8,FALSE)),"",VLOOKUP(B179,Tot_res!C:V,8,FALSE))</f>
        <v/>
      </c>
      <c r="J179" s="185" t="str">
        <f>IF(ISERROR(VLOOKUP(B179,Tot_res!C:V,9,FALSE)),"",(VLOOKUP(B179,Tot_res!C:V,9,FALSE)))</f>
        <v/>
      </c>
      <c r="K179" s="185" t="str">
        <f>IF(ISERROR(VLOOKUP(B179,Tot_res!C:V,10,FALSE)),"",VLOOKUP(B179,Tot_res!C:V,10,FALSE))</f>
        <v/>
      </c>
      <c r="L179" s="185" t="str">
        <f>IF(ISERROR(VLOOKUP(B179,Tot_res!C:V,11,FALSE)),"",VLOOKUP(B179,Tot_res!C:V,11,FALSE))</f>
        <v/>
      </c>
      <c r="M179" s="185" t="str">
        <f>IF(ISERROR(VLOOKUP(B179,Tot_res!C:V,12,FALSE)),"",VLOOKUP(B179,Tot_res!C:V,12,FALSE))</f>
        <v/>
      </c>
      <c r="N179" s="185" t="str">
        <f>IF(ISERROR(VLOOKUP(B179,Tot_res!C:V,13,FALSE)),"",VLOOKUP(B179,Tot_res!C:V,13,FALSE))</f>
        <v/>
      </c>
      <c r="O179" s="185" t="str">
        <f>IF(ISERROR(VLOOKUP(B179,Tot_res!C:V,14,FALSE)),"",VLOOKUP(B179,Tot_res!C:V,14,FALSE))</f>
        <v/>
      </c>
      <c r="P179" s="185" t="str">
        <f>IF(ISERROR(VLOOKUP(B179,Tot_res!C:V,15,FALSE)),"",VLOOKUP(B179,Tot_res!C:V,15,FALSE))</f>
        <v/>
      </c>
      <c r="Q179" s="185" t="str">
        <f>IF(ISERROR(VLOOKUP(B179,Tot_res!C:V,16,FALSE)),"",VLOOKUP(B179,Tot_res!C:V,16,FALSE))</f>
        <v/>
      </c>
      <c r="R179" s="185" t="str">
        <f>IF(ISERROR(VLOOKUP(B179,Tot_res!C:V,17,FALSE)),"",VLOOKUP(B179,Tot_res!C:V,17,FALSE))</f>
        <v/>
      </c>
      <c r="S179" s="185" t="str">
        <f>IF(ISERROR(VLOOKUP(B179,Tot_res!C:V,18,FALSE)),"",VLOOKUP(B179,Tot_res!C:V,18,FALSE))</f>
        <v/>
      </c>
      <c r="T179" s="185" t="str">
        <f>IF(ISERROR(VLOOKUP(B179,Tot_res!C:V,19,FALSE)),"",VLOOKUP(B179,Tot_res!C:V,19,FALSE))</f>
        <v/>
      </c>
      <c r="U179" s="185" t="str">
        <f>IF(ISERROR(VLOOKUP(B179,Tot_res!C:V,20,FALSE)),"",VLOOKUP(B179,Tot_res!C:V,20,FALSE))</f>
        <v/>
      </c>
      <c r="V179" s="122">
        <f t="shared" si="37"/>
        <v>0</v>
      </c>
    </row>
    <row r="180" spans="1:22">
      <c r="A180" s="352"/>
      <c r="B180" s="115" t="s">
        <v>1106</v>
      </c>
      <c r="C180" s="331" t="str">
        <f>VLOOKUP(B180,Tot_res!C:D,2,FALSE)</f>
        <v>sanidad y consumo</v>
      </c>
      <c r="D180" s="185">
        <f>IF(ISERROR(VLOOKUP(B180,Tot_res!C:V,3,FALSE)),"",VLOOKUP(B180,Tot_res!C:V,3,FALSE))</f>
        <v>0</v>
      </c>
      <c r="E180" s="185">
        <f>IF(ISERROR(VLOOKUP(B180,Tot_res!C:V,4,FALSE)),"",VLOOKUP(B180,Tot_res!C:V,4,FALSE))</f>
        <v>0</v>
      </c>
      <c r="F180" s="185">
        <f>IF(ISERROR(VLOOKUP(B180,Tot_res!C:V,5,FALSE)),"",VLOOKUP(B180,Tot_res!C:V,5,FALSE))</f>
        <v>0</v>
      </c>
      <c r="G180" s="185">
        <f>IF(ISERROR(VLOOKUP(B180,Tot_res!C:V,6,FALSE)),"",VLOOKUP(B180,Tot_res!C:V,6,FALSE))</f>
        <v>0</v>
      </c>
      <c r="H180" s="185">
        <f>IF(ISERROR(VLOOKUP(B180,Tot_res!C:V,7,FALSE)),"",VLOOKUP(B180,Tot_res!C:V,7,FALSE))</f>
        <v>0</v>
      </c>
      <c r="I180" s="185">
        <f>IF(ISERROR(VLOOKUP(B180,Tot_res!C:V,8,FALSE)),"",VLOOKUP(B180,Tot_res!C:V,8,FALSE))</f>
        <v>0</v>
      </c>
      <c r="J180" s="185">
        <f>IF(ISERROR(VLOOKUP(B180,Tot_res!C:V,9,FALSE)),"",(VLOOKUP(B180,Tot_res!C:V,9,FALSE)))</f>
        <v>0</v>
      </c>
      <c r="K180" s="185">
        <f>IF(ISERROR(VLOOKUP(B180,Tot_res!C:V,10,FALSE)),"",VLOOKUP(B180,Tot_res!C:V,10,FALSE))</f>
        <v>0</v>
      </c>
      <c r="L180" s="185">
        <f>IF(ISERROR(VLOOKUP(B180,Tot_res!C:V,11,FALSE)),"",VLOOKUP(B180,Tot_res!C:V,11,FALSE))</f>
        <v>0</v>
      </c>
      <c r="M180" s="185">
        <f>IF(ISERROR(VLOOKUP(B180,Tot_res!C:V,12,FALSE)),"",VLOOKUP(B180,Tot_res!C:V,12,FALSE))</f>
        <v>0</v>
      </c>
      <c r="N180" s="185">
        <f>IF(ISERROR(VLOOKUP(B180,Tot_res!C:V,13,FALSE)),"",VLOOKUP(B180,Tot_res!C:V,13,FALSE))</f>
        <v>0</v>
      </c>
      <c r="O180" s="185">
        <f>IF(ISERROR(VLOOKUP(B180,Tot_res!C:V,14,FALSE)),"",VLOOKUP(B180,Tot_res!C:V,14,FALSE))</f>
        <v>0</v>
      </c>
      <c r="P180" s="185">
        <f>IF(ISERROR(VLOOKUP(B180,Tot_res!C:V,15,FALSE)),"",VLOOKUP(B180,Tot_res!C:V,15,FALSE))</f>
        <v>0</v>
      </c>
      <c r="Q180" s="185">
        <f>IF(ISERROR(VLOOKUP(B180,Tot_res!C:V,16,FALSE)),"",VLOOKUP(B180,Tot_res!C:V,16,FALSE))</f>
        <v>0</v>
      </c>
      <c r="R180" s="185">
        <f>IF(ISERROR(VLOOKUP(B180,Tot_res!C:V,17,FALSE)),"",VLOOKUP(B180,Tot_res!C:V,17,FALSE))</f>
        <v>-176.89002815638219</v>
      </c>
      <c r="S180" s="185">
        <f>IF(ISERROR(VLOOKUP(B180,Tot_res!C:V,18,FALSE)),"",VLOOKUP(B180,Tot_res!C:V,18,FALSE))</f>
        <v>-588.18811229163589</v>
      </c>
      <c r="T180" s="185">
        <f>IF(ISERROR(VLOOKUP(B180,Tot_res!C:V,19,FALSE)),"",VLOOKUP(B180,Tot_res!C:V,19,FALSE))</f>
        <v>0</v>
      </c>
      <c r="U180" s="185">
        <f>IF(ISERROR(VLOOKUP(B180,Tot_res!C:V,20,FALSE)),"",VLOOKUP(B180,Tot_res!C:V,20,FALSE))</f>
        <v>0</v>
      </c>
      <c r="V180" s="122">
        <f t="shared" si="37"/>
        <v>-765.07814044801808</v>
      </c>
    </row>
    <row r="181" spans="1:22">
      <c r="A181" s="352"/>
      <c r="B181" s="115" t="s">
        <v>1107</v>
      </c>
      <c r="C181" s="331" t="str">
        <f>VLOOKUP(B181,Tot_res!C:D,2,FALSE)</f>
        <v>Educación y formación</v>
      </c>
      <c r="D181" s="185">
        <f>IF(ISERROR(VLOOKUP(B181,Tot_res!C:V,3,FALSE)),"",VLOOKUP(B181,Tot_res!C:V,3,FALSE))</f>
        <v>0</v>
      </c>
      <c r="E181" s="185">
        <f>IF(ISERROR(VLOOKUP(B181,Tot_res!C:V,4,FALSE)),"",VLOOKUP(B181,Tot_res!C:V,4,FALSE))</f>
        <v>0</v>
      </c>
      <c r="F181" s="185">
        <f>IF(ISERROR(VLOOKUP(B181,Tot_res!C:V,5,FALSE)),"",VLOOKUP(B181,Tot_res!C:V,5,FALSE))</f>
        <v>0</v>
      </c>
      <c r="G181" s="185">
        <f>IF(ISERROR(VLOOKUP(B181,Tot_res!C:V,6,FALSE)),"",VLOOKUP(B181,Tot_res!C:V,6,FALSE))</f>
        <v>0</v>
      </c>
      <c r="H181" s="185">
        <f>IF(ISERROR(VLOOKUP(B181,Tot_res!C:V,7,FALSE)),"",VLOOKUP(B181,Tot_res!C:V,7,FALSE))</f>
        <v>0</v>
      </c>
      <c r="I181" s="185">
        <f>IF(ISERROR(VLOOKUP(B181,Tot_res!C:V,8,FALSE)),"",VLOOKUP(B181,Tot_res!C:V,8,FALSE))</f>
        <v>0</v>
      </c>
      <c r="J181" s="185">
        <f>IF(ISERROR(VLOOKUP(B181,Tot_res!C:V,9,FALSE)),"",(VLOOKUP(B181,Tot_res!C:V,9,FALSE)))</f>
        <v>0</v>
      </c>
      <c r="K181" s="185">
        <f>IF(ISERROR(VLOOKUP(B181,Tot_res!C:V,10,FALSE)),"",VLOOKUP(B181,Tot_res!C:V,10,FALSE))</f>
        <v>0</v>
      </c>
      <c r="L181" s="185">
        <f>IF(ISERROR(VLOOKUP(B181,Tot_res!C:V,11,FALSE)),"",VLOOKUP(B181,Tot_res!C:V,11,FALSE))</f>
        <v>0</v>
      </c>
      <c r="M181" s="185">
        <f>IF(ISERROR(VLOOKUP(B181,Tot_res!C:V,12,FALSE)),"",VLOOKUP(B181,Tot_res!C:V,12,FALSE))</f>
        <v>0</v>
      </c>
      <c r="N181" s="185">
        <f>IF(ISERROR(VLOOKUP(B181,Tot_res!C:V,13,FALSE)),"",VLOOKUP(B181,Tot_res!C:V,13,FALSE))</f>
        <v>0</v>
      </c>
      <c r="O181" s="185">
        <f>IF(ISERROR(VLOOKUP(B181,Tot_res!C:V,14,FALSE)),"",VLOOKUP(B181,Tot_res!C:V,14,FALSE))</f>
        <v>0</v>
      </c>
      <c r="P181" s="185">
        <f>IF(ISERROR(VLOOKUP(B181,Tot_res!C:V,15,FALSE)),"",VLOOKUP(B181,Tot_res!C:V,15,FALSE))</f>
        <v>0</v>
      </c>
      <c r="Q181" s="185">
        <f>IF(ISERROR(VLOOKUP(B181,Tot_res!C:V,16,FALSE)),"",VLOOKUP(B181,Tot_res!C:V,16,FALSE))</f>
        <v>0</v>
      </c>
      <c r="R181" s="185">
        <f>IF(ISERROR(VLOOKUP(B181,Tot_res!C:V,17,FALSE)),"",VLOOKUP(B181,Tot_res!C:V,17,FALSE))</f>
        <v>-3145.7666377381679</v>
      </c>
      <c r="S181" s="185">
        <f>IF(ISERROR(VLOOKUP(B181,Tot_res!C:V,18,FALSE)),"",VLOOKUP(B181,Tot_res!C:V,18,FALSE))</f>
        <v>-12272.772918283334</v>
      </c>
      <c r="T181" s="185">
        <f>IF(ISERROR(VLOOKUP(B181,Tot_res!C:V,19,FALSE)),"",VLOOKUP(B181,Tot_res!C:V,19,FALSE))</f>
        <v>0</v>
      </c>
      <c r="U181" s="185">
        <f>IF(ISERROR(VLOOKUP(B181,Tot_res!C:V,20,FALSE)),"",VLOOKUP(B181,Tot_res!C:V,20,FALSE))</f>
        <v>0</v>
      </c>
      <c r="V181" s="122">
        <f t="shared" si="37"/>
        <v>-15418.539556021502</v>
      </c>
    </row>
    <row r="182" spans="1:22">
      <c r="A182" s="352"/>
      <c r="B182" s="115" t="s">
        <v>1108</v>
      </c>
      <c r="C182" s="331" t="str">
        <f>VLOOKUP(B182,Tot_res!C:D,2,FALSE)</f>
        <v>Administración de Justicia</v>
      </c>
      <c r="D182" s="185">
        <f>IF(ISERROR(VLOOKUP(B182,Tot_res!C:V,3,FALSE)),"",VLOOKUP(B182,Tot_res!C:V,3,FALSE))</f>
        <v>0</v>
      </c>
      <c r="E182" s="185">
        <f>IF(ISERROR(VLOOKUP(B182,Tot_res!C:V,4,FALSE)),"",VLOOKUP(B182,Tot_res!C:V,4,FALSE))</f>
        <v>0</v>
      </c>
      <c r="F182" s="185">
        <f>IF(ISERROR(VLOOKUP(B182,Tot_res!C:V,5,FALSE)),"",VLOOKUP(B182,Tot_res!C:V,5,FALSE))</f>
        <v>0</v>
      </c>
      <c r="G182" s="185">
        <f>IF(ISERROR(VLOOKUP(B182,Tot_res!C:V,6,FALSE)),"",VLOOKUP(B182,Tot_res!C:V,6,FALSE))</f>
        <v>0</v>
      </c>
      <c r="H182" s="185">
        <f>IF(ISERROR(VLOOKUP(B182,Tot_res!C:V,7,FALSE)),"",VLOOKUP(B182,Tot_res!C:V,7,FALSE))</f>
        <v>0</v>
      </c>
      <c r="I182" s="185">
        <f>IF(ISERROR(VLOOKUP(B182,Tot_res!C:V,8,FALSE)),"",VLOOKUP(B182,Tot_res!C:V,8,FALSE))</f>
        <v>0</v>
      </c>
      <c r="J182" s="185">
        <f>IF(ISERROR(VLOOKUP(B182,Tot_res!C:V,9,FALSE)),"",(VLOOKUP(B182,Tot_res!C:V,9,FALSE)))</f>
        <v>0</v>
      </c>
      <c r="K182" s="185">
        <f>IF(ISERROR(VLOOKUP(B182,Tot_res!C:V,10,FALSE)),"",VLOOKUP(B182,Tot_res!C:V,10,FALSE))</f>
        <v>0</v>
      </c>
      <c r="L182" s="185">
        <f>IF(ISERROR(VLOOKUP(B182,Tot_res!C:V,11,FALSE)),"",VLOOKUP(B182,Tot_res!C:V,11,FALSE))</f>
        <v>0</v>
      </c>
      <c r="M182" s="185">
        <f>IF(ISERROR(VLOOKUP(B182,Tot_res!C:V,12,FALSE)),"",VLOOKUP(B182,Tot_res!C:V,12,FALSE))</f>
        <v>0</v>
      </c>
      <c r="N182" s="185">
        <f>IF(ISERROR(VLOOKUP(B182,Tot_res!C:V,13,FALSE)),"",VLOOKUP(B182,Tot_res!C:V,13,FALSE))</f>
        <v>0</v>
      </c>
      <c r="O182" s="185">
        <f>IF(ISERROR(VLOOKUP(B182,Tot_res!C:V,14,FALSE)),"",VLOOKUP(B182,Tot_res!C:V,14,FALSE))</f>
        <v>0</v>
      </c>
      <c r="P182" s="185">
        <f>IF(ISERROR(VLOOKUP(B182,Tot_res!C:V,15,FALSE)),"",VLOOKUP(B182,Tot_res!C:V,15,FALSE))</f>
        <v>0</v>
      </c>
      <c r="Q182" s="185">
        <f>IF(ISERROR(VLOOKUP(B182,Tot_res!C:V,16,FALSE)),"",VLOOKUP(B182,Tot_res!C:V,16,FALSE))</f>
        <v>0</v>
      </c>
      <c r="R182" s="185">
        <f>IF(ISERROR(VLOOKUP(B182,Tot_res!C:V,17,FALSE)),"",VLOOKUP(B182,Tot_res!C:V,17,FALSE))</f>
        <v>-21689.65688930211</v>
      </c>
      <c r="S182" s="185">
        <f>IF(ISERROR(VLOOKUP(B182,Tot_res!C:V,18,FALSE)),"",VLOOKUP(B182,Tot_res!C:V,18,FALSE))</f>
        <v>-73778.970357691447</v>
      </c>
      <c r="T182" s="185">
        <f>IF(ISERROR(VLOOKUP(B182,Tot_res!C:V,19,FALSE)),"",VLOOKUP(B182,Tot_res!C:V,19,FALSE))</f>
        <v>0</v>
      </c>
      <c r="U182" s="185">
        <f>IF(ISERROR(VLOOKUP(B182,Tot_res!C:V,20,FALSE)),"",VLOOKUP(B182,Tot_res!C:V,20,FALSE))</f>
        <v>0</v>
      </c>
      <c r="V182" s="122">
        <f t="shared" si="37"/>
        <v>-95468.627246993565</v>
      </c>
    </row>
    <row r="183" spans="1:22">
      <c r="A183" s="352"/>
      <c r="B183" s="115" t="s">
        <v>1109</v>
      </c>
      <c r="C183" s="331" t="str">
        <f>VLOOKUP(B183,Tot_res!C:D,2,FALSE)</f>
        <v>Seguridad Ciudadana y Vial</v>
      </c>
      <c r="D183" s="185">
        <f>IF(ISERROR(VLOOKUP(B183,Tot_res!C:V,3,FALSE)),"",VLOOKUP(B183,Tot_res!C:V,3,FALSE))</f>
        <v>0</v>
      </c>
      <c r="E183" s="185">
        <f>IF(ISERROR(VLOOKUP(B183,Tot_res!C:V,4,FALSE)),"",VLOOKUP(B183,Tot_res!C:V,4,FALSE))</f>
        <v>0</v>
      </c>
      <c r="F183" s="185">
        <f>IF(ISERROR(VLOOKUP(B183,Tot_res!C:V,5,FALSE)),"",VLOOKUP(B183,Tot_res!C:V,5,FALSE))</f>
        <v>0</v>
      </c>
      <c r="G183" s="185">
        <f>IF(ISERROR(VLOOKUP(B183,Tot_res!C:V,6,FALSE)),"",VLOOKUP(B183,Tot_res!C:V,6,FALSE))</f>
        <v>0</v>
      </c>
      <c r="H183" s="185">
        <f>IF(ISERROR(VLOOKUP(B183,Tot_res!C:V,7,FALSE)),"",VLOOKUP(B183,Tot_res!C:V,7,FALSE))</f>
        <v>0</v>
      </c>
      <c r="I183" s="185">
        <f>IF(ISERROR(VLOOKUP(B183,Tot_res!C:V,8,FALSE)),"",VLOOKUP(B183,Tot_res!C:V,8,FALSE))</f>
        <v>0</v>
      </c>
      <c r="J183" s="185">
        <f>IF(ISERROR(VLOOKUP(B183,Tot_res!C:V,9,FALSE)),"",(VLOOKUP(B183,Tot_res!C:V,9,FALSE)))</f>
        <v>0</v>
      </c>
      <c r="K183" s="185">
        <f>IF(ISERROR(VLOOKUP(B183,Tot_res!C:V,10,FALSE)),"",VLOOKUP(B183,Tot_res!C:V,10,FALSE))</f>
        <v>0</v>
      </c>
      <c r="L183" s="185">
        <f>IF(ISERROR(VLOOKUP(B183,Tot_res!C:V,11,FALSE)),"",VLOOKUP(B183,Tot_res!C:V,11,FALSE))</f>
        <v>0</v>
      </c>
      <c r="M183" s="185">
        <f>IF(ISERROR(VLOOKUP(B183,Tot_res!C:V,12,FALSE)),"",VLOOKUP(B183,Tot_res!C:V,12,FALSE))</f>
        <v>0</v>
      </c>
      <c r="N183" s="185">
        <f>IF(ISERROR(VLOOKUP(B183,Tot_res!C:V,13,FALSE)),"",VLOOKUP(B183,Tot_res!C:V,13,FALSE))</f>
        <v>0</v>
      </c>
      <c r="O183" s="185">
        <f>IF(ISERROR(VLOOKUP(B183,Tot_res!C:V,14,FALSE)),"",VLOOKUP(B183,Tot_res!C:V,14,FALSE))</f>
        <v>0</v>
      </c>
      <c r="P183" s="185">
        <f>IF(ISERROR(VLOOKUP(B183,Tot_res!C:V,15,FALSE)),"",VLOOKUP(B183,Tot_res!C:V,15,FALSE))</f>
        <v>0</v>
      </c>
      <c r="Q183" s="185">
        <f>IF(ISERROR(VLOOKUP(B183,Tot_res!C:V,16,FALSE)),"",VLOOKUP(B183,Tot_res!C:V,16,FALSE))</f>
        <v>0</v>
      </c>
      <c r="R183" s="185">
        <f>IF(ISERROR(VLOOKUP(B183,Tot_res!C:V,17,FALSE)),"",VLOOKUP(B183,Tot_res!C:V,17,FALSE))</f>
        <v>-71946.314143110721</v>
      </c>
      <c r="S183" s="185">
        <f>IF(ISERROR(VLOOKUP(B183,Tot_res!C:V,18,FALSE)),"",VLOOKUP(B183,Tot_res!C:V,18,FALSE))</f>
        <v>-525020.87235288613</v>
      </c>
      <c r="T183" s="185">
        <f>IF(ISERROR(VLOOKUP(B183,Tot_res!C:V,19,FALSE)),"",VLOOKUP(B183,Tot_res!C:V,19,FALSE))</f>
        <v>0</v>
      </c>
      <c r="U183" s="185">
        <f>IF(ISERROR(VLOOKUP(B183,Tot_res!C:V,20,FALSE)),"",VLOOKUP(B183,Tot_res!C:V,20,FALSE))</f>
        <v>0</v>
      </c>
      <c r="V183" s="122">
        <f t="shared" si="37"/>
        <v>-596967.1864959969</v>
      </c>
    </row>
    <row r="184" spans="1:22">
      <c r="A184" s="352"/>
      <c r="B184" s="115" t="s">
        <v>1110</v>
      </c>
      <c r="C184" s="331" t="str">
        <f>VLOOKUP(B184,Tot_res!C:D,2,FALSE)</f>
        <v>Ayudas a la vivienda</v>
      </c>
      <c r="D184" s="185">
        <f>IF(ISERROR(VLOOKUP(B184,Tot_res!C:V,3,FALSE)),"",VLOOKUP(B184,Tot_res!C:V,3,FALSE))</f>
        <v>0</v>
      </c>
      <c r="E184" s="185">
        <f>IF(ISERROR(VLOOKUP(B184,Tot_res!C:V,4,FALSE)),"",VLOOKUP(B184,Tot_res!C:V,4,FALSE))</f>
        <v>0</v>
      </c>
      <c r="F184" s="185">
        <f>IF(ISERROR(VLOOKUP(B184,Tot_res!C:V,5,FALSE)),"",VLOOKUP(B184,Tot_res!C:V,5,FALSE))</f>
        <v>0</v>
      </c>
      <c r="G184" s="185">
        <f>IF(ISERROR(VLOOKUP(B184,Tot_res!C:V,6,FALSE)),"",VLOOKUP(B184,Tot_res!C:V,6,FALSE))</f>
        <v>0</v>
      </c>
      <c r="H184" s="185">
        <f>IF(ISERROR(VLOOKUP(B184,Tot_res!C:V,7,FALSE)),"",VLOOKUP(B184,Tot_res!C:V,7,FALSE))</f>
        <v>0</v>
      </c>
      <c r="I184" s="185">
        <f>IF(ISERROR(VLOOKUP(B184,Tot_res!C:V,8,FALSE)),"",VLOOKUP(B184,Tot_res!C:V,8,FALSE))</f>
        <v>0</v>
      </c>
      <c r="J184" s="185">
        <f>IF(ISERROR(VLOOKUP(B184,Tot_res!C:V,9,FALSE)),"",(VLOOKUP(B184,Tot_res!C:V,9,FALSE)))</f>
        <v>0</v>
      </c>
      <c r="K184" s="185">
        <f>IF(ISERROR(VLOOKUP(B184,Tot_res!C:V,10,FALSE)),"",VLOOKUP(B184,Tot_res!C:V,10,FALSE))</f>
        <v>0</v>
      </c>
      <c r="L184" s="185">
        <f>IF(ISERROR(VLOOKUP(B184,Tot_res!C:V,11,FALSE)),"",VLOOKUP(B184,Tot_res!C:V,11,FALSE))</f>
        <v>0</v>
      </c>
      <c r="M184" s="185">
        <f>IF(ISERROR(VLOOKUP(B184,Tot_res!C:V,12,FALSE)),"",VLOOKUP(B184,Tot_res!C:V,12,FALSE))</f>
        <v>0</v>
      </c>
      <c r="N184" s="185">
        <f>IF(ISERROR(VLOOKUP(B184,Tot_res!C:V,13,FALSE)),"",VLOOKUP(B184,Tot_res!C:V,13,FALSE))</f>
        <v>0</v>
      </c>
      <c r="O184" s="185">
        <f>IF(ISERROR(VLOOKUP(B184,Tot_res!C:V,14,FALSE)),"",VLOOKUP(B184,Tot_res!C:V,14,FALSE))</f>
        <v>0</v>
      </c>
      <c r="P184" s="185">
        <f>IF(ISERROR(VLOOKUP(B184,Tot_res!C:V,15,FALSE)),"",VLOOKUP(B184,Tot_res!C:V,15,FALSE))</f>
        <v>0</v>
      </c>
      <c r="Q184" s="185">
        <f>IF(ISERROR(VLOOKUP(B184,Tot_res!C:V,16,FALSE)),"",VLOOKUP(B184,Tot_res!C:V,16,FALSE))</f>
        <v>0</v>
      </c>
      <c r="R184" s="185">
        <f>IF(ISERROR(VLOOKUP(B184,Tot_res!C:V,17,FALSE)),"",VLOOKUP(B184,Tot_res!C:V,17,FALSE))</f>
        <v>-10525.820313933367</v>
      </c>
      <c r="S184" s="185">
        <f>IF(ISERROR(VLOOKUP(B184,Tot_res!C:V,18,FALSE)),"",VLOOKUP(B184,Tot_res!C:V,18,FALSE))</f>
        <v>-37584.434063979788</v>
      </c>
      <c r="T184" s="185">
        <f>IF(ISERROR(VLOOKUP(B184,Tot_res!C:V,19,FALSE)),"",VLOOKUP(B184,Tot_res!C:V,19,FALSE))</f>
        <v>0</v>
      </c>
      <c r="U184" s="185">
        <f>IF(ISERROR(VLOOKUP(B184,Tot_res!C:V,20,FALSE)),"",VLOOKUP(B184,Tot_res!C:V,20,FALSE))</f>
        <v>0</v>
      </c>
      <c r="V184" s="122">
        <f t="shared" si="37"/>
        <v>-48110.254377913152</v>
      </c>
    </row>
    <row r="185" spans="1:22">
      <c r="A185" s="352"/>
      <c r="B185" s="115" t="s">
        <v>1111</v>
      </c>
      <c r="C185" s="331" t="str">
        <f>VLOOKUP(B185,Tot_res!C:D,2,FALSE)</f>
        <v>ajuste forales, ayudas al transporte colectivo urbano</v>
      </c>
      <c r="D185" s="185">
        <f>IF(ISERROR(VLOOKUP(B185,Tot_res!C:V,3,FALSE)),"",VLOOKUP(B185,Tot_res!C:V,3,FALSE))</f>
        <v>0</v>
      </c>
      <c r="E185" s="185">
        <f>IF(ISERROR(VLOOKUP(B185,Tot_res!C:V,4,FALSE)),"",VLOOKUP(B185,Tot_res!C:V,4,FALSE))</f>
        <v>0</v>
      </c>
      <c r="F185" s="185">
        <f>IF(ISERROR(VLOOKUP(B185,Tot_res!C:V,5,FALSE)),"",VLOOKUP(B185,Tot_res!C:V,5,FALSE))</f>
        <v>0</v>
      </c>
      <c r="G185" s="185">
        <f>IF(ISERROR(VLOOKUP(B185,Tot_res!C:V,6,FALSE)),"",VLOOKUP(B185,Tot_res!C:V,6,FALSE))</f>
        <v>0</v>
      </c>
      <c r="H185" s="185">
        <f>IF(ISERROR(VLOOKUP(B185,Tot_res!C:V,7,FALSE)),"",VLOOKUP(B185,Tot_res!C:V,7,FALSE))</f>
        <v>0</v>
      </c>
      <c r="I185" s="185">
        <f>IF(ISERROR(VLOOKUP(B185,Tot_res!C:V,8,FALSE)),"",VLOOKUP(B185,Tot_res!C:V,8,FALSE))</f>
        <v>0</v>
      </c>
      <c r="J185" s="185">
        <f>IF(ISERROR(VLOOKUP(B185,Tot_res!C:V,9,FALSE)),"",(VLOOKUP(B185,Tot_res!C:V,9,FALSE)))</f>
        <v>0</v>
      </c>
      <c r="K185" s="185">
        <f>IF(ISERROR(VLOOKUP(B185,Tot_res!C:V,10,FALSE)),"",VLOOKUP(B185,Tot_res!C:V,10,FALSE))</f>
        <v>0</v>
      </c>
      <c r="L185" s="185">
        <f>IF(ISERROR(VLOOKUP(B185,Tot_res!C:V,11,FALSE)),"",VLOOKUP(B185,Tot_res!C:V,11,FALSE))</f>
        <v>0</v>
      </c>
      <c r="M185" s="185">
        <f>IF(ISERROR(VLOOKUP(B185,Tot_res!C:V,12,FALSE)),"",VLOOKUP(B185,Tot_res!C:V,12,FALSE))</f>
        <v>0</v>
      </c>
      <c r="N185" s="185">
        <f>IF(ISERROR(VLOOKUP(B185,Tot_res!C:V,13,FALSE)),"",VLOOKUP(B185,Tot_res!C:V,13,FALSE))</f>
        <v>0</v>
      </c>
      <c r="O185" s="185">
        <f>IF(ISERROR(VLOOKUP(B185,Tot_res!C:V,14,FALSE)),"",VLOOKUP(B185,Tot_res!C:V,14,FALSE))</f>
        <v>0</v>
      </c>
      <c r="P185" s="185">
        <f>IF(ISERROR(VLOOKUP(B185,Tot_res!C:V,15,FALSE)),"",VLOOKUP(B185,Tot_res!C:V,15,FALSE))</f>
        <v>0</v>
      </c>
      <c r="Q185" s="185">
        <f>IF(ISERROR(VLOOKUP(B185,Tot_res!C:V,16,FALSE)),"",VLOOKUP(B185,Tot_res!C:V,16,FALSE))</f>
        <v>0</v>
      </c>
      <c r="R185" s="185">
        <f>IF(ISERROR(VLOOKUP(B185,Tot_res!C:V,17,FALSE)),"",VLOOKUP(B185,Tot_res!C:V,17,FALSE))</f>
        <v>-4351.1654260556852</v>
      </c>
      <c r="S185" s="185">
        <f>IF(ISERROR(VLOOKUP(B185,Tot_res!C:V,18,FALSE)),"",VLOOKUP(B185,Tot_res!C:V,18,FALSE))</f>
        <v>-14857.215940025832</v>
      </c>
      <c r="T185" s="185">
        <f>IF(ISERROR(VLOOKUP(B185,Tot_res!C:V,19,FALSE)),"",VLOOKUP(B185,Tot_res!C:V,19,FALSE))</f>
        <v>0</v>
      </c>
      <c r="U185" s="185">
        <f>IF(ISERROR(VLOOKUP(B185,Tot_res!C:V,20,FALSE)),"",VLOOKUP(B185,Tot_res!C:V,20,FALSE))</f>
        <v>0</v>
      </c>
      <c r="V185" s="122">
        <f t="shared" si="37"/>
        <v>-19208.381366081518</v>
      </c>
    </row>
    <row r="186" spans="1:22">
      <c r="A186" s="352"/>
      <c r="B186" s="115" t="s">
        <v>1112</v>
      </c>
      <c r="C186" s="331" t="str">
        <f>VLOOKUP(B186,Tot_res!C:D,2,FALSE)</f>
        <v>Conservación patrimonio artístico y cultural</v>
      </c>
      <c r="D186" s="185">
        <f>IF(ISERROR(VLOOKUP(B186,Tot_res!C:V,3,FALSE)),"",VLOOKUP(B186,Tot_res!C:V,3,FALSE))</f>
        <v>0</v>
      </c>
      <c r="E186" s="185">
        <f>IF(ISERROR(VLOOKUP(B186,Tot_res!C:V,4,FALSE)),"",VLOOKUP(B186,Tot_res!C:V,4,FALSE))</f>
        <v>0</v>
      </c>
      <c r="F186" s="185">
        <f>IF(ISERROR(VLOOKUP(B186,Tot_res!C:V,5,FALSE)),"",VLOOKUP(B186,Tot_res!C:V,5,FALSE))</f>
        <v>0</v>
      </c>
      <c r="G186" s="185">
        <f>IF(ISERROR(VLOOKUP(B186,Tot_res!C:V,6,FALSE)),"",VLOOKUP(B186,Tot_res!C:V,6,FALSE))</f>
        <v>0</v>
      </c>
      <c r="H186" s="185">
        <f>IF(ISERROR(VLOOKUP(B186,Tot_res!C:V,7,FALSE)),"",VLOOKUP(B186,Tot_res!C:V,7,FALSE))</f>
        <v>0</v>
      </c>
      <c r="I186" s="185">
        <f>IF(ISERROR(VLOOKUP(B186,Tot_res!C:V,8,FALSE)),"",VLOOKUP(B186,Tot_res!C:V,8,FALSE))</f>
        <v>0</v>
      </c>
      <c r="J186" s="185">
        <f>IF(ISERROR(VLOOKUP(B186,Tot_res!C:V,9,FALSE)),"",(VLOOKUP(B186,Tot_res!C:V,9,FALSE)))</f>
        <v>0</v>
      </c>
      <c r="K186" s="185">
        <f>IF(ISERROR(VLOOKUP(B186,Tot_res!C:V,10,FALSE)),"",VLOOKUP(B186,Tot_res!C:V,10,FALSE))</f>
        <v>0</v>
      </c>
      <c r="L186" s="185">
        <f>IF(ISERROR(VLOOKUP(B186,Tot_res!C:V,11,FALSE)),"",VLOOKUP(B186,Tot_res!C:V,11,FALSE))</f>
        <v>0</v>
      </c>
      <c r="M186" s="185">
        <f>IF(ISERROR(VLOOKUP(B186,Tot_res!C:V,12,FALSE)),"",VLOOKUP(B186,Tot_res!C:V,12,FALSE))</f>
        <v>0</v>
      </c>
      <c r="N186" s="185">
        <f>IF(ISERROR(VLOOKUP(B186,Tot_res!C:V,13,FALSE)),"",VLOOKUP(B186,Tot_res!C:V,13,FALSE))</f>
        <v>0</v>
      </c>
      <c r="O186" s="185">
        <f>IF(ISERROR(VLOOKUP(B186,Tot_res!C:V,14,FALSE)),"",VLOOKUP(B186,Tot_res!C:V,14,FALSE))</f>
        <v>0</v>
      </c>
      <c r="P186" s="185">
        <f>IF(ISERROR(VLOOKUP(B186,Tot_res!C:V,15,FALSE)),"",VLOOKUP(B186,Tot_res!C:V,15,FALSE))</f>
        <v>0</v>
      </c>
      <c r="Q186" s="185">
        <f>IF(ISERROR(VLOOKUP(B186,Tot_res!C:V,16,FALSE)),"",VLOOKUP(B186,Tot_res!C:V,16,FALSE))</f>
        <v>0</v>
      </c>
      <c r="R186" s="185">
        <f>IF(ISERROR(VLOOKUP(B186,Tot_res!C:V,17,FALSE)),"",VLOOKUP(B186,Tot_res!C:V,17,FALSE))</f>
        <v>-301.96423075426708</v>
      </c>
      <c r="S186" s="185">
        <f>IF(ISERROR(VLOOKUP(B186,Tot_res!C:V,18,FALSE)),"",VLOOKUP(B186,Tot_res!C:V,18,FALSE))</f>
        <v>-257.57233438361249</v>
      </c>
      <c r="T186" s="185">
        <f>IF(ISERROR(VLOOKUP(B186,Tot_res!C:V,19,FALSE)),"",VLOOKUP(B186,Tot_res!C:V,19,FALSE))</f>
        <v>0</v>
      </c>
      <c r="U186" s="185">
        <f>IF(ISERROR(VLOOKUP(B186,Tot_res!C:V,20,FALSE)),"",VLOOKUP(B186,Tot_res!C:V,20,FALSE))</f>
        <v>0</v>
      </c>
      <c r="V186" s="122">
        <f t="shared" si="37"/>
        <v>-559.53656513787951</v>
      </c>
    </row>
    <row r="187" spans="1:22">
      <c r="A187" s="352"/>
      <c r="B187" s="115" t="s">
        <v>1118</v>
      </c>
      <c r="C187" s="331" t="str">
        <f>VLOOKUP(B187,Tot_res!C:D,2,FALSE)</f>
        <v>Economía Social</v>
      </c>
      <c r="D187" s="185">
        <f>IF(ISERROR(VLOOKUP(B187,Tot_res!C:V,3,FALSE)),"",VLOOKUP(B187,Tot_res!C:V,3,FALSE))</f>
        <v>0</v>
      </c>
      <c r="E187" s="185">
        <f>IF(ISERROR(VLOOKUP(B187,Tot_res!C:V,4,FALSE)),"",VLOOKUP(B187,Tot_res!C:V,4,FALSE))</f>
        <v>0</v>
      </c>
      <c r="F187" s="185">
        <f>IF(ISERROR(VLOOKUP(B187,Tot_res!C:V,5,FALSE)),"",VLOOKUP(B187,Tot_res!C:V,5,FALSE))</f>
        <v>0</v>
      </c>
      <c r="G187" s="185">
        <f>IF(ISERROR(VLOOKUP(B187,Tot_res!C:V,6,FALSE)),"",VLOOKUP(B187,Tot_res!C:V,6,FALSE))</f>
        <v>0</v>
      </c>
      <c r="H187" s="185">
        <f>IF(ISERROR(VLOOKUP(B187,Tot_res!C:V,7,FALSE)),"",VLOOKUP(B187,Tot_res!C:V,7,FALSE))</f>
        <v>0</v>
      </c>
      <c r="I187" s="185">
        <f>IF(ISERROR(VLOOKUP(B187,Tot_res!C:V,8,FALSE)),"",VLOOKUP(B187,Tot_res!C:V,8,FALSE))</f>
        <v>0</v>
      </c>
      <c r="J187" s="185">
        <f>IF(ISERROR(VLOOKUP(B187,Tot_res!C:V,9,FALSE)),"",(VLOOKUP(B187,Tot_res!C:V,9,FALSE)))</f>
        <v>0</v>
      </c>
      <c r="K187" s="185">
        <f>IF(ISERROR(VLOOKUP(B187,Tot_res!C:V,10,FALSE)),"",VLOOKUP(B187,Tot_res!C:V,10,FALSE))</f>
        <v>0</v>
      </c>
      <c r="L187" s="185">
        <f>IF(ISERROR(VLOOKUP(B187,Tot_res!C:V,11,FALSE)),"",VLOOKUP(B187,Tot_res!C:V,11,FALSE))</f>
        <v>0</v>
      </c>
      <c r="M187" s="185">
        <f>IF(ISERROR(VLOOKUP(B187,Tot_res!C:V,12,FALSE)),"",VLOOKUP(B187,Tot_res!C:V,12,FALSE))</f>
        <v>0</v>
      </c>
      <c r="N187" s="185">
        <f>IF(ISERROR(VLOOKUP(B187,Tot_res!C:V,13,FALSE)),"",VLOOKUP(B187,Tot_res!C:V,13,FALSE))</f>
        <v>0</v>
      </c>
      <c r="O187" s="185">
        <f>IF(ISERROR(VLOOKUP(B187,Tot_res!C:V,14,FALSE)),"",VLOOKUP(B187,Tot_res!C:V,14,FALSE))</f>
        <v>0</v>
      </c>
      <c r="P187" s="185">
        <f>IF(ISERROR(VLOOKUP(B187,Tot_res!C:V,15,FALSE)),"",VLOOKUP(B187,Tot_res!C:V,15,FALSE))</f>
        <v>0</v>
      </c>
      <c r="Q187" s="185">
        <f>IF(ISERROR(VLOOKUP(B187,Tot_res!C:V,16,FALSE)),"",VLOOKUP(B187,Tot_res!C:V,16,FALSE))</f>
        <v>0</v>
      </c>
      <c r="R187" s="185">
        <f>IF(ISERROR(VLOOKUP(B187,Tot_res!C:V,17,FALSE)),"",VLOOKUP(B187,Tot_res!C:V,17,FALSE))</f>
        <v>-370.73574726755407</v>
      </c>
      <c r="S187" s="185">
        <f>IF(ISERROR(VLOOKUP(B187,Tot_res!C:V,18,FALSE)),"",VLOOKUP(B187,Tot_res!C:V,18,FALSE))</f>
        <v>-1266.8492097567487</v>
      </c>
      <c r="T187" s="185">
        <f>IF(ISERROR(VLOOKUP(B187,Tot_res!C:V,19,FALSE)),"",VLOOKUP(B187,Tot_res!C:V,19,FALSE))</f>
        <v>0</v>
      </c>
      <c r="U187" s="185">
        <f>IF(ISERROR(VLOOKUP(B187,Tot_res!C:V,20,FALSE)),"",VLOOKUP(B187,Tot_res!C:V,20,FALSE))</f>
        <v>0</v>
      </c>
      <c r="V187" s="122">
        <f t="shared" si="37"/>
        <v>-1637.5849570243026</v>
      </c>
    </row>
    <row r="188" spans="1:22">
      <c r="A188" s="352"/>
      <c r="B188" s="115" t="s">
        <v>1113</v>
      </c>
      <c r="C188" s="331" t="str">
        <f>VLOOKUP(B188,Tot_res!C:D,2,FALSE)</f>
        <v>Servicios Sociales</v>
      </c>
      <c r="D188" s="185">
        <f>IF(ISERROR(VLOOKUP(B188,Tot_res!C:V,3,FALSE)),"",VLOOKUP(B188,Tot_res!C:V,3,FALSE))</f>
        <v>0</v>
      </c>
      <c r="E188" s="185">
        <f>IF(ISERROR(VLOOKUP(B188,Tot_res!C:V,4,FALSE)),"",VLOOKUP(B188,Tot_res!C:V,4,FALSE))</f>
        <v>0</v>
      </c>
      <c r="F188" s="185">
        <f>IF(ISERROR(VLOOKUP(B188,Tot_res!C:V,5,FALSE)),"",VLOOKUP(B188,Tot_res!C:V,5,FALSE))</f>
        <v>0</v>
      </c>
      <c r="G188" s="185">
        <f>IF(ISERROR(VLOOKUP(B188,Tot_res!C:V,6,FALSE)),"",VLOOKUP(B188,Tot_res!C:V,6,FALSE))</f>
        <v>0</v>
      </c>
      <c r="H188" s="185">
        <f>IF(ISERROR(VLOOKUP(B188,Tot_res!C:V,7,FALSE)),"",VLOOKUP(B188,Tot_res!C:V,7,FALSE))</f>
        <v>0</v>
      </c>
      <c r="I188" s="185">
        <f>IF(ISERROR(VLOOKUP(B188,Tot_res!C:V,8,FALSE)),"",VLOOKUP(B188,Tot_res!C:V,8,FALSE))</f>
        <v>0</v>
      </c>
      <c r="J188" s="185">
        <f>IF(ISERROR(VLOOKUP(B188,Tot_res!C:V,9,FALSE)),"",(VLOOKUP(B188,Tot_res!C:V,9,FALSE)))</f>
        <v>0</v>
      </c>
      <c r="K188" s="185">
        <f>IF(ISERROR(VLOOKUP(B188,Tot_res!C:V,10,FALSE)),"",VLOOKUP(B188,Tot_res!C:V,10,FALSE))</f>
        <v>0</v>
      </c>
      <c r="L188" s="185">
        <f>IF(ISERROR(VLOOKUP(B188,Tot_res!C:V,11,FALSE)),"",VLOOKUP(B188,Tot_res!C:V,11,FALSE))</f>
        <v>0</v>
      </c>
      <c r="M188" s="185">
        <f>IF(ISERROR(VLOOKUP(B188,Tot_res!C:V,12,FALSE)),"",VLOOKUP(B188,Tot_res!C:V,12,FALSE))</f>
        <v>0</v>
      </c>
      <c r="N188" s="185">
        <f>IF(ISERROR(VLOOKUP(B188,Tot_res!C:V,13,FALSE)),"",VLOOKUP(B188,Tot_res!C:V,13,FALSE))</f>
        <v>0</v>
      </c>
      <c r="O188" s="185">
        <f>IF(ISERROR(VLOOKUP(B188,Tot_res!C:V,14,FALSE)),"",VLOOKUP(B188,Tot_res!C:V,14,FALSE))</f>
        <v>0</v>
      </c>
      <c r="P188" s="185">
        <f>IF(ISERROR(VLOOKUP(B188,Tot_res!C:V,15,FALSE)),"",VLOOKUP(B188,Tot_res!C:V,15,FALSE))</f>
        <v>0</v>
      </c>
      <c r="Q188" s="185">
        <f>IF(ISERROR(VLOOKUP(B188,Tot_res!C:V,16,FALSE)),"",VLOOKUP(B188,Tot_res!C:V,16,FALSE))</f>
        <v>0</v>
      </c>
      <c r="R188" s="185">
        <f>IF(ISERROR(VLOOKUP(B188,Tot_res!C:V,17,FALSE)),"",VLOOKUP(B188,Tot_res!C:V,17,FALSE))</f>
        <v>-2362.771031740519</v>
      </c>
      <c r="S188" s="185">
        <f>IF(ISERROR(VLOOKUP(B188,Tot_res!C:V,18,FALSE)),"",VLOOKUP(B188,Tot_res!C:V,18,FALSE))</f>
        <v>-6747.4047786972415</v>
      </c>
      <c r="T188" s="185">
        <f>IF(ISERROR(VLOOKUP(B188,Tot_res!C:V,19,FALSE)),"",VLOOKUP(B188,Tot_res!C:V,19,FALSE))</f>
        <v>0</v>
      </c>
      <c r="U188" s="185">
        <f>IF(ISERROR(VLOOKUP(B188,Tot_res!C:V,20,FALSE)),"",VLOOKUP(B188,Tot_res!C:V,20,FALSE))</f>
        <v>0</v>
      </c>
      <c r="V188" s="122">
        <f t="shared" si="37"/>
        <v>-9110.1758104377604</v>
      </c>
    </row>
    <row r="189" spans="1:22">
      <c r="A189" s="352"/>
      <c r="B189" s="115" t="s">
        <v>1114</v>
      </c>
      <c r="C189" s="331" t="str">
        <f>VLOOKUP(B189,Tot_res!C:D,2,FALSE)</f>
        <v>Fomento y gestiòn del empleo, incluyendo ISM</v>
      </c>
      <c r="D189" s="185">
        <f>IF(ISERROR(VLOOKUP(B189,Tot_res!C:V,3,FALSE)),"",VLOOKUP(B189,Tot_res!C:V,3,FALSE))</f>
        <v>0</v>
      </c>
      <c r="E189" s="185">
        <f>IF(ISERROR(VLOOKUP(B189,Tot_res!C:V,4,FALSE)),"",VLOOKUP(B189,Tot_res!C:V,4,FALSE))</f>
        <v>0</v>
      </c>
      <c r="F189" s="185">
        <f>IF(ISERROR(VLOOKUP(B189,Tot_res!C:V,5,FALSE)),"",VLOOKUP(B189,Tot_res!C:V,5,FALSE))</f>
        <v>0</v>
      </c>
      <c r="G189" s="185">
        <f>IF(ISERROR(VLOOKUP(B189,Tot_res!C:V,6,FALSE)),"",VLOOKUP(B189,Tot_res!C:V,6,FALSE))</f>
        <v>0</v>
      </c>
      <c r="H189" s="185">
        <f>IF(ISERROR(VLOOKUP(B189,Tot_res!C:V,7,FALSE)),"",VLOOKUP(B189,Tot_res!C:V,7,FALSE))</f>
        <v>0</v>
      </c>
      <c r="I189" s="185">
        <f>IF(ISERROR(VLOOKUP(B189,Tot_res!C:V,8,FALSE)),"",VLOOKUP(B189,Tot_res!C:V,8,FALSE))</f>
        <v>0</v>
      </c>
      <c r="J189" s="185">
        <f>IF(ISERROR(VLOOKUP(B189,Tot_res!C:V,9,FALSE)),"",(VLOOKUP(B189,Tot_res!C:V,9,FALSE)))</f>
        <v>0</v>
      </c>
      <c r="K189" s="185">
        <f>IF(ISERROR(VLOOKUP(B189,Tot_res!C:V,10,FALSE)),"",VLOOKUP(B189,Tot_res!C:V,10,FALSE))</f>
        <v>0</v>
      </c>
      <c r="L189" s="185">
        <f>IF(ISERROR(VLOOKUP(B189,Tot_res!C:V,11,FALSE)),"",VLOOKUP(B189,Tot_res!C:V,11,FALSE))</f>
        <v>0</v>
      </c>
      <c r="M189" s="185">
        <f>IF(ISERROR(VLOOKUP(B189,Tot_res!C:V,12,FALSE)),"",VLOOKUP(B189,Tot_res!C:V,12,FALSE))</f>
        <v>0</v>
      </c>
      <c r="N189" s="185">
        <f>IF(ISERROR(VLOOKUP(B189,Tot_res!C:V,13,FALSE)),"",VLOOKUP(B189,Tot_res!C:V,13,FALSE))</f>
        <v>0</v>
      </c>
      <c r="O189" s="185">
        <f>IF(ISERROR(VLOOKUP(B189,Tot_res!C:V,14,FALSE)),"",VLOOKUP(B189,Tot_res!C:V,14,FALSE))</f>
        <v>0</v>
      </c>
      <c r="P189" s="185">
        <f>IF(ISERROR(VLOOKUP(B189,Tot_res!C:V,15,FALSE)),"",VLOOKUP(B189,Tot_res!C:V,15,FALSE))</f>
        <v>0</v>
      </c>
      <c r="Q189" s="185">
        <f>IF(ISERROR(VLOOKUP(B189,Tot_res!C:V,16,FALSE)),"",VLOOKUP(B189,Tot_res!C:V,16,FALSE))</f>
        <v>0</v>
      </c>
      <c r="R189" s="185">
        <f>IF(ISERROR(VLOOKUP(B189,Tot_res!C:V,17,FALSE)),"",VLOOKUP(B189,Tot_res!C:V,17,FALSE))</f>
        <v>0</v>
      </c>
      <c r="S189" s="185">
        <f>IF(ISERROR(VLOOKUP(B189,Tot_res!C:V,18,FALSE)),"",VLOOKUP(B189,Tot_res!C:V,18,FALSE))</f>
        <v>-83865.578766954583</v>
      </c>
      <c r="T189" s="185">
        <f>IF(ISERROR(VLOOKUP(B189,Tot_res!C:V,19,FALSE)),"",VLOOKUP(B189,Tot_res!C:V,19,FALSE))</f>
        <v>0</v>
      </c>
      <c r="U189" s="185">
        <f>IF(ISERROR(VLOOKUP(B189,Tot_res!C:V,20,FALSE)),"",VLOOKUP(B189,Tot_res!C:V,20,FALSE))</f>
        <v>0</v>
      </c>
      <c r="V189" s="122">
        <f t="shared" si="37"/>
        <v>-83865.578766954583</v>
      </c>
    </row>
    <row r="190" spans="1:22">
      <c r="A190" s="352"/>
      <c r="B190" s="115" t="s">
        <v>1119</v>
      </c>
      <c r="C190" s="331" t="e">
        <f>VLOOKUP(B190,Tot_res!C:D,2,FALSE)</f>
        <v>#N/A</v>
      </c>
      <c r="D190" s="185" t="str">
        <f>IF(ISERROR(VLOOKUP(B190,Tot_res!C:V,3,FALSE)),"",VLOOKUP(B190,Tot_res!C:V,3,FALSE))</f>
        <v/>
      </c>
      <c r="E190" s="185" t="str">
        <f>IF(ISERROR(VLOOKUP(B190,Tot_res!C:V,4,FALSE)),"",VLOOKUP(B190,Tot_res!C:V,4,FALSE))</f>
        <v/>
      </c>
      <c r="F190" s="185" t="str">
        <f>IF(ISERROR(VLOOKUP(B190,Tot_res!C:V,5,FALSE)),"",VLOOKUP(B190,Tot_res!C:V,5,FALSE))</f>
        <v/>
      </c>
      <c r="G190" s="185" t="str">
        <f>IF(ISERROR(VLOOKUP(B190,Tot_res!C:V,6,FALSE)),"",VLOOKUP(B190,Tot_res!C:V,6,FALSE))</f>
        <v/>
      </c>
      <c r="H190" s="185" t="str">
        <f>IF(ISERROR(VLOOKUP(B190,Tot_res!C:V,7,FALSE)),"",VLOOKUP(B190,Tot_res!C:V,7,FALSE))</f>
        <v/>
      </c>
      <c r="I190" s="185" t="str">
        <f>IF(ISERROR(VLOOKUP(B190,Tot_res!C:V,8,FALSE)),"",VLOOKUP(B190,Tot_res!C:V,8,FALSE))</f>
        <v/>
      </c>
      <c r="J190" s="185" t="str">
        <f>IF(ISERROR(VLOOKUP(B190,Tot_res!C:V,9,FALSE)),"",(VLOOKUP(B190,Tot_res!C:V,9,FALSE)))</f>
        <v/>
      </c>
      <c r="K190" s="185" t="str">
        <f>IF(ISERROR(VLOOKUP(B190,Tot_res!C:V,10,FALSE)),"",VLOOKUP(B190,Tot_res!C:V,10,FALSE))</f>
        <v/>
      </c>
      <c r="L190" s="185" t="str">
        <f>IF(ISERROR(VLOOKUP(B190,Tot_res!C:V,11,FALSE)),"",VLOOKUP(B190,Tot_res!C:V,11,FALSE))</f>
        <v/>
      </c>
      <c r="M190" s="185" t="str">
        <f>IF(ISERROR(VLOOKUP(B190,Tot_res!C:V,12,FALSE)),"",VLOOKUP(B190,Tot_res!C:V,12,FALSE))</f>
        <v/>
      </c>
      <c r="N190" s="185" t="str">
        <f>IF(ISERROR(VLOOKUP(B190,Tot_res!C:V,13,FALSE)),"",VLOOKUP(B190,Tot_res!C:V,13,FALSE))</f>
        <v/>
      </c>
      <c r="O190" s="185" t="str">
        <f>IF(ISERROR(VLOOKUP(B190,Tot_res!C:V,14,FALSE)),"",VLOOKUP(B190,Tot_res!C:V,14,FALSE))</f>
        <v/>
      </c>
      <c r="P190" s="185" t="str">
        <f>IF(ISERROR(VLOOKUP(B190,Tot_res!C:V,15,FALSE)),"",VLOOKUP(B190,Tot_res!C:V,15,FALSE))</f>
        <v/>
      </c>
      <c r="Q190" s="185" t="str">
        <f>IF(ISERROR(VLOOKUP(B190,Tot_res!C:V,16,FALSE)),"",VLOOKUP(B190,Tot_res!C:V,16,FALSE))</f>
        <v/>
      </c>
      <c r="R190" s="185" t="str">
        <f>IF(ISERROR(VLOOKUP(B190,Tot_res!C:V,17,FALSE)),"",VLOOKUP(B190,Tot_res!C:V,17,FALSE))</f>
        <v/>
      </c>
      <c r="S190" s="185" t="str">
        <f>IF(ISERROR(VLOOKUP(B190,Tot_res!C:V,18,FALSE)),"",VLOOKUP(B190,Tot_res!C:V,18,FALSE))</f>
        <v/>
      </c>
      <c r="T190" s="185" t="str">
        <f>IF(ISERROR(VLOOKUP(B190,Tot_res!C:V,19,FALSE)),"",VLOOKUP(B190,Tot_res!C:V,19,FALSE))</f>
        <v/>
      </c>
      <c r="U190" s="185" t="str">
        <f>IF(ISERROR(VLOOKUP(B190,Tot_res!C:V,20,FALSE)),"",VLOOKUP(B190,Tot_res!C:V,20,FALSE))</f>
        <v/>
      </c>
      <c r="V190" s="122">
        <f t="shared" si="37"/>
        <v>0</v>
      </c>
    </row>
    <row r="191" spans="1:22">
      <c r="A191" s="352"/>
      <c r="B191" s="115" t="s">
        <v>1115</v>
      </c>
      <c r="C191" s="331" t="str">
        <f>VLOOKUP(B191,Tot_res!C:D,2,FALSE)</f>
        <v>Agricultura</v>
      </c>
      <c r="D191" s="185">
        <f>IF(ISERROR(VLOOKUP(B191,Tot_res!C:V,3,FALSE)),"",VLOOKUP(B191,Tot_res!C:V,3,FALSE))</f>
        <v>0</v>
      </c>
      <c r="E191" s="185">
        <f>IF(ISERROR(VLOOKUP(B191,Tot_res!C:V,4,FALSE)),"",VLOOKUP(B191,Tot_res!C:V,4,FALSE))</f>
        <v>0</v>
      </c>
      <c r="F191" s="185">
        <f>IF(ISERROR(VLOOKUP(B191,Tot_res!C:V,5,FALSE)),"",VLOOKUP(B191,Tot_res!C:V,5,FALSE))</f>
        <v>0</v>
      </c>
      <c r="G191" s="185">
        <f>IF(ISERROR(VLOOKUP(B191,Tot_res!C:V,6,FALSE)),"",VLOOKUP(B191,Tot_res!C:V,6,FALSE))</f>
        <v>0</v>
      </c>
      <c r="H191" s="185">
        <f>IF(ISERROR(VLOOKUP(B191,Tot_res!C:V,7,FALSE)),"",VLOOKUP(B191,Tot_res!C:V,7,FALSE))</f>
        <v>0</v>
      </c>
      <c r="I191" s="185">
        <f>IF(ISERROR(VLOOKUP(B191,Tot_res!C:V,8,FALSE)),"",VLOOKUP(B191,Tot_res!C:V,8,FALSE))</f>
        <v>0</v>
      </c>
      <c r="J191" s="185">
        <f>IF(ISERROR(VLOOKUP(B191,Tot_res!C:V,9,FALSE)),"",(VLOOKUP(B191,Tot_res!C:V,9,FALSE)))</f>
        <v>0</v>
      </c>
      <c r="K191" s="185">
        <f>IF(ISERROR(VLOOKUP(B191,Tot_res!C:V,10,FALSE)),"",VLOOKUP(B191,Tot_res!C:V,10,FALSE))</f>
        <v>0</v>
      </c>
      <c r="L191" s="185">
        <f>IF(ISERROR(VLOOKUP(B191,Tot_res!C:V,11,FALSE)),"",VLOOKUP(B191,Tot_res!C:V,11,FALSE))</f>
        <v>0</v>
      </c>
      <c r="M191" s="185">
        <f>IF(ISERROR(VLOOKUP(B191,Tot_res!C:V,12,FALSE)),"",VLOOKUP(B191,Tot_res!C:V,12,FALSE))</f>
        <v>0</v>
      </c>
      <c r="N191" s="185">
        <f>IF(ISERROR(VLOOKUP(B191,Tot_res!C:V,13,FALSE)),"",VLOOKUP(B191,Tot_res!C:V,13,FALSE))</f>
        <v>0</v>
      </c>
      <c r="O191" s="185">
        <f>IF(ISERROR(VLOOKUP(B191,Tot_res!C:V,14,FALSE)),"",VLOOKUP(B191,Tot_res!C:V,14,FALSE))</f>
        <v>0</v>
      </c>
      <c r="P191" s="185">
        <f>IF(ISERROR(VLOOKUP(B191,Tot_res!C:V,15,FALSE)),"",VLOOKUP(B191,Tot_res!C:V,15,FALSE))</f>
        <v>0</v>
      </c>
      <c r="Q191" s="185">
        <f>IF(ISERROR(VLOOKUP(B191,Tot_res!C:V,16,FALSE)),"",VLOOKUP(B191,Tot_res!C:V,16,FALSE))</f>
        <v>0</v>
      </c>
      <c r="R191" s="185">
        <f>IF(ISERROR(VLOOKUP(B191,Tot_res!C:V,17,FALSE)),"",VLOOKUP(B191,Tot_res!C:V,17,FALSE))</f>
        <v>-737.93951080673787</v>
      </c>
      <c r="S191" s="185">
        <f>IF(ISERROR(VLOOKUP(B191,Tot_res!C:V,18,FALSE)),"",VLOOKUP(B191,Tot_res!C:V,18,FALSE))</f>
        <v>-4832.31109101948</v>
      </c>
      <c r="T191" s="185">
        <f>IF(ISERROR(VLOOKUP(B191,Tot_res!C:V,19,FALSE)),"",VLOOKUP(B191,Tot_res!C:V,19,FALSE))</f>
        <v>0</v>
      </c>
      <c r="U191" s="185">
        <f>IF(ISERROR(VLOOKUP(B191,Tot_res!C:V,20,FALSE)),"",VLOOKUP(B191,Tot_res!C:V,20,FALSE))</f>
        <v>0</v>
      </c>
      <c r="V191" s="122">
        <f t="shared" si="37"/>
        <v>-5570.2506018262175</v>
      </c>
    </row>
    <row r="192" spans="1:22">
      <c r="A192" s="352"/>
      <c r="B192" s="115" t="s">
        <v>1120</v>
      </c>
      <c r="C192" s="331" t="e">
        <f>VLOOKUP(B192,Tot_res!C:D,2,FALSE)</f>
        <v>#N/A</v>
      </c>
      <c r="D192" s="185" t="str">
        <f>IF(ISERROR(VLOOKUP(B192,Tot_res!C:V,3,FALSE)),"",VLOOKUP(B192,Tot_res!C:V,3,FALSE))</f>
        <v/>
      </c>
      <c r="E192" s="185" t="str">
        <f>IF(ISERROR(VLOOKUP(B192,Tot_res!C:V,4,FALSE)),"",VLOOKUP(B192,Tot_res!C:V,4,FALSE))</f>
        <v/>
      </c>
      <c r="F192" s="185" t="str">
        <f>IF(ISERROR(VLOOKUP(B192,Tot_res!C:V,5,FALSE)),"",VLOOKUP(B192,Tot_res!C:V,5,FALSE))</f>
        <v/>
      </c>
      <c r="G192" s="185" t="str">
        <f>IF(ISERROR(VLOOKUP(B192,Tot_res!C:V,6,FALSE)),"",VLOOKUP(B192,Tot_res!C:V,6,FALSE))</f>
        <v/>
      </c>
      <c r="H192" s="185" t="str">
        <f>IF(ISERROR(VLOOKUP(B192,Tot_res!C:V,7,FALSE)),"",VLOOKUP(B192,Tot_res!C:V,7,FALSE))</f>
        <v/>
      </c>
      <c r="I192" s="185" t="str">
        <f>IF(ISERROR(VLOOKUP(B192,Tot_res!C:V,8,FALSE)),"",VLOOKUP(B192,Tot_res!C:V,8,FALSE))</f>
        <v/>
      </c>
      <c r="J192" s="185" t="str">
        <f>IF(ISERROR(VLOOKUP(B192,Tot_res!C:V,9,FALSE)),"",(VLOOKUP(B192,Tot_res!C:V,9,FALSE)))</f>
        <v/>
      </c>
      <c r="K192" s="185" t="str">
        <f>IF(ISERROR(VLOOKUP(B192,Tot_res!C:V,10,FALSE)),"",VLOOKUP(B192,Tot_res!C:V,10,FALSE))</f>
        <v/>
      </c>
      <c r="L192" s="185" t="str">
        <f>IF(ISERROR(VLOOKUP(B192,Tot_res!C:V,11,FALSE)),"",VLOOKUP(B192,Tot_res!C:V,11,FALSE))</f>
        <v/>
      </c>
      <c r="M192" s="185" t="str">
        <f>IF(ISERROR(VLOOKUP(B192,Tot_res!C:V,12,FALSE)),"",VLOOKUP(B192,Tot_res!C:V,12,FALSE))</f>
        <v/>
      </c>
      <c r="N192" s="185" t="str">
        <f>IF(ISERROR(VLOOKUP(B192,Tot_res!C:V,13,FALSE)),"",VLOOKUP(B192,Tot_res!C:V,13,FALSE))</f>
        <v/>
      </c>
      <c r="O192" s="185" t="str">
        <f>IF(ISERROR(VLOOKUP(B192,Tot_res!C:V,14,FALSE)),"",VLOOKUP(B192,Tot_res!C:V,14,FALSE))</f>
        <v/>
      </c>
      <c r="P192" s="185" t="str">
        <f>IF(ISERROR(VLOOKUP(B192,Tot_res!C:V,15,FALSE)),"",VLOOKUP(B192,Tot_res!C:V,15,FALSE))</f>
        <v/>
      </c>
      <c r="Q192" s="185" t="str">
        <f>IF(ISERROR(VLOOKUP(B192,Tot_res!C:V,16,FALSE)),"",VLOOKUP(B192,Tot_res!C:V,16,FALSE))</f>
        <v/>
      </c>
      <c r="R192" s="185" t="str">
        <f>IF(ISERROR(VLOOKUP(B192,Tot_res!C:V,17,FALSE)),"",VLOOKUP(B192,Tot_res!C:V,17,FALSE))</f>
        <v/>
      </c>
      <c r="S192" s="185" t="str">
        <f>IF(ISERROR(VLOOKUP(B192,Tot_res!C:V,18,FALSE)),"",VLOOKUP(B192,Tot_res!C:V,18,FALSE))</f>
        <v/>
      </c>
      <c r="T192" s="185" t="str">
        <f>IF(ISERROR(VLOOKUP(B192,Tot_res!C:V,19,FALSE)),"",VLOOKUP(B192,Tot_res!C:V,19,FALSE))</f>
        <v/>
      </c>
      <c r="U192" s="185" t="str">
        <f>IF(ISERROR(VLOOKUP(B192,Tot_res!C:V,20,FALSE)),"",VLOOKUP(B192,Tot_res!C:V,20,FALSE))</f>
        <v/>
      </c>
      <c r="V192" s="122">
        <f t="shared" si="37"/>
        <v>0</v>
      </c>
    </row>
    <row r="193" spans="1:28">
      <c r="A193" s="352"/>
      <c r="B193" s="115" t="s">
        <v>1116</v>
      </c>
      <c r="C193" s="331" t="str">
        <f>VLOOKUP(B193,Tot_res!C:D,2,FALSE)</f>
        <v>Turismo</v>
      </c>
      <c r="D193" s="185">
        <f>IF(ISERROR(VLOOKUP(B193,Tot_res!C:V,3,FALSE)),"",VLOOKUP(B193,Tot_res!C:V,3,FALSE))</f>
        <v>0</v>
      </c>
      <c r="E193" s="185">
        <f>IF(ISERROR(VLOOKUP(B193,Tot_res!C:V,4,FALSE)),"",VLOOKUP(B193,Tot_res!C:V,4,FALSE))</f>
        <v>0</v>
      </c>
      <c r="F193" s="185">
        <f>IF(ISERROR(VLOOKUP(B193,Tot_res!C:V,5,FALSE)),"",VLOOKUP(B193,Tot_res!C:V,5,FALSE))</f>
        <v>0</v>
      </c>
      <c r="G193" s="185">
        <f>IF(ISERROR(VLOOKUP(B193,Tot_res!C:V,6,FALSE)),"",VLOOKUP(B193,Tot_res!C:V,6,FALSE))</f>
        <v>0</v>
      </c>
      <c r="H193" s="185">
        <f>IF(ISERROR(VLOOKUP(B193,Tot_res!C:V,7,FALSE)),"",VLOOKUP(B193,Tot_res!C:V,7,FALSE))</f>
        <v>0</v>
      </c>
      <c r="I193" s="185">
        <f>IF(ISERROR(VLOOKUP(B193,Tot_res!C:V,8,FALSE)),"",VLOOKUP(B193,Tot_res!C:V,8,FALSE))</f>
        <v>0</v>
      </c>
      <c r="J193" s="185">
        <f>IF(ISERROR(VLOOKUP(B193,Tot_res!C:V,9,FALSE)),"",(VLOOKUP(B193,Tot_res!C:V,9,FALSE)))</f>
        <v>0</v>
      </c>
      <c r="K193" s="185">
        <f>IF(ISERROR(VLOOKUP(B193,Tot_res!C:V,10,FALSE)),"",VLOOKUP(B193,Tot_res!C:V,10,FALSE))</f>
        <v>0</v>
      </c>
      <c r="L193" s="185">
        <f>IF(ISERROR(VLOOKUP(B193,Tot_res!C:V,11,FALSE)),"",VLOOKUP(B193,Tot_res!C:V,11,FALSE))</f>
        <v>0</v>
      </c>
      <c r="M193" s="185">
        <f>IF(ISERROR(VLOOKUP(B193,Tot_res!C:V,12,FALSE)),"",VLOOKUP(B193,Tot_res!C:V,12,FALSE))</f>
        <v>0</v>
      </c>
      <c r="N193" s="185">
        <f>IF(ISERROR(VLOOKUP(B193,Tot_res!C:V,13,FALSE)),"",VLOOKUP(B193,Tot_res!C:V,13,FALSE))</f>
        <v>0</v>
      </c>
      <c r="O193" s="185">
        <f>IF(ISERROR(VLOOKUP(B193,Tot_res!C:V,14,FALSE)),"",VLOOKUP(B193,Tot_res!C:V,14,FALSE))</f>
        <v>0</v>
      </c>
      <c r="P193" s="185">
        <f>IF(ISERROR(VLOOKUP(B193,Tot_res!C:V,15,FALSE)),"",VLOOKUP(B193,Tot_res!C:V,15,FALSE))</f>
        <v>0</v>
      </c>
      <c r="Q193" s="185">
        <f>IF(ISERROR(VLOOKUP(B193,Tot_res!C:V,16,FALSE)),"",VLOOKUP(B193,Tot_res!C:V,16,FALSE))</f>
        <v>0</v>
      </c>
      <c r="R193" s="185">
        <f>IF(ISERROR(VLOOKUP(B193,Tot_res!C:V,17,FALSE)),"",VLOOKUP(B193,Tot_res!C:V,17,FALSE))</f>
        <v>-93.614845847752392</v>
      </c>
      <c r="S193" s="185">
        <f>IF(ISERROR(VLOOKUP(B193,Tot_res!C:V,18,FALSE)),"",VLOOKUP(B193,Tot_res!C:V,18,FALSE))</f>
        <v>-319.89333199675565</v>
      </c>
      <c r="T193" s="185">
        <f>IF(ISERROR(VLOOKUP(B193,Tot_res!C:V,19,FALSE)),"",VLOOKUP(B193,Tot_res!C:V,19,FALSE))</f>
        <v>0</v>
      </c>
      <c r="U193" s="185">
        <f>IF(ISERROR(VLOOKUP(B193,Tot_res!C:V,20,FALSE)),"",VLOOKUP(B193,Tot_res!C:V,20,FALSE))</f>
        <v>0</v>
      </c>
      <c r="V193" s="122">
        <f t="shared" si="37"/>
        <v>-413.50817784450805</v>
      </c>
    </row>
    <row r="194" spans="1:28">
      <c r="A194" s="352"/>
      <c r="B194" s="115"/>
      <c r="C194" s="141"/>
      <c r="D194" s="105"/>
      <c r="E194" s="105"/>
      <c r="F194" s="105"/>
      <c r="G194" s="105"/>
      <c r="H194" s="105"/>
      <c r="I194" s="105"/>
      <c r="J194" s="105"/>
      <c r="K194" s="105"/>
      <c r="L194" s="105"/>
      <c r="M194" s="105"/>
      <c r="N194" s="105"/>
      <c r="O194" s="105"/>
      <c r="P194" s="105"/>
      <c r="Q194" s="105"/>
      <c r="R194" s="105"/>
      <c r="S194" s="105"/>
      <c r="T194" s="105"/>
      <c r="U194" s="105"/>
      <c r="V194" s="122"/>
    </row>
    <row r="195" spans="1:28" s="103" customFormat="1" ht="13.5">
      <c r="A195" s="352"/>
      <c r="B195" s="115"/>
      <c r="C195" s="117" t="s">
        <v>57</v>
      </c>
      <c r="D195" s="114">
        <f t="shared" ref="D195:V195" si="38">D108+D126+D129+D148+D164+D169</f>
        <v>16087887.942672832</v>
      </c>
      <c r="E195" s="114">
        <f t="shared" si="38"/>
        <v>3010139.2183412411</v>
      </c>
      <c r="F195" s="114">
        <f t="shared" si="38"/>
        <v>2375689.7873795368</v>
      </c>
      <c r="G195" s="114">
        <f t="shared" si="38"/>
        <v>2290375.6424425025</v>
      </c>
      <c r="H195" s="114">
        <f t="shared" si="38"/>
        <v>4719088.1711857785</v>
      </c>
      <c r="I195" s="114">
        <f t="shared" si="38"/>
        <v>1477747.0406190846</v>
      </c>
      <c r="J195" s="114">
        <f t="shared" si="38"/>
        <v>5811442.985639195</v>
      </c>
      <c r="K195" s="114">
        <f t="shared" si="38"/>
        <v>4404130.5788138462</v>
      </c>
      <c r="L195" s="114">
        <f t="shared" si="38"/>
        <v>14443361.251093598</v>
      </c>
      <c r="M195" s="114">
        <f t="shared" si="38"/>
        <v>8975999.6766008381</v>
      </c>
      <c r="N195" s="114">
        <f t="shared" si="38"/>
        <v>2635234.7375345267</v>
      </c>
      <c r="O195" s="114">
        <f t="shared" si="38"/>
        <v>6253931.6504978919</v>
      </c>
      <c r="P195" s="114">
        <f t="shared" si="38"/>
        <v>12136448.730129238</v>
      </c>
      <c r="Q195" s="114">
        <f t="shared" si="38"/>
        <v>2698862.8178471224</v>
      </c>
      <c r="R195" s="114">
        <f t="shared" si="38"/>
        <v>2391967.8360032272</v>
      </c>
      <c r="S195" s="114">
        <f t="shared" si="38"/>
        <v>10188704.637513464</v>
      </c>
      <c r="T195" s="114">
        <f t="shared" si="38"/>
        <v>769348.5268714308</v>
      </c>
      <c r="U195" s="114">
        <f t="shared" si="38"/>
        <v>689167.85863156826</v>
      </c>
      <c r="V195" s="126">
        <f t="shared" si="38"/>
        <v>101359529.08981693</v>
      </c>
      <c r="W195" s="102"/>
      <c r="X195" s="102"/>
      <c r="Y195" s="102"/>
      <c r="Z195" s="102"/>
      <c r="AA195" s="102"/>
      <c r="AB195" s="102"/>
    </row>
    <row r="196" spans="1:28">
      <c r="A196" s="352"/>
      <c r="B196" s="115"/>
      <c r="C196" s="140"/>
      <c r="D196" s="105"/>
      <c r="E196" s="105"/>
      <c r="F196" s="105"/>
      <c r="G196" s="105"/>
      <c r="H196" s="105"/>
      <c r="I196" s="105"/>
      <c r="J196" s="105"/>
      <c r="K196" s="105"/>
      <c r="L196" s="105"/>
      <c r="M196" s="105"/>
      <c r="N196" s="105"/>
      <c r="O196" s="105"/>
      <c r="P196" s="105"/>
      <c r="Q196" s="105"/>
      <c r="R196" s="105"/>
      <c r="S196" s="105"/>
      <c r="T196" s="105"/>
      <c r="U196" s="105"/>
      <c r="V196" s="143"/>
      <c r="W196" s="103"/>
      <c r="X196" s="103"/>
      <c r="Y196" s="103"/>
      <c r="Z196" s="103"/>
      <c r="AA196" s="103"/>
      <c r="AB196" s="103"/>
    </row>
    <row r="197" spans="1:28" ht="13.5">
      <c r="A197" s="352"/>
      <c r="B197" s="137"/>
      <c r="C197" s="117" t="s">
        <v>29</v>
      </c>
      <c r="D197" s="114">
        <f t="shared" ref="D197:V197" si="39">SUM(D198:D211)</f>
        <v>604536.89535857644</v>
      </c>
      <c r="E197" s="114">
        <f t="shared" si="39"/>
        <v>128117.41998660399</v>
      </c>
      <c r="F197" s="114">
        <f t="shared" si="39"/>
        <v>97201.002884073954</v>
      </c>
      <c r="G197" s="114">
        <f t="shared" si="39"/>
        <v>198399.97780706559</v>
      </c>
      <c r="H197" s="114">
        <f t="shared" si="39"/>
        <v>101702.38224806225</v>
      </c>
      <c r="I197" s="114">
        <f t="shared" si="39"/>
        <v>39005.432240583119</v>
      </c>
      <c r="J197" s="114">
        <f t="shared" si="39"/>
        <v>160557.18853102336</v>
      </c>
      <c r="K197" s="114">
        <f t="shared" si="39"/>
        <v>21234.380673775857</v>
      </c>
      <c r="L197" s="114">
        <f t="shared" si="39"/>
        <v>878180.40008242661</v>
      </c>
      <c r="M197" s="114">
        <f t="shared" si="39"/>
        <v>540767.65890450694</v>
      </c>
      <c r="N197" s="114">
        <f t="shared" si="39"/>
        <v>164773.42396315117</v>
      </c>
      <c r="O197" s="114">
        <f t="shared" si="39"/>
        <v>259670.52925467002</v>
      </c>
      <c r="P197" s="114">
        <f t="shared" si="39"/>
        <v>-476780.92486095818</v>
      </c>
      <c r="Q197" s="114">
        <f t="shared" si="39"/>
        <v>172521.51646998938</v>
      </c>
      <c r="R197" s="114">
        <f t="shared" si="39"/>
        <v>-434848.70488600049</v>
      </c>
      <c r="S197" s="114">
        <f t="shared" si="39"/>
        <v>-889125.51423683669</v>
      </c>
      <c r="T197" s="114">
        <f t="shared" si="39"/>
        <v>19749.708548922608</v>
      </c>
      <c r="U197" s="114">
        <f t="shared" si="39"/>
        <v>0</v>
      </c>
      <c r="V197" s="126">
        <f t="shared" si="39"/>
        <v>1585662.7729696366</v>
      </c>
    </row>
    <row r="198" spans="1:28">
      <c r="A198" s="351" t="str">
        <f>IF(B198="","",(IF(ISERROR(MATCH(B198,Tot_res!C:C,0)),"Eliminar!!!","")))</f>
        <v/>
      </c>
      <c r="B198" s="115" t="s">
        <v>963</v>
      </c>
      <c r="C198" s="329" t="str">
        <f>VLOOKUP(B198,Tot_res!C:D,2,FALSE)</f>
        <v>Participación CCAARC en IRPF, sobreesfuerzo fiscal regional</v>
      </c>
      <c r="D198" s="179">
        <f>VLOOKUP(B198,Tot_res!C:V,3,FALSE)</f>
        <v>12734.241309700068</v>
      </c>
      <c r="E198" s="179">
        <f>VLOOKUP(B198,Tot_res!C:V,4,FALSE)</f>
        <v>-5492.3082503965124</v>
      </c>
      <c r="F198" s="179">
        <f>VLOOKUP(B198,Tot_res!C:V,5,FALSE)</f>
        <v>-746.35508457350079</v>
      </c>
      <c r="G198" s="179">
        <f>VLOOKUP(B198,Tot_res!C:V,6,FALSE)</f>
        <v>-5109.2470425998326</v>
      </c>
      <c r="H198" s="179">
        <f>VLOOKUP(B198,Tot_res!C:V,7,FALSE)</f>
        <v>-31928.43132565706</v>
      </c>
      <c r="I198" s="179">
        <f>VLOOKUP(B198,Tot_res!C:V,8,FALSE)</f>
        <v>-20659.037132512836</v>
      </c>
      <c r="J198" s="179">
        <f>VLOOKUP(B198,Tot_res!C:V,9,FALSE)</f>
        <v>-33446.295895299874</v>
      </c>
      <c r="K198" s="179">
        <f>VLOOKUP(B198,Tot_res!C:V,10,FALSE)</f>
        <v>-56239.189463270828</v>
      </c>
      <c r="L198" s="179">
        <f>VLOOKUP(B198,Tot_res!C:V,11,FALSE)</f>
        <v>-4979.9105593096465</v>
      </c>
      <c r="M198" s="179">
        <f>VLOOKUP(B198,Tot_res!C:V,12,FALSE)</f>
        <v>-42861.618788359221</v>
      </c>
      <c r="N198" s="179">
        <f>VLOOKUP(B198,Tot_res!C:V,13,FALSE)</f>
        <v>-3083.7982194059878</v>
      </c>
      <c r="O198" s="179">
        <f>VLOOKUP(B198,Tot_res!C:V,14,FALSE)</f>
        <v>-24500.570280448301</v>
      </c>
      <c r="P198" s="179">
        <f>VLOOKUP(B198,Tot_res!C:V,15,FALSE)</f>
        <v>-431779.33323761914</v>
      </c>
      <c r="Q198" s="179">
        <f>VLOOKUP(B198,Tot_res!C:V,16,FALSE)</f>
        <v>-1039.9578275296371</v>
      </c>
      <c r="R198" s="179">
        <f>VLOOKUP(B198,Tot_res!C:V,17,FALSE)</f>
        <v>0</v>
      </c>
      <c r="S198" s="179">
        <f>VLOOKUP(B198,Tot_res!C:V,18,FALSE)</f>
        <v>0</v>
      </c>
      <c r="T198" s="179">
        <f>VLOOKUP(B198,Tot_res!C:V,19,FALSE)</f>
        <v>-6188.8049822228495</v>
      </c>
      <c r="U198" s="179">
        <f>VLOOKUP(B198,Tot_res!C:V,20,FALSE)</f>
        <v>0</v>
      </c>
      <c r="V198" s="122">
        <f t="shared" ref="V198:V211" si="40">SUM(D198:U198)</f>
        <v>-655320.61677950516</v>
      </c>
    </row>
    <row r="199" spans="1:28">
      <c r="A199" s="351" t="str">
        <f>IF(B199="","",(IF(ISERROR(MATCH(B199,Tot_res!C:C,0)),"Eliminar!!!","")))</f>
        <v/>
      </c>
      <c r="B199" s="115" t="s">
        <v>1092</v>
      </c>
      <c r="C199" s="329" t="str">
        <f>VLOOKUP(B199,Tot_res!C:D,2,FALSE)</f>
        <v>Participación CCAARC en IH, sobreesfuerzo fiscal regional</v>
      </c>
      <c r="D199" s="179">
        <f>VLOOKUP(B199,Tot_res!C:V,3,FALSE)</f>
        <v>226453.49</v>
      </c>
      <c r="E199" s="179">
        <f>VLOOKUP(B199,Tot_res!C:V,4,FALSE)</f>
        <v>1.1499999999999999</v>
      </c>
      <c r="F199" s="179">
        <f>VLOOKUP(B199,Tot_res!C:V,5,FALSE)</f>
        <v>24567.47</v>
      </c>
      <c r="G199" s="179">
        <f>VLOOKUP(B199,Tot_res!C:V,6,FALSE)</f>
        <v>33821.949999999997</v>
      </c>
      <c r="H199" s="179">
        <f>VLOOKUP(B199,Tot_res!C:V,7,FALSE)</f>
        <v>0</v>
      </c>
      <c r="I199" s="179">
        <f>VLOOKUP(B199,Tot_res!C:V,8,FALSE)</f>
        <v>21773.9</v>
      </c>
      <c r="J199" s="179">
        <f>VLOOKUP(B199,Tot_res!C:V,9,FALSE)</f>
        <v>87964.61</v>
      </c>
      <c r="K199" s="179">
        <f>VLOOKUP(B199,Tot_res!C:V,10,FALSE)</f>
        <v>70043</v>
      </c>
      <c r="L199" s="179">
        <f>VLOOKUP(B199,Tot_res!C:V,11,FALSE)</f>
        <v>219878.9</v>
      </c>
      <c r="M199" s="179">
        <f>VLOOKUP(B199,Tot_res!C:V,12,FALSE)</f>
        <v>124878.3</v>
      </c>
      <c r="N199" s="179">
        <f>VLOOKUP(B199,Tot_res!C:V,13,FALSE)</f>
        <v>29454.84</v>
      </c>
      <c r="O199" s="179">
        <f>VLOOKUP(B199,Tot_res!C:V,14,FALSE)</f>
        <v>72564.62</v>
      </c>
      <c r="P199" s="179">
        <f>VLOOKUP(B199,Tot_res!C:V,15,FALSE)</f>
        <v>55005.81</v>
      </c>
      <c r="Q199" s="179">
        <f>VLOOKUP(B199,Tot_res!C:V,16,FALSE)</f>
        <v>46031.48</v>
      </c>
      <c r="R199" s="179">
        <f>VLOOKUP(B199,Tot_res!C:V,17,FALSE)</f>
        <v>0</v>
      </c>
      <c r="S199" s="179">
        <f>VLOOKUP(B199,Tot_res!C:V,18,FALSE)</f>
        <v>0</v>
      </c>
      <c r="T199" s="179">
        <f>VLOOKUP(B199,Tot_res!C:V,19,FALSE)</f>
        <v>-0.72</v>
      </c>
      <c r="U199" s="179">
        <f>VLOOKUP(B199,Tot_res!C:V,20,FALSE)</f>
        <v>0</v>
      </c>
      <c r="V199" s="122">
        <f t="shared" si="40"/>
        <v>1012438.8</v>
      </c>
    </row>
    <row r="200" spans="1:28">
      <c r="A200" s="351" t="str">
        <f>IF(B200="","",(IF(ISERROR(MATCH(B200,Tot_res!C:C,0)),"Eliminar!!!","")))</f>
        <v/>
      </c>
      <c r="B200" s="115" t="s">
        <v>964</v>
      </c>
      <c r="C200" s="329" t="str">
        <f>VLOOKUP(B200,Tot_res!C:D,2,FALSE)</f>
        <v>Impuesto sucesiones y donac, sobreesfuerzo fiscal de las CCAARC</v>
      </c>
      <c r="D200" s="179">
        <f>VLOOKUP(B200,Tot_res!C:V,3,FALSE)</f>
        <v>17878.681074449385</v>
      </c>
      <c r="E200" s="179">
        <f>VLOOKUP(B200,Tot_res!C:V,4,FALSE)</f>
        <v>40880.199599201005</v>
      </c>
      <c r="F200" s="179">
        <f>VLOOKUP(B200,Tot_res!C:V,5,FALSE)</f>
        <v>22135.472716848526</v>
      </c>
      <c r="G200" s="179">
        <f>VLOOKUP(B200,Tot_res!C:V,6,FALSE)</f>
        <v>33033.723816069381</v>
      </c>
      <c r="H200" s="179">
        <f>VLOOKUP(B200,Tot_res!C:V,7,FALSE)</f>
        <v>-9993.0051497911481</v>
      </c>
      <c r="I200" s="179">
        <f>VLOOKUP(B200,Tot_res!C:V,8,FALSE)</f>
        <v>-8426.7905972648659</v>
      </c>
      <c r="J200" s="179">
        <f>VLOOKUP(B200,Tot_res!C:V,9,FALSE)</f>
        <v>-11194.592006510473</v>
      </c>
      <c r="K200" s="179">
        <f>VLOOKUP(B200,Tot_res!C:V,10,FALSE)</f>
        <v>-26922.5095577295</v>
      </c>
      <c r="L200" s="179">
        <f>VLOOKUP(B200,Tot_res!C:V,11,FALSE)</f>
        <v>-119798.08947359095</v>
      </c>
      <c r="M200" s="179">
        <f>VLOOKUP(B200,Tot_res!C:V,12,FALSE)</f>
        <v>-71538.104711834312</v>
      </c>
      <c r="N200" s="179">
        <f>VLOOKUP(B200,Tot_res!C:V,13,FALSE)</f>
        <v>-6828.7102345084713</v>
      </c>
      <c r="O200" s="179">
        <f>VLOOKUP(B200,Tot_res!C:V,14,FALSE)</f>
        <v>38408.752166391176</v>
      </c>
      <c r="P200" s="179">
        <f>VLOOKUP(B200,Tot_res!C:V,15,FALSE)</f>
        <v>66443.708467419376</v>
      </c>
      <c r="Q200" s="179">
        <f>VLOOKUP(B200,Tot_res!C:V,16,FALSE)</f>
        <v>40504.683118790679</v>
      </c>
      <c r="R200" s="179">
        <f>VLOOKUP(B200,Tot_res!C:V,17,FALSE)</f>
        <v>0</v>
      </c>
      <c r="S200" s="179">
        <f>VLOOKUP(B200,Tot_res!C:V,18,FALSE)</f>
        <v>0</v>
      </c>
      <c r="T200" s="179">
        <f>VLOOKUP(B200,Tot_res!C:V,19,FALSE)</f>
        <v>-4583.419227939743</v>
      </c>
      <c r="U200" s="179">
        <f>VLOOKUP(B200,Tot_res!C:V,20,FALSE)</f>
        <v>0</v>
      </c>
      <c r="V200" s="122">
        <f t="shared" si="40"/>
        <v>5.4569682106375694E-11</v>
      </c>
    </row>
    <row r="201" spans="1:28">
      <c r="A201" s="351" t="str">
        <f>IF(B201="","",(IF(ISERROR(MATCH(B201,Tot_res!C:C,0)),"Eliminar!!!","")))</f>
        <v/>
      </c>
      <c r="B201" s="115" t="s">
        <v>965</v>
      </c>
      <c r="C201" s="329" t="str">
        <f>VLOOKUP(B201,Tot_res!C:D,2,FALSE)</f>
        <v>ITP y AJD, sobreesfuerzo fiscal de las CCAARC</v>
      </c>
      <c r="D201" s="179">
        <f>VLOOKUP(B201,Tot_res!C:V,3,FALSE)</f>
        <v>69292.497658127511</v>
      </c>
      <c r="E201" s="179">
        <f>VLOOKUP(B201,Tot_res!C:V,4,FALSE)</f>
        <v>0</v>
      </c>
      <c r="F201" s="179">
        <f>VLOOKUP(B201,Tot_res!C:V,5,FALSE)</f>
        <v>5155.7405522710433</v>
      </c>
      <c r="G201" s="179">
        <f>VLOOKUP(B201,Tot_res!C:V,6,FALSE)</f>
        <v>15633.007315140469</v>
      </c>
      <c r="H201" s="179">
        <f>VLOOKUP(B201,Tot_res!C:V,7,FALSE)</f>
        <v>-7867.3384945594298</v>
      </c>
      <c r="I201" s="179">
        <f>VLOOKUP(B201,Tot_res!C:V,8,FALSE)</f>
        <v>4510.6440899340405</v>
      </c>
      <c r="J201" s="179">
        <f>VLOOKUP(B201,Tot_res!C:V,9,FALSE)</f>
        <v>14839.513556993805</v>
      </c>
      <c r="K201" s="179">
        <f>VLOOKUP(B201,Tot_res!C:V,10,FALSE)</f>
        <v>8903.983800956521</v>
      </c>
      <c r="L201" s="179">
        <f>VLOOKUP(B201,Tot_res!C:V,11,FALSE)</f>
        <v>200246.82647196928</v>
      </c>
      <c r="M201" s="179">
        <f>VLOOKUP(B201,Tot_res!C:V,12,FALSE)</f>
        <v>138254.97211315786</v>
      </c>
      <c r="N201" s="179">
        <f>VLOOKUP(B201,Tot_res!C:V,13,FALSE)</f>
        <v>3948.1191657094937</v>
      </c>
      <c r="O201" s="179">
        <f>VLOOKUP(B201,Tot_res!C:V,14,FALSE)</f>
        <v>32497.979537764575</v>
      </c>
      <c r="P201" s="179">
        <f>VLOOKUP(B201,Tot_res!C:V,15,FALSE)</f>
        <v>-77314.609847711195</v>
      </c>
      <c r="Q201" s="179">
        <f>VLOOKUP(B201,Tot_res!C:V,16,FALSE)</f>
        <v>8348.3268376717788</v>
      </c>
      <c r="R201" s="179">
        <f>VLOOKUP(B201,Tot_res!C:V,17,FALSE)</f>
        <v>0</v>
      </c>
      <c r="S201" s="179">
        <f>VLOOKUP(B201,Tot_res!C:V,18,FALSE)</f>
        <v>0</v>
      </c>
      <c r="T201" s="179">
        <f>VLOOKUP(B201,Tot_res!C:V,19,FALSE)</f>
        <v>0</v>
      </c>
      <c r="U201" s="179">
        <f>VLOOKUP(B201,Tot_res!C:V,20,FALSE)</f>
        <v>0</v>
      </c>
      <c r="V201" s="122">
        <f t="shared" si="40"/>
        <v>416449.6627574258</v>
      </c>
    </row>
    <row r="202" spans="1:28">
      <c r="A202" s="351" t="str">
        <f>IF(B202="","",(IF(ISERROR(MATCH(B202,Tot_res!C:C,0)),"Eliminar!!!","")))</f>
        <v/>
      </c>
      <c r="B202" s="115" t="s">
        <v>966</v>
      </c>
      <c r="C202" s="329" t="str">
        <f>VLOOKUP(B202,Tot_res!C:D,2,FALSE)</f>
        <v>Tasas sobre el juego, sobreesfuerzo fiscal de las CCAARC</v>
      </c>
      <c r="D202" s="179">
        <f>VLOOKUP(B202,Tot_res!C:V,3,FALSE)</f>
        <v>14755.660179303755</v>
      </c>
      <c r="E202" s="179">
        <f>VLOOKUP(B202,Tot_res!C:V,4,FALSE)</f>
        <v>9335.148637799477</v>
      </c>
      <c r="F202" s="179">
        <f>VLOOKUP(B202,Tot_res!C:V,5,FALSE)</f>
        <v>5677.5698778682017</v>
      </c>
      <c r="G202" s="179">
        <f>VLOOKUP(B202,Tot_res!C:V,6,FALSE)</f>
        <v>-6472.47087904004</v>
      </c>
      <c r="H202" s="179">
        <f>VLOOKUP(B202,Tot_res!C:V,7,FALSE)</f>
        <v>20416.330848069862</v>
      </c>
      <c r="I202" s="179">
        <f>VLOOKUP(B202,Tot_res!C:V,8,FALSE)</f>
        <v>1667.4774666789217</v>
      </c>
      <c r="J202" s="179">
        <f>VLOOKUP(B202,Tot_res!C:V,9,FALSE)</f>
        <v>2932.1444057162735</v>
      </c>
      <c r="K202" s="179">
        <f>VLOOKUP(B202,Tot_res!C:V,10,FALSE)</f>
        <v>-5156.5422533292876</v>
      </c>
      <c r="L202" s="179">
        <f>VLOOKUP(B202,Tot_res!C:V,11,FALSE)</f>
        <v>52996.24780333988</v>
      </c>
      <c r="M202" s="179">
        <f>VLOOKUP(B202,Tot_res!C:V,12,FALSE)</f>
        <v>-6215.1879778737639</v>
      </c>
      <c r="N202" s="179">
        <f>VLOOKUP(B202,Tot_res!C:V,13,FALSE)</f>
        <v>4210.5285134957194</v>
      </c>
      <c r="O202" s="179">
        <f>VLOOKUP(B202,Tot_res!C:V,14,FALSE)</f>
        <v>-7488.2473156221167</v>
      </c>
      <c r="P202" s="179">
        <f>VLOOKUP(B202,Tot_res!C:V,15,FALSE)</f>
        <v>-96145.592606368999</v>
      </c>
      <c r="Q202" s="179">
        <f>VLOOKUP(B202,Tot_res!C:V,16,FALSE)</f>
        <v>5821.7205408768605</v>
      </c>
      <c r="R202" s="179">
        <f>VLOOKUP(B202,Tot_res!C:V,17,FALSE)</f>
        <v>0</v>
      </c>
      <c r="S202" s="179">
        <f>VLOOKUP(B202,Tot_res!C:V,18,FALSE)</f>
        <v>0</v>
      </c>
      <c r="T202" s="179">
        <f>VLOOKUP(B202,Tot_res!C:V,19,FALSE)</f>
        <v>3665.2127590852015</v>
      </c>
      <c r="U202" s="179">
        <f>VLOOKUP(B202,Tot_res!C:V,20,FALSE)</f>
        <v>0</v>
      </c>
      <c r="V202" s="122">
        <f t="shared" si="40"/>
        <v>-4.9112713895738125E-11</v>
      </c>
    </row>
    <row r="203" spans="1:28">
      <c r="A203" s="351" t="str">
        <f>IF(B203="","",(IF(ISERROR(MATCH(B203,Tot_res!C:C,0)),"Eliminar!!!","")))</f>
        <v/>
      </c>
      <c r="B203" s="115" t="s">
        <v>967</v>
      </c>
      <c r="C203" s="329" t="str">
        <f>VLOOKUP(B203,Tot_res!C:D,2,FALSE)</f>
        <v>IVMH, sobreesfuerzo fiscal de las CCAARC</v>
      </c>
      <c r="D203" s="179">
        <f>VLOOKUP(B203,Tot_res!C:V,3,FALSE)</f>
        <v>1768.5051369957512</v>
      </c>
      <c r="E203" s="179">
        <f>VLOOKUP(B203,Tot_res!C:V,4,FALSE)</f>
        <v>0</v>
      </c>
      <c r="F203" s="179">
        <f>VLOOKUP(B203,Tot_res!C:V,5,FALSE)</f>
        <v>51.424821659679246</v>
      </c>
      <c r="G203" s="179">
        <f>VLOOKUP(B203,Tot_res!C:V,6,FALSE)</f>
        <v>65.674597495593417</v>
      </c>
      <c r="H203" s="179">
        <f>VLOOKUP(B203,Tot_res!C:V,7,FALSE)</f>
        <v>0</v>
      </c>
      <c r="I203" s="179">
        <f>VLOOKUP(B203,Tot_res!C:V,8,FALSE)</f>
        <v>117.80841374785783</v>
      </c>
      <c r="J203" s="179">
        <f>VLOOKUP(B203,Tot_res!C:V,9,FALSE)</f>
        <v>434.73847012361517</v>
      </c>
      <c r="K203" s="179">
        <f>VLOOKUP(B203,Tot_res!C:V,10,FALSE)</f>
        <v>275.83814714894936</v>
      </c>
      <c r="L203" s="179">
        <f>VLOOKUP(B203,Tot_res!C:V,11,FALSE)</f>
        <v>553.13584001816696</v>
      </c>
      <c r="M203" s="179">
        <f>VLOOKUP(B203,Tot_res!C:V,12,FALSE)</f>
        <v>1005.348269416369</v>
      </c>
      <c r="N203" s="179">
        <f>VLOOKUP(B203,Tot_res!C:V,13,FALSE)</f>
        <v>326.5347378604182</v>
      </c>
      <c r="O203" s="179">
        <f>VLOOKUP(B203,Tot_res!C:V,14,FALSE)</f>
        <v>192.53514658466185</v>
      </c>
      <c r="P203" s="179">
        <f>VLOOKUP(B203,Tot_res!C:V,15,FALSE)</f>
        <v>252.09236332182985</v>
      </c>
      <c r="Q203" s="179">
        <f>VLOOKUP(B203,Tot_res!C:V,16,FALSE)</f>
        <v>318.29380017967537</v>
      </c>
      <c r="R203" s="179">
        <f>VLOOKUP(B203,Tot_res!C:V,17,FALSE)</f>
        <v>0</v>
      </c>
      <c r="S203" s="179">
        <f>VLOOKUP(B203,Tot_res!C:V,18,FALSE)</f>
        <v>0</v>
      </c>
      <c r="T203" s="179">
        <f>VLOOKUP(B203,Tot_res!C:V,19,FALSE)</f>
        <v>0</v>
      </c>
      <c r="U203" s="179">
        <f>VLOOKUP(B203,Tot_res!C:V,20,FALSE)</f>
        <v>0</v>
      </c>
      <c r="V203" s="122">
        <f t="shared" si="40"/>
        <v>5361.9297445525681</v>
      </c>
    </row>
    <row r="204" spans="1:28">
      <c r="A204" s="351" t="str">
        <f>IF(B204="","",(IF(ISERROR(MATCH(B204,Tot_res!C:C,0)),"Eliminar!!!","")))</f>
        <v/>
      </c>
      <c r="B204" s="115" t="s">
        <v>968</v>
      </c>
      <c r="C204" s="329" t="str">
        <f>VLOOKUP(B204,Tot_res!C:D,2,FALSE)</f>
        <v>Impuesto de matriculación, sobreesfuerzo fiscal de las CCAARC</v>
      </c>
      <c r="D204" s="179">
        <f>VLOOKUP(B204,Tot_res!C:V,3,FALSE)</f>
        <v>861.68000000000029</v>
      </c>
      <c r="E204" s="179">
        <f>VLOOKUP(B204,Tot_res!C:V,4,FALSE)</f>
        <v>0</v>
      </c>
      <c r="F204" s="179">
        <f>VLOOKUP(B204,Tot_res!C:V,5,FALSE)</f>
        <v>52.380000000000109</v>
      </c>
      <c r="G204" s="179">
        <f>VLOOKUP(B204,Tot_res!C:V,6,FALSE)</f>
        <v>145.02999999999884</v>
      </c>
      <c r="H204" s="179">
        <f>VLOOKUP(B204,Tot_res!C:V,7,FALSE)</f>
        <v>0</v>
      </c>
      <c r="I204" s="179">
        <f>VLOOKUP(B204,Tot_res!C:V,8,FALSE)</f>
        <v>86.680000000000291</v>
      </c>
      <c r="J204" s="179">
        <f>VLOOKUP(B204,Tot_res!C:V,9,FALSE)</f>
        <v>0</v>
      </c>
      <c r="K204" s="179">
        <f>VLOOKUP(B204,Tot_res!C:V,10,FALSE)</f>
        <v>0</v>
      </c>
      <c r="L204" s="179">
        <f>VLOOKUP(B204,Tot_res!C:V,11,FALSE)</f>
        <v>724.05000000000291</v>
      </c>
      <c r="M204" s="179">
        <f>VLOOKUP(B204,Tot_res!C:V,12,FALSE)</f>
        <v>0</v>
      </c>
      <c r="N204" s="179">
        <f>VLOOKUP(B204,Tot_res!C:V,13,FALSE)</f>
        <v>301.02</v>
      </c>
      <c r="O204" s="179">
        <f>VLOOKUP(B204,Tot_res!C:V,14,FALSE)</f>
        <v>0</v>
      </c>
      <c r="P204" s="179">
        <f>VLOOKUP(B204,Tot_res!C:V,15,FALSE)</f>
        <v>0</v>
      </c>
      <c r="Q204" s="179">
        <f>VLOOKUP(B204,Tot_res!C:V,16,FALSE)</f>
        <v>14.75</v>
      </c>
      <c r="R204" s="179">
        <f>VLOOKUP(B204,Tot_res!C:V,17,FALSE)</f>
        <v>0</v>
      </c>
      <c r="S204" s="179">
        <f>VLOOKUP(B204,Tot_res!C:V,18,FALSE)</f>
        <v>0</v>
      </c>
      <c r="T204" s="179">
        <f>VLOOKUP(B204,Tot_res!C:V,19,FALSE)</f>
        <v>0</v>
      </c>
      <c r="U204" s="179">
        <f>VLOOKUP(B204,Tot_res!C:V,20,FALSE)</f>
        <v>0</v>
      </c>
      <c r="V204" s="122">
        <f t="shared" si="40"/>
        <v>2185.5900000000024</v>
      </c>
    </row>
    <row r="205" spans="1:28">
      <c r="A205" s="351" t="str">
        <f>IF(B205="","",(IF(ISERROR(MATCH(B205,Tot_res!C:C,0)),"Eliminar!!!","")))</f>
        <v/>
      </c>
      <c r="B205" s="115" t="s">
        <v>969</v>
      </c>
      <c r="C205" s="329" t="str">
        <f>VLOOKUP(B205,Tot_res!C:D,2,FALSE)</f>
        <v>IRPF,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-326776.02889105264</v>
      </c>
      <c r="S205" s="179">
        <f>VLOOKUP(B205,Tot_res!C:V,18,FALSE)</f>
        <v>-868069.38915694249</v>
      </c>
      <c r="T205" s="179">
        <f>VLOOKUP(B205,Tot_res!C:V,19,FALSE)</f>
        <v>0</v>
      </c>
      <c r="U205" s="179">
        <f>VLOOKUP(B205,Tot_res!C:V,20,FALSE)</f>
        <v>0</v>
      </c>
      <c r="V205" s="122">
        <f t="shared" si="40"/>
        <v>-1194845.4180479951</v>
      </c>
    </row>
    <row r="206" spans="1:28">
      <c r="A206" s="351" t="str">
        <f>IF(B206="","",(IF(ISERROR(MATCH(B206,Tot_res!C:C,0)),"Eliminar!!!","")))</f>
        <v/>
      </c>
      <c r="B206" s="115" t="s">
        <v>970</v>
      </c>
      <c r="C206" s="329" t="str">
        <f>VLOOKUP(B206,Tot_res!C:D,2,FALSE)</f>
        <v>Sociedades, sobreesfuerzo fiscal de las comunidades forales</v>
      </c>
      <c r="D206" s="179">
        <f>VLOOKUP(B206,Tot_res!C:V,3,FALSE)</f>
        <v>0</v>
      </c>
      <c r="E206" s="179">
        <f>VLOOKUP(B206,Tot_res!C:V,4,FALSE)</f>
        <v>0</v>
      </c>
      <c r="F206" s="179">
        <f>VLOOKUP(B206,Tot_res!C:V,5,FALSE)</f>
        <v>0</v>
      </c>
      <c r="G206" s="179">
        <f>VLOOKUP(B206,Tot_res!C:V,6,FALSE)</f>
        <v>0</v>
      </c>
      <c r="H206" s="179">
        <f>VLOOKUP(B206,Tot_res!C:V,7,FALSE)</f>
        <v>0</v>
      </c>
      <c r="I206" s="179">
        <f>VLOOKUP(B206,Tot_res!C:V,8,FALSE)</f>
        <v>0</v>
      </c>
      <c r="J206" s="179">
        <f>VLOOKUP(B206,Tot_res!C:V,9,FALSE)</f>
        <v>0</v>
      </c>
      <c r="K206" s="179">
        <f>VLOOKUP(B206,Tot_res!C:V,10,FALSE)</f>
        <v>0</v>
      </c>
      <c r="L206" s="179">
        <f>VLOOKUP(B206,Tot_res!C:V,11,FALSE)</f>
        <v>0</v>
      </c>
      <c r="M206" s="179">
        <f>VLOOKUP(B206,Tot_res!C:V,12,FALSE)</f>
        <v>0</v>
      </c>
      <c r="N206" s="179">
        <f>VLOOKUP(B206,Tot_res!C:V,13,FALSE)</f>
        <v>0</v>
      </c>
      <c r="O206" s="179">
        <f>VLOOKUP(B206,Tot_res!C:V,14,FALSE)</f>
        <v>0</v>
      </c>
      <c r="P206" s="179">
        <f>VLOOKUP(B206,Tot_res!C:V,15,FALSE)</f>
        <v>0</v>
      </c>
      <c r="Q206" s="179">
        <f>VLOOKUP(B206,Tot_res!C:V,16,FALSE)</f>
        <v>0</v>
      </c>
      <c r="R206" s="179">
        <f>VLOOKUP(B206,Tot_res!C:V,17,FALSE)</f>
        <v>-146371.75992157578</v>
      </c>
      <c r="S206" s="179">
        <f>VLOOKUP(B206,Tot_res!C:V,18,FALSE)</f>
        <v>-64513.955268684775</v>
      </c>
      <c r="T206" s="179">
        <f>VLOOKUP(B206,Tot_res!C:V,19,FALSE)</f>
        <v>0</v>
      </c>
      <c r="U206" s="179">
        <f>VLOOKUP(B206,Tot_res!C:V,20,FALSE)</f>
        <v>0</v>
      </c>
      <c r="V206" s="122">
        <f t="shared" si="40"/>
        <v>-210885.71519026055</v>
      </c>
    </row>
    <row r="207" spans="1:28">
      <c r="A207" s="351" t="str">
        <f>IF(B207="","",(IF(ISERROR(MATCH(B207,Tot_res!C:C,0)),"Eliminar!!!","")))</f>
        <v/>
      </c>
      <c r="B207" s="115" t="s">
        <v>971</v>
      </c>
      <c r="C207" s="329" t="str">
        <f>VLOOKUP(B207,Tot_res!C:D,2,FALSE)</f>
        <v>Sucesiones y donaciones, sobreesfuerzo fiscal de las comunidades forales</v>
      </c>
      <c r="D207" s="179">
        <f>VLOOKUP(B207,Tot_res!C:V,3,FALSE)</f>
        <v>0</v>
      </c>
      <c r="E207" s="179">
        <f>VLOOKUP(B207,Tot_res!C:V,4,FALSE)</f>
        <v>0</v>
      </c>
      <c r="F207" s="179">
        <f>VLOOKUP(B207,Tot_res!C:V,5,FALSE)</f>
        <v>0</v>
      </c>
      <c r="G207" s="179">
        <f>VLOOKUP(B207,Tot_res!C:V,6,FALSE)</f>
        <v>0</v>
      </c>
      <c r="H207" s="179">
        <f>VLOOKUP(B207,Tot_res!C:V,7,FALSE)</f>
        <v>0</v>
      </c>
      <c r="I207" s="179">
        <f>VLOOKUP(B207,Tot_res!C:V,8,FALSE)</f>
        <v>0</v>
      </c>
      <c r="J207" s="179">
        <f>VLOOKUP(B207,Tot_res!C:V,9,FALSE)</f>
        <v>0</v>
      </c>
      <c r="K207" s="179">
        <f>VLOOKUP(B207,Tot_res!C:V,10,FALSE)</f>
        <v>0</v>
      </c>
      <c r="L207" s="179">
        <f>VLOOKUP(B207,Tot_res!C:V,11,FALSE)</f>
        <v>0</v>
      </c>
      <c r="M207" s="179">
        <f>VLOOKUP(B207,Tot_res!C:V,12,FALSE)</f>
        <v>0</v>
      </c>
      <c r="N207" s="179">
        <f>VLOOKUP(B207,Tot_res!C:V,13,FALSE)</f>
        <v>0</v>
      </c>
      <c r="O207" s="179">
        <f>VLOOKUP(B207,Tot_res!C:V,14,FALSE)</f>
        <v>0</v>
      </c>
      <c r="P207" s="179">
        <f>VLOOKUP(B207,Tot_res!C:V,15,FALSE)</f>
        <v>0</v>
      </c>
      <c r="Q207" s="179">
        <f>VLOOKUP(B207,Tot_res!C:V,16,FALSE)</f>
        <v>0</v>
      </c>
      <c r="R207" s="179">
        <f>VLOOKUP(B207,Tot_res!C:V,17,FALSE)</f>
        <v>9065.4968416886477</v>
      </c>
      <c r="S207" s="179">
        <f>VLOOKUP(B207,Tot_res!C:V,18,FALSE)</f>
        <v>-53270.103345298819</v>
      </c>
      <c r="T207" s="179">
        <f>VLOOKUP(B207,Tot_res!C:V,19,FALSE)</f>
        <v>0</v>
      </c>
      <c r="U207" s="179">
        <f>VLOOKUP(B207,Tot_res!C:V,20,FALSE)</f>
        <v>0</v>
      </c>
      <c r="V207" s="122">
        <f t="shared" si="40"/>
        <v>-44204.606503610172</v>
      </c>
    </row>
    <row r="208" spans="1:28">
      <c r="A208" s="351" t="str">
        <f>IF(B208="","",(IF(ISERROR(MATCH(B208,Tot_res!C:C,0)),"Eliminar!!!","")))</f>
        <v/>
      </c>
      <c r="B208" s="115" t="s">
        <v>1079</v>
      </c>
      <c r="C208" s="329" t="s">
        <v>1080</v>
      </c>
      <c r="D208" s="179">
        <f>VLOOKUP(B208,Tot_res!C:V,3,FALSE)</f>
        <v>0</v>
      </c>
      <c r="E208" s="179">
        <f>VLOOKUP(B208,Tot_res!C:V,4,FALSE)</f>
        <v>0</v>
      </c>
      <c r="F208" s="179">
        <f>VLOOKUP(B208,Tot_res!C:V,5,FALSE)</f>
        <v>0</v>
      </c>
      <c r="G208" s="179">
        <f>VLOOKUP(B208,Tot_res!C:V,6,FALSE)</f>
        <v>0</v>
      </c>
      <c r="H208" s="179">
        <f>VLOOKUP(B208,Tot_res!C:V,7,FALSE)</f>
        <v>0</v>
      </c>
      <c r="I208" s="179">
        <f>VLOOKUP(B208,Tot_res!C:V,8,FALSE)</f>
        <v>0</v>
      </c>
      <c r="J208" s="179">
        <f>VLOOKUP(B208,Tot_res!C:V,9,FALSE)</f>
        <v>0</v>
      </c>
      <c r="K208" s="179">
        <f>VLOOKUP(B208,Tot_res!C:V,10,FALSE)</f>
        <v>0</v>
      </c>
      <c r="L208" s="179">
        <f>VLOOKUP(B208,Tot_res!C:V,11,FALSE)</f>
        <v>0</v>
      </c>
      <c r="M208" s="179">
        <f>VLOOKUP(B208,Tot_res!C:V,12,FALSE)</f>
        <v>0</v>
      </c>
      <c r="N208" s="179">
        <f>VLOOKUP(B208,Tot_res!C:V,13,FALSE)</f>
        <v>0</v>
      </c>
      <c r="O208" s="179">
        <f>VLOOKUP(B208,Tot_res!C:V,14,FALSE)</f>
        <v>0</v>
      </c>
      <c r="P208" s="179">
        <f>VLOOKUP(B208,Tot_res!C:V,15,FALSE)</f>
        <v>0</v>
      </c>
      <c r="Q208" s="179">
        <f>VLOOKUP(B208,Tot_res!C:V,16,FALSE)</f>
        <v>0</v>
      </c>
      <c r="R208" s="179">
        <f>VLOOKUP(B208,Tot_res!C:V,17,FALSE)</f>
        <v>-627.52866116181758</v>
      </c>
      <c r="S208" s="179">
        <f>VLOOKUP(B208,Tot_res!C:V,18,FALSE)</f>
        <v>0</v>
      </c>
      <c r="T208" s="179">
        <f>VLOOKUP(B208,Tot_res!C:V,19,FALSE)</f>
        <v>0</v>
      </c>
      <c r="U208" s="179">
        <f>VLOOKUP(B208,Tot_res!C:V,20,FALSE)</f>
        <v>0</v>
      </c>
      <c r="V208" s="122">
        <f t="shared" ref="V208" si="41">SUM(D208:U208)</f>
        <v>-627.52866116181758</v>
      </c>
    </row>
    <row r="209" spans="1:22">
      <c r="A209" s="351" t="str">
        <f>IF(B209="","",(IF(ISERROR(MATCH(B209,Tot_res!C:C,0)),"Eliminar!!!","")))</f>
        <v/>
      </c>
      <c r="B209" s="115" t="s">
        <v>972</v>
      </c>
      <c r="C209" s="329" t="str">
        <f>VLOOKUP(B209,Tot_res!C:D,2,FALSE)</f>
        <v>ITP y AJD, sobreesfuerzo fiscal de las comunidades forales</v>
      </c>
      <c r="D209" s="179">
        <f>VLOOKUP(B209,Tot_res!C:V,3,FALSE)</f>
        <v>0</v>
      </c>
      <c r="E209" s="179">
        <f>VLOOKUP(B209,Tot_res!C:V,4,FALSE)</f>
        <v>0</v>
      </c>
      <c r="F209" s="179">
        <f>VLOOKUP(B209,Tot_res!C:V,5,FALSE)</f>
        <v>0</v>
      </c>
      <c r="G209" s="179">
        <f>VLOOKUP(B209,Tot_res!C:V,6,FALSE)</f>
        <v>0</v>
      </c>
      <c r="H209" s="179">
        <f>VLOOKUP(B209,Tot_res!C:V,7,FALSE)</f>
        <v>0</v>
      </c>
      <c r="I209" s="179">
        <f>VLOOKUP(B209,Tot_res!C:V,8,FALSE)</f>
        <v>0</v>
      </c>
      <c r="J209" s="179">
        <f>VLOOKUP(B209,Tot_res!C:V,9,FALSE)</f>
        <v>0</v>
      </c>
      <c r="K209" s="179">
        <f>VLOOKUP(B209,Tot_res!C:V,10,FALSE)</f>
        <v>0</v>
      </c>
      <c r="L209" s="179">
        <f>VLOOKUP(B209,Tot_res!C:V,11,FALSE)</f>
        <v>0</v>
      </c>
      <c r="M209" s="179">
        <f>VLOOKUP(B209,Tot_res!C:V,12,FALSE)</f>
        <v>0</v>
      </c>
      <c r="N209" s="179">
        <f>VLOOKUP(B209,Tot_res!C:V,13,FALSE)</f>
        <v>0</v>
      </c>
      <c r="O209" s="179">
        <f>VLOOKUP(B209,Tot_res!C:V,14,FALSE)</f>
        <v>0</v>
      </c>
      <c r="P209" s="179">
        <f>VLOOKUP(B209,Tot_res!C:V,15,FALSE)</f>
        <v>0</v>
      </c>
      <c r="Q209" s="179">
        <f>VLOOKUP(B209,Tot_res!C:V,16,FALSE)</f>
        <v>0</v>
      </c>
      <c r="R209" s="179">
        <f>VLOOKUP(B209,Tot_res!C:V,17,FALSE)</f>
        <v>-17104.30862713949</v>
      </c>
      <c r="S209" s="179">
        <f>VLOOKUP(B209,Tot_res!C:V,18,FALSE)</f>
        <v>-82792.523659777449</v>
      </c>
      <c r="T209" s="179">
        <f>VLOOKUP(B209,Tot_res!C:V,19,FALSE)</f>
        <v>0</v>
      </c>
      <c r="U209" s="179">
        <f>VLOOKUP(B209,Tot_res!C:V,20,FALSE)</f>
        <v>0</v>
      </c>
      <c r="V209" s="122">
        <f t="shared" si="40"/>
        <v>-99896.832286916935</v>
      </c>
    </row>
    <row r="210" spans="1:22">
      <c r="A210" s="351" t="str">
        <f>IF(B210="","",(IF(ISERROR(MATCH(B210,Tot_res!C:C,0)),"Eliminar!!!","")))</f>
        <v/>
      </c>
      <c r="B210" s="115" t="s">
        <v>973</v>
      </c>
      <c r="C210" s="329" t="str">
        <f>VLOOKUP(B210,Tot_res!C:D,2,FALSE)</f>
        <v>Tasas juego, sobreesfuerzo fiscal de las comunidades forales</v>
      </c>
      <c r="D210" s="179">
        <f>VLOOKUP(B210,Tot_res!C:V,3,FALSE)</f>
        <v>0</v>
      </c>
      <c r="E210" s="179">
        <f>VLOOKUP(B210,Tot_res!C:V,4,FALSE)</f>
        <v>0</v>
      </c>
      <c r="F210" s="179">
        <f>VLOOKUP(B210,Tot_res!C:V,5,FALSE)</f>
        <v>0</v>
      </c>
      <c r="G210" s="179">
        <f>VLOOKUP(B210,Tot_res!C:V,6,FALSE)</f>
        <v>0</v>
      </c>
      <c r="H210" s="179">
        <f>VLOOKUP(B210,Tot_res!C:V,7,FALSE)</f>
        <v>0</v>
      </c>
      <c r="I210" s="179">
        <f>VLOOKUP(B210,Tot_res!C:V,8,FALSE)</f>
        <v>0</v>
      </c>
      <c r="J210" s="179">
        <f>VLOOKUP(B210,Tot_res!C:V,9,FALSE)</f>
        <v>0</v>
      </c>
      <c r="K210" s="179">
        <f>VLOOKUP(B210,Tot_res!C:V,10,FALSE)</f>
        <v>0</v>
      </c>
      <c r="L210" s="179">
        <f>VLOOKUP(B210,Tot_res!C:V,11,FALSE)</f>
        <v>0</v>
      </c>
      <c r="M210" s="179">
        <f>VLOOKUP(B210,Tot_res!C:V,12,FALSE)</f>
        <v>0</v>
      </c>
      <c r="N210" s="179">
        <f>VLOOKUP(B210,Tot_res!C:V,13,FALSE)</f>
        <v>0</v>
      </c>
      <c r="O210" s="179">
        <f>VLOOKUP(B210,Tot_res!C:V,14,FALSE)</f>
        <v>0</v>
      </c>
      <c r="P210" s="179">
        <f>VLOOKUP(B210,Tot_res!C:V,15,FALSE)</f>
        <v>0</v>
      </c>
      <c r="Q210" s="179">
        <f>VLOOKUP(B210,Tot_res!C:V,16,FALSE)</f>
        <v>0</v>
      </c>
      <c r="R210" s="179">
        <f>VLOOKUP(B210,Tot_res!C:V,17,FALSE)</f>
        <v>-885.57562675937334</v>
      </c>
      <c r="S210" s="179">
        <f>VLOOKUP(B210,Tot_res!C:V,18,FALSE)</f>
        <v>18554.97719386694</v>
      </c>
      <c r="T210" s="179">
        <f>VLOOKUP(B210,Tot_res!C:V,19,FALSE)</f>
        <v>0</v>
      </c>
      <c r="U210" s="179">
        <f>VLOOKUP(B210,Tot_res!C:V,20,FALSE)</f>
        <v>0</v>
      </c>
      <c r="V210" s="122">
        <f t="shared" si="40"/>
        <v>17669.401567107569</v>
      </c>
    </row>
    <row r="211" spans="1:22">
      <c r="A211" s="351" t="str">
        <f>IF(B211="","",(IF(ISERROR(MATCH(B211,Tot_res!C:C,0)),"Eliminar!!!","")))</f>
        <v/>
      </c>
      <c r="B211" s="115" t="s">
        <v>230</v>
      </c>
      <c r="C211" s="329" t="str">
        <f>VLOOKUP(B211,Tot_res!C:D,2,FALSE)</f>
        <v xml:space="preserve"> Ingresos por tributos propios de las comunidades autónomas y patrimonio</v>
      </c>
      <c r="D211" s="179">
        <f>VLOOKUP(B211,Tot_res!C:V,3,FALSE)</f>
        <v>260792.14</v>
      </c>
      <c r="E211" s="179">
        <f>VLOOKUP(B211,Tot_res!C:V,4,FALSE)</f>
        <v>83393.23000000001</v>
      </c>
      <c r="F211" s="179">
        <f>VLOOKUP(B211,Tot_res!C:V,5,FALSE)</f>
        <v>40307.300000000003</v>
      </c>
      <c r="G211" s="179">
        <f>VLOOKUP(B211,Tot_res!C:V,6,FALSE)</f>
        <v>127282.31</v>
      </c>
      <c r="H211" s="179">
        <f>VLOOKUP(B211,Tot_res!C:V,7,FALSE)</f>
        <v>131074.82637000002</v>
      </c>
      <c r="I211" s="179">
        <f>VLOOKUP(B211,Tot_res!C:V,8,FALSE)</f>
        <v>39934.75</v>
      </c>
      <c r="J211" s="179">
        <f>VLOOKUP(B211,Tot_res!C:V,9,FALSE)</f>
        <v>99027.07</v>
      </c>
      <c r="K211" s="179">
        <f>VLOOKUP(B211,Tot_res!C:V,10,FALSE)</f>
        <v>30329.8</v>
      </c>
      <c r="L211" s="179">
        <f>VLOOKUP(B211,Tot_res!C:V,11,FALSE)</f>
        <v>528559.24</v>
      </c>
      <c r="M211" s="179">
        <f>VLOOKUP(B211,Tot_res!C:V,12,FALSE)</f>
        <v>397243.95</v>
      </c>
      <c r="N211" s="179">
        <f>VLOOKUP(B211,Tot_res!C:V,13,FALSE)</f>
        <v>136444.89000000001</v>
      </c>
      <c r="O211" s="179">
        <f>VLOOKUP(B211,Tot_res!C:V,14,FALSE)</f>
        <v>147995.46000000002</v>
      </c>
      <c r="P211" s="179">
        <f>VLOOKUP(B211,Tot_res!C:V,15,FALSE)</f>
        <v>6757</v>
      </c>
      <c r="Q211" s="179">
        <f>VLOOKUP(B211,Tot_res!C:V,16,FALSE)</f>
        <v>72522.22</v>
      </c>
      <c r="R211" s="179">
        <f>VLOOKUP(B211,Tot_res!C:V,17,FALSE)</f>
        <v>47851</v>
      </c>
      <c r="S211" s="179">
        <f>VLOOKUP(B211,Tot_res!C:V,18,FALSE)</f>
        <v>160965.48000000001</v>
      </c>
      <c r="T211" s="179">
        <f>VLOOKUP(B211,Tot_res!C:V,19,FALSE)</f>
        <v>26857.440000000002</v>
      </c>
      <c r="U211" s="179">
        <f>VLOOKUP(B211,Tot_res!C:V,20,FALSE)</f>
        <v>0</v>
      </c>
      <c r="V211" s="122">
        <f t="shared" si="40"/>
        <v>2337338.1063700002</v>
      </c>
    </row>
    <row r="212" spans="1:22">
      <c r="A212" s="352"/>
      <c r="B212" s="115"/>
      <c r="C212" s="140"/>
      <c r="D212" s="105"/>
      <c r="E212" s="105"/>
      <c r="F212" s="105"/>
      <c r="G212" s="105"/>
      <c r="H212" s="105"/>
      <c r="I212" s="105"/>
      <c r="J212" s="105"/>
      <c r="K212" s="105"/>
      <c r="L212" s="105"/>
      <c r="M212" s="105"/>
      <c r="N212" s="105"/>
      <c r="O212" s="105"/>
      <c r="P212" s="105"/>
      <c r="Q212" s="105"/>
      <c r="R212" s="105"/>
      <c r="S212" s="105"/>
      <c r="T212" s="105"/>
      <c r="U212" s="105"/>
      <c r="V212" s="122"/>
    </row>
    <row r="213" spans="1:22" ht="13.5">
      <c r="A213" s="352"/>
      <c r="B213" s="115"/>
      <c r="C213" s="128" t="s">
        <v>59</v>
      </c>
      <c r="D213" s="114">
        <f t="shared" ref="D213:U213" si="42">D215+D226</f>
        <v>6940200.2924267063</v>
      </c>
      <c r="E213" s="114">
        <f t="shared" si="42"/>
        <v>1350333.4740572982</v>
      </c>
      <c r="F213" s="114">
        <f t="shared" si="42"/>
        <v>944342.95633348729</v>
      </c>
      <c r="G213" s="114">
        <f t="shared" si="42"/>
        <v>1130528.5029096908</v>
      </c>
      <c r="H213" s="114">
        <f t="shared" si="42"/>
        <v>2375563.3931871434</v>
      </c>
      <c r="I213" s="114">
        <f t="shared" si="42"/>
        <v>554003.64579400991</v>
      </c>
      <c r="J213" s="114">
        <f t="shared" si="42"/>
        <v>2299949.9802188496</v>
      </c>
      <c r="K213" s="114">
        <f t="shared" si="42"/>
        <v>1772727.9802658372</v>
      </c>
      <c r="L213" s="114">
        <f t="shared" si="42"/>
        <v>8146500.7279898822</v>
      </c>
      <c r="M213" s="114">
        <f t="shared" si="42"/>
        <v>4367062.8845905345</v>
      </c>
      <c r="N213" s="114">
        <f t="shared" si="42"/>
        <v>858894.79396294081</v>
      </c>
      <c r="O213" s="114">
        <f t="shared" si="42"/>
        <v>2116569.092480673</v>
      </c>
      <c r="P213" s="114">
        <f t="shared" si="42"/>
        <v>7196788.8305208199</v>
      </c>
      <c r="Q213" s="114">
        <f t="shared" si="42"/>
        <v>1182830.90376781</v>
      </c>
      <c r="R213" s="114">
        <f t="shared" si="42"/>
        <v>639424.27883052721</v>
      </c>
      <c r="S213" s="114">
        <f t="shared" si="42"/>
        <v>2008834.6515957168</v>
      </c>
      <c r="T213" s="114">
        <f t="shared" si="42"/>
        <v>287003.56401854334</v>
      </c>
      <c r="U213" s="114">
        <f t="shared" si="42"/>
        <v>78511.675534216396</v>
      </c>
      <c r="V213" s="126">
        <f>V215+V226</f>
        <v>44250071.628484689</v>
      </c>
    </row>
    <row r="214" spans="1:22">
      <c r="A214" s="352"/>
      <c r="B214" s="115"/>
      <c r="C214" s="102"/>
      <c r="D214" s="105"/>
      <c r="E214" s="105"/>
      <c r="F214" s="105"/>
      <c r="G214" s="105"/>
      <c r="H214" s="105"/>
      <c r="I214" s="105"/>
      <c r="J214" s="105"/>
      <c r="K214" s="105"/>
      <c r="L214" s="105"/>
      <c r="M214" s="105"/>
      <c r="N214" s="105"/>
      <c r="O214" s="105"/>
      <c r="P214" s="105"/>
      <c r="Q214" s="105"/>
      <c r="R214" s="105"/>
      <c r="S214" s="105"/>
      <c r="T214" s="105"/>
      <c r="U214" s="105"/>
      <c r="V214" s="122"/>
    </row>
    <row r="215" spans="1:22" ht="13.5">
      <c r="A215" s="352"/>
      <c r="B215" s="115"/>
      <c r="C215" s="117" t="s">
        <v>54</v>
      </c>
      <c r="D215" s="144">
        <f>SUM(D216:D224)</f>
        <v>1379605.9021974506</v>
      </c>
      <c r="E215" s="144">
        <f t="shared" ref="E215:U215" si="43">SUM(E216:E224)</f>
        <v>262034.09209268558</v>
      </c>
      <c r="F215" s="144">
        <f t="shared" si="43"/>
        <v>211630.46614</v>
      </c>
      <c r="G215" s="144">
        <f t="shared" si="43"/>
        <v>145539.08147745888</v>
      </c>
      <c r="H215" s="144">
        <f t="shared" si="43"/>
        <v>821703.9659866069</v>
      </c>
      <c r="I215" s="144">
        <f t="shared" si="43"/>
        <v>102824.06267983317</v>
      </c>
      <c r="J215" s="144">
        <f t="shared" si="43"/>
        <v>595979.42897000012</v>
      </c>
      <c r="K215" s="144">
        <f t="shared" si="43"/>
        <v>426917.92142000003</v>
      </c>
      <c r="L215" s="144">
        <f t="shared" si="43"/>
        <v>1006258.6021662098</v>
      </c>
      <c r="M215" s="144">
        <f t="shared" si="43"/>
        <v>726310.25994000002</v>
      </c>
      <c r="N215" s="144">
        <f t="shared" si="43"/>
        <v>267977.46773000003</v>
      </c>
      <c r="O215" s="144">
        <f t="shared" si="43"/>
        <v>518644.28024999989</v>
      </c>
      <c r="P215" s="144">
        <f t="shared" si="43"/>
        <v>793159.52354943613</v>
      </c>
      <c r="Q215" s="144">
        <f t="shared" si="43"/>
        <v>206259.32256</v>
      </c>
      <c r="R215" s="144">
        <f t="shared" si="43"/>
        <v>100527.44898219974</v>
      </c>
      <c r="S215" s="144">
        <f t="shared" si="43"/>
        <v>347369.37968621013</v>
      </c>
      <c r="T215" s="144">
        <f t="shared" si="43"/>
        <v>53240.615893409529</v>
      </c>
      <c r="U215" s="144">
        <f t="shared" si="43"/>
        <v>10830.405929999999</v>
      </c>
      <c r="V215" s="139">
        <f>SUM(V216:V224)</f>
        <v>7976812.2276515011</v>
      </c>
    </row>
    <row r="216" spans="1:22">
      <c r="A216" s="351" t="str">
        <f>IF(B216="","",(IF(ISERROR(MATCH(B216,Tot_res!C:C,0)),"Eliminar!!!","")))</f>
        <v/>
      </c>
      <c r="B216" s="145" t="s">
        <v>718</v>
      </c>
      <c r="C216" s="329" t="str">
        <f>VLOOKUP(B216,Tot_res!C:D,2,FALSE)</f>
        <v>Ajuste por competencias atípicas forales: financiación provincias</v>
      </c>
      <c r="D216" s="179">
        <f>VLOOKUP(B216,Tot_res!C:V,3,FALSE)</f>
        <v>4193.4809500000001</v>
      </c>
      <c r="E216" s="179">
        <f>VLOOKUP(B216,Tot_res!C:V,4,FALSE)</f>
        <v>704.25920999999994</v>
      </c>
      <c r="F216" s="179">
        <f>VLOOKUP(B216,Tot_res!C:V,5,FALSE)</f>
        <v>632.91045999999994</v>
      </c>
      <c r="G216" s="179">
        <f>VLOOKUP(B216,Tot_res!C:V,6,FALSE)</f>
        <v>815.48788000000002</v>
      </c>
      <c r="H216" s="179">
        <f>VLOOKUP(B216,Tot_res!C:V,7,FALSE)</f>
        <v>1419.09302</v>
      </c>
      <c r="I216" s="179">
        <f>VLOOKUP(B216,Tot_res!C:V,8,FALSE)</f>
        <v>316.45211</v>
      </c>
      <c r="J216" s="179">
        <f>VLOOKUP(B216,Tot_res!C:V,9,FALSE)</f>
        <v>1844.30529</v>
      </c>
      <c r="K216" s="179">
        <f>VLOOKUP(B216,Tot_res!C:V,10,FALSE)</f>
        <v>1199.98207</v>
      </c>
      <c r="L216" s="179">
        <f>VLOOKUP(B216,Tot_res!C:V,11,FALSE)</f>
        <v>6422.1585400000004</v>
      </c>
      <c r="M216" s="179">
        <f>VLOOKUP(B216,Tot_res!C:V,12,FALSE)</f>
        <v>2304.1924399999998</v>
      </c>
      <c r="N216" s="179">
        <f>VLOOKUP(B216,Tot_res!C:V,13,FALSE)</f>
        <v>630.83006999999998</v>
      </c>
      <c r="O216" s="179">
        <f>VLOOKUP(B216,Tot_res!C:V,14,FALSE)</f>
        <v>1539.3030100000001</v>
      </c>
      <c r="P216" s="179">
        <f>VLOOKUP(B216,Tot_res!C:V,15,FALSE)</f>
        <v>4468.9451399999998</v>
      </c>
      <c r="Q216" s="179">
        <f>VLOOKUP(B216,Tot_res!C:V,16,FALSE)</f>
        <v>723.71117000000004</v>
      </c>
      <c r="R216" s="179">
        <f>VLOOKUP(B216,Tot_res!C:V,17,FALSE)</f>
        <v>341.06504999999999</v>
      </c>
      <c r="S216" s="179">
        <f>VLOOKUP(B216,Tot_res!C:V,18,FALSE)</f>
        <v>1257.3686399999999</v>
      </c>
      <c r="T216" s="179">
        <f>VLOOKUP(B216,Tot_res!C:V,19,FALSE)</f>
        <v>177.64564000000001</v>
      </c>
      <c r="U216" s="179">
        <f>VLOOKUP(B216,Tot_res!C:V,20,FALSE)</f>
        <v>252.18428999999998</v>
      </c>
      <c r="V216" s="122">
        <f t="shared" ref="V216:V224" si="44">SUM(D216:U216)</f>
        <v>29243.374979999997</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179">
        <f>VLOOKUP(B217,Tot_res!C:V,3,FALSE)</f>
        <v>961247.03779999993</v>
      </c>
      <c r="E217" s="179">
        <f>VLOOKUP(B217,Tot_res!C:V,4,FALSE)</f>
        <v>207723.59693000003</v>
      </c>
      <c r="F217" s="179">
        <f>VLOOKUP(B217,Tot_res!C:V,5,FALSE)</f>
        <v>184420.30161999998</v>
      </c>
      <c r="G217" s="179">
        <f>VLOOKUP(B217,Tot_res!C:V,6,FALSE)</f>
        <v>98833.805989999993</v>
      </c>
      <c r="H217" s="179">
        <f>VLOOKUP(B217,Tot_res!C:V,7,FALSE)</f>
        <v>359317.16297999996</v>
      </c>
      <c r="I217" s="179">
        <f>VLOOKUP(B217,Tot_res!C:V,8,FALSE)</f>
        <v>86.909960000000012</v>
      </c>
      <c r="J217" s="179">
        <f>VLOOKUP(B217,Tot_res!C:V,9,FALSE)</f>
        <v>549720.59645000007</v>
      </c>
      <c r="K217" s="179">
        <f>VLOOKUP(B217,Tot_res!C:V,10,FALSE)</f>
        <v>396324.12573999999</v>
      </c>
      <c r="L217" s="179">
        <f>VLOOKUP(B217,Tot_res!C:V,11,FALSE)</f>
        <v>735173.0976000001</v>
      </c>
      <c r="M217" s="179">
        <f>VLOOKUP(B217,Tot_res!C:V,12,FALSE)</f>
        <v>640802.35241000005</v>
      </c>
      <c r="N217" s="179">
        <f>VLOOKUP(B217,Tot_res!C:V,13,FALSE)</f>
        <v>253741.71028</v>
      </c>
      <c r="O217" s="179">
        <f>VLOOKUP(B217,Tot_res!C:V,14,FALSE)</f>
        <v>467976.84618999989</v>
      </c>
      <c r="P217" s="179">
        <f>VLOOKUP(B217,Tot_res!C:V,15,FALSE)</f>
        <v>15581.395339999999</v>
      </c>
      <c r="Q217" s="179">
        <f>VLOOKUP(B217,Tot_res!C:V,16,FALSE)</f>
        <v>181955.59239999999</v>
      </c>
      <c r="R217" s="179">
        <f>VLOOKUP(B217,Tot_res!C:V,17,FALSE)</f>
        <v>88.896910000000005</v>
      </c>
      <c r="S217" s="179">
        <f>VLOOKUP(B217,Tot_res!C:V,18,FALSE)</f>
        <v>263.78414000000004</v>
      </c>
      <c r="T217" s="179">
        <f>VLOOKUP(B217,Tot_res!C:V,19,FALSE)</f>
        <v>619.46564999999998</v>
      </c>
      <c r="U217" s="179">
        <f>VLOOKUP(B217,Tot_res!C:V,20,FALSE)</f>
        <v>11182.46616</v>
      </c>
      <c r="V217" s="122">
        <f t="shared" si="44"/>
        <v>5065059.1445500012</v>
      </c>
    </row>
    <row r="218" spans="1:22">
      <c r="A218" s="351" t="str">
        <f>IF(B218="","",(IF(ISERROR(MATCH(B218,Tot_res!C:C,0)),"Eliminar!!!","")))</f>
        <v/>
      </c>
      <c r="B218" s="102" t="s">
        <v>473</v>
      </c>
      <c r="C218" s="329" t="str">
        <f>VLOOKUP(B218,Tot_res!C:D,2,FALSE)</f>
        <v>Otros flujos de financiación local, reintegros parciales de saldos pendientes</v>
      </c>
      <c r="D218" s="179">
        <f>VLOOKUP(B218,Tot_res!C:V,3,FALSE)</f>
        <v>-45078.914839999998</v>
      </c>
      <c r="E218" s="179">
        <f>VLOOKUP(B218,Tot_res!C:V,4,FALSE)</f>
        <v>-17921.175719999999</v>
      </c>
      <c r="F218" s="179">
        <f>VLOOKUP(B218,Tot_res!C:V,5,FALSE)</f>
        <v>-5354.9541400000007</v>
      </c>
      <c r="G218" s="179">
        <f>VLOOKUP(B218,Tot_res!C:V,6,FALSE)</f>
        <v>-9564.5293800000018</v>
      </c>
      <c r="H218" s="179">
        <f>VLOOKUP(B218,Tot_res!C:V,7,FALSE)</f>
        <v>-14125.382070000001</v>
      </c>
      <c r="I218" s="179">
        <f>VLOOKUP(B218,Tot_res!C:V,8,FALSE)</f>
        <v>0</v>
      </c>
      <c r="J218" s="179">
        <f>VLOOKUP(B218,Tot_res!C:V,9,FALSE)</f>
        <v>-25269.177159999999</v>
      </c>
      <c r="K218" s="179">
        <f>VLOOKUP(B218,Tot_res!C:V,10,FALSE)</f>
        <v>-16360.390960000001</v>
      </c>
      <c r="L218" s="179">
        <f>VLOOKUP(B218,Tot_res!C:V,11,FALSE)</f>
        <v>-32904.689380000011</v>
      </c>
      <c r="M218" s="179">
        <f>VLOOKUP(B218,Tot_res!C:V,12,FALSE)</f>
        <v>-34457.63884</v>
      </c>
      <c r="N218" s="179">
        <f>VLOOKUP(B218,Tot_res!C:V,13,FALSE)</f>
        <v>-9524.9742500000066</v>
      </c>
      <c r="O218" s="179">
        <f>VLOOKUP(B218,Tot_res!C:V,14,FALSE)</f>
        <v>-20793.423800000004</v>
      </c>
      <c r="P218" s="179">
        <f>VLOOKUP(B218,Tot_res!C:V,15,FALSE)</f>
        <v>0</v>
      </c>
      <c r="Q218" s="179">
        <f>VLOOKUP(B218,Tot_res!C:V,16,FALSE)</f>
        <v>-5332.7871400000004</v>
      </c>
      <c r="R218" s="179">
        <f>VLOOKUP(B218,Tot_res!C:V,17,FALSE)</f>
        <v>-6.5670000000000019</v>
      </c>
      <c r="S218" s="179">
        <f>VLOOKUP(B218,Tot_res!C:V,18,FALSE)</f>
        <v>-18.975120000000004</v>
      </c>
      <c r="T218" s="179">
        <f>VLOOKUP(B218,Tot_res!C:V,19,FALSE)</f>
        <v>0</v>
      </c>
      <c r="U218" s="179">
        <f>VLOOKUP(B218,Tot_res!C:V,20,FALSE)</f>
        <v>-604.24451999999997</v>
      </c>
      <c r="V218" s="122">
        <f t="shared" si="44"/>
        <v>-237317.82431999999</v>
      </c>
    </row>
    <row r="219" spans="1:22">
      <c r="A219" s="351" t="str">
        <f>IF(B219="","",(IF(ISERROR(MATCH(B219,Tot_res!C:C,0)),"Eliminar!!!","")))</f>
        <v/>
      </c>
      <c r="B219" s="115" t="s">
        <v>231</v>
      </c>
      <c r="C219" s="329" t="str">
        <f>VLOOKUP(B219,Tot_res!C:D,2,FALSE)</f>
        <v>Hospitales provinciales asumidos por CCAA</v>
      </c>
      <c r="D219" s="179">
        <f>VLOOKUP(B219,Tot_res!C:V,3,FALSE)</f>
        <v>289050.20396745065</v>
      </c>
      <c r="E219" s="179">
        <f>VLOOKUP(B219,Tot_res!C:V,4,FALSE)</f>
        <v>31044.890232685575</v>
      </c>
      <c r="F219" s="179">
        <f>VLOOKUP(B219,Tot_res!C:V,5,FALSE)</f>
        <v>0</v>
      </c>
      <c r="G219" s="179">
        <f>VLOOKUP(B219,Tot_res!C:V,6,FALSE)</f>
        <v>21527.666607458905</v>
      </c>
      <c r="H219" s="179">
        <f>VLOOKUP(B219,Tot_res!C:V,7,FALSE)</f>
        <v>0</v>
      </c>
      <c r="I219" s="179">
        <f>VLOOKUP(B219,Tot_res!C:V,8,FALSE)</f>
        <v>0</v>
      </c>
      <c r="J219" s="179">
        <f>VLOOKUP(B219,Tot_res!C:V,9,FALSE)</f>
        <v>0</v>
      </c>
      <c r="K219" s="179">
        <f>VLOOKUP(B219,Tot_res!C:V,10,FALSE)</f>
        <v>0</v>
      </c>
      <c r="L219" s="179">
        <f>VLOOKUP(B219,Tot_res!C:V,11,FALSE)</f>
        <v>72839.363006209853</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0</v>
      </c>
      <c r="S219" s="179">
        <f>VLOOKUP(B219,Tot_res!C:V,18,FALSE)</f>
        <v>0</v>
      </c>
      <c r="T219" s="179">
        <f>VLOOKUP(B219,Tot_res!C:V,19,FALSE)</f>
        <v>0</v>
      </c>
      <c r="U219" s="179">
        <f>VLOOKUP(B219,Tot_res!C:V,20,FALSE)</f>
        <v>0</v>
      </c>
      <c r="V219" s="122">
        <f t="shared" si="44"/>
        <v>414462.123813805</v>
      </c>
    </row>
    <row r="220" spans="1:22">
      <c r="A220" s="351" t="str">
        <f>IF(B220="","",(IF(ISERROR(MATCH(B220,Tot_res!C:C,0)),"Eliminar!!!","")))</f>
        <v/>
      </c>
      <c r="B220" s="115" t="s">
        <v>232</v>
      </c>
      <c r="C220" s="329" t="str">
        <f>VLOOKUP(B220,Tot_res!C:D,2,FALSE)</f>
        <v>Participación provincial en ingresos del Estado integrada en Fondo de Suficiencia</v>
      </c>
      <c r="D220" s="179">
        <f>VLOOKUP(B220,Tot_res!C:V,3,FALSE)</f>
        <v>0</v>
      </c>
      <c r="E220" s="179">
        <f>VLOOKUP(B220,Tot_res!C:V,4,FALSE)</f>
        <v>0</v>
      </c>
      <c r="F220" s="179">
        <f>VLOOKUP(B220,Tot_res!C:V,5,FALSE)</f>
        <v>0</v>
      </c>
      <c r="G220" s="179">
        <f>VLOOKUP(B220,Tot_res!C:V,6,FALSE)</f>
        <v>0</v>
      </c>
      <c r="H220" s="179">
        <f>VLOOKUP(B220,Tot_res!C:V,7,FALSE)</f>
        <v>0</v>
      </c>
      <c r="I220" s="179">
        <f>VLOOKUP(B220,Tot_res!C:V,8,FALSE)</f>
        <v>101422.75395983316</v>
      </c>
      <c r="J220" s="179">
        <f>VLOOKUP(B220,Tot_res!C:V,9,FALSE)</f>
        <v>0</v>
      </c>
      <c r="K220" s="179">
        <f>VLOOKUP(B220,Tot_res!C:V,10,FALSE)</f>
        <v>0</v>
      </c>
      <c r="L220" s="179">
        <f>VLOOKUP(B220,Tot_res!C:V,11,FALSE)</f>
        <v>0</v>
      </c>
      <c r="M220" s="179">
        <f>VLOOKUP(B220,Tot_res!C:V,12,FALSE)</f>
        <v>0</v>
      </c>
      <c r="N220" s="179">
        <f>VLOOKUP(B220,Tot_res!C:V,13,FALSE)</f>
        <v>0</v>
      </c>
      <c r="O220" s="179">
        <f>VLOOKUP(B220,Tot_res!C:V,14,FALSE)</f>
        <v>0</v>
      </c>
      <c r="P220" s="179">
        <f>VLOOKUP(B220,Tot_res!C:V,15,FALSE)</f>
        <v>747898.53940943605</v>
      </c>
      <c r="Q220" s="179">
        <f>VLOOKUP(B220,Tot_res!C:V,16,FALSE)</f>
        <v>0</v>
      </c>
      <c r="R220" s="179">
        <f>VLOOKUP(B220,Tot_res!C:V,17,FALSE)</f>
        <v>0</v>
      </c>
      <c r="S220" s="179">
        <f>VLOOKUP(B220,Tot_res!C:V,18,FALSE)</f>
        <v>0</v>
      </c>
      <c r="T220" s="179">
        <f>VLOOKUP(B220,Tot_res!C:V,19,FALSE)</f>
        <v>51171.777503409525</v>
      </c>
      <c r="U220" s="179">
        <f>VLOOKUP(B220,Tot_res!C:V,20,FALSE)</f>
        <v>0</v>
      </c>
      <c r="V220" s="122">
        <f t="shared" si="44"/>
        <v>900493.07087267877</v>
      </c>
    </row>
    <row r="221" spans="1:22">
      <c r="A221" s="351" t="str">
        <f>IF(B221="","",(IF(ISERROR(MATCH(B221,Tot_res!C:C,0)),"Eliminar!!!","")))</f>
        <v/>
      </c>
      <c r="B221" s="115" t="s">
        <v>233</v>
      </c>
      <c r="C221" s="329" t="str">
        <f>VLOOKUP(B221,Tot_res!C:D,2,FALSE)</f>
        <v>Participación de las provincias en el IRPF, IVA e Impuestos Especiales</v>
      </c>
      <c r="D221" s="179">
        <f>VLOOKUP(B221,Tot_res!C:V,3,FALSE)</f>
        <v>140101.05802</v>
      </c>
      <c r="E221" s="179">
        <f>VLOOKUP(B221,Tot_res!C:V,4,FALSE)</f>
        <v>31181.560939999996</v>
      </c>
      <c r="F221" s="179">
        <f>VLOOKUP(B221,Tot_res!C:V,5,FALSE)</f>
        <v>24335.908159999999</v>
      </c>
      <c r="G221" s="179">
        <f>VLOOKUP(B221,Tot_res!C:V,6,FALSE)</f>
        <v>30188.304780000002</v>
      </c>
      <c r="H221" s="179">
        <f>VLOOKUP(B221,Tot_res!C:V,7,FALSE)</f>
        <v>13817.01268</v>
      </c>
      <c r="I221" s="179">
        <f>VLOOKUP(B221,Tot_res!C:V,8,FALSE)</f>
        <v>0</v>
      </c>
      <c r="J221" s="179">
        <f>VLOOKUP(B221,Tot_res!C:V,9,FALSE)</f>
        <v>54826.598489999997</v>
      </c>
      <c r="K221" s="179">
        <f>VLOOKUP(B221,Tot_res!C:V,10,FALSE)</f>
        <v>37245.10766999999</v>
      </c>
      <c r="L221" s="179">
        <f>VLOOKUP(B221,Tot_res!C:V,11,FALSE)</f>
        <v>190976.75329999998</v>
      </c>
      <c r="M221" s="179">
        <f>VLOOKUP(B221,Tot_res!C:V,12,FALSE)</f>
        <v>96437.406130000032</v>
      </c>
      <c r="N221" s="179">
        <f>VLOOKUP(B221,Tot_res!C:V,13,FALSE)</f>
        <v>17993.695430000003</v>
      </c>
      <c r="O221" s="179">
        <f>VLOOKUP(B221,Tot_res!C:V,14,FALSE)</f>
        <v>55472.720150000008</v>
      </c>
      <c r="P221" s="179">
        <f>VLOOKUP(B221,Tot_res!C:V,15,FALSE)</f>
        <v>0</v>
      </c>
      <c r="Q221" s="179">
        <f>VLOOKUP(B221,Tot_res!C:V,16,FALSE)</f>
        <v>25436.433589999997</v>
      </c>
      <c r="R221" s="179">
        <f>VLOOKUP(B221,Tot_res!C:V,17,FALSE)</f>
        <v>0</v>
      </c>
      <c r="S221" s="179">
        <f>VLOOKUP(B221,Tot_res!C:V,18,FALSE)</f>
        <v>0</v>
      </c>
      <c r="T221" s="179">
        <f>VLOOKUP(B221,Tot_res!C:V,19,FALSE)</f>
        <v>0</v>
      </c>
      <c r="U221" s="179">
        <f>VLOOKUP(B221,Tot_res!C:V,20,FALSE)</f>
        <v>0</v>
      </c>
      <c r="V221" s="122">
        <f t="shared" si="44"/>
        <v>718012.55933999992</v>
      </c>
    </row>
    <row r="222" spans="1:22">
      <c r="A222" s="351" t="str">
        <f>IF(B222="","",(IF(ISERROR(MATCH(B222,Tot_res!C:C,0)),"Eliminar!!!","")))</f>
        <v/>
      </c>
      <c r="B222" s="115" t="s">
        <v>724</v>
      </c>
      <c r="C222" s="329" t="str">
        <f>VLOOKUP(B222,Tot_res!C:D,2,FALSE)</f>
        <v>Recursos REF de los cabildos canarios</v>
      </c>
      <c r="D222" s="179">
        <f>VLOOKUP(B222,Tot_res!C:V,3,FALSE)</f>
        <v>0</v>
      </c>
      <c r="E222" s="179">
        <f>VLOOKUP(B222,Tot_res!C:V,4,FALSE)</f>
        <v>0</v>
      </c>
      <c r="F222" s="179">
        <f>VLOOKUP(B222,Tot_res!C:V,5,FALSE)</f>
        <v>0</v>
      </c>
      <c r="G222" s="179">
        <f>VLOOKUP(B222,Tot_res!C:V,6,FALSE)</f>
        <v>0</v>
      </c>
      <c r="H222" s="179">
        <f>VLOOKUP(B222,Tot_res!C:V,7,FALSE)</f>
        <v>455964.45317660685</v>
      </c>
      <c r="I222" s="179">
        <f>VLOOKUP(B222,Tot_res!C:V,8,FALSE)</f>
        <v>0</v>
      </c>
      <c r="J222" s="179">
        <f>VLOOKUP(B222,Tot_res!C:V,9,FALSE)</f>
        <v>0</v>
      </c>
      <c r="K222" s="179">
        <f>VLOOKUP(B222,Tot_res!C:V,10,FALSE)</f>
        <v>0</v>
      </c>
      <c r="L222" s="179">
        <f>VLOOKUP(B222,Tot_res!C:V,11,FALSE)</f>
        <v>0</v>
      </c>
      <c r="M222" s="179">
        <f>VLOOKUP(B222,Tot_res!C:V,12,FALSE)</f>
        <v>0</v>
      </c>
      <c r="N222" s="179">
        <f>VLOOKUP(B222,Tot_res!C:V,13,FALSE)</f>
        <v>0</v>
      </c>
      <c r="O222" s="179">
        <f>VLOOKUP(B222,Tot_res!C:V,14,FALSE)</f>
        <v>0</v>
      </c>
      <c r="P222" s="179">
        <f>VLOOKUP(B222,Tot_res!C:V,15,FALSE)</f>
        <v>0</v>
      </c>
      <c r="Q222" s="179">
        <f>VLOOKUP(B222,Tot_res!C:V,16,FALSE)</f>
        <v>0</v>
      </c>
      <c r="R222" s="179">
        <f>VLOOKUP(B222,Tot_res!C:V,17,FALSE)</f>
        <v>0</v>
      </c>
      <c r="S222" s="179">
        <f>VLOOKUP(B222,Tot_res!C:V,18,FALSE)</f>
        <v>0</v>
      </c>
      <c r="T222" s="179">
        <f>VLOOKUP(B222,Tot_res!C:V,19,FALSE)</f>
        <v>0</v>
      </c>
      <c r="U222" s="179">
        <f>VLOOKUP(B222,Tot_res!C:V,20,FALSE)</f>
        <v>0</v>
      </c>
      <c r="V222" s="122">
        <f t="shared" si="44"/>
        <v>455964.45317660685</v>
      </c>
    </row>
    <row r="223" spans="1:22">
      <c r="A223" s="351" t="str">
        <f>IF(B223="","",(IF(ISERROR(MATCH(B223,Tot_res!C:C,0)),"Eliminar!!!","")))</f>
        <v/>
      </c>
      <c r="B223" s="115" t="s">
        <v>236</v>
      </c>
      <c r="C223" s="329" t="str">
        <f>VLOOKUP(B223,Tot_res!C:D,2,FALSE)</f>
        <v>Recargo provincial sobre el IAE</v>
      </c>
      <c r="D223" s="179">
        <f>VLOOKUP(B223,Tot_res!C:V,3,FALSE)</f>
        <v>30093.0363</v>
      </c>
      <c r="E223" s="179">
        <f>VLOOKUP(B223,Tot_res!C:V,4,FALSE)</f>
        <v>9300.9604999999992</v>
      </c>
      <c r="F223" s="179">
        <f>VLOOKUP(B223,Tot_res!C:V,5,FALSE)</f>
        <v>7596.3000400000001</v>
      </c>
      <c r="G223" s="179">
        <f>VLOOKUP(B223,Tot_res!C:V,6,FALSE)</f>
        <v>3738.3456000000001</v>
      </c>
      <c r="H223" s="179">
        <f>VLOOKUP(B223,Tot_res!C:V,7,FALSE)</f>
        <v>5311.6262000000006</v>
      </c>
      <c r="I223" s="179">
        <f>VLOOKUP(B223,Tot_res!C:V,8,FALSE)</f>
        <v>997.94664999999998</v>
      </c>
      <c r="J223" s="179">
        <f>VLOOKUP(B223,Tot_res!C:V,9,FALSE)</f>
        <v>14857.1059</v>
      </c>
      <c r="K223" s="179">
        <f>VLOOKUP(B223,Tot_res!C:V,10,FALSE)</f>
        <v>8509.0969000000005</v>
      </c>
      <c r="L223" s="179">
        <f>VLOOKUP(B223,Tot_res!C:V,11,FALSE)</f>
        <v>33751.919099999999</v>
      </c>
      <c r="M223" s="179">
        <f>VLOOKUP(B223,Tot_res!C:V,12,FALSE)</f>
        <v>21223.947800000002</v>
      </c>
      <c r="N223" s="179">
        <f>VLOOKUP(B223,Tot_res!C:V,13,FALSE)</f>
        <v>5136.2062000000005</v>
      </c>
      <c r="O223" s="179">
        <f>VLOOKUP(B223,Tot_res!C:V,14,FALSE)</f>
        <v>14448.834699999999</v>
      </c>
      <c r="P223" s="179">
        <f>VLOOKUP(B223,Tot_res!C:V,15,FALSE)</f>
        <v>25210.643660000002</v>
      </c>
      <c r="Q223" s="179">
        <f>VLOOKUP(B223,Tot_res!C:V,16,FALSE)</f>
        <v>3476.3725399999998</v>
      </c>
      <c r="R223" s="179">
        <f>VLOOKUP(B223,Tot_res!C:V,17,FALSE)</f>
        <v>0</v>
      </c>
      <c r="S223" s="179">
        <f>VLOOKUP(B223,Tot_res!C:V,18,FALSE)</f>
        <v>3762.9328999999998</v>
      </c>
      <c r="T223" s="179">
        <f>VLOOKUP(B223,Tot_res!C:V,19,FALSE)</f>
        <v>1271.7271000000001</v>
      </c>
      <c r="U223" s="179">
        <f>VLOOKUP(B223,Tot_res!C:V,20,FALSE)</f>
        <v>0</v>
      </c>
      <c r="V223" s="122">
        <f t="shared" si="44"/>
        <v>188687.00209000005</v>
      </c>
    </row>
    <row r="224" spans="1:22">
      <c r="A224" s="351" t="str">
        <f>IF(B224="","",(IF(ISERROR(MATCH(B224,Tot_res!C:C,0)),"Eliminar!!!","")))</f>
        <v/>
      </c>
      <c r="B224" s="115" t="s">
        <v>222</v>
      </c>
      <c r="C224" s="329" t="str">
        <f>VLOOKUP(B224,Tot_res!C:D,2,FALSE)</f>
        <v>Ajuste por competencias atípicas forales: financiación provincias</v>
      </c>
      <c r="D224" s="179">
        <f>VLOOKUP(B224,Tot_res!C:V,3,FALSE)</f>
        <v>0</v>
      </c>
      <c r="E224" s="179">
        <f>VLOOKUP(B224,Tot_res!C:V,4,FALSE)</f>
        <v>0</v>
      </c>
      <c r="F224" s="179">
        <f>VLOOKUP(B224,Tot_res!C:V,5,FALSE)</f>
        <v>0</v>
      </c>
      <c r="G224" s="179">
        <f>VLOOKUP(B224,Tot_res!C:V,6,FALSE)</f>
        <v>0</v>
      </c>
      <c r="H224" s="179">
        <f>VLOOKUP(B224,Tot_res!C:V,7,FALSE)</f>
        <v>0</v>
      </c>
      <c r="I224" s="179">
        <f>VLOOKUP(B224,Tot_res!C:V,8,FALSE)</f>
        <v>0</v>
      </c>
      <c r="J224" s="179">
        <f>VLOOKUP(B224,Tot_res!C:V,9,FALSE)</f>
        <v>0</v>
      </c>
      <c r="K224" s="179">
        <f>VLOOKUP(B224,Tot_res!C:V,10,FALSE)</f>
        <v>0</v>
      </c>
      <c r="L224" s="179">
        <f>VLOOKUP(B224,Tot_res!C:V,11,FALSE)</f>
        <v>0</v>
      </c>
      <c r="M224" s="179">
        <f>VLOOKUP(B224,Tot_res!C:V,12,FALSE)</f>
        <v>0</v>
      </c>
      <c r="N224" s="179">
        <f>VLOOKUP(B224,Tot_res!C:V,13,FALSE)</f>
        <v>0</v>
      </c>
      <c r="O224" s="179">
        <f>VLOOKUP(B224,Tot_res!C:V,14,FALSE)</f>
        <v>0</v>
      </c>
      <c r="P224" s="179">
        <f>VLOOKUP(B224,Tot_res!C:V,15,FALSE)</f>
        <v>0</v>
      </c>
      <c r="Q224" s="179">
        <f>VLOOKUP(B224,Tot_res!C:V,16,FALSE)</f>
        <v>0</v>
      </c>
      <c r="R224" s="179">
        <f>VLOOKUP(B224,Tot_res!C:V,17,FALSE)</f>
        <v>100104.05402219974</v>
      </c>
      <c r="S224" s="179">
        <f>VLOOKUP(B224,Tot_res!C:V,18,FALSE)</f>
        <v>342104.26912621013</v>
      </c>
      <c r="T224" s="179">
        <f>VLOOKUP(B224,Tot_res!C:V,19,FALSE)</f>
        <v>0</v>
      </c>
      <c r="U224" s="179">
        <f>VLOOKUP(B224,Tot_res!C:V,20,FALSE)</f>
        <v>0</v>
      </c>
      <c r="V224" s="122">
        <f t="shared" si="44"/>
        <v>442208.32314840984</v>
      </c>
    </row>
    <row r="225" spans="1:23">
      <c r="A225" s="352"/>
      <c r="B225" s="115"/>
      <c r="C225" s="102"/>
      <c r="D225" s="105"/>
      <c r="E225" s="105"/>
      <c r="F225" s="105"/>
      <c r="G225" s="105"/>
      <c r="H225" s="105"/>
      <c r="I225" s="105"/>
      <c r="J225" s="105"/>
      <c r="K225" s="105"/>
      <c r="L225" s="105"/>
      <c r="M225" s="105"/>
      <c r="N225" s="105"/>
      <c r="O225" s="105"/>
      <c r="P225" s="105"/>
      <c r="Q225" s="105"/>
      <c r="R225" s="105"/>
      <c r="S225" s="105"/>
      <c r="T225" s="105"/>
      <c r="U225" s="105"/>
      <c r="V225" s="122"/>
    </row>
    <row r="226" spans="1:23" ht="13.5">
      <c r="A226" s="352"/>
      <c r="B226" s="115"/>
      <c r="C226" s="128" t="s">
        <v>110</v>
      </c>
      <c r="D226" s="144">
        <f t="shared" ref="D226:U226" si="45">SUM(D227:D235)</f>
        <v>5560594.3902292559</v>
      </c>
      <c r="E226" s="144">
        <f t="shared" si="45"/>
        <v>1088299.3819646125</v>
      </c>
      <c r="F226" s="144">
        <f t="shared" si="45"/>
        <v>732712.49019348726</v>
      </c>
      <c r="G226" s="144">
        <f t="shared" si="45"/>
        <v>984989.42143223202</v>
      </c>
      <c r="H226" s="144">
        <f t="shared" si="45"/>
        <v>1553859.4272005365</v>
      </c>
      <c r="I226" s="144">
        <f t="shared" si="45"/>
        <v>451179.58311417676</v>
      </c>
      <c r="J226" s="144">
        <f t="shared" si="45"/>
        <v>1703970.5512488494</v>
      </c>
      <c r="K226" s="144">
        <f t="shared" si="45"/>
        <v>1345810.0588458371</v>
      </c>
      <c r="L226" s="144">
        <f t="shared" si="45"/>
        <v>7140242.1258236729</v>
      </c>
      <c r="M226" s="144">
        <f t="shared" si="45"/>
        <v>3640752.6246505347</v>
      </c>
      <c r="N226" s="144">
        <f t="shared" si="45"/>
        <v>590917.32623294077</v>
      </c>
      <c r="O226" s="144">
        <f t="shared" si="45"/>
        <v>1597924.8122306729</v>
      </c>
      <c r="P226" s="144">
        <f t="shared" si="45"/>
        <v>6403629.3069713842</v>
      </c>
      <c r="Q226" s="144">
        <f t="shared" si="45"/>
        <v>976571.58120780997</v>
      </c>
      <c r="R226" s="144">
        <f t="shared" si="45"/>
        <v>538896.82984832744</v>
      </c>
      <c r="S226" s="144">
        <f t="shared" si="45"/>
        <v>1661465.2719095068</v>
      </c>
      <c r="T226" s="144">
        <f t="shared" si="45"/>
        <v>233762.94812513384</v>
      </c>
      <c r="U226" s="144">
        <f t="shared" si="45"/>
        <v>67681.269604216403</v>
      </c>
      <c r="V226" s="139">
        <f>SUM(V227:V235)</f>
        <v>36273259.400833189</v>
      </c>
    </row>
    <row r="227" spans="1:23">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179">
        <f>VLOOKUP(B227,Tot_res!C:V,3,FALSE)</f>
        <v>1896421.3893200001</v>
      </c>
      <c r="E227" s="179">
        <f>VLOOKUP(B227,Tot_res!C:V,4,FALSE)</f>
        <v>348887.51868999994</v>
      </c>
      <c r="F227" s="179">
        <f>VLOOKUP(B227,Tot_res!C:V,5,FALSE)</f>
        <v>214803.30610000005</v>
      </c>
      <c r="G227" s="179">
        <f>VLOOKUP(B227,Tot_res!C:V,6,FALSE)</f>
        <v>214244.50038000004</v>
      </c>
      <c r="H227" s="179">
        <f>VLOOKUP(B227,Tot_res!C:V,7,FALSE)</f>
        <v>440348.41409000003</v>
      </c>
      <c r="I227" s="179">
        <f>VLOOKUP(B227,Tot_res!C:V,8,FALSE)</f>
        <v>116759.49028999997</v>
      </c>
      <c r="J227" s="179">
        <f>VLOOKUP(B227,Tot_res!C:V,9,FALSE)</f>
        <v>474845.03211999999</v>
      </c>
      <c r="K227" s="179">
        <f>VLOOKUP(B227,Tot_res!C:V,10,FALSE)</f>
        <v>368191.50471999997</v>
      </c>
      <c r="L227" s="179">
        <f>VLOOKUP(B227,Tot_res!C:V,11,FALSE)</f>
        <v>2190101.1392300008</v>
      </c>
      <c r="M227" s="179">
        <f>VLOOKUP(B227,Tot_res!C:V,12,FALSE)</f>
        <v>1130332.4027699998</v>
      </c>
      <c r="N227" s="179">
        <f>VLOOKUP(B227,Tot_res!C:V,13,FALSE)</f>
        <v>197807.15502000001</v>
      </c>
      <c r="O227" s="179">
        <f>VLOOKUP(B227,Tot_res!C:V,14,FALSE)</f>
        <v>531257.98522999999</v>
      </c>
      <c r="P227" s="179">
        <f>VLOOKUP(B227,Tot_res!C:V,15,FALSE)</f>
        <v>1979989.3377500002</v>
      </c>
      <c r="Q227" s="179">
        <f>VLOOKUP(B227,Tot_res!C:V,16,FALSE)</f>
        <v>277415.21229</v>
      </c>
      <c r="R227" s="179">
        <f>VLOOKUP(B227,Tot_res!C:V,17,FALSE)</f>
        <v>775.4898300000001</v>
      </c>
      <c r="S227" s="179">
        <f>VLOOKUP(B227,Tot_res!C:V,18,FALSE)</f>
        <v>2753.9049699999996</v>
      </c>
      <c r="T227" s="179">
        <f>VLOOKUP(B227,Tot_res!C:V,19,FALSE)</f>
        <v>59274.023760000026</v>
      </c>
      <c r="U227" s="179">
        <f>VLOOKUP(B227,Tot_res!C:V,20,FALSE)</f>
        <v>36077.282909999994</v>
      </c>
      <c r="V227" s="122">
        <f t="shared" ref="V227:V235" si="46">SUM(D227:U227)</f>
        <v>10480285.089470003</v>
      </c>
    </row>
    <row r="228" spans="1:23">
      <c r="A228" s="351" t="str">
        <f>IF(B228="","",(IF(ISERROR(MATCH(B228,Tot_res!C:C,0)),"Eliminar!!!","")))</f>
        <v/>
      </c>
      <c r="B228" s="102" t="s">
        <v>474</v>
      </c>
      <c r="C228" s="329" t="str">
        <f>VLOOKUP(B228,Tot_res!C:D,2,FALSE)</f>
        <v>Otros flujos de financiación local, para reintegros parciales saldos pendientes</v>
      </c>
      <c r="D228" s="179">
        <f>VLOOKUP(B228,Tot_res!C:V,3,FALSE)</f>
        <v>-71085.570520000008</v>
      </c>
      <c r="E228" s="179">
        <f>VLOOKUP(B228,Tot_res!C:V,4,FALSE)</f>
        <v>-13645.188539999999</v>
      </c>
      <c r="F228" s="179">
        <f>VLOOKUP(B228,Tot_res!C:V,5,FALSE)</f>
        <v>-13136.758229999999</v>
      </c>
      <c r="G228" s="179">
        <f>VLOOKUP(B228,Tot_res!C:V,6,FALSE)</f>
        <v>-7821.0517599999976</v>
      </c>
      <c r="H228" s="179">
        <f>VLOOKUP(B228,Tot_res!C:V,7,FALSE)</f>
        <v>-19448.929250000001</v>
      </c>
      <c r="I228" s="179">
        <f>VLOOKUP(B228,Tot_res!C:V,8,FALSE)</f>
        <v>-4241.4774799999996</v>
      </c>
      <c r="J228" s="179">
        <f>VLOOKUP(B228,Tot_res!C:V,9,FALSE)</f>
        <v>-17457.586269999996</v>
      </c>
      <c r="K228" s="179">
        <f>VLOOKUP(B228,Tot_res!C:V,10,FALSE)</f>
        <v>-12716.941849999999</v>
      </c>
      <c r="L228" s="179">
        <f>VLOOKUP(B228,Tot_res!C:V,11,FALSE)</f>
        <v>-85977.826279999979</v>
      </c>
      <c r="M228" s="179">
        <f>VLOOKUP(B228,Tot_res!C:V,12,FALSE)</f>
        <v>-41694.052769999995</v>
      </c>
      <c r="N228" s="179">
        <f>VLOOKUP(B228,Tot_res!C:V,13,FALSE)</f>
        <v>-8452.6231700000008</v>
      </c>
      <c r="O228" s="179">
        <f>VLOOKUP(B228,Tot_res!C:V,14,FALSE)</f>
        <v>-24965.344380000006</v>
      </c>
      <c r="P228" s="179">
        <f>VLOOKUP(B228,Tot_res!C:V,15,FALSE)</f>
        <v>-85934.926850000018</v>
      </c>
      <c r="Q228" s="179">
        <f>VLOOKUP(B228,Tot_res!C:V,16,FALSE)</f>
        <v>-13296.028960000001</v>
      </c>
      <c r="R228" s="179">
        <f>VLOOKUP(B228,Tot_res!C:V,17,FALSE)</f>
        <v>-9.3577000000000012</v>
      </c>
      <c r="S228" s="179">
        <f>VLOOKUP(B228,Tot_res!C:V,18,FALSE)</f>
        <v>-24.945959999999999</v>
      </c>
      <c r="T228" s="179">
        <f>VLOOKUP(B228,Tot_res!C:V,19,FALSE)</f>
        <v>-2456.7978200000002</v>
      </c>
      <c r="U228" s="179">
        <f>VLOOKUP(B228,Tot_res!C:V,20,FALSE)</f>
        <v>-1675.29936</v>
      </c>
      <c r="V228" s="122">
        <f t="shared" si="46"/>
        <v>-424040.70714999997</v>
      </c>
    </row>
    <row r="229" spans="1:23">
      <c r="A229" s="351" t="str">
        <f>IF(B229="","",(IF(ISERROR(MATCH(B229,Tot_res!C:C,0)),"Eliminar!!!","")))</f>
        <v/>
      </c>
      <c r="B229" s="115" t="s">
        <v>239</v>
      </c>
      <c r="C229" s="329" t="str">
        <f>VLOOKUP(B229,Tot_res!C:D,2,FALSE)</f>
        <v>Participacón de los municipios en el IRPF, IVA e Impuestos Especiales</v>
      </c>
      <c r="D229" s="179">
        <f>VLOOKUP(B229,Tot_res!C:V,3,FALSE)</f>
        <v>110946.32561</v>
      </c>
      <c r="E229" s="179">
        <f>VLOOKUP(B229,Tot_res!C:V,4,FALSE)</f>
        <v>32357.303090000001</v>
      </c>
      <c r="F229" s="179">
        <f>VLOOKUP(B229,Tot_res!C:V,5,FALSE)</f>
        <v>23875.74237</v>
      </c>
      <c r="G229" s="179">
        <f>VLOOKUP(B229,Tot_res!C:V,6,FALSE)</f>
        <v>18930.139940000001</v>
      </c>
      <c r="H229" s="179">
        <f>VLOOKUP(B229,Tot_res!C:V,7,FALSE)</f>
        <v>12336.618969999998</v>
      </c>
      <c r="I229" s="179">
        <f>VLOOKUP(B229,Tot_res!C:V,8,FALSE)</f>
        <v>7123.525059999999</v>
      </c>
      <c r="J229" s="179">
        <f>VLOOKUP(B229,Tot_res!C:V,9,FALSE)</f>
        <v>43730.266729999996</v>
      </c>
      <c r="K229" s="179">
        <f>VLOOKUP(B229,Tot_res!C:V,10,FALSE)</f>
        <v>18918.982659999998</v>
      </c>
      <c r="L229" s="179">
        <f>VLOOKUP(B229,Tot_res!C:V,11,FALSE)</f>
        <v>161401.41738999996</v>
      </c>
      <c r="M229" s="179">
        <f>VLOOKUP(B229,Tot_res!C:V,12,FALSE)</f>
        <v>63844.297390000007</v>
      </c>
      <c r="N229" s="179">
        <f>VLOOKUP(B229,Tot_res!C:V,13,FALSE)</f>
        <v>9873.7317399999993</v>
      </c>
      <c r="O229" s="179">
        <f>VLOOKUP(B229,Tot_res!C:V,14,FALSE)</f>
        <v>36338.937039999997</v>
      </c>
      <c r="P229" s="179">
        <f>VLOOKUP(B229,Tot_res!C:V,15,FALSE)</f>
        <v>256012.15713000001</v>
      </c>
      <c r="Q229" s="179">
        <f>VLOOKUP(B229,Tot_res!C:V,16,FALSE)</f>
        <v>23091.404849999999</v>
      </c>
      <c r="R229" s="179">
        <f>VLOOKUP(B229,Tot_res!C:V,17,FALSE)</f>
        <v>0</v>
      </c>
      <c r="S229" s="179">
        <f>VLOOKUP(B229,Tot_res!C:V,18,FALSE)</f>
        <v>0</v>
      </c>
      <c r="T229" s="179">
        <f>VLOOKUP(B229,Tot_res!C:V,19,FALSE)</f>
        <v>6106.2141500000007</v>
      </c>
      <c r="U229" s="179">
        <f>VLOOKUP(B229,Tot_res!C:V,20,FALSE)</f>
        <v>0</v>
      </c>
      <c r="V229" s="122">
        <f t="shared" si="46"/>
        <v>824887.06412000011</v>
      </c>
    </row>
    <row r="230" spans="1:23">
      <c r="A230" s="351" t="str">
        <f>IF(B230="","",(IF(ISERROR(MATCH(B230,Tot_res!C:C,0)),"Eliminar!!!","")))</f>
        <v/>
      </c>
      <c r="B230" s="115" t="s">
        <v>240</v>
      </c>
      <c r="C230" s="329" t="str">
        <f>VLOOKUP(B230,Tot_res!C:D,2,FALSE)</f>
        <v>Impuestos municipales</v>
      </c>
      <c r="D230" s="179">
        <f>VLOOKUP(B230,Tot_res!C:V,3,FALSE)</f>
        <v>2607053.21</v>
      </c>
      <c r="E230" s="179">
        <f>VLOOKUP(B230,Tot_res!C:V,4,FALSE)</f>
        <v>481678.73000000004</v>
      </c>
      <c r="F230" s="179">
        <f>VLOOKUP(B230,Tot_res!C:V,5,FALSE)</f>
        <v>375911.12</v>
      </c>
      <c r="G230" s="179">
        <f>VLOOKUP(B230,Tot_res!C:V,6,FALSE)</f>
        <v>496526.46</v>
      </c>
      <c r="H230" s="179">
        <f>VLOOKUP(B230,Tot_res!C:V,7,FALSE)</f>
        <v>588986.62000000011</v>
      </c>
      <c r="I230" s="179">
        <f>VLOOKUP(B230,Tot_res!C:V,8,FALSE)</f>
        <v>233233.04</v>
      </c>
      <c r="J230" s="179">
        <f>VLOOKUP(B230,Tot_res!C:V,9,FALSE)</f>
        <v>838453.81</v>
      </c>
      <c r="K230" s="179">
        <f>VLOOKUP(B230,Tot_res!C:V,10,FALSE)</f>
        <v>662812.07999999996</v>
      </c>
      <c r="L230" s="179">
        <f>VLOOKUP(B230,Tot_res!C:V,11,FALSE)</f>
        <v>3540020.74</v>
      </c>
      <c r="M230" s="179">
        <f>VLOOKUP(B230,Tot_res!C:V,12,FALSE)</f>
        <v>1878719.6099999999</v>
      </c>
      <c r="N230" s="179">
        <f>VLOOKUP(B230,Tot_res!C:V,13,FALSE)</f>
        <v>265523.37</v>
      </c>
      <c r="O230" s="179">
        <f>VLOOKUP(B230,Tot_res!C:V,14,FALSE)</f>
        <v>713407.41999999993</v>
      </c>
      <c r="P230" s="179">
        <f>VLOOKUP(B230,Tot_res!C:V,15,FALSE)</f>
        <v>3339451.1799999997</v>
      </c>
      <c r="Q230" s="179">
        <f>VLOOKUP(B230,Tot_res!C:V,16,FALSE)</f>
        <v>487547.86000000004</v>
      </c>
      <c r="R230" s="179">
        <f>VLOOKUP(B230,Tot_res!C:V,17,FALSE)</f>
        <v>215975.75186186782</v>
      </c>
      <c r="S230" s="179">
        <f>VLOOKUP(B230,Tot_res!C:V,18,FALSE)</f>
        <v>627851.28299999994</v>
      </c>
      <c r="T230" s="179">
        <f>VLOOKUP(B230,Tot_res!C:V,19,FALSE)</f>
        <v>107747.35999999999</v>
      </c>
      <c r="U230" s="179">
        <f>VLOOKUP(B230,Tot_res!C:V,20,FALSE)</f>
        <v>20128.780510000001</v>
      </c>
      <c r="V230" s="122">
        <f t="shared" si="46"/>
        <v>17481028.425371867</v>
      </c>
    </row>
    <row r="231" spans="1:23">
      <c r="A231" s="351" t="str">
        <f>IF(B231="","",(IF(ISERROR(MATCH(B231,Tot_res!C:C,0)),"Eliminar!!!","")))</f>
        <v/>
      </c>
      <c r="B231" s="115" t="s">
        <v>241</v>
      </c>
      <c r="C231" s="329" t="str">
        <f>VLOOKUP(B231,Tot_res!C:D,2,FALSE)</f>
        <v>Tasas municipales</v>
      </c>
      <c r="D231" s="179">
        <f>VLOOKUP(B231,Tot_res!C:V,3,FALSE)</f>
        <v>991650.09</v>
      </c>
      <c r="E231" s="179">
        <f>VLOOKUP(B231,Tot_res!C:V,4,FALSE)</f>
        <v>235150.92</v>
      </c>
      <c r="F231" s="179">
        <f>VLOOKUP(B231,Tot_res!C:V,5,FALSE)</f>
        <v>130058.59</v>
      </c>
      <c r="G231" s="179">
        <f>VLOOKUP(B231,Tot_res!C:V,6,FALSE)</f>
        <v>262131.63</v>
      </c>
      <c r="H231" s="179">
        <f>VLOOKUP(B231,Tot_res!C:V,7,FALSE)</f>
        <v>273485.96000000002</v>
      </c>
      <c r="I231" s="179">
        <f>VLOOKUP(B231,Tot_res!C:V,8,FALSE)</f>
        <v>97042.98</v>
      </c>
      <c r="J231" s="179">
        <f>VLOOKUP(B231,Tot_res!C:V,9,FALSE)</f>
        <v>358930.24</v>
      </c>
      <c r="K231" s="179">
        <f>VLOOKUP(B231,Tot_res!C:V,10,FALSE)</f>
        <v>306431.45</v>
      </c>
      <c r="L231" s="179">
        <f>VLOOKUP(B231,Tot_res!C:V,11,FALSE)</f>
        <v>1319232.68</v>
      </c>
      <c r="M231" s="179">
        <f>VLOOKUP(B231,Tot_res!C:V,12,FALSE)</f>
        <v>597301.62</v>
      </c>
      <c r="N231" s="179">
        <f>VLOOKUP(B231,Tot_res!C:V,13,FALSE)</f>
        <v>124468.33</v>
      </c>
      <c r="O231" s="179">
        <f>VLOOKUP(B231,Tot_res!C:V,14,FALSE)</f>
        <v>339141.96</v>
      </c>
      <c r="P231" s="179">
        <f>VLOOKUP(B231,Tot_res!C:V,15,FALSE)</f>
        <v>903182.6</v>
      </c>
      <c r="Q231" s="179">
        <f>VLOOKUP(B231,Tot_res!C:V,16,FALSE)</f>
        <v>188777.63</v>
      </c>
      <c r="R231" s="179">
        <f>VLOOKUP(B231,Tot_res!C:V,17,FALSE)</f>
        <v>162620.34962724376</v>
      </c>
      <c r="S231" s="179">
        <f>VLOOKUP(B231,Tot_res!C:V,18,FALSE)</f>
        <v>485846.87300000002</v>
      </c>
      <c r="T231" s="179">
        <f>VLOOKUP(B231,Tot_res!C:V,19,FALSE)</f>
        <v>62247.07</v>
      </c>
      <c r="U231" s="179">
        <f>VLOOKUP(B231,Tot_res!C:V,20,FALSE)</f>
        <v>13143.239280000002</v>
      </c>
      <c r="V231" s="122">
        <f t="shared" si="46"/>
        <v>6850844.2119072434</v>
      </c>
    </row>
    <row r="232" spans="1:23">
      <c r="A232" s="351" t="str">
        <f>IF(B232="","",(IF(ISERROR(MATCH(B232,Tot_res!C:C,0)),"Eliminar!!!","")))</f>
        <v/>
      </c>
      <c r="B232" s="115" t="s">
        <v>732</v>
      </c>
      <c r="C232" s="329" t="str">
        <f>VLOOKUP(B232,Tot_res!C:D,2,FALSE)</f>
        <v>Recursos REF de los municipios canarios</v>
      </c>
      <c r="D232" s="179">
        <f>VLOOKUP(B232,Tot_res!C:V,3,FALSE)</f>
        <v>0</v>
      </c>
      <c r="E232" s="179">
        <f>VLOOKUP(B232,Tot_res!C:V,4,FALSE)</f>
        <v>0</v>
      </c>
      <c r="F232" s="179">
        <f>VLOOKUP(B232,Tot_res!C:V,5,FALSE)</f>
        <v>0</v>
      </c>
      <c r="G232" s="179">
        <f>VLOOKUP(B232,Tot_res!C:V,6,FALSE)</f>
        <v>0</v>
      </c>
      <c r="H232" s="179">
        <f>VLOOKUP(B232,Tot_res!C:V,7,FALSE)</f>
        <v>256535.66898388515</v>
      </c>
      <c r="I232" s="179">
        <f>VLOOKUP(B232,Tot_res!C:V,8,FALSE)</f>
        <v>0</v>
      </c>
      <c r="J232" s="179">
        <f>VLOOKUP(B232,Tot_res!C:V,9,FALSE)</f>
        <v>0</v>
      </c>
      <c r="K232" s="179">
        <f>VLOOKUP(B232,Tot_res!C:V,10,FALSE)</f>
        <v>0</v>
      </c>
      <c r="L232" s="179">
        <f>VLOOKUP(B232,Tot_res!C:V,11,FALSE)</f>
        <v>0</v>
      </c>
      <c r="M232" s="179">
        <f>VLOOKUP(B232,Tot_res!C:V,12,FALSE)</f>
        <v>0</v>
      </c>
      <c r="N232" s="179">
        <f>VLOOKUP(B232,Tot_res!C:V,13,FALSE)</f>
        <v>0</v>
      </c>
      <c r="O232" s="179">
        <f>VLOOKUP(B232,Tot_res!C:V,14,FALSE)</f>
        <v>0</v>
      </c>
      <c r="P232" s="179">
        <f>VLOOKUP(B232,Tot_res!C:V,15,FALSE)</f>
        <v>0</v>
      </c>
      <c r="Q232" s="179">
        <f>VLOOKUP(B232,Tot_res!C:V,16,FALSE)</f>
        <v>0</v>
      </c>
      <c r="R232" s="179">
        <f>VLOOKUP(B232,Tot_res!C:V,17,FALSE)</f>
        <v>0</v>
      </c>
      <c r="S232" s="179">
        <f>VLOOKUP(B232,Tot_res!C:V,18,FALSE)</f>
        <v>0</v>
      </c>
      <c r="T232" s="179">
        <f>VLOOKUP(B232,Tot_res!C:V,19,FALSE)</f>
        <v>0</v>
      </c>
      <c r="U232" s="179">
        <f>VLOOKUP(B232,Tot_res!C:V,20,FALSE)</f>
        <v>0</v>
      </c>
      <c r="V232" s="122">
        <f t="shared" si="46"/>
        <v>256535.66898388515</v>
      </c>
    </row>
    <row r="233" spans="1:23">
      <c r="A233" s="351" t="str">
        <f>IF(B233="","",(IF(ISERROR(MATCH(B233,Tot_res!C:C,0)),"Eliminar!!!","")))</f>
        <v/>
      </c>
      <c r="B233" s="115" t="s">
        <v>733</v>
      </c>
      <c r="C233" s="329" t="str">
        <f>VLOOKUP(B233,Tot_res!C:D,2,FALSE)</f>
        <v>Otras aportaciones a Corporaciones Locales, compensaciones por beneficios fiscales</v>
      </c>
      <c r="D233" s="179">
        <f>VLOOKUP(B233,Tot_res!C:V,3,FALSE)</f>
        <v>12907.24728</v>
      </c>
      <c r="E233" s="179">
        <f>VLOOKUP(B233,Tot_res!C:V,4,FALSE)</f>
        <v>1640.2551100000001</v>
      </c>
      <c r="F233" s="179">
        <f>VLOOKUP(B233,Tot_res!C:V,5,FALSE)</f>
        <v>1155.2419499999999</v>
      </c>
      <c r="G233" s="179">
        <f>VLOOKUP(B233,Tot_res!C:V,6,FALSE)</f>
        <v>900.99806999999998</v>
      </c>
      <c r="H233" s="179">
        <f>VLOOKUP(B233,Tot_res!C:V,7,FALSE)</f>
        <v>291.03591999999998</v>
      </c>
      <c r="I233" s="179">
        <f>VLOOKUP(B233,Tot_res!C:V,8,FALSE)</f>
        <v>1236.8884399999999</v>
      </c>
      <c r="J233" s="179">
        <f>VLOOKUP(B233,Tot_res!C:V,9,FALSE)</f>
        <v>4451.7767599999997</v>
      </c>
      <c r="K233" s="179">
        <f>VLOOKUP(B233,Tot_res!C:V,10,FALSE)</f>
        <v>1538.78314</v>
      </c>
      <c r="L233" s="179">
        <f>VLOOKUP(B233,Tot_res!C:V,11,FALSE)</f>
        <v>14985.606890000001</v>
      </c>
      <c r="M233" s="179">
        <f>VLOOKUP(B233,Tot_res!C:V,12,FALSE)</f>
        <v>8945.7398300000004</v>
      </c>
      <c r="N233" s="179">
        <f>VLOOKUP(B233,Tot_res!C:V,13,FALSE)</f>
        <v>1561.7051999999999</v>
      </c>
      <c r="O233" s="179">
        <f>VLOOKUP(B233,Tot_res!C:V,14,FALSE)</f>
        <v>2618.60635</v>
      </c>
      <c r="P233" s="179">
        <f>VLOOKUP(B233,Tot_res!C:V,15,FALSE)</f>
        <v>10618.88327</v>
      </c>
      <c r="Q233" s="179">
        <f>VLOOKUP(B233,Tot_res!C:V,16,FALSE)</f>
        <v>9704.4812500000007</v>
      </c>
      <c r="R233" s="179">
        <f>VLOOKUP(B233,Tot_res!C:V,17,FALSE)</f>
        <v>0</v>
      </c>
      <c r="S233" s="179">
        <f>VLOOKUP(B233,Tot_res!C:V,18,FALSE)</f>
        <v>0</v>
      </c>
      <c r="T233" s="179">
        <f>VLOOKUP(B233,Tot_res!C:V,19,FALSE)</f>
        <v>831.45739000000003</v>
      </c>
      <c r="U233" s="179">
        <f>VLOOKUP(B233,Tot_res!C:V,20,FALSE)</f>
        <v>0</v>
      </c>
      <c r="V233" s="122">
        <f t="shared" si="46"/>
        <v>73388.706849999988</v>
      </c>
    </row>
    <row r="234" spans="1:23">
      <c r="A234" s="351" t="str">
        <f>IF(B234="","",(IF(ISERROR(MATCH(B234,Tot_res!C:C,0)),"Eliminar!!!","")))</f>
        <v/>
      </c>
      <c r="B234" s="115" t="s">
        <v>244</v>
      </c>
      <c r="C234" s="329" t="str">
        <f>VLOOKUP(B234,Tot_res!C:D,2,FALSE)</f>
        <v xml:space="preserve">Cooperación económica local del Estado </v>
      </c>
      <c r="D234" s="179">
        <f>VLOOKUP(B234,Tot_res!C:V,3,FALSE)</f>
        <v>12701.69853925566</v>
      </c>
      <c r="E234" s="179">
        <f>VLOOKUP(B234,Tot_res!C:V,4,FALSE)</f>
        <v>2229.8436146125878</v>
      </c>
      <c r="F234" s="179">
        <f>VLOOKUP(B234,Tot_res!C:V,5,FALSE)</f>
        <v>45.248003487268903</v>
      </c>
      <c r="G234" s="179">
        <f>VLOOKUP(B234,Tot_res!C:V,6,FALSE)</f>
        <v>76.744802232037998</v>
      </c>
      <c r="H234" s="179">
        <f>VLOOKUP(B234,Tot_res!C:V,7,FALSE)</f>
        <v>1324.0384866514555</v>
      </c>
      <c r="I234" s="179">
        <f>VLOOKUP(B234,Tot_res!C:V,8,FALSE)</f>
        <v>25.13680417678227</v>
      </c>
      <c r="J234" s="179">
        <f>VLOOKUP(B234,Tot_res!C:V,9,FALSE)</f>
        <v>1017.011908849203</v>
      </c>
      <c r="K234" s="179">
        <f>VLOOKUP(B234,Tot_res!C:V,10,FALSE)</f>
        <v>634.20017583746267</v>
      </c>
      <c r="L234" s="179">
        <f>VLOOKUP(B234,Tot_res!C:V,11,FALSE)</f>
        <v>478.36859367255312</v>
      </c>
      <c r="M234" s="179">
        <f>VLOOKUP(B234,Tot_res!C:V,12,FALSE)</f>
        <v>3303.0074305346106</v>
      </c>
      <c r="N234" s="179">
        <f>VLOOKUP(B234,Tot_res!C:V,13,FALSE)</f>
        <v>135.65744294088199</v>
      </c>
      <c r="O234" s="179">
        <f>VLOOKUP(B234,Tot_res!C:V,14,FALSE)</f>
        <v>125.24799067308885</v>
      </c>
      <c r="P234" s="179">
        <f>VLOOKUP(B234,Tot_res!C:V,15,FALSE)</f>
        <v>310.07567138465004</v>
      </c>
      <c r="Q234" s="179">
        <f>VLOOKUP(B234,Tot_res!C:V,16,FALSE)</f>
        <v>3331.0217778099131</v>
      </c>
      <c r="R234" s="179">
        <f>VLOOKUP(B234,Tot_res!C:V,17,FALSE)</f>
        <v>690.33768983966593</v>
      </c>
      <c r="S234" s="179">
        <f>VLOOKUP(B234,Tot_res!C:V,18,FALSE)</f>
        <v>93.756798691948674</v>
      </c>
      <c r="T234" s="179">
        <f>VLOOKUP(B234,Tot_res!C:V,19,FALSE)</f>
        <v>13.62064513382481</v>
      </c>
      <c r="U234" s="179">
        <f>VLOOKUP(B234,Tot_res!C:V,20,FALSE)</f>
        <v>7.266264216403143</v>
      </c>
      <c r="V234" s="122">
        <f t="shared" si="46"/>
        <v>26542.282640000005</v>
      </c>
    </row>
    <row r="235" spans="1:23">
      <c r="A235" s="351" t="str">
        <f>IF(B235="","",(IF(ISERROR(MATCH(B235,Tot_res!C:C,0)),"Eliminar!!!","")))</f>
        <v/>
      </c>
      <c r="B235" s="115" t="s">
        <v>223</v>
      </c>
      <c r="C235" s="329" t="str">
        <f>VLOOKUP(B235,Tot_res!C:D,2,FALSE)</f>
        <v>Ajuste por competencias atípicas forales: financiación municipios</v>
      </c>
      <c r="D235" s="179">
        <f>VLOOKUP(B235,Tot_res!C:V,3,FALSE)</f>
        <v>0</v>
      </c>
      <c r="E235" s="179">
        <f>VLOOKUP(B235,Tot_res!C:V,4,FALSE)</f>
        <v>0</v>
      </c>
      <c r="F235" s="179">
        <f>VLOOKUP(B235,Tot_res!C:V,5,FALSE)</f>
        <v>0</v>
      </c>
      <c r="G235" s="179">
        <f>VLOOKUP(B235,Tot_res!C:V,6,FALSE)</f>
        <v>0</v>
      </c>
      <c r="H235" s="179">
        <f>VLOOKUP(B235,Tot_res!C:V,7,FALSE)</f>
        <v>0</v>
      </c>
      <c r="I235" s="179">
        <f>VLOOKUP(B235,Tot_res!C:V,8,FALSE)</f>
        <v>0</v>
      </c>
      <c r="J235" s="179">
        <f>VLOOKUP(B235,Tot_res!C:V,9,FALSE)</f>
        <v>0</v>
      </c>
      <c r="K235" s="179">
        <f>VLOOKUP(B235,Tot_res!C:V,10,FALSE)</f>
        <v>0</v>
      </c>
      <c r="L235" s="179">
        <f>VLOOKUP(B235,Tot_res!C:V,11,FALSE)</f>
        <v>0</v>
      </c>
      <c r="M235" s="179">
        <f>VLOOKUP(B235,Tot_res!C:V,12,FALSE)</f>
        <v>0</v>
      </c>
      <c r="N235" s="179">
        <f>VLOOKUP(B235,Tot_res!C:V,13,FALSE)</f>
        <v>0</v>
      </c>
      <c r="O235" s="179">
        <f>VLOOKUP(B235,Tot_res!C:V,14,FALSE)</f>
        <v>0</v>
      </c>
      <c r="P235" s="179">
        <f>VLOOKUP(B235,Tot_res!C:V,15,FALSE)</f>
        <v>0</v>
      </c>
      <c r="Q235" s="179">
        <f>VLOOKUP(B235,Tot_res!C:V,16,FALSE)</f>
        <v>0</v>
      </c>
      <c r="R235" s="179">
        <f>VLOOKUP(B235,Tot_res!C:V,17,FALSE)</f>
        <v>158844.25853937623</v>
      </c>
      <c r="S235" s="179">
        <f>VLOOKUP(B235,Tot_res!C:V,18,FALSE)</f>
        <v>544944.40010081488</v>
      </c>
      <c r="T235" s="179">
        <f>VLOOKUP(B235,Tot_res!C:V,19,FALSE)</f>
        <v>0</v>
      </c>
      <c r="U235" s="179">
        <f>VLOOKUP(B235,Tot_res!C:V,20,FALSE)</f>
        <v>0</v>
      </c>
      <c r="V235" s="122">
        <f t="shared" si="46"/>
        <v>703788.65864019108</v>
      </c>
    </row>
    <row r="236" spans="1:23">
      <c r="A236" s="352"/>
      <c r="B236" s="115"/>
      <c r="C236" s="102"/>
      <c r="D236" s="105"/>
      <c r="E236" s="105"/>
      <c r="F236" s="105"/>
      <c r="G236" s="105"/>
      <c r="H236" s="105"/>
      <c r="I236" s="105"/>
      <c r="J236" s="105"/>
      <c r="K236" s="105"/>
      <c r="L236" s="105"/>
      <c r="M236" s="105"/>
      <c r="N236" s="105"/>
      <c r="O236" s="105"/>
      <c r="P236" s="105"/>
      <c r="Q236" s="105"/>
      <c r="R236" s="105"/>
      <c r="S236" s="105"/>
      <c r="T236" s="105"/>
      <c r="U236" s="105"/>
      <c r="V236" s="122"/>
    </row>
    <row r="237" spans="1:23">
      <c r="A237" s="352"/>
      <c r="B237" s="115"/>
      <c r="C237" s="102"/>
      <c r="D237" s="105"/>
      <c r="E237" s="105"/>
      <c r="F237" s="105"/>
      <c r="G237" s="105"/>
      <c r="H237" s="105"/>
      <c r="I237" s="105"/>
      <c r="J237" s="105"/>
      <c r="K237" s="105"/>
      <c r="L237" s="105"/>
      <c r="M237" s="105"/>
      <c r="N237" s="105"/>
      <c r="O237" s="105"/>
      <c r="P237" s="105"/>
      <c r="Q237" s="105"/>
      <c r="R237" s="105"/>
      <c r="S237" s="105"/>
      <c r="T237" s="105"/>
      <c r="U237" s="105"/>
      <c r="V237" s="122"/>
    </row>
    <row r="238" spans="1:23" ht="13.5">
      <c r="A238" s="358"/>
      <c r="B238" s="115"/>
      <c r="C238" s="128" t="s">
        <v>23</v>
      </c>
      <c r="D238" s="114">
        <f t="shared" ref="D238:U238" si="47">SUM(D239:D275)</f>
        <v>1102008.5810048033</v>
      </c>
      <c r="E238" s="114">
        <f t="shared" si="47"/>
        <v>375407.93206297653</v>
      </c>
      <c r="F238" s="114">
        <f t="shared" si="47"/>
        <v>275906.00633327657</v>
      </c>
      <c r="G238" s="114">
        <f t="shared" si="47"/>
        <v>108375.73149018457</v>
      </c>
      <c r="H238" s="114">
        <f t="shared" si="47"/>
        <v>262635.47653236223</v>
      </c>
      <c r="I238" s="114">
        <f t="shared" si="47"/>
        <v>120362.22540694827</v>
      </c>
      <c r="J238" s="114">
        <f t="shared" si="47"/>
        <v>852208.15464220382</v>
      </c>
      <c r="K238" s="114">
        <f t="shared" si="47"/>
        <v>333514.17367116606</v>
      </c>
      <c r="L238" s="114">
        <f t="shared" si="47"/>
        <v>851669.81243342906</v>
      </c>
      <c r="M238" s="114">
        <f t="shared" si="47"/>
        <v>402798.04455083481</v>
      </c>
      <c r="N238" s="114">
        <f t="shared" si="47"/>
        <v>216373.36827468016</v>
      </c>
      <c r="O238" s="114">
        <f t="shared" si="47"/>
        <v>716624.04677882767</v>
      </c>
      <c r="P238" s="114">
        <f t="shared" si="47"/>
        <v>715782.45728155843</v>
      </c>
      <c r="Q238" s="114">
        <f t="shared" si="47"/>
        <v>169134.92467224548</v>
      </c>
      <c r="R238" s="114">
        <f t="shared" si="47"/>
        <v>105393.53195345182</v>
      </c>
      <c r="S238" s="114">
        <f t="shared" si="47"/>
        <v>458999.49004660023</v>
      </c>
      <c r="T238" s="114">
        <f t="shared" si="47"/>
        <v>63155.775818632035</v>
      </c>
      <c r="U238" s="114">
        <f t="shared" si="47"/>
        <v>42779.316967691753</v>
      </c>
      <c r="V238" s="126">
        <f>SUM(V239:V275)</f>
        <v>7173129.0499218702</v>
      </c>
    </row>
    <row r="239" spans="1:23">
      <c r="A239" s="351" t="str">
        <f>IF(B239="","",(IF(ISERROR(MATCH(B239,Tot_res!C:C,0)),"Eliminar!!!","")))</f>
        <v/>
      </c>
      <c r="B239" s="115" t="s">
        <v>246</v>
      </c>
      <c r="C239" s="329" t="str">
        <f>VLOOKUP(B239,Tot_res!C:D,2,FALSE)</f>
        <v>Gestión de recursos hídricos para el regadío</v>
      </c>
      <c r="D239" s="179">
        <f>VLOOKUP(B239,Tot_res!C:V,3,FALSE)</f>
        <v>10365.681981787106</v>
      </c>
      <c r="E239" s="179">
        <f>VLOOKUP(B239,Tot_res!C:V,4,FALSE)</f>
        <v>1228.2416400682521</v>
      </c>
      <c r="F239" s="179">
        <f>VLOOKUP(B239,Tot_res!C:V,5,FALSE)</f>
        <v>0</v>
      </c>
      <c r="G239" s="179">
        <f>VLOOKUP(B239,Tot_res!C:V,6,FALSE)</f>
        <v>3158.8641299824603</v>
      </c>
      <c r="H239" s="179">
        <f>VLOOKUP(B239,Tot_res!C:V,7,FALSE)</f>
        <v>263.2432047408692</v>
      </c>
      <c r="I239" s="179">
        <f>VLOOKUP(B239,Tot_res!C:V,8,FALSE)</f>
        <v>0</v>
      </c>
      <c r="J239" s="179">
        <f>VLOOKUP(B239,Tot_res!C:V,9,FALSE)</f>
        <v>1732.9328792217436</v>
      </c>
      <c r="K239" s="179">
        <f>VLOOKUP(B239,Tot_res!C:V,10,FALSE)</f>
        <v>0</v>
      </c>
      <c r="L239" s="179">
        <f>VLOOKUP(B239,Tot_res!C:V,11,FALSE)</f>
        <v>1782.0843289868715</v>
      </c>
      <c r="M239" s="179">
        <f>VLOOKUP(B239,Tot_res!C:V,12,FALSE)</f>
        <v>9056.7569413819783</v>
      </c>
      <c r="N239" s="179">
        <f>VLOOKUP(B239,Tot_res!C:V,13,FALSE)</f>
        <v>0</v>
      </c>
      <c r="O239" s="179">
        <f>VLOOKUP(B239,Tot_res!C:V,14,FALSE)</f>
        <v>0</v>
      </c>
      <c r="P239" s="179">
        <f>VLOOKUP(B239,Tot_res!C:V,15,FALSE)</f>
        <v>0</v>
      </c>
      <c r="Q239" s="179">
        <f>VLOOKUP(B239,Tot_res!C:V,16,FALSE)</f>
        <v>0</v>
      </c>
      <c r="R239" s="179">
        <f>VLOOKUP(B239,Tot_res!C:V,17,FALSE)</f>
        <v>0</v>
      </c>
      <c r="S239" s="179">
        <f>VLOOKUP(B239,Tot_res!C:V,18,FALSE)</f>
        <v>1639.2608790901829</v>
      </c>
      <c r="T239" s="179">
        <f>VLOOKUP(B239,Tot_res!C:V,19,FALSE)</f>
        <v>830.7091747405392</v>
      </c>
      <c r="U239" s="179">
        <f>VLOOKUP(B239,Tot_res!C:V,20,FALSE)</f>
        <v>0</v>
      </c>
      <c r="V239" s="122">
        <f t="shared" ref="V239:V275" si="48">SUM(D239:U239)</f>
        <v>30057.775160000005</v>
      </c>
      <c r="W239" s="105"/>
    </row>
    <row r="240" spans="1:23">
      <c r="A240" s="351" t="str">
        <f>IF(B240="","",(IF(ISERROR(MATCH(B240,Tot_res!C:C,0)),"Eliminar!!!","")))</f>
        <v/>
      </c>
      <c r="B240" s="115" t="s">
        <v>247</v>
      </c>
      <c r="C240" s="329" t="str">
        <f>VLOOKUP(B240,Tot_res!C:D,2,FALSE)</f>
        <v>Subvenciones y apoyo al transporte terrestre</v>
      </c>
      <c r="D240" s="179">
        <f>VLOOKUP(B240,Tot_res!C:V,3,FALSE)</f>
        <v>87849.597572600018</v>
      </c>
      <c r="E240" s="179">
        <f>VLOOKUP(B240,Tot_res!C:V,4,FALSE)</f>
        <v>26551.341688967052</v>
      </c>
      <c r="F240" s="179">
        <f>VLOOKUP(B240,Tot_res!C:V,5,FALSE)</f>
        <v>13858.716819886664</v>
      </c>
      <c r="G240" s="179">
        <f>VLOOKUP(B240,Tot_res!C:V,6,FALSE)</f>
        <v>3587.8876516524201</v>
      </c>
      <c r="H240" s="179">
        <f>VLOOKUP(B240,Tot_res!C:V,7,FALSE)</f>
        <v>28807.488943314165</v>
      </c>
      <c r="I240" s="179">
        <f>VLOOKUP(B240,Tot_res!C:V,8,FALSE)</f>
        <v>6276.0592982817298</v>
      </c>
      <c r="J240" s="179">
        <f>VLOOKUP(B240,Tot_res!C:V,9,FALSE)</f>
        <v>17771.139329849386</v>
      </c>
      <c r="K240" s="179">
        <f>VLOOKUP(B240,Tot_res!C:V,10,FALSE)</f>
        <v>27607.119365286675</v>
      </c>
      <c r="L240" s="179">
        <f>VLOOKUP(B240,Tot_res!C:V,11,FALSE)</f>
        <v>328912.02439008089</v>
      </c>
      <c r="M240" s="179">
        <f>VLOOKUP(B240,Tot_res!C:V,12,FALSE)</f>
        <v>74067.406401210377</v>
      </c>
      <c r="N240" s="179">
        <f>VLOOKUP(B240,Tot_res!C:V,13,FALSE)</f>
        <v>7234.6999858393383</v>
      </c>
      <c r="O240" s="179">
        <f>VLOOKUP(B240,Tot_res!C:V,14,FALSE)</f>
        <v>34763.834813387992</v>
      </c>
      <c r="P240" s="179">
        <f>VLOOKUP(B240,Tot_res!C:V,15,FALSE)</f>
        <v>343120.24772214342</v>
      </c>
      <c r="Q240" s="179">
        <f>VLOOKUP(B240,Tot_res!C:V,16,FALSE)</f>
        <v>11836.119395757079</v>
      </c>
      <c r="R240" s="179">
        <f>VLOOKUP(B240,Tot_res!C:V,17,FALSE)</f>
        <v>15762.979988309819</v>
      </c>
      <c r="S240" s="179">
        <f>VLOOKUP(B240,Tot_res!C:V,18,FALSE)</f>
        <v>27289.702462768455</v>
      </c>
      <c r="T240" s="179">
        <f>VLOOKUP(B240,Tot_res!C:V,19,FALSE)</f>
        <v>8049.6470552161672</v>
      </c>
      <c r="U240" s="179">
        <f>VLOOKUP(B240,Tot_res!C:V,20,FALSE)</f>
        <v>768.74295544830113</v>
      </c>
      <c r="V240" s="122">
        <f t="shared" si="48"/>
        <v>1064114.7558399998</v>
      </c>
      <c r="W240" s="105"/>
    </row>
    <row r="241" spans="1:23">
      <c r="A241" s="351" t="str">
        <f>IF(B241="","",(IF(ISERROR(MATCH(B241,Tot_res!C:C,0)),"Eliminar!!!","")))</f>
        <v/>
      </c>
      <c r="B241" s="115" t="s">
        <v>248</v>
      </c>
      <c r="C241" s="329" t="str">
        <f>VLOOKUP(B241,Tot_res!C:D,2,FALSE)</f>
        <v>Estudios y servicios de asistencia técnica en obras públicas y urbanismo</v>
      </c>
      <c r="D241" s="179">
        <f>VLOOKUP(B241,Tot_res!C:V,3,FALSE)</f>
        <v>3986.3807494290463</v>
      </c>
      <c r="E241" s="179">
        <f>VLOOKUP(B241,Tot_res!C:V,4,FALSE)</f>
        <v>1378.2601218150605</v>
      </c>
      <c r="F241" s="179">
        <f>VLOOKUP(B241,Tot_res!C:V,5,FALSE)</f>
        <v>1018.1121833009978</v>
      </c>
      <c r="G241" s="179">
        <f>VLOOKUP(B241,Tot_res!C:V,6,FALSE)</f>
        <v>401.06835612627395</v>
      </c>
      <c r="H241" s="179">
        <f>VLOOKUP(B241,Tot_res!C:V,7,FALSE)</f>
        <v>624.51578094374804</v>
      </c>
      <c r="I241" s="179">
        <f>VLOOKUP(B241,Tot_res!C:V,8,FALSE)</f>
        <v>434.74284778618039</v>
      </c>
      <c r="J241" s="179">
        <f>VLOOKUP(B241,Tot_res!C:V,9,FALSE)</f>
        <v>3104.2746058925441</v>
      </c>
      <c r="K241" s="179">
        <f>VLOOKUP(B241,Tot_res!C:V,10,FALSE)</f>
        <v>1444.6934829907516</v>
      </c>
      <c r="L241" s="179">
        <f>VLOOKUP(B241,Tot_res!C:V,11,FALSE)</f>
        <v>2880.2539716039023</v>
      </c>
      <c r="M241" s="179">
        <f>VLOOKUP(B241,Tot_res!C:V,12,FALSE)</f>
        <v>2114.7170383339517</v>
      </c>
      <c r="N241" s="179">
        <f>VLOOKUP(B241,Tot_res!C:V,13,FALSE)</f>
        <v>822.50606931740754</v>
      </c>
      <c r="O241" s="179">
        <f>VLOOKUP(B241,Tot_res!C:V,14,FALSE)</f>
        <v>2551.5099383005004</v>
      </c>
      <c r="P241" s="179">
        <f>VLOOKUP(B241,Tot_res!C:V,15,FALSE)</f>
        <v>2579.829206552733</v>
      </c>
      <c r="Q241" s="179">
        <f>VLOOKUP(B241,Tot_res!C:V,16,FALSE)</f>
        <v>811.53030962592709</v>
      </c>
      <c r="R241" s="179">
        <f>VLOOKUP(B241,Tot_res!C:V,17,FALSE)</f>
        <v>449.27074499399174</v>
      </c>
      <c r="S241" s="179">
        <f>VLOOKUP(B241,Tot_res!C:V,18,FALSE)</f>
        <v>1328.0786346477862</v>
      </c>
      <c r="T241" s="179">
        <f>VLOOKUP(B241,Tot_res!C:V,19,FALSE)</f>
        <v>290.49994956848769</v>
      </c>
      <c r="U241" s="179">
        <f>VLOOKUP(B241,Tot_res!C:V,20,FALSE)</f>
        <v>85.601178770710646</v>
      </c>
      <c r="V241" s="122">
        <f t="shared" si="48"/>
        <v>26305.845169999997</v>
      </c>
      <c r="W241" s="105"/>
    </row>
    <row r="242" spans="1:23">
      <c r="A242" s="351" t="str">
        <f>IF(B242="","",(IF(ISERROR(MATCH(B242,Tot_res!C:C,0)),"Eliminar!!!","")))</f>
        <v/>
      </c>
      <c r="B242" s="115" t="s">
        <v>249</v>
      </c>
      <c r="C242" s="329" t="str">
        <f>VLOOKUP(B242,Tot_res!C:D,2,FALSE)</f>
        <v>Dirección y servicios generales de fomento</v>
      </c>
      <c r="D242" s="179">
        <f>VLOOKUP(B242,Tot_res!C:V,3,FALSE)</f>
        <v>15924.18953814015</v>
      </c>
      <c r="E242" s="179">
        <f>VLOOKUP(B242,Tot_res!C:V,4,FALSE)</f>
        <v>3467.2495102107896</v>
      </c>
      <c r="F242" s="179">
        <f>VLOOKUP(B242,Tot_res!C:V,5,FALSE)</f>
        <v>3153.0101133902394</v>
      </c>
      <c r="G242" s="179">
        <f>VLOOKUP(B242,Tot_res!C:V,6,FALSE)</f>
        <v>1866.8693770729462</v>
      </c>
      <c r="H242" s="179">
        <f>VLOOKUP(B242,Tot_res!C:V,7,FALSE)</f>
        <v>3215.0294849610668</v>
      </c>
      <c r="I242" s="179">
        <f>VLOOKUP(B242,Tot_res!C:V,8,FALSE)</f>
        <v>1532.3415097440272</v>
      </c>
      <c r="J242" s="179">
        <f>VLOOKUP(B242,Tot_res!C:V,9,FALSE)</f>
        <v>8479.4486503040407</v>
      </c>
      <c r="K242" s="179">
        <f>VLOOKUP(B242,Tot_res!C:V,10,FALSE)</f>
        <v>4907.2795698006958</v>
      </c>
      <c r="L242" s="179">
        <f>VLOOKUP(B242,Tot_res!C:V,11,FALSE)</f>
        <v>14002.751956830893</v>
      </c>
      <c r="M242" s="179">
        <f>VLOOKUP(B242,Tot_res!C:V,12,FALSE)</f>
        <v>8882.8395749857718</v>
      </c>
      <c r="N242" s="179">
        <f>VLOOKUP(B242,Tot_res!C:V,13,FALSE)</f>
        <v>2095.5429868262913</v>
      </c>
      <c r="O242" s="179">
        <f>VLOOKUP(B242,Tot_res!C:V,14,FALSE)</f>
        <v>14584.390444584453</v>
      </c>
      <c r="P242" s="179">
        <f>VLOOKUP(B242,Tot_res!C:V,15,FALSE)</f>
        <v>12366.925692154175</v>
      </c>
      <c r="Q242" s="179">
        <f>VLOOKUP(B242,Tot_res!C:V,16,FALSE)</f>
        <v>2334.1068111977929</v>
      </c>
      <c r="R242" s="179">
        <f>VLOOKUP(B242,Tot_res!C:V,17,FALSE)</f>
        <v>1456.8640503795364</v>
      </c>
      <c r="S242" s="179">
        <f>VLOOKUP(B242,Tot_res!C:V,18,FALSE)</f>
        <v>4539.126146109099</v>
      </c>
      <c r="T242" s="179">
        <f>VLOOKUP(B242,Tot_res!C:V,19,FALSE)</f>
        <v>798.16505060933389</v>
      </c>
      <c r="U242" s="179">
        <f>VLOOKUP(B242,Tot_res!C:V,20,FALSE)</f>
        <v>214.06061269872595</v>
      </c>
      <c r="V242" s="122">
        <f t="shared" si="48"/>
        <v>103820.19108000003</v>
      </c>
      <c r="W242" s="105"/>
    </row>
    <row r="243" spans="1:23">
      <c r="A243" s="351" t="str">
        <f>IF(B243="","",(IF(ISERROR(MATCH(B243,Tot_res!C:C,0)),"Eliminar!!!","")))</f>
        <v/>
      </c>
      <c r="B243" s="115" t="s">
        <v>740</v>
      </c>
      <c r="C243" s="329" t="str">
        <f>VLOOKUP(B243,Tot_res!C:D,2,FALSE)</f>
        <v>Dirección y Servicios Generales de Agricultura, Alimentación y Medio Ambiente</v>
      </c>
      <c r="D243" s="179">
        <f>VLOOKUP(B243,Tot_res!C:V,3,FALSE)</f>
        <v>11234.410621992964</v>
      </c>
      <c r="E243" s="179">
        <f>VLOOKUP(B243,Tot_res!C:V,4,FALSE)</f>
        <v>3793.0831311229217</v>
      </c>
      <c r="F243" s="179">
        <f>VLOOKUP(B243,Tot_res!C:V,5,FALSE)</f>
        <v>1535.9707858891088</v>
      </c>
      <c r="G243" s="179">
        <f>VLOOKUP(B243,Tot_res!C:V,6,FALSE)</f>
        <v>987.79199501314088</v>
      </c>
      <c r="H243" s="179">
        <f>VLOOKUP(B243,Tot_res!C:V,7,FALSE)</f>
        <v>2439.9275456441774</v>
      </c>
      <c r="I243" s="179">
        <f>VLOOKUP(B243,Tot_res!C:V,8,FALSE)</f>
        <v>687.58859126614436</v>
      </c>
      <c r="J243" s="179">
        <f>VLOOKUP(B243,Tot_res!C:V,9,FALSE)</f>
        <v>5143.50134975534</v>
      </c>
      <c r="K243" s="179">
        <f>VLOOKUP(B243,Tot_res!C:V,10,FALSE)</f>
        <v>3901.2271930189149</v>
      </c>
      <c r="L243" s="179">
        <f>VLOOKUP(B243,Tot_res!C:V,11,FALSE)</f>
        <v>6021.2459048238879</v>
      </c>
      <c r="M243" s="179">
        <f>VLOOKUP(B243,Tot_res!C:V,12,FALSE)</f>
        <v>5937.4931878754396</v>
      </c>
      <c r="N243" s="179">
        <f>VLOOKUP(B243,Tot_res!C:V,13,FALSE)</f>
        <v>3678.6872505521928</v>
      </c>
      <c r="O243" s="179">
        <f>VLOOKUP(B243,Tot_res!C:V,14,FALSE)</f>
        <v>3027.9496195805309</v>
      </c>
      <c r="P243" s="179">
        <f>VLOOKUP(B243,Tot_res!C:V,15,FALSE)</f>
        <v>6130.2555953408137</v>
      </c>
      <c r="Q243" s="179">
        <f>VLOOKUP(B243,Tot_res!C:V,16,FALSE)</f>
        <v>4076.8443884205299</v>
      </c>
      <c r="R243" s="179">
        <f>VLOOKUP(B243,Tot_res!C:V,17,FALSE)</f>
        <v>839.4585434138437</v>
      </c>
      <c r="S243" s="179">
        <f>VLOOKUP(B243,Tot_res!C:V,18,FALSE)</f>
        <v>2944.6108645256327</v>
      </c>
      <c r="T243" s="179">
        <f>VLOOKUP(B243,Tot_res!C:V,19,FALSE)</f>
        <v>912.99531608521659</v>
      </c>
      <c r="U243" s="179">
        <f>VLOOKUP(B243,Tot_res!C:V,20,FALSE)</f>
        <v>560.02545460278839</v>
      </c>
      <c r="V243" s="122">
        <f t="shared" si="48"/>
        <v>63853.067338923574</v>
      </c>
      <c r="W243" s="105"/>
    </row>
    <row r="244" spans="1:23">
      <c r="A244" s="351" t="str">
        <f>IF(B244="","",(IF(ISERROR(MATCH(B244,Tot_res!C:C,0)),"Eliminar!!!","")))</f>
        <v/>
      </c>
      <c r="B244" s="115" t="s">
        <v>250</v>
      </c>
      <c r="C244" s="329" t="str">
        <f>VLOOKUP(B244,Tot_res!C:D,2,FALSE)</f>
        <v>Gestión e infraestructuras del agua</v>
      </c>
      <c r="D244" s="179">
        <f>VLOOKUP(B244,Tot_res!C:V,3,FALSE)</f>
        <v>179901.42820570763</v>
      </c>
      <c r="E244" s="179">
        <f>VLOOKUP(B244,Tot_res!C:V,4,FALSE)</f>
        <v>92818.467196787387</v>
      </c>
      <c r="F244" s="179">
        <f>VLOOKUP(B244,Tot_res!C:V,5,FALSE)</f>
        <v>6714.6531253818694</v>
      </c>
      <c r="G244" s="179">
        <f>VLOOKUP(B244,Tot_res!C:V,6,FALSE)</f>
        <v>1296.9527670460541</v>
      </c>
      <c r="H244" s="179">
        <f>VLOOKUP(B244,Tot_res!C:V,7,FALSE)</f>
        <v>24948.217758768125</v>
      </c>
      <c r="I244" s="179">
        <f>VLOOKUP(B244,Tot_res!C:V,8,FALSE)</f>
        <v>3926.0597330946166</v>
      </c>
      <c r="J244" s="179">
        <f>VLOOKUP(B244,Tot_res!C:V,9,FALSE)</f>
        <v>121439.12398374271</v>
      </c>
      <c r="K244" s="179">
        <f>VLOOKUP(B244,Tot_res!C:V,10,FALSE)</f>
        <v>85155.416284407955</v>
      </c>
      <c r="L244" s="179">
        <f>VLOOKUP(B244,Tot_res!C:V,11,FALSE)</f>
        <v>14035.302192176458</v>
      </c>
      <c r="M244" s="179">
        <f>VLOOKUP(B244,Tot_res!C:V,12,FALSE)</f>
        <v>81224.222481541088</v>
      </c>
      <c r="N244" s="179">
        <f>VLOOKUP(B244,Tot_res!C:V,13,FALSE)</f>
        <v>94837.383688905567</v>
      </c>
      <c r="O244" s="179">
        <f>VLOOKUP(B244,Tot_res!C:V,14,FALSE)</f>
        <v>22041.992196478175</v>
      </c>
      <c r="P244" s="179">
        <f>VLOOKUP(B244,Tot_res!C:V,15,FALSE)</f>
        <v>57695.821942033574</v>
      </c>
      <c r="Q244" s="179">
        <f>VLOOKUP(B244,Tot_res!C:V,16,FALSE)</f>
        <v>128259.73739505377</v>
      </c>
      <c r="R244" s="179">
        <f>VLOOKUP(B244,Tot_res!C:V,17,FALSE)</f>
        <v>15073.657279656727</v>
      </c>
      <c r="S244" s="179">
        <f>VLOOKUP(B244,Tot_res!C:V,18,FALSE)</f>
        <v>18070.181777465004</v>
      </c>
      <c r="T244" s="179">
        <f>VLOOKUP(B244,Tot_res!C:V,19,FALSE)</f>
        <v>27904.571310874071</v>
      </c>
      <c r="U244" s="179">
        <f>VLOOKUP(B244,Tot_res!C:V,20,FALSE)</f>
        <v>15256.826410879257</v>
      </c>
      <c r="V244" s="122">
        <f t="shared" si="48"/>
        <v>990600.01572999998</v>
      </c>
      <c r="W244" s="105"/>
    </row>
    <row r="245" spans="1:23">
      <c r="A245" s="351" t="str">
        <f>IF(B245="","",(IF(ISERROR(MATCH(B245,Tot_res!C:C,0)),"Eliminar!!!","")))</f>
        <v/>
      </c>
      <c r="B245" s="115" t="s">
        <v>251</v>
      </c>
      <c r="C245" s="329" t="str">
        <f>VLOOKUP(B245,Tot_res!C:D,2,FALSE)</f>
        <v>Normativa y ordenac. territorial recursos hídricos</v>
      </c>
      <c r="D245" s="179">
        <f>VLOOKUP(B245,Tot_res!C:V,3,FALSE)</f>
        <v>1405.1318999476068</v>
      </c>
      <c r="E245" s="179">
        <f>VLOOKUP(B245,Tot_res!C:V,4,FALSE)</f>
        <v>221.05902467839564</v>
      </c>
      <c r="F245" s="179">
        <f>VLOOKUP(B245,Tot_res!C:V,5,FALSE)</f>
        <v>176.71335821451913</v>
      </c>
      <c r="G245" s="179">
        <f>VLOOKUP(B245,Tot_res!C:V,6,FALSE)</f>
        <v>184.65305460396513</v>
      </c>
      <c r="H245" s="179">
        <f>VLOOKUP(B245,Tot_res!C:V,7,FALSE)</f>
        <v>351.6830709202369</v>
      </c>
      <c r="I245" s="179">
        <f>VLOOKUP(B245,Tot_res!C:V,8,FALSE)</f>
        <v>98.170277990492139</v>
      </c>
      <c r="J245" s="179">
        <f>VLOOKUP(B245,Tot_res!C:V,9,FALSE)</f>
        <v>415.38739249967159</v>
      </c>
      <c r="K245" s="179">
        <f>VLOOKUP(B245,Tot_res!C:V,10,FALSE)</f>
        <v>346.05304204561492</v>
      </c>
      <c r="L245" s="179">
        <f>VLOOKUP(B245,Tot_res!C:V,11,FALSE)</f>
        <v>1256.7402155291225</v>
      </c>
      <c r="M245" s="179">
        <f>VLOOKUP(B245,Tot_res!C:V,12,FALSE)</f>
        <v>835.11102539388673</v>
      </c>
      <c r="N245" s="179">
        <f>VLOOKUP(B245,Tot_res!C:V,13,FALSE)</f>
        <v>183.37415263645639</v>
      </c>
      <c r="O245" s="179">
        <f>VLOOKUP(B245,Tot_res!C:V,14,FALSE)</f>
        <v>458.39101476575752</v>
      </c>
      <c r="P245" s="179">
        <f>VLOOKUP(B245,Tot_res!C:V,15,FALSE)</f>
        <v>1078.1377755959211</v>
      </c>
      <c r="Q245" s="179">
        <f>VLOOKUP(B245,Tot_res!C:V,16,FALSE)</f>
        <v>245.38542612340828</v>
      </c>
      <c r="R245" s="179">
        <f>VLOOKUP(B245,Tot_res!C:V,17,FALSE)</f>
        <v>107.15495738307845</v>
      </c>
      <c r="S245" s="179">
        <f>VLOOKUP(B245,Tot_res!C:V,18,FALSE)</f>
        <v>366.16154250780414</v>
      </c>
      <c r="T245" s="179">
        <f>VLOOKUP(B245,Tot_res!C:V,19,FALSE)</f>
        <v>53.194610969380264</v>
      </c>
      <c r="U245" s="179">
        <f>VLOOKUP(B245,Tot_res!C:V,20,FALSE)</f>
        <v>28.377958194683075</v>
      </c>
      <c r="V245" s="122">
        <f t="shared" si="48"/>
        <v>7810.8798000000006</v>
      </c>
      <c r="W245" s="105"/>
    </row>
    <row r="246" spans="1:23">
      <c r="A246" s="351" t="str">
        <f>IF(B246="","",(IF(ISERROR(MATCH(B246,Tot_res!C:C,0)),"Eliminar!!!","")))</f>
        <v/>
      </c>
      <c r="B246" s="115" t="s">
        <v>252</v>
      </c>
      <c r="C246" s="329" t="str">
        <f>VLOOKUP(B246,Tot_res!C:D,2,FALSE)</f>
        <v>Infraestructura del transporte ferroviario + AF10 (no se ha hecho)</v>
      </c>
      <c r="D246" s="179">
        <f>VLOOKUP(B246,Tot_res!C:V,3,FALSE)</f>
        <v>48055.835275464968</v>
      </c>
      <c r="E246" s="179">
        <f>VLOOKUP(B246,Tot_res!C:V,4,FALSE)</f>
        <v>1383.5973931788858</v>
      </c>
      <c r="F246" s="179">
        <f>VLOOKUP(B246,Tot_res!C:V,5,FALSE)</f>
        <v>4259.5586034703083</v>
      </c>
      <c r="G246" s="179">
        <f>VLOOKUP(B246,Tot_res!C:V,6,FALSE)</f>
        <v>4106.3018916234123</v>
      </c>
      <c r="H246" s="179">
        <f>VLOOKUP(B246,Tot_res!C:V,7,FALSE)</f>
        <v>13178.053499616562</v>
      </c>
      <c r="I246" s="179">
        <f>VLOOKUP(B246,Tot_res!C:V,8,FALSE)</f>
        <v>1217.2395461581405</v>
      </c>
      <c r="J246" s="179">
        <f>VLOOKUP(B246,Tot_res!C:V,9,FALSE)</f>
        <v>20827.997764706641</v>
      </c>
      <c r="K246" s="179">
        <f>VLOOKUP(B246,Tot_res!C:V,10,FALSE)</f>
        <v>1639.2694992763961</v>
      </c>
      <c r="L246" s="179">
        <f>VLOOKUP(B246,Tot_res!C:V,11,FALSE)</f>
        <v>14905.203739424005</v>
      </c>
      <c r="M246" s="179">
        <f>VLOOKUP(B246,Tot_res!C:V,12,FALSE)</f>
        <v>5981.4851771550011</v>
      </c>
      <c r="N246" s="179">
        <f>VLOOKUP(B246,Tot_res!C:V,13,FALSE)</f>
        <v>2572.5589271672793</v>
      </c>
      <c r="O246" s="179">
        <f>VLOOKUP(B246,Tot_res!C:V,14,FALSE)</f>
        <v>4701.5039210826781</v>
      </c>
      <c r="P246" s="179">
        <f>VLOOKUP(B246,Tot_res!C:V,15,FALSE)</f>
        <v>11572.022254528534</v>
      </c>
      <c r="Q246" s="179">
        <f>VLOOKUP(B246,Tot_res!C:V,16,FALSE)</f>
        <v>1495.0328378643742</v>
      </c>
      <c r="R246" s="179">
        <f>VLOOKUP(B246,Tot_res!C:V,17,FALSE)</f>
        <v>760.11658410895836</v>
      </c>
      <c r="S246" s="179">
        <f>VLOOKUP(B246,Tot_res!C:V,18,FALSE)</f>
        <v>1549.8413784644665</v>
      </c>
      <c r="T246" s="179">
        <f>VLOOKUP(B246,Tot_res!C:V,19,FALSE)</f>
        <v>172.45963114599905</v>
      </c>
      <c r="U246" s="179">
        <f>VLOOKUP(B246,Tot_res!C:V,20,FALSE)</f>
        <v>35.574615563374465</v>
      </c>
      <c r="V246" s="122">
        <f t="shared" si="48"/>
        <v>138413.65254000001</v>
      </c>
      <c r="W246" s="105"/>
    </row>
    <row r="247" spans="1:23">
      <c r="A247" s="351" t="str">
        <f>IF(B247="","",(IF(ISERROR(MATCH(B247,Tot_res!C:C,0)),"Eliminar!!!","")))</f>
        <v/>
      </c>
      <c r="B247" s="115" t="s">
        <v>253</v>
      </c>
      <c r="C247" s="329" t="str">
        <f>VLOOKUP(B247,Tot_res!C:D,2,FALSE)</f>
        <v>Creación de infraestructura de carreteras + AF06/1</v>
      </c>
      <c r="D247" s="179">
        <f>VLOOKUP(B247,Tot_res!C:V,3,FALSE)</f>
        <v>411049.58307339618</v>
      </c>
      <c r="E247" s="179">
        <f>VLOOKUP(B247,Tot_res!C:V,4,FALSE)</f>
        <v>134090.66441319938</v>
      </c>
      <c r="F247" s="179">
        <f>VLOOKUP(B247,Tot_res!C:V,5,FALSE)</f>
        <v>111055.91791295673</v>
      </c>
      <c r="G247" s="179">
        <f>VLOOKUP(B247,Tot_res!C:V,6,FALSE)</f>
        <v>81047.274753249687</v>
      </c>
      <c r="H247" s="179">
        <f>VLOOKUP(B247,Tot_res!C:V,7,FALSE)</f>
        <v>56382.284845305127</v>
      </c>
      <c r="I247" s="179">
        <f>VLOOKUP(B247,Tot_res!C:V,8,FALSE)</f>
        <v>60850.635073615987</v>
      </c>
      <c r="J247" s="179">
        <f>VLOOKUP(B247,Tot_res!C:V,9,FALSE)</f>
        <v>81229.636391511114</v>
      </c>
      <c r="K247" s="179">
        <f>VLOOKUP(B247,Tot_res!C:V,10,FALSE)</f>
        <v>63992.174808801901</v>
      </c>
      <c r="L247" s="179">
        <f>VLOOKUP(B247,Tot_res!C:V,11,FALSE)</f>
        <v>143133.75594526716</v>
      </c>
      <c r="M247" s="179">
        <f>VLOOKUP(B247,Tot_res!C:V,12,FALSE)</f>
        <v>96939.427205352666</v>
      </c>
      <c r="N247" s="179">
        <f>VLOOKUP(B247,Tot_res!C:V,13,FALSE)</f>
        <v>12540.674090364788</v>
      </c>
      <c r="O247" s="179">
        <f>VLOOKUP(B247,Tot_res!C:V,14,FALSE)</f>
        <v>126772.51569815412</v>
      </c>
      <c r="P247" s="179">
        <f>VLOOKUP(B247,Tot_res!C:V,15,FALSE)</f>
        <v>82942.687111230582</v>
      </c>
      <c r="Q247" s="179">
        <f>VLOOKUP(B247,Tot_res!C:V,16,FALSE)</f>
        <v>17627.705724655316</v>
      </c>
      <c r="R247" s="179">
        <f>VLOOKUP(B247,Tot_res!C:V,17,FALSE)</f>
        <v>24876.90957870875</v>
      </c>
      <c r="S247" s="179">
        <f>VLOOKUP(B247,Tot_res!C:V,18,FALSE)</f>
        <v>80085.513178424299</v>
      </c>
      <c r="T247" s="179">
        <f>VLOOKUP(B247,Tot_res!C:V,19,FALSE)</f>
        <v>36847.448177617283</v>
      </c>
      <c r="U247" s="179">
        <f>VLOOKUP(B247,Tot_res!C:V,20,FALSE)</f>
        <v>2119.1851762410397</v>
      </c>
      <c r="V247" s="122">
        <f t="shared" si="48"/>
        <v>1623583.993158052</v>
      </c>
      <c r="W247" s="105"/>
    </row>
    <row r="248" spans="1:23">
      <c r="A248" s="351" t="str">
        <f>IF(B248="","",(IF(ISERROR(MATCH(B248,Tot_res!C:C,0)),"Eliminar!!!","")))</f>
        <v/>
      </c>
      <c r="B248" s="115" t="s">
        <v>255</v>
      </c>
      <c r="C248" s="329" t="str">
        <f>VLOOKUP(B248,Tot_res!C:D,2,FALSE)</f>
        <v>Conservación y explotación de carreteras + AF07</v>
      </c>
      <c r="D248" s="179">
        <f>VLOOKUP(B248,Tot_res!C:V,3,FALSE)</f>
        <v>110069.53378440485</v>
      </c>
      <c r="E248" s="179">
        <f>VLOOKUP(B248,Tot_res!C:V,4,FALSE)</f>
        <v>86464.801515884697</v>
      </c>
      <c r="F248" s="179">
        <f>VLOOKUP(B248,Tot_res!C:V,5,FALSE)</f>
        <v>26218.240126953748</v>
      </c>
      <c r="G248" s="179">
        <f>VLOOKUP(B248,Tot_res!C:V,6,FALSE)</f>
        <v>1552.6975344483158</v>
      </c>
      <c r="H248" s="179">
        <f>VLOOKUP(B248,Tot_res!C:V,7,FALSE)</f>
        <v>3345.3466301480207</v>
      </c>
      <c r="I248" s="179">
        <f>VLOOKUP(B248,Tot_res!C:V,8,FALSE)</f>
        <v>28130.326620596556</v>
      </c>
      <c r="J248" s="179">
        <f>VLOOKUP(B248,Tot_res!C:V,9,FALSE)</f>
        <v>149274.34020048074</v>
      </c>
      <c r="K248" s="179">
        <f>VLOOKUP(B248,Tot_res!C:V,10,FALSE)</f>
        <v>130690.46137656755</v>
      </c>
      <c r="L248" s="179">
        <f>VLOOKUP(B248,Tot_res!C:V,11,FALSE)</f>
        <v>72677.900242768679</v>
      </c>
      <c r="M248" s="179">
        <f>VLOOKUP(B248,Tot_res!C:V,12,FALSE)</f>
        <v>69355.395025909325</v>
      </c>
      <c r="N248" s="179">
        <f>VLOOKUP(B248,Tot_res!C:V,13,FALSE)</f>
        <v>24851.766630937273</v>
      </c>
      <c r="O248" s="179">
        <f>VLOOKUP(B248,Tot_res!C:V,14,FALSE)</f>
        <v>59091.416518243299</v>
      </c>
      <c r="P248" s="179">
        <f>VLOOKUP(B248,Tot_res!C:V,15,FALSE)</f>
        <v>103033.91165534993</v>
      </c>
      <c r="Q248" s="179">
        <f>VLOOKUP(B248,Tot_res!C:V,16,FALSE)</f>
        <v>30244.702930133382</v>
      </c>
      <c r="R248" s="179">
        <f>VLOOKUP(B248,Tot_res!C:V,17,FALSE)</f>
        <v>15693.35297952476</v>
      </c>
      <c r="S248" s="179">
        <f>VLOOKUP(B248,Tot_res!C:V,18,FALSE)</f>
        <v>50678.170604516272</v>
      </c>
      <c r="T248" s="179">
        <f>VLOOKUP(B248,Tot_res!C:V,19,FALSE)</f>
        <v>8014.3392962985545</v>
      </c>
      <c r="U248" s="179">
        <f>VLOOKUP(B248,Tot_res!C:V,20,FALSE)</f>
        <v>1433.6077743631195</v>
      </c>
      <c r="V248" s="122">
        <f t="shared" si="48"/>
        <v>970820.31144752889</v>
      </c>
      <c r="W248" s="105"/>
    </row>
    <row r="249" spans="1:23">
      <c r="A249" s="351" t="str">
        <f>IF(B249="","",(IF(ISERROR(MATCH(B249,Tot_res!C:C,0)),"Eliminar!!!","")))</f>
        <v/>
      </c>
      <c r="B249" s="115" t="s">
        <v>257</v>
      </c>
      <c r="C249" s="329" t="str">
        <f>VLOOKUP(B249,Tot_res!C:D,2,FALSE)</f>
        <v>Ordenac. e inspección del transporte terrestre</v>
      </c>
      <c r="D249" s="179">
        <f>VLOOKUP(B249,Tot_res!C:V,3,FALSE)</f>
        <v>2668.4382522660858</v>
      </c>
      <c r="E249" s="179">
        <f>VLOOKUP(B249,Tot_res!C:V,4,FALSE)</f>
        <v>778.79760437718437</v>
      </c>
      <c r="F249" s="179">
        <f>VLOOKUP(B249,Tot_res!C:V,5,FALSE)</f>
        <v>604.13897566447213</v>
      </c>
      <c r="G249" s="179">
        <f>VLOOKUP(B249,Tot_res!C:V,6,FALSE)</f>
        <v>133.67302648739138</v>
      </c>
      <c r="H249" s="179">
        <f>VLOOKUP(B249,Tot_res!C:V,7,FALSE)</f>
        <v>312.85087691780132</v>
      </c>
      <c r="I249" s="179">
        <f>VLOOKUP(B249,Tot_res!C:V,8,FALSE)</f>
        <v>349.65397406876679</v>
      </c>
      <c r="J249" s="179">
        <f>VLOOKUP(B249,Tot_res!C:V,9,FALSE)</f>
        <v>1057.8494322656197</v>
      </c>
      <c r="K249" s="179">
        <f>VLOOKUP(B249,Tot_res!C:V,10,FALSE)</f>
        <v>1309.7086129125098</v>
      </c>
      <c r="L249" s="179">
        <f>VLOOKUP(B249,Tot_res!C:V,11,FALSE)</f>
        <v>4618.5159664172352</v>
      </c>
      <c r="M249" s="179">
        <f>VLOOKUP(B249,Tot_res!C:V,12,FALSE)</f>
        <v>1705.7940366860846</v>
      </c>
      <c r="N249" s="179">
        <f>VLOOKUP(B249,Tot_res!C:V,13,FALSE)</f>
        <v>467.38214479724849</v>
      </c>
      <c r="O249" s="179">
        <f>VLOOKUP(B249,Tot_res!C:V,14,FALSE)</f>
        <v>1061.9979716224602</v>
      </c>
      <c r="P249" s="179">
        <f>VLOOKUP(B249,Tot_res!C:V,15,FALSE)</f>
        <v>2977.2017071421642</v>
      </c>
      <c r="Q249" s="179">
        <f>VLOOKUP(B249,Tot_res!C:V,16,FALSE)</f>
        <v>521.0360285419863</v>
      </c>
      <c r="R249" s="179">
        <f>VLOOKUP(B249,Tot_res!C:V,17,FALSE)</f>
        <v>462.15843389416477</v>
      </c>
      <c r="S249" s="179">
        <f>VLOOKUP(B249,Tot_res!C:V,18,FALSE)</f>
        <v>1264.8240343530833</v>
      </c>
      <c r="T249" s="179">
        <f>VLOOKUP(B249,Tot_res!C:V,19,FALSE)</f>
        <v>145.1269636468044</v>
      </c>
      <c r="U249" s="179">
        <f>VLOOKUP(B249,Tot_res!C:V,20,FALSE)</f>
        <v>24.402727938939449</v>
      </c>
      <c r="V249" s="122">
        <f t="shared" si="48"/>
        <v>20463.550770000002</v>
      </c>
      <c r="W249" s="105"/>
    </row>
    <row r="250" spans="1:23">
      <c r="A250" s="351" t="str">
        <f>IF(B250="","",(IF(ISERROR(MATCH(B250,Tot_res!C:C,0)),"Eliminar!!!","")))</f>
        <v/>
      </c>
      <c r="B250" s="115" t="s">
        <v>258</v>
      </c>
      <c r="C250" s="329" t="str">
        <f>VLOOKUP(B250,Tot_res!C:D,2,FALSE)</f>
        <v>Seguridad tráfico marítimo y vigilancia costera</v>
      </c>
      <c r="D250" s="179">
        <f>VLOOKUP(B250,Tot_res!C:V,3,FALSE)</f>
        <v>5002.2131365959094</v>
      </c>
      <c r="E250" s="179">
        <f>VLOOKUP(B250,Tot_res!C:V,4,FALSE)</f>
        <v>1898.8093401703482</v>
      </c>
      <c r="F250" s="179">
        <f>VLOOKUP(B250,Tot_res!C:V,5,FALSE)</f>
        <v>795.32991805694348</v>
      </c>
      <c r="G250" s="179">
        <f>VLOOKUP(B250,Tot_res!C:V,6,FALSE)</f>
        <v>758.68330247078586</v>
      </c>
      <c r="H250" s="179">
        <f>VLOOKUP(B250,Tot_res!C:V,7,FALSE)</f>
        <v>2225.9831843581132</v>
      </c>
      <c r="I250" s="179">
        <f>VLOOKUP(B250,Tot_res!C:V,8,FALSE)</f>
        <v>616.25271304576768</v>
      </c>
      <c r="J250" s="179">
        <f>VLOOKUP(B250,Tot_res!C:V,9,FALSE)</f>
        <v>2474.4966287292755</v>
      </c>
      <c r="K250" s="179">
        <f>VLOOKUP(B250,Tot_res!C:V,10,FALSE)</f>
        <v>1677.5736608232116</v>
      </c>
      <c r="L250" s="179">
        <f>VLOOKUP(B250,Tot_res!C:V,11,FALSE)</f>
        <v>7950.07308327797</v>
      </c>
      <c r="M250" s="179">
        <f>VLOOKUP(B250,Tot_res!C:V,12,FALSE)</f>
        <v>3949.4026050002549</v>
      </c>
      <c r="N250" s="179">
        <f>VLOOKUP(B250,Tot_res!C:V,13,FALSE)</f>
        <v>570.48978439584585</v>
      </c>
      <c r="O250" s="179">
        <f>VLOOKUP(B250,Tot_res!C:V,14,FALSE)</f>
        <v>2250.3215560340609</v>
      </c>
      <c r="P250" s="179">
        <f>VLOOKUP(B250,Tot_res!C:V,15,FALSE)</f>
        <v>5497.9302635084341</v>
      </c>
      <c r="Q250" s="179">
        <f>VLOOKUP(B250,Tot_res!C:V,16,FALSE)</f>
        <v>1589.5718770737949</v>
      </c>
      <c r="R250" s="179">
        <f>VLOOKUP(B250,Tot_res!C:V,17,FALSE)</f>
        <v>976.10828110945317</v>
      </c>
      <c r="S250" s="179">
        <f>VLOOKUP(B250,Tot_res!C:V,18,FALSE)</f>
        <v>2664.7034933053828</v>
      </c>
      <c r="T250" s="179">
        <f>VLOOKUP(B250,Tot_res!C:V,19,FALSE)</f>
        <v>382.57866679963013</v>
      </c>
      <c r="U250" s="179">
        <f>VLOOKUP(B250,Tot_res!C:V,20,FALSE)</f>
        <v>253.33316524481435</v>
      </c>
      <c r="V250" s="122">
        <f t="shared" si="48"/>
        <v>41533.854659999997</v>
      </c>
      <c r="W250" s="105"/>
    </row>
    <row r="251" spans="1:23">
      <c r="A251" s="351" t="str">
        <f>IF(B251="","",(IF(ISERROR(MATCH(B251,Tot_res!C:C,0)),"Eliminar!!!","")))</f>
        <v/>
      </c>
      <c r="B251" s="115" t="s">
        <v>259</v>
      </c>
      <c r="C251" s="329" t="str">
        <f>VLOOKUP(B251,Tot_res!C:D,2,FALSE)</f>
        <v>Regulación y supervisción de la aviación civil</v>
      </c>
      <c r="D251" s="179">
        <f>VLOOKUP(B251,Tot_res!C:V,3,FALSE)</f>
        <v>9268.0135503132078</v>
      </c>
      <c r="E251" s="179">
        <f>VLOOKUP(B251,Tot_res!C:V,4,FALSE)</f>
        <v>1581.8013635509537</v>
      </c>
      <c r="F251" s="179">
        <f>VLOOKUP(B251,Tot_res!C:V,5,FALSE)</f>
        <v>1279.4626751195806</v>
      </c>
      <c r="G251" s="179">
        <f>VLOOKUP(B251,Tot_res!C:V,6,FALSE)</f>
        <v>2116.6464797529643</v>
      </c>
      <c r="H251" s="179">
        <f>VLOOKUP(B251,Tot_res!C:V,7,FALSE)</f>
        <v>3577.1559185581418</v>
      </c>
      <c r="I251" s="179">
        <f>VLOOKUP(B251,Tot_res!C:V,8,FALSE)</f>
        <v>732.83637890505452</v>
      </c>
      <c r="J251" s="179">
        <f>VLOOKUP(B251,Tot_res!C:V,9,FALSE)</f>
        <v>2638.8136529168055</v>
      </c>
      <c r="K251" s="179">
        <f>VLOOKUP(B251,Tot_res!C:V,10,FALSE)</f>
        <v>2496.8552994898027</v>
      </c>
      <c r="L251" s="179">
        <f>VLOOKUP(B251,Tot_res!C:V,11,FALSE)</f>
        <v>10106.839727321591</v>
      </c>
      <c r="M251" s="179">
        <f>VLOOKUP(B251,Tot_res!C:V,12,FALSE)</f>
        <v>5834.3797142946869</v>
      </c>
      <c r="N251" s="179">
        <f>VLOOKUP(B251,Tot_res!C:V,13,FALSE)</f>
        <v>1152.7641100151773</v>
      </c>
      <c r="O251" s="179">
        <f>VLOOKUP(B251,Tot_res!C:V,14,FALSE)</f>
        <v>3224.960023676098</v>
      </c>
      <c r="P251" s="179">
        <f>VLOOKUP(B251,Tot_res!C:V,15,FALSE)</f>
        <v>8989.2534967245465</v>
      </c>
      <c r="Q251" s="179">
        <f>VLOOKUP(B251,Tot_res!C:V,16,FALSE)</f>
        <v>1668.4115023415704</v>
      </c>
      <c r="R251" s="179">
        <f>VLOOKUP(B251,Tot_res!C:V,17,FALSE)</f>
        <v>812.25572511097243</v>
      </c>
      <c r="S251" s="179">
        <f>VLOOKUP(B251,Tot_res!C:V,18,FALSE)</f>
        <v>2897.0313036317889</v>
      </c>
      <c r="T251" s="179">
        <f>VLOOKUP(B251,Tot_res!C:V,19,FALSE)</f>
        <v>363.7878307569822</v>
      </c>
      <c r="U251" s="179">
        <f>VLOOKUP(B251,Tot_res!C:V,20,FALSE)</f>
        <v>226.52336752007432</v>
      </c>
      <c r="V251" s="122">
        <f t="shared" si="48"/>
        <v>58967.792119999998</v>
      </c>
      <c r="W251" s="105"/>
    </row>
    <row r="252" spans="1:23">
      <c r="A252" s="351" t="str">
        <f>IF(B252="","",(IF(ISERROR(MATCH(B252,Tot_res!C:C,0)),"Eliminar!!!","")))</f>
        <v/>
      </c>
      <c r="B252" s="115" t="s">
        <v>260</v>
      </c>
      <c r="C252" s="329" t="str">
        <f>VLOOKUP(B252,Tot_res!C:D,2,FALSE)</f>
        <v>Calidad del agua</v>
      </c>
      <c r="D252" s="179">
        <f>VLOOKUP(B252,Tot_res!C:V,3,FALSE)</f>
        <v>15595.801688874004</v>
      </c>
      <c r="E252" s="179">
        <f>VLOOKUP(B252,Tot_res!C:V,4,FALSE)</f>
        <v>25565.161947397057</v>
      </c>
      <c r="F252" s="179">
        <f>VLOOKUP(B252,Tot_res!C:V,5,FALSE)</f>
        <v>18736.026817272454</v>
      </c>
      <c r="G252" s="179">
        <f>VLOOKUP(B252,Tot_res!C:V,6,FALSE)</f>
        <v>12.150034025644924</v>
      </c>
      <c r="H252" s="179">
        <f>VLOOKUP(B252,Tot_res!C:V,7,FALSE)</f>
        <v>1248.0329409571186</v>
      </c>
      <c r="I252" s="179">
        <f>VLOOKUP(B252,Tot_res!C:V,8,FALSE)</f>
        <v>1639.3083059170722</v>
      </c>
      <c r="J252" s="179">
        <f>VLOOKUP(B252,Tot_res!C:V,9,FALSE)</f>
        <v>691.76285079057789</v>
      </c>
      <c r="K252" s="179">
        <f>VLOOKUP(B252,Tot_res!C:V,10,FALSE)</f>
        <v>251.42353742722619</v>
      </c>
      <c r="L252" s="179">
        <f>VLOOKUP(B252,Tot_res!C:V,11,FALSE)</f>
        <v>229.54537826750226</v>
      </c>
      <c r="M252" s="179">
        <f>VLOOKUP(B252,Tot_res!C:V,12,FALSE)</f>
        <v>260.70064374284618</v>
      </c>
      <c r="N252" s="179">
        <f>VLOOKUP(B252,Tot_res!C:V,13,FALSE)</f>
        <v>23133.87675146191</v>
      </c>
      <c r="O252" s="179">
        <f>VLOOKUP(B252,Tot_res!C:V,14,FALSE)</f>
        <v>8502.1826658104073</v>
      </c>
      <c r="P252" s="179">
        <f>VLOOKUP(B252,Tot_res!C:V,15,FALSE)</f>
        <v>229.85178355759609</v>
      </c>
      <c r="Q252" s="179">
        <f>VLOOKUP(B252,Tot_res!C:V,16,FALSE)</f>
        <v>58.308682490878283</v>
      </c>
      <c r="R252" s="179">
        <f>VLOOKUP(B252,Tot_res!C:V,17,FALSE)</f>
        <v>163.6954513299805</v>
      </c>
      <c r="S252" s="179">
        <f>VLOOKUP(B252,Tot_res!C:V,18,FALSE)</f>
        <v>15170.369585370136</v>
      </c>
      <c r="T252" s="179">
        <f>VLOOKUP(B252,Tot_res!C:V,19,FALSE)</f>
        <v>97.605389896019815</v>
      </c>
      <c r="U252" s="179">
        <f>VLOOKUP(B252,Tot_res!C:V,20,FALSE)</f>
        <v>3683.3275754115648</v>
      </c>
      <c r="V252" s="122">
        <f t="shared" si="48"/>
        <v>115269.13202999999</v>
      </c>
      <c r="W252" s="105"/>
    </row>
    <row r="253" spans="1:23">
      <c r="A253" s="351" t="str">
        <f>IF(B253="","",(IF(ISERROR(MATCH(B253,Tot_res!C:C,0)),"Eliminar!!!","")))</f>
        <v/>
      </c>
      <c r="B253" s="115" t="s">
        <v>262</v>
      </c>
      <c r="C253" s="329" t="str">
        <f>VLOOKUP(B253,Tot_res!C:D,2,FALSE)</f>
        <v>Protección y mejora del medio ambiente</v>
      </c>
      <c r="D253" s="179">
        <f>VLOOKUP(B253,Tot_res!C:V,3,FALSE)</f>
        <v>2399.6524191191829</v>
      </c>
      <c r="E253" s="179">
        <f>VLOOKUP(B253,Tot_res!C:V,4,FALSE)</f>
        <v>363.56300695397283</v>
      </c>
      <c r="F253" s="179">
        <f>VLOOKUP(B253,Tot_res!C:V,5,FALSE)</f>
        <v>290.63025124114733</v>
      </c>
      <c r="G253" s="179">
        <f>VLOOKUP(B253,Tot_res!C:V,6,FALSE)</f>
        <v>303.68821120386809</v>
      </c>
      <c r="H253" s="179">
        <f>VLOOKUP(B253,Tot_res!C:V,7,FALSE)</f>
        <v>578.3928294471682</v>
      </c>
      <c r="I253" s="179">
        <f>VLOOKUP(B253,Tot_res!C:V,8,FALSE)</f>
        <v>196.73498475647114</v>
      </c>
      <c r="J253" s="179">
        <f>VLOOKUP(B253,Tot_res!C:V,9,FALSE)</f>
        <v>683.16364684798168</v>
      </c>
      <c r="K253" s="179">
        <f>VLOOKUP(B253,Tot_res!C:V,10,FALSE)</f>
        <v>569.13344621287979</v>
      </c>
      <c r="L253" s="179">
        <f>VLOOKUP(B253,Tot_res!C:V,11,FALSE)</f>
        <v>2100.830418581832</v>
      </c>
      <c r="M253" s="179">
        <f>VLOOKUP(B253,Tot_res!C:V,12,FALSE)</f>
        <v>1373.4588577613033</v>
      </c>
      <c r="N253" s="179">
        <f>VLOOKUP(B253,Tot_res!C:V,13,FALSE)</f>
        <v>301.58487502212535</v>
      </c>
      <c r="O253" s="179">
        <f>VLOOKUP(B253,Tot_res!C:V,14,FALSE)</f>
        <v>753.88922000074797</v>
      </c>
      <c r="P253" s="179">
        <f>VLOOKUP(B253,Tot_res!C:V,15,FALSE)</f>
        <v>2282.8851737732502</v>
      </c>
      <c r="Q253" s="179">
        <f>VLOOKUP(B253,Tot_res!C:V,16,FALSE)</f>
        <v>403.57123403533757</v>
      </c>
      <c r="R253" s="179">
        <f>VLOOKUP(B253,Tot_res!C:V,17,FALSE)</f>
        <v>176.23156789411181</v>
      </c>
      <c r="S253" s="179">
        <f>VLOOKUP(B253,Tot_res!C:V,18,FALSE)</f>
        <v>620.83873522270312</v>
      </c>
      <c r="T253" s="179">
        <f>VLOOKUP(B253,Tot_res!C:V,19,FALSE)</f>
        <v>87.48610352330374</v>
      </c>
      <c r="U253" s="179">
        <f>VLOOKUP(B253,Tot_res!C:V,20,FALSE)</f>
        <v>46.671588402612826</v>
      </c>
      <c r="V253" s="122">
        <f t="shared" si="48"/>
        <v>13532.406570000003</v>
      </c>
      <c r="W253" s="105"/>
    </row>
    <row r="254" spans="1:23">
      <c r="A254" s="351" t="str">
        <f>IF(B254="","",(IF(ISERROR(MATCH(B254,Tot_res!C:C,0)),"Eliminar!!!","")))</f>
        <v/>
      </c>
      <c r="B254" s="115" t="s">
        <v>264</v>
      </c>
      <c r="C254" s="329" t="str">
        <f>VLOOKUP(B254,Tot_res!C:D,2,FALSE)</f>
        <v>Protección y mejora del medio natural + AF09</v>
      </c>
      <c r="D254" s="179">
        <f>VLOOKUP(B254,Tot_res!C:V,3,FALSE)</f>
        <v>14403.680007431123</v>
      </c>
      <c r="E254" s="179">
        <f>VLOOKUP(B254,Tot_res!C:V,4,FALSE)</f>
        <v>4548.5641477870504</v>
      </c>
      <c r="F254" s="179">
        <f>VLOOKUP(B254,Tot_res!C:V,5,FALSE)</f>
        <v>4569.9047384183514</v>
      </c>
      <c r="G254" s="179">
        <f>VLOOKUP(B254,Tot_res!C:V,6,FALSE)</f>
        <v>1456.3679936878812</v>
      </c>
      <c r="H254" s="179">
        <f>VLOOKUP(B254,Tot_res!C:V,7,FALSE)</f>
        <v>6782.7319219983401</v>
      </c>
      <c r="I254" s="179">
        <f>VLOOKUP(B254,Tot_res!C:V,8,FALSE)</f>
        <v>903.44211372368795</v>
      </c>
      <c r="J254" s="179">
        <f>VLOOKUP(B254,Tot_res!C:V,9,FALSE)</f>
        <v>22917.748285335125</v>
      </c>
      <c r="K254" s="179">
        <f>VLOOKUP(B254,Tot_res!C:V,10,FALSE)</f>
        <v>20199.954801426924</v>
      </c>
      <c r="L254" s="179">
        <f>VLOOKUP(B254,Tot_res!C:V,11,FALSE)</f>
        <v>7766.9037533205028</v>
      </c>
      <c r="M254" s="179">
        <f>VLOOKUP(B254,Tot_res!C:V,12,FALSE)</f>
        <v>6244.7589139950942</v>
      </c>
      <c r="N254" s="179">
        <f>VLOOKUP(B254,Tot_res!C:V,13,FALSE)</f>
        <v>8375.5979037148772</v>
      </c>
      <c r="O254" s="179">
        <f>VLOOKUP(B254,Tot_res!C:V,14,FALSE)</f>
        <v>6788.9127711439223</v>
      </c>
      <c r="P254" s="179">
        <f>VLOOKUP(B254,Tot_res!C:V,15,FALSE)</f>
        <v>6639.3699071223818</v>
      </c>
      <c r="Q254" s="179">
        <f>VLOOKUP(B254,Tot_res!C:V,16,FALSE)</f>
        <v>2136.8788148382032</v>
      </c>
      <c r="R254" s="179">
        <f>VLOOKUP(B254,Tot_res!C:V,17,FALSE)</f>
        <v>1298.0143489927852</v>
      </c>
      <c r="S254" s="179">
        <f>VLOOKUP(B254,Tot_res!C:V,18,FALSE)</f>
        <v>4478.708466027706</v>
      </c>
      <c r="T254" s="179">
        <f>VLOOKUP(B254,Tot_res!C:V,19,FALSE)</f>
        <v>1057.8361755720414</v>
      </c>
      <c r="U254" s="179">
        <f>VLOOKUP(B254,Tot_res!C:V,20,FALSE)</f>
        <v>128.22088939594261</v>
      </c>
      <c r="V254" s="122">
        <f t="shared" si="48"/>
        <v>120697.59595393194</v>
      </c>
      <c r="W254" s="105"/>
    </row>
    <row r="255" spans="1:23">
      <c r="A255" s="351" t="str">
        <f>IF(B255="","",(IF(ISERROR(MATCH(B255,Tot_res!C:C,0)),"Eliminar!!!","")))</f>
        <v/>
      </c>
      <c r="B255" s="115" t="s">
        <v>266</v>
      </c>
      <c r="C255" s="329" t="str">
        <f>VLOOKUP(B255,Tot_res!C:D,2,FALSE)</f>
        <v>Actuación en la costa</v>
      </c>
      <c r="D255" s="179">
        <f>VLOOKUP(B255,Tot_res!C:V,3,FALSE)</f>
        <v>10900.442222061707</v>
      </c>
      <c r="E255" s="179">
        <f>VLOOKUP(B255,Tot_res!C:V,4,FALSE)</f>
        <v>669.7722039501823</v>
      </c>
      <c r="F255" s="179">
        <f>VLOOKUP(B255,Tot_res!C:V,5,FALSE)</f>
        <v>4437.8224935531916</v>
      </c>
      <c r="G255" s="179">
        <f>VLOOKUP(B255,Tot_res!C:V,6,FALSE)</f>
        <v>3133.2538696350275</v>
      </c>
      <c r="H255" s="179">
        <f>VLOOKUP(B255,Tot_res!C:V,7,FALSE)</f>
        <v>8400.0174709282001</v>
      </c>
      <c r="I255" s="179">
        <f>VLOOKUP(B255,Tot_res!C:V,8,FALSE)</f>
        <v>5403.7869094354546</v>
      </c>
      <c r="J255" s="179">
        <f>VLOOKUP(B255,Tot_res!C:V,9,FALSE)</f>
        <v>1154.6183401266608</v>
      </c>
      <c r="K255" s="179">
        <f>VLOOKUP(B255,Tot_res!C:V,10,FALSE)</f>
        <v>880.66719812764995</v>
      </c>
      <c r="L255" s="179">
        <f>VLOOKUP(B255,Tot_res!C:V,11,FALSE)</f>
        <v>7162.1059940190526</v>
      </c>
      <c r="M255" s="179">
        <f>VLOOKUP(B255,Tot_res!C:V,12,FALSE)</f>
        <v>8368.3837541664016</v>
      </c>
      <c r="N255" s="179">
        <f>VLOOKUP(B255,Tot_res!C:V,13,FALSE)</f>
        <v>442.22860955387068</v>
      </c>
      <c r="O255" s="179">
        <f>VLOOKUP(B255,Tot_res!C:V,14,FALSE)</f>
        <v>10294.121873608126</v>
      </c>
      <c r="P255" s="179">
        <f>VLOOKUP(B255,Tot_res!C:V,15,FALSE)</f>
        <v>3651.8693178207664</v>
      </c>
      <c r="Q255" s="179">
        <f>VLOOKUP(B255,Tot_res!C:V,16,FALSE)</f>
        <v>2276.5854436946192</v>
      </c>
      <c r="R255" s="179">
        <f>VLOOKUP(B255,Tot_res!C:V,17,FALSE)</f>
        <v>345.85902519990054</v>
      </c>
      <c r="S255" s="179">
        <f>VLOOKUP(B255,Tot_res!C:V,18,FALSE)</f>
        <v>21629.961615634027</v>
      </c>
      <c r="T255" s="179">
        <f>VLOOKUP(B255,Tot_res!C:V,19,FALSE)</f>
        <v>158.55586630826912</v>
      </c>
      <c r="U255" s="179">
        <f>VLOOKUP(B255,Tot_res!C:V,20,FALSE)</f>
        <v>148.13332217688873</v>
      </c>
      <c r="V255" s="122">
        <f t="shared" si="48"/>
        <v>89458.185529999988</v>
      </c>
      <c r="W255" s="105"/>
    </row>
    <row r="256" spans="1:23">
      <c r="A256" s="351" t="str">
        <f>IF(B256="","",(IF(ISERROR(MATCH(B256,Tot_res!C:C,0)),"Eliminar!!!","")))</f>
        <v/>
      </c>
      <c r="B256" s="115" t="s">
        <v>268</v>
      </c>
      <c r="C256" s="329" t="str">
        <f>VLOOKUP(B256,Tot_res!C:D,2,FALSE)</f>
        <v>Actuac. prevención contaminac. y cambio climático</v>
      </c>
      <c r="D256" s="179">
        <f>VLOOKUP(B256,Tot_res!C:V,3,FALSE)</f>
        <v>4788.2817527451944</v>
      </c>
      <c r="E256" s="179">
        <f>VLOOKUP(B256,Tot_res!C:V,4,FALSE)</f>
        <v>753.30500587644428</v>
      </c>
      <c r="F256" s="179">
        <f>VLOOKUP(B256,Tot_res!C:V,5,FALSE)</f>
        <v>602.18784345900724</v>
      </c>
      <c r="G256" s="179">
        <f>VLOOKUP(B256,Tot_res!C:V,6,FALSE)</f>
        <v>629.24402469390679</v>
      </c>
      <c r="H256" s="179">
        <f>VLOOKUP(B256,Tot_res!C:V,7,FALSE)</f>
        <v>1198.4338490212585</v>
      </c>
      <c r="I256" s="179">
        <f>VLOOKUP(B256,Tot_res!C:V,8,FALSE)</f>
        <v>334.53581886606094</v>
      </c>
      <c r="J256" s="179">
        <f>VLOOKUP(B256,Tot_res!C:V,9,FALSE)</f>
        <v>1415.5196902872583</v>
      </c>
      <c r="K256" s="179">
        <f>VLOOKUP(B256,Tot_res!C:V,10,FALSE)</f>
        <v>1179.2483444228744</v>
      </c>
      <c r="L256" s="179">
        <f>VLOOKUP(B256,Tot_res!C:V,11,FALSE)</f>
        <v>4282.6059547744508</v>
      </c>
      <c r="M256" s="179">
        <f>VLOOKUP(B256,Tot_res!C:V,12,FALSE)</f>
        <v>2845.8160294837639</v>
      </c>
      <c r="N256" s="179">
        <f>VLOOKUP(B256,Tot_res!C:V,13,FALSE)</f>
        <v>624.8858979196159</v>
      </c>
      <c r="O256" s="179">
        <f>VLOOKUP(B256,Tot_res!C:V,14,FALSE)</f>
        <v>1562.0635555331646</v>
      </c>
      <c r="P256" s="179">
        <f>VLOOKUP(B256,Tot_res!C:V,15,FALSE)</f>
        <v>3673.9806690202772</v>
      </c>
      <c r="Q256" s="179">
        <f>VLOOKUP(B256,Tot_res!C:V,16,FALSE)</f>
        <v>836.20232260055514</v>
      </c>
      <c r="R256" s="179">
        <f>VLOOKUP(B256,Tot_res!C:V,17,FALSE)</f>
        <v>365.15299892680184</v>
      </c>
      <c r="S256" s="179">
        <f>VLOOKUP(B256,Tot_res!C:V,18,FALSE)</f>
        <v>1247.7722786113725</v>
      </c>
      <c r="T256" s="179">
        <f>VLOOKUP(B256,Tot_res!C:V,19,FALSE)</f>
        <v>181.27179737258848</v>
      </c>
      <c r="U256" s="179">
        <f>VLOOKUP(B256,Tot_res!C:V,20,FALSE)</f>
        <v>96.703846385405896</v>
      </c>
      <c r="V256" s="122">
        <f t="shared" si="48"/>
        <v>26617.211680000004</v>
      </c>
      <c r="W256" s="105"/>
    </row>
    <row r="257" spans="1:23">
      <c r="A257" s="351" t="str">
        <f>IF(B257="","",(IF(ISERROR(MATCH(B257,Tot_res!C:C,0)),"Eliminar!!!","")))</f>
        <v/>
      </c>
      <c r="B257" s="115" t="s">
        <v>269</v>
      </c>
      <c r="C257" s="329" t="str">
        <f>VLOOKUP(B257,Tot_res!C:D,2,FALSE)</f>
        <v>Investigación, desarrollo y experimentación en transporte e infraestructuras</v>
      </c>
      <c r="D257" s="179">
        <f>VLOOKUP(B257,Tot_res!C:V,3,FALSE)</f>
        <v>13.502414475650818</v>
      </c>
      <c r="E257" s="179">
        <f>VLOOKUP(B257,Tot_res!C:V,4,FALSE)</f>
        <v>4.6683547282013507</v>
      </c>
      <c r="F257" s="179">
        <f>VLOOKUP(B257,Tot_res!C:V,5,FALSE)</f>
        <v>3.4484846144234411</v>
      </c>
      <c r="G257" s="179">
        <f>VLOOKUP(B257,Tot_res!C:V,6,FALSE)</f>
        <v>1.3584731408961637</v>
      </c>
      <c r="H257" s="179">
        <f>VLOOKUP(B257,Tot_res!C:V,7,FALSE)</f>
        <v>2.1153199984961266</v>
      </c>
      <c r="I257" s="179">
        <f>VLOOKUP(B257,Tot_res!C:V,8,FALSE)</f>
        <v>1.4725332300419449</v>
      </c>
      <c r="J257" s="179">
        <f>VLOOKUP(B257,Tot_res!C:V,9,FALSE)</f>
        <v>10.514600839621773</v>
      </c>
      <c r="K257" s="179">
        <f>VLOOKUP(B257,Tot_res!C:V,10,FALSE)</f>
        <v>4.8933735695985927</v>
      </c>
      <c r="L257" s="179">
        <f>VLOOKUP(B257,Tot_res!C:V,11,FALSE)</f>
        <v>9.7558124434815738</v>
      </c>
      <c r="M257" s="179">
        <f>VLOOKUP(B257,Tot_res!C:V,12,FALSE)</f>
        <v>7.1628345973714183</v>
      </c>
      <c r="N257" s="179">
        <f>VLOOKUP(B257,Tot_res!C:V,13,FALSE)</f>
        <v>2.7859400681313899</v>
      </c>
      <c r="O257" s="179">
        <f>VLOOKUP(B257,Tot_res!C:V,14,FALSE)</f>
        <v>8.6423116333305501</v>
      </c>
      <c r="P257" s="179">
        <f>VLOOKUP(B257,Tot_res!C:V,15,FALSE)</f>
        <v>8.7382328515040903</v>
      </c>
      <c r="Q257" s="179">
        <f>VLOOKUP(B257,Tot_res!C:V,16,FALSE)</f>
        <v>2.7487636753443399</v>
      </c>
      <c r="R257" s="179">
        <f>VLOOKUP(B257,Tot_res!C:V,17,FALSE)</f>
        <v>1.5217411963375915</v>
      </c>
      <c r="S257" s="179">
        <f>VLOOKUP(B257,Tot_res!C:V,18,FALSE)</f>
        <v>4.4983831972997592</v>
      </c>
      <c r="T257" s="179">
        <f>VLOOKUP(B257,Tot_res!C:V,19,FALSE)</f>
        <v>0.98396289034638196</v>
      </c>
      <c r="U257" s="179">
        <f>VLOOKUP(B257,Tot_res!C:V,20,FALSE)</f>
        <v>0.28994284992269265</v>
      </c>
      <c r="V257" s="122">
        <f t="shared" si="48"/>
        <v>89.101479999999995</v>
      </c>
      <c r="W257" s="105"/>
    </row>
    <row r="258" spans="1:23">
      <c r="A258" s="351" t="str">
        <f>IF(B258="","",(IF(ISERROR(MATCH(B258,Tot_res!C:C,0)),"Eliminar!!!","")))</f>
        <v/>
      </c>
      <c r="B258" s="115" t="s">
        <v>270</v>
      </c>
      <c r="C258" s="329" t="str">
        <f>VLOOKUP(B258,Tot_res!C:D,2,FALSE)</f>
        <v>Servicio postal universal</v>
      </c>
      <c r="D258" s="179">
        <f>VLOOKUP(B258,Tot_res!C:V,3,FALSE)</f>
        <v>52450.117232445969</v>
      </c>
      <c r="E258" s="179">
        <f>VLOOKUP(B258,Tot_res!C:V,4,FALSE)</f>
        <v>19773.75787060137</v>
      </c>
      <c r="F258" s="179">
        <f>VLOOKUP(B258,Tot_res!C:V,5,FALSE)</f>
        <v>9931.5109058828002</v>
      </c>
      <c r="G258" s="179">
        <f>VLOOKUP(B258,Tot_res!C:V,6,FALSE)</f>
        <v>30605.705990220504</v>
      </c>
      <c r="H258" s="179">
        <f>VLOOKUP(B258,Tot_res!C:V,7,FALSE)</f>
        <v>116462.2810319054</v>
      </c>
      <c r="I258" s="179">
        <f>VLOOKUP(B258,Tot_res!C:V,8,FALSE)</f>
        <v>7929.381088787658</v>
      </c>
      <c r="J258" s="179">
        <f>VLOOKUP(B258,Tot_res!C:V,9,FALSE)</f>
        <v>52690.434475276452</v>
      </c>
      <c r="K258" s="179">
        <f>VLOOKUP(B258,Tot_res!C:V,10,FALSE)</f>
        <v>38039.252413525952</v>
      </c>
      <c r="L258" s="179">
        <f>VLOOKUP(B258,Tot_res!C:V,11,FALSE)</f>
        <v>47073.871786455427</v>
      </c>
      <c r="M258" s="179">
        <f>VLOOKUP(B258,Tot_res!C:V,12,FALSE)</f>
        <v>26819.59936363317</v>
      </c>
      <c r="N258" s="179">
        <f>VLOOKUP(B258,Tot_res!C:V,13,FALSE)</f>
        <v>22223.092275423915</v>
      </c>
      <c r="O258" s="179">
        <f>VLOOKUP(B258,Tot_res!C:V,14,FALSE)</f>
        <v>49618.653240822721</v>
      </c>
      <c r="P258" s="179">
        <f>VLOOKUP(B258,Tot_res!C:V,15,FALSE)</f>
        <v>8542.4566941149806</v>
      </c>
      <c r="Q258" s="179">
        <f>VLOOKUP(B258,Tot_res!C:V,16,FALSE)</f>
        <v>1851.9442234276837</v>
      </c>
      <c r="R258" s="179">
        <f>VLOOKUP(B258,Tot_res!C:V,17,FALSE)</f>
        <v>12005.834606339549</v>
      </c>
      <c r="S258" s="179">
        <f>VLOOKUP(B258,Tot_res!C:V,18,FALSE)</f>
        <v>13731.960523972062</v>
      </c>
      <c r="T258" s="179">
        <f>VLOOKUP(B258,Tot_res!C:V,19,FALSE)</f>
        <v>4362.9055462689485</v>
      </c>
      <c r="U258" s="179">
        <f>VLOOKUP(B258,Tot_res!C:V,20,FALSE)</f>
        <v>4666.0143108954408</v>
      </c>
      <c r="V258" s="122">
        <f t="shared" si="48"/>
        <v>518778.7735800001</v>
      </c>
      <c r="W258" s="105"/>
    </row>
    <row r="259" spans="1:23">
      <c r="A259" s="351" t="str">
        <f>IF(B259="","",(IF(ISERROR(MATCH(B259,Tot_res!C:C,0)),"Eliminar!!!","")))</f>
        <v/>
      </c>
      <c r="B259" s="115" t="s">
        <v>751</v>
      </c>
      <c r="C259" s="329" t="str">
        <f>VLOOKUP(B259,Tot_res!C:D,2,FALSE)</f>
        <v>Salvamento y lucha contra la contaminación en la mar</v>
      </c>
      <c r="D259" s="179">
        <f>VLOOKUP(B259,Tot_res!C:V,3,FALSE)</f>
        <v>16693.144313888428</v>
      </c>
      <c r="E259" s="179">
        <f>VLOOKUP(B259,Tot_res!C:V,4,FALSE)</f>
        <v>6336.6149091346588</v>
      </c>
      <c r="F259" s="179">
        <f>VLOOKUP(B259,Tot_res!C:V,5,FALSE)</f>
        <v>2654.1366264758035</v>
      </c>
      <c r="G259" s="179">
        <f>VLOOKUP(B259,Tot_res!C:V,6,FALSE)</f>
        <v>2531.841309205171</v>
      </c>
      <c r="H259" s="179">
        <f>VLOOKUP(B259,Tot_res!C:V,7,FALSE)</f>
        <v>7428.4436752461106</v>
      </c>
      <c r="I259" s="179">
        <f>VLOOKUP(B259,Tot_res!C:V,8,FALSE)</f>
        <v>2056.5288187018123</v>
      </c>
      <c r="J259" s="179">
        <f>VLOOKUP(B259,Tot_res!C:V,9,FALSE)</f>
        <v>8257.7707505918825</v>
      </c>
      <c r="K259" s="179">
        <f>VLOOKUP(B259,Tot_res!C:V,10,FALSE)</f>
        <v>5598.3178750270454</v>
      </c>
      <c r="L259" s="179">
        <f>VLOOKUP(B259,Tot_res!C:V,11,FALSE)</f>
        <v>26530.600288541809</v>
      </c>
      <c r="M259" s="179">
        <f>VLOOKUP(B259,Tot_res!C:V,12,FALSE)</f>
        <v>13179.755807802549</v>
      </c>
      <c r="N259" s="179">
        <f>VLOOKUP(B259,Tot_res!C:V,13,FALSE)</f>
        <v>1903.8109813528845</v>
      </c>
      <c r="O259" s="179">
        <f>VLOOKUP(B259,Tot_res!C:V,14,FALSE)</f>
        <v>7509.6645148339512</v>
      </c>
      <c r="P259" s="179">
        <f>VLOOKUP(B259,Tot_res!C:V,15,FALSE)</f>
        <v>18347.427590599873</v>
      </c>
      <c r="Q259" s="179">
        <f>VLOOKUP(B259,Tot_res!C:V,16,FALSE)</f>
        <v>5304.6425685389431</v>
      </c>
      <c r="R259" s="179">
        <f>VLOOKUP(B259,Tot_res!C:V,17,FALSE)</f>
        <v>3257.4214567814738</v>
      </c>
      <c r="S259" s="179">
        <f>VLOOKUP(B259,Tot_res!C:V,18,FALSE)</f>
        <v>8892.5199212403659</v>
      </c>
      <c r="T259" s="179">
        <f>VLOOKUP(B259,Tot_res!C:V,19,FALSE)</f>
        <v>1276.7230667518779</v>
      </c>
      <c r="U259" s="179">
        <f>VLOOKUP(B259,Tot_res!C:V,20,FALSE)</f>
        <v>845.4112152853379</v>
      </c>
      <c r="V259" s="122">
        <f t="shared" si="48"/>
        <v>138604.77568999995</v>
      </c>
      <c r="W259" s="105"/>
    </row>
    <row r="260" spans="1:23">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179">
        <f>VLOOKUP(B260,Tot_res!C:V,3,FALSE)</f>
        <v>16743.846450000001</v>
      </c>
      <c r="E260" s="179">
        <f>VLOOKUP(B260,Tot_res!C:V,4,FALSE)</f>
        <v>5916.0538499999993</v>
      </c>
      <c r="F260" s="179">
        <f>VLOOKUP(B260,Tot_res!C:V,5,FALSE)</f>
        <v>2141.6011899999999</v>
      </c>
      <c r="G260" s="179">
        <f>VLOOKUP(B260,Tot_res!C:V,6,FALSE)</f>
        <v>2472.8272000000002</v>
      </c>
      <c r="H260" s="179">
        <f>VLOOKUP(B260,Tot_res!C:V,7,FALSE)</f>
        <v>0</v>
      </c>
      <c r="I260" s="179">
        <f>VLOOKUP(B260,Tot_res!C:V,8,FALSE)</f>
        <v>1104.5446600000002</v>
      </c>
      <c r="J260" s="179">
        <f>VLOOKUP(B260,Tot_res!C:V,9,FALSE)</f>
        <v>4588.3993099999998</v>
      </c>
      <c r="K260" s="179">
        <f>VLOOKUP(B260,Tot_res!C:V,10,FALSE)</f>
        <v>1115.3850600000001</v>
      </c>
      <c r="L260" s="179">
        <f>VLOOKUP(B260,Tot_res!C:V,11,FALSE)</f>
        <v>3274.9504400000005</v>
      </c>
      <c r="M260" s="179">
        <f>VLOOKUP(B260,Tot_res!C:V,12,FALSE)</f>
        <v>7737.9375100000007</v>
      </c>
      <c r="N260" s="179">
        <f>VLOOKUP(B260,Tot_res!C:V,13,FALSE)</f>
        <v>916.72572000000002</v>
      </c>
      <c r="O260" s="179">
        <f>VLOOKUP(B260,Tot_res!C:V,14,FALSE)</f>
        <v>3434.49991</v>
      </c>
      <c r="P260" s="179">
        <f>VLOOKUP(B260,Tot_res!C:V,15,FALSE)</f>
        <v>0</v>
      </c>
      <c r="Q260" s="179">
        <f>VLOOKUP(B260,Tot_res!C:V,16,FALSE)</f>
        <v>743.25361999999996</v>
      </c>
      <c r="R260" s="179">
        <f>VLOOKUP(B260,Tot_res!C:V,17,FALSE)</f>
        <v>0</v>
      </c>
      <c r="S260" s="179">
        <f>VLOOKUP(B260,Tot_res!C:V,18,FALSE)</f>
        <v>11.246360000000001</v>
      </c>
      <c r="T260" s="179">
        <f>VLOOKUP(B260,Tot_res!C:V,19,FALSE)</f>
        <v>669.83686999999998</v>
      </c>
      <c r="U260" s="179">
        <f>VLOOKUP(B260,Tot_res!C:V,20,FALSE)</f>
        <v>183.63185000000001</v>
      </c>
      <c r="V260" s="122">
        <f t="shared" si="48"/>
        <v>51054.740000000005</v>
      </c>
      <c r="W260" s="105"/>
    </row>
    <row r="261" spans="1:23">
      <c r="A261" s="351" t="str">
        <f>IF(B261="","",(IF(ISERROR(MATCH(B261,Tot_res!C:C,0)),"Eliminar!!!","")))</f>
        <v/>
      </c>
      <c r="B261" s="119" t="s">
        <v>754</v>
      </c>
      <c r="C261" s="329" t="str">
        <f>VLOOKUP(B261,Tot_res!C:D,2,FALSE)</f>
        <v>Otras aportaciones a Corporaciones Locales, mejoras suminstro agua CyMel</v>
      </c>
      <c r="D261" s="179">
        <f>VLOOKUP(B261,Tot_res!C:V,3,FALSE)</f>
        <v>5392.1267800000005</v>
      </c>
      <c r="E261" s="179">
        <f>VLOOKUP(B261,Tot_res!C:V,4,FALSE)</f>
        <v>0</v>
      </c>
      <c r="F261" s="179">
        <f>VLOOKUP(B261,Tot_res!C:V,5,FALSE)</f>
        <v>0</v>
      </c>
      <c r="G261" s="179">
        <f>VLOOKUP(B261,Tot_res!C:V,6,FALSE)</f>
        <v>0</v>
      </c>
      <c r="H261" s="179">
        <f>VLOOKUP(B261,Tot_res!C:V,7,FALSE)</f>
        <v>0</v>
      </c>
      <c r="I261" s="179">
        <f>VLOOKUP(B261,Tot_res!C:V,8,FALSE)</f>
        <v>0</v>
      </c>
      <c r="J261" s="179">
        <f>VLOOKUP(B261,Tot_res!C:V,9,FALSE)</f>
        <v>0</v>
      </c>
      <c r="K261" s="179">
        <f>VLOOKUP(B261,Tot_res!C:V,10,FALSE)</f>
        <v>0</v>
      </c>
      <c r="L261" s="179">
        <f>VLOOKUP(B261,Tot_res!C:V,11,FALSE)</f>
        <v>0</v>
      </c>
      <c r="M261" s="179">
        <f>VLOOKUP(B261,Tot_res!C:V,12,FALSE)</f>
        <v>0</v>
      </c>
      <c r="N261" s="179">
        <f>VLOOKUP(B261,Tot_res!C:V,13,FALSE)</f>
        <v>0</v>
      </c>
      <c r="O261" s="179">
        <f>VLOOKUP(B261,Tot_res!C:V,14,FALSE)</f>
        <v>0</v>
      </c>
      <c r="P261" s="179">
        <f>VLOOKUP(B261,Tot_res!C:V,15,FALSE)</f>
        <v>0</v>
      </c>
      <c r="Q261" s="179">
        <f>VLOOKUP(B261,Tot_res!C:V,16,FALSE)</f>
        <v>0</v>
      </c>
      <c r="R261" s="179">
        <f>VLOOKUP(B261,Tot_res!C:V,17,FALSE)</f>
        <v>0</v>
      </c>
      <c r="S261" s="179">
        <f>VLOOKUP(B261,Tot_res!C:V,18,FALSE)</f>
        <v>0</v>
      </c>
      <c r="T261" s="179">
        <f>VLOOKUP(B261,Tot_res!C:V,19,FALSE)</f>
        <v>0</v>
      </c>
      <c r="U261" s="179">
        <f>VLOOKUP(B261,Tot_res!C:V,20,FALSE)</f>
        <v>15000</v>
      </c>
      <c r="V261" s="122">
        <f t="shared" si="48"/>
        <v>20392.126779999999</v>
      </c>
      <c r="W261" s="105"/>
    </row>
    <row r="262" spans="1:23">
      <c r="A262" s="351" t="str">
        <f>IF(B262="","",(IF(ISERROR(MATCH(B262,Tot_res!C:C,0)),"Eliminar!!!","")))</f>
        <v/>
      </c>
      <c r="B262" s="119" t="s">
        <v>272</v>
      </c>
      <c r="C262" s="329" t="str">
        <f>VLOOKUP(B262,Tot_res!C:D,2,FALSE)</f>
        <v>Obras hidráulicas</v>
      </c>
      <c r="D262" s="179">
        <f>VLOOKUP(B262,Tot_res!C:V,3,FALSE)</f>
        <v>0</v>
      </c>
      <c r="E262" s="179">
        <f>VLOOKUP(B262,Tot_res!C:V,4,FALSE)</f>
        <v>0</v>
      </c>
      <c r="F262" s="179">
        <f>VLOOKUP(B262,Tot_res!C:V,5,FALSE)</f>
        <v>0</v>
      </c>
      <c r="G262" s="179">
        <f>VLOOKUP(B262,Tot_res!C:V,6,FALSE)</f>
        <v>0</v>
      </c>
      <c r="H262" s="179">
        <f>VLOOKUP(B262,Tot_res!C:V,7,FALSE)</f>
        <v>13455.682928693823</v>
      </c>
      <c r="I262" s="179">
        <f>VLOOKUP(B262,Tot_res!C:V,8,FALSE)</f>
        <v>0</v>
      </c>
      <c r="J262" s="179">
        <f>VLOOKUP(B262,Tot_res!C:V,9,FALSE)</f>
        <v>0</v>
      </c>
      <c r="K262" s="179">
        <f>VLOOKUP(B262,Tot_res!C:V,10,FALSE)</f>
        <v>0</v>
      </c>
      <c r="L262" s="179">
        <f>VLOOKUP(B262,Tot_res!C:V,11,FALSE)</f>
        <v>134092.59910471665</v>
      </c>
      <c r="M262" s="179">
        <f>VLOOKUP(B262,Tot_res!C:V,12,FALSE)</f>
        <v>0</v>
      </c>
      <c r="N262" s="179">
        <f>VLOOKUP(B262,Tot_res!C:V,13,FALSE)</f>
        <v>0</v>
      </c>
      <c r="O262" s="179">
        <f>VLOOKUP(B262,Tot_res!C:V,14,FALSE)</f>
        <v>36704.30617812775</v>
      </c>
      <c r="P262" s="179">
        <f>VLOOKUP(B262,Tot_res!C:V,15,FALSE)</f>
        <v>0</v>
      </c>
      <c r="Q262" s="179">
        <f>VLOOKUP(B262,Tot_res!C:V,16,FALSE)</f>
        <v>0</v>
      </c>
      <c r="R262" s="179">
        <f>VLOOKUP(B262,Tot_res!C:V,17,FALSE)</f>
        <v>0</v>
      </c>
      <c r="S262" s="179">
        <f>VLOOKUP(B262,Tot_res!C:V,18,FALSE)</f>
        <v>0</v>
      </c>
      <c r="T262" s="179">
        <f>VLOOKUP(B262,Tot_res!C:V,19,FALSE)</f>
        <v>0</v>
      </c>
      <c r="U262" s="179">
        <f>VLOOKUP(B262,Tot_res!C:V,20,FALSE)</f>
        <v>0</v>
      </c>
      <c r="V262" s="122">
        <f t="shared" si="48"/>
        <v>184252.58821153821</v>
      </c>
      <c r="W262" s="105"/>
    </row>
    <row r="263" spans="1:23">
      <c r="A263" s="351" t="str">
        <f>IF(B263="","",(IF(ISERROR(MATCH(B263,Tot_res!C:C,0)),"Eliminar!!!","")))</f>
        <v/>
      </c>
      <c r="B263" s="119" t="s">
        <v>273</v>
      </c>
      <c r="C263" s="329" t="str">
        <f>VLOOKUP(B263,Tot_res!C:D,2,FALSE)</f>
        <v>Confederaciones hidrográficas, Andalucía</v>
      </c>
      <c r="D263" s="179">
        <f>VLOOKUP(B263,Tot_res!C:V,3,FALSE)</f>
        <v>184972.79523044385</v>
      </c>
      <c r="E263" s="179">
        <f>VLOOKUP(B263,Tot_res!C:V,4,FALSE)</f>
        <v>0</v>
      </c>
      <c r="F263" s="179">
        <f>VLOOKUP(B263,Tot_res!C:V,5,FALSE)</f>
        <v>0</v>
      </c>
      <c r="G263" s="179">
        <f>VLOOKUP(B263,Tot_res!C:V,6,FALSE)</f>
        <v>0</v>
      </c>
      <c r="H263" s="179">
        <f>VLOOKUP(B263,Tot_res!C:V,7,FALSE)</f>
        <v>0</v>
      </c>
      <c r="I263" s="179">
        <f>VLOOKUP(B263,Tot_res!C:V,8,FALSE)</f>
        <v>0</v>
      </c>
      <c r="J263" s="179">
        <f>VLOOKUP(B263,Tot_res!C:V,9,FALSE)</f>
        <v>0</v>
      </c>
      <c r="K263" s="179">
        <f>VLOOKUP(B263,Tot_res!C:V,10,FALSE)</f>
        <v>0</v>
      </c>
      <c r="L263" s="179">
        <f>VLOOKUP(B263,Tot_res!C:V,11,FALSE)</f>
        <v>0</v>
      </c>
      <c r="M263" s="179">
        <f>VLOOKUP(B263,Tot_res!C:V,12,FALSE)</f>
        <v>0</v>
      </c>
      <c r="N263" s="179">
        <f>VLOOKUP(B263,Tot_res!C:V,13,FALSE)</f>
        <v>0</v>
      </c>
      <c r="O263" s="179">
        <f>VLOOKUP(B263,Tot_res!C:V,14,FALSE)</f>
        <v>0</v>
      </c>
      <c r="P263" s="179">
        <f>VLOOKUP(B263,Tot_res!C:V,15,FALSE)</f>
        <v>0</v>
      </c>
      <c r="Q263" s="179">
        <f>VLOOKUP(B263,Tot_res!C:V,16,FALSE)</f>
        <v>0</v>
      </c>
      <c r="R263" s="179">
        <f>VLOOKUP(B263,Tot_res!C:V,17,FALSE)</f>
        <v>0</v>
      </c>
      <c r="S263" s="179">
        <f>VLOOKUP(B263,Tot_res!C:V,18,FALSE)</f>
        <v>0</v>
      </c>
      <c r="T263" s="179">
        <f>VLOOKUP(B263,Tot_res!C:V,19,FALSE)</f>
        <v>0</v>
      </c>
      <c r="U263" s="179">
        <f>VLOOKUP(B263,Tot_res!C:V,20,FALSE)</f>
        <v>0</v>
      </c>
      <c r="V263" s="122">
        <f t="shared" si="48"/>
        <v>184972.79523044385</v>
      </c>
      <c r="W263" s="105"/>
    </row>
    <row r="264" spans="1:23">
      <c r="A264" s="351" t="str">
        <f>IF(B264="","",(IF(ISERROR(MATCH(B264,Tot_res!C:C,0)),"Eliminar!!!","")))</f>
        <v/>
      </c>
      <c r="B264" s="119" t="s">
        <v>274</v>
      </c>
      <c r="C264" s="329" t="str">
        <f>VLOOKUP(B264,Tot_res!C:D,2,FALSE)</f>
        <v>Parques Nacionales</v>
      </c>
      <c r="D264" s="179">
        <f>VLOOKUP(B264,Tot_res!C:V,3,FALSE)</f>
        <v>18643.715671818416</v>
      </c>
      <c r="E264" s="179">
        <f>VLOOKUP(B264,Tot_res!C:V,4,FALSE)</f>
        <v>4710.1247478541009</v>
      </c>
      <c r="F264" s="179">
        <f>VLOOKUP(B264,Tot_res!C:V,5,FALSE)</f>
        <v>4016.9527728294561</v>
      </c>
      <c r="G264" s="179">
        <f>VLOOKUP(B264,Tot_res!C:V,6,FALSE)</f>
        <v>7684.4575335415593</v>
      </c>
      <c r="H264" s="179">
        <f>VLOOKUP(B264,Tot_res!C:V,7,FALSE)</f>
        <v>28574.251051882959</v>
      </c>
      <c r="I264" s="179">
        <f>VLOOKUP(B264,Tot_res!C:V,8,FALSE)</f>
        <v>2220.8029179844862</v>
      </c>
      <c r="J264" s="179">
        <f>VLOOKUP(B264,Tot_res!C:V,9,FALSE)</f>
        <v>2337.6839015013993</v>
      </c>
      <c r="K264" s="179">
        <f>VLOOKUP(B264,Tot_res!C:V,10,FALSE)</f>
        <v>0</v>
      </c>
      <c r="L264" s="179">
        <f>VLOOKUP(B264,Tot_res!C:V,11,FALSE)</f>
        <v>0</v>
      </c>
      <c r="M264" s="179">
        <f>VLOOKUP(B264,Tot_res!C:V,12,FALSE)</f>
        <v>0</v>
      </c>
      <c r="N264" s="179">
        <f>VLOOKUP(B264,Tot_res!C:V,13,FALSE)</f>
        <v>0</v>
      </c>
      <c r="O264" s="179">
        <f>VLOOKUP(B264,Tot_res!C:V,14,FALSE)</f>
        <v>4811.1457280648701</v>
      </c>
      <c r="P264" s="179">
        <f>VLOOKUP(B264,Tot_res!C:V,15,FALSE)</f>
        <v>0</v>
      </c>
      <c r="Q264" s="179">
        <f>VLOOKUP(B264,Tot_res!C:V,16,FALSE)</f>
        <v>0</v>
      </c>
      <c r="R264" s="179">
        <f>VLOOKUP(B264,Tot_res!C:V,17,FALSE)</f>
        <v>0</v>
      </c>
      <c r="S264" s="179">
        <f>VLOOKUP(B264,Tot_res!C:V,18,FALSE)</f>
        <v>0</v>
      </c>
      <c r="T264" s="179">
        <f>VLOOKUP(B264,Tot_res!C:V,19,FALSE)</f>
        <v>0</v>
      </c>
      <c r="U264" s="179">
        <f>VLOOKUP(B264,Tot_res!C:V,20,FALSE)</f>
        <v>0</v>
      </c>
      <c r="V264" s="122">
        <f t="shared" si="48"/>
        <v>72999.134325477251</v>
      </c>
      <c r="W264" s="105"/>
    </row>
    <row r="265" spans="1:23">
      <c r="A265" s="351" t="str">
        <f>IF(B265="","",(IF(ISERROR(MATCH(B265,Tot_res!C:C,0)),"Eliminar!!!","")))</f>
        <v/>
      </c>
      <c r="B265" s="119" t="s">
        <v>276</v>
      </c>
      <c r="C265" s="329" t="str">
        <f>VLOOKUP(B265,Tot_res!C:D,2,FALSE)</f>
        <v>Infraestructuras ferroviarias, ADIF y Renfe</v>
      </c>
      <c r="D265" s="179">
        <f>VLOOKUP(B265,Tot_res!C:V,3,FALSE)</f>
        <v>254527.24348740725</v>
      </c>
      <c r="E265" s="179">
        <f>VLOOKUP(B265,Tot_res!C:V,4,FALSE)</f>
        <v>32054.991026031599</v>
      </c>
      <c r="F265" s="179">
        <f>VLOOKUP(B265,Tot_res!C:V,5,FALSE)</f>
        <v>96614.607710697877</v>
      </c>
      <c r="G265" s="179">
        <f>VLOOKUP(B265,Tot_res!C:V,6,FALSE)</f>
        <v>4683.1313553347927</v>
      </c>
      <c r="H265" s="179">
        <f>VLOOKUP(B265,Tot_res!C:V,7,FALSE)</f>
        <v>4858.1373355417782</v>
      </c>
      <c r="I265" s="179">
        <f>VLOOKUP(B265,Tot_res!C:V,8,FALSE)</f>
        <v>17126.357090954643</v>
      </c>
      <c r="J265" s="179">
        <f>VLOOKUP(B265,Tot_res!C:V,9,FALSE)</f>
        <v>520943.13167362387</v>
      </c>
      <c r="K265" s="179">
        <f>VLOOKUP(B265,Tot_res!C:V,10,FALSE)</f>
        <v>48773.455282822717</v>
      </c>
      <c r="L265" s="179">
        <f>VLOOKUP(B265,Tot_res!C:V,11,FALSE)</f>
        <v>374668.60950777674</v>
      </c>
      <c r="M265" s="179">
        <f>VLOOKUP(B265,Tot_res!C:V,12,FALSE)</f>
        <v>279018.8882487524</v>
      </c>
      <c r="N265" s="179">
        <f>VLOOKUP(B265,Tot_res!C:V,13,FALSE)</f>
        <v>80633.276267351073</v>
      </c>
      <c r="O265" s="179">
        <f>VLOOKUP(B265,Tot_res!C:V,14,FALSE)</f>
        <v>432578.43686397123</v>
      </c>
      <c r="P265" s="179">
        <f>VLOOKUP(B265,Tot_res!C:V,15,FALSE)</f>
        <v>373971.3676563456</v>
      </c>
      <c r="Q265" s="179">
        <f>VLOOKUP(B265,Tot_res!C:V,16,FALSE)</f>
        <v>38796.631296884691</v>
      </c>
      <c r="R265" s="179">
        <f>VLOOKUP(B265,Tot_res!C:V,17,FALSE)</f>
        <v>66141.922635676965</v>
      </c>
      <c r="S265" s="179">
        <f>VLOOKUP(B265,Tot_res!C:V,18,FALSE)</f>
        <v>130770.31159923441</v>
      </c>
      <c r="T265" s="179">
        <f>VLOOKUP(B265,Tot_res!C:V,19,FALSE)</f>
        <v>5781.7047945583117</v>
      </c>
      <c r="U265" s="179">
        <f>VLOOKUP(B265,Tot_res!C:V,20,FALSE)</f>
        <v>1001.7961670338925</v>
      </c>
      <c r="V265" s="122">
        <f t="shared" si="48"/>
        <v>2762943.9999999995</v>
      </c>
      <c r="W265" s="105"/>
    </row>
    <row r="266" spans="1:23">
      <c r="A266" s="351" t="str">
        <f>IF(B266="","",(IF(ISERROR(MATCH(B266,Tot_res!C:C,0)),"Eliminar!!!","")))</f>
        <v/>
      </c>
      <c r="B266" s="119" t="s">
        <v>277</v>
      </c>
      <c r="C266" s="329" t="str">
        <f>VLOOKUP(B266,Tot_res!C:D,2,FALSE)</f>
        <v>Infraestructuras aeroportuarias, AENA</v>
      </c>
      <c r="D266" s="179">
        <f>VLOOKUP(B266,Tot_res!C:V,3,FALSE)</f>
        <v>37672.998562289475</v>
      </c>
      <c r="E266" s="179">
        <f>VLOOKUP(B266,Tot_res!C:V,4,FALSE)</f>
        <v>4160.0954786938155</v>
      </c>
      <c r="F266" s="179">
        <f>VLOOKUP(B266,Tot_res!C:V,5,FALSE)</f>
        <v>6629.2962206137599</v>
      </c>
      <c r="G266" s="179">
        <f>VLOOKUP(B266,Tot_res!C:V,6,FALSE)</f>
        <v>18890.153533244546</v>
      </c>
      <c r="H266" s="179">
        <f>VLOOKUP(B266,Tot_res!C:V,7,FALSE)</f>
        <v>63519.073501141909</v>
      </c>
      <c r="I266" s="179">
        <f>VLOOKUP(B266,Tot_res!C:V,8,FALSE)</f>
        <v>2018.6926554136994</v>
      </c>
      <c r="J266" s="179">
        <f>VLOOKUP(B266,Tot_res!C:V,9,FALSE)</f>
        <v>5993.1817942170383</v>
      </c>
      <c r="K266" s="179">
        <f>VLOOKUP(B266,Tot_res!C:V,10,FALSE)</f>
        <v>5096.7849197173127</v>
      </c>
      <c r="L266" s="179">
        <f>VLOOKUP(B266,Tot_res!C:V,11,FALSE)</f>
        <v>39361.184739572382</v>
      </c>
      <c r="M266" s="179">
        <f>VLOOKUP(B266,Tot_res!C:V,12,FALSE)</f>
        <v>17132.824734473194</v>
      </c>
      <c r="N266" s="179">
        <f>VLOOKUP(B266,Tot_res!C:V,13,FALSE)</f>
        <v>2384.4955210453054</v>
      </c>
      <c r="O266" s="179">
        <f>VLOOKUP(B266,Tot_res!C:V,14,FALSE)</f>
        <v>27166.553823461905</v>
      </c>
      <c r="P266" s="179">
        <f>VLOOKUP(B266,Tot_res!C:V,15,FALSE)</f>
        <v>110755.32331234231</v>
      </c>
      <c r="Q266" s="179">
        <f>VLOOKUP(B266,Tot_res!C:V,16,FALSE)</f>
        <v>4028.9757427506638</v>
      </c>
      <c r="R266" s="179">
        <f>VLOOKUP(B266,Tot_res!C:V,17,FALSE)</f>
        <v>1866.9981643051615</v>
      </c>
      <c r="S266" s="179">
        <f>VLOOKUP(B266,Tot_res!C:V,18,FALSE)</f>
        <v>10036.553730512363</v>
      </c>
      <c r="T266" s="179">
        <f>VLOOKUP(B266,Tot_res!C:V,19,FALSE)</f>
        <v>865.34828295728732</v>
      </c>
      <c r="U266" s="179">
        <f>VLOOKUP(B266,Tot_res!C:V,20,FALSE)</f>
        <v>980.46528324786073</v>
      </c>
      <c r="V266" s="122">
        <f t="shared" si="48"/>
        <v>358559.00000000006</v>
      </c>
      <c r="W266" s="105"/>
    </row>
    <row r="267" spans="1:23">
      <c r="A267" s="351" t="str">
        <f>IF(B267="","",(IF(ISERROR(MATCH(B267,Tot_res!C:C,0)),"Eliminar!!!","")))</f>
        <v/>
      </c>
      <c r="B267" s="119" t="s">
        <v>278</v>
      </c>
      <c r="C267" s="329" t="str">
        <f>VLOOKUP(B267,Tot_res!C:D,2,FALSE)</f>
        <v xml:space="preserve">Infraestructuras portuarias, Puertos del Estado </v>
      </c>
      <c r="D267" s="179">
        <f>VLOOKUP(B267,Tot_res!C:V,3,FALSE)</f>
        <v>56914.197226321434</v>
      </c>
      <c r="E267" s="179">
        <f>VLOOKUP(B267,Tot_res!C:V,4,FALSE)</f>
        <v>5733.966492763253</v>
      </c>
      <c r="F267" s="179">
        <f>VLOOKUP(B267,Tot_res!C:V,5,FALSE)</f>
        <v>10482.37967931781</v>
      </c>
      <c r="G267" s="179">
        <f>VLOOKUP(B267,Tot_res!C:V,6,FALSE)</f>
        <v>5791.0486813784983</v>
      </c>
      <c r="H267" s="179">
        <f>VLOOKUP(B267,Tot_res!C:V,7,FALSE)</f>
        <v>17943.289415252962</v>
      </c>
      <c r="I267" s="179">
        <f>VLOOKUP(B267,Tot_res!C:V,8,FALSE)</f>
        <v>10527.607801157752</v>
      </c>
      <c r="J267" s="179">
        <f>VLOOKUP(B267,Tot_res!C:V,9,FALSE)</f>
        <v>7472.4093964675685</v>
      </c>
      <c r="K267" s="179">
        <f>VLOOKUP(B267,Tot_res!C:V,10,FALSE)</f>
        <v>5065.8857405027911</v>
      </c>
      <c r="L267" s="179">
        <f>VLOOKUP(B267,Tot_res!C:V,11,FALSE)</f>
        <v>108409.38805637289</v>
      </c>
      <c r="M267" s="179">
        <f>VLOOKUP(B267,Tot_res!C:V,12,FALSE)</f>
        <v>33760.952115353022</v>
      </c>
      <c r="N267" s="179">
        <f>VLOOKUP(B267,Tot_res!C:V,13,FALSE)</f>
        <v>1722.7476392632689</v>
      </c>
      <c r="O267" s="179">
        <f>VLOOKUP(B267,Tot_res!C:V,14,FALSE)</f>
        <v>25160.785687219784</v>
      </c>
      <c r="P267" s="179">
        <f>VLOOKUP(B267,Tot_res!C:V,15,FALSE)</f>
        <v>16602.482009951666</v>
      </c>
      <c r="Q267" s="179">
        <f>VLOOKUP(B267,Tot_res!C:V,16,FALSE)</f>
        <v>19933.473973131444</v>
      </c>
      <c r="R267" s="179">
        <f>VLOOKUP(B267,Tot_res!C:V,17,FALSE)</f>
        <v>2947.6219959441614</v>
      </c>
      <c r="S267" s="179">
        <f>VLOOKUP(B267,Tot_res!C:V,18,FALSE)</f>
        <v>45516.123614231932</v>
      </c>
      <c r="T267" s="179">
        <f>VLOOKUP(B267,Tot_res!C:V,19,FALSE)</f>
        <v>1155.2993814946753</v>
      </c>
      <c r="U267" s="179">
        <f>VLOOKUP(B267,Tot_res!C:V,20,FALSE)</f>
        <v>1128.3410938750546</v>
      </c>
      <c r="V267" s="122">
        <f t="shared" si="48"/>
        <v>376268</v>
      </c>
      <c r="W267" s="105"/>
    </row>
    <row r="268" spans="1:23">
      <c r="A268" s="351" t="str">
        <f>IF(B268="","",(IF(ISERROR(MATCH(B268,Tot_res!C:C,0)),"Eliminar!!!","")))</f>
        <v/>
      </c>
      <c r="B268" s="119" t="s">
        <v>279</v>
      </c>
      <c r="C268" s="329" t="str">
        <f>VLOOKUP(B268,Tot_res!C:D,2,FALSE)</f>
        <v>Autopistas de peaje</v>
      </c>
      <c r="D268" s="179">
        <f>VLOOKUP(B268,Tot_res!C:V,3,FALSE)</f>
        <v>8546.458375543134</v>
      </c>
      <c r="E268" s="179">
        <f>VLOOKUP(B268,Tot_res!C:V,4,FALSE)</f>
        <v>4442.6310708110977</v>
      </c>
      <c r="F268" s="179">
        <f>VLOOKUP(B268,Tot_res!C:V,5,FALSE)</f>
        <v>868.61970043662882</v>
      </c>
      <c r="G268" s="179">
        <f>VLOOKUP(B268,Tot_res!C:V,6,FALSE)</f>
        <v>169.65760513768416</v>
      </c>
      <c r="H268" s="179">
        <f>VLOOKUP(B268,Tot_res!C:V,7,FALSE)</f>
        <v>364.68836072134155</v>
      </c>
      <c r="I268" s="179">
        <f>VLOOKUP(B268,Tot_res!C:V,8,FALSE)</f>
        <v>228.53927961048558</v>
      </c>
      <c r="J268" s="179">
        <f>VLOOKUP(B268,Tot_res!C:V,9,FALSE)</f>
        <v>13411.610765453341</v>
      </c>
      <c r="K268" s="179">
        <f>VLOOKUP(B268,Tot_res!C:V,10,FALSE)</f>
        <v>8901.706025365911</v>
      </c>
      <c r="L268" s="179">
        <f>VLOOKUP(B268,Tot_res!C:V,11,FALSE)</f>
        <v>30290.496216637348</v>
      </c>
      <c r="M268" s="179">
        <f>VLOOKUP(B268,Tot_res!C:V,12,FALSE)</f>
        <v>8952.8574247421002</v>
      </c>
      <c r="N268" s="179">
        <f>VLOOKUP(B268,Tot_res!C:V,13,FALSE)</f>
        <v>421.19768054434638</v>
      </c>
      <c r="O268" s="179">
        <f>VLOOKUP(B268,Tot_res!C:V,14,FALSE)</f>
        <v>6538.3997179508988</v>
      </c>
      <c r="P268" s="179">
        <f>VLOOKUP(B268,Tot_res!C:V,15,FALSE)</f>
        <v>6998.94944367484</v>
      </c>
      <c r="Q268" s="179">
        <f>VLOOKUP(B268,Tot_res!C:V,16,FALSE)</f>
        <v>892.33388537555197</v>
      </c>
      <c r="R268" s="179">
        <f>VLOOKUP(B268,Tot_res!C:V,17,FALSE)</f>
        <v>2320.9825773964067</v>
      </c>
      <c r="S268" s="179">
        <f>VLOOKUP(B268,Tot_res!C:V,18,FALSE)</f>
        <v>7243.7966862700332</v>
      </c>
      <c r="T268" s="179">
        <f>VLOOKUP(B268,Tot_res!C:V,19,FALSE)</f>
        <v>5445.1408974538426</v>
      </c>
      <c r="U268" s="179">
        <f>VLOOKUP(B268,Tot_res!C:V,20,FALSE)</f>
        <v>39.934286874999628</v>
      </c>
      <c r="V268" s="122">
        <f t="shared" si="48"/>
        <v>106077.99999999999</v>
      </c>
      <c r="W268" s="105"/>
    </row>
    <row r="269" spans="1:23">
      <c r="A269" s="351" t="str">
        <f>IF(B269="","",(IF(ISERROR(MATCH(B269,Tot_res!C:C,0)),"Eliminar!!!","")))</f>
        <v/>
      </c>
      <c r="B269" s="119" t="s">
        <v>281</v>
      </c>
      <c r="C269" s="329" t="str">
        <f>VLOOKUP(B269,Tot_res!C:D,2,FALSE)</f>
        <v>Excedente bruto de AENA</v>
      </c>
      <c r="D269" s="179">
        <f>VLOOKUP(B269,Tot_res!C:V,3,FALSE)</f>
        <v>-332392.55614273506</v>
      </c>
      <c r="E269" s="179">
        <f>VLOOKUP(B269,Tot_res!C:V,4,FALSE)</f>
        <v>-57436.425568989143</v>
      </c>
      <c r="F269" s="179">
        <f>VLOOKUP(B269,Tot_res!C:V,5,FALSE)</f>
        <v>-48201.063750782865</v>
      </c>
      <c r="G269" s="179">
        <f>VLOOKUP(B269,Tot_res!C:V,6,FALSE)</f>
        <v>-45845.007638041454</v>
      </c>
      <c r="H269" s="179">
        <f>VLOOKUP(B269,Tot_res!C:V,7,FALSE)</f>
        <v>-93564.072588244439</v>
      </c>
      <c r="I269" s="179">
        <f>VLOOKUP(B269,Tot_res!C:V,8,FALSE)</f>
        <v>-26562.612143283121</v>
      </c>
      <c r="J269" s="179">
        <f>VLOOKUP(B269,Tot_res!C:V,9,FALSE)</f>
        <v>-99674.246987330494</v>
      </c>
      <c r="K269" s="179">
        <f>VLOOKUP(B269,Tot_res!C:V,10,FALSE)</f>
        <v>-98310.422661176999</v>
      </c>
      <c r="L269" s="179">
        <f>VLOOKUP(B269,Tot_res!C:V,11,FALSE)</f>
        <v>-328119.73444198997</v>
      </c>
      <c r="M269" s="179">
        <f>VLOOKUP(B269,Tot_res!C:V,12,FALSE)</f>
        <v>-210721.93978967494</v>
      </c>
      <c r="N269" s="179">
        <f>VLOOKUP(B269,Tot_res!C:V,13,FALSE)</f>
        <v>-46061.400705097141</v>
      </c>
      <c r="O269" s="179">
        <f>VLOOKUP(B269,Tot_res!C:V,14,FALSE)</f>
        <v>-116218.45537131764</v>
      </c>
      <c r="P269" s="179">
        <f>VLOOKUP(B269,Tot_res!C:V,15,FALSE)</f>
        <v>-249570.4941814724</v>
      </c>
      <c r="Q269" s="179">
        <f>VLOOKUP(B269,Tot_res!C:V,16,FALSE)</f>
        <v>-62664.780696839582</v>
      </c>
      <c r="R269" s="179">
        <f>VLOOKUP(B269,Tot_res!C:V,17,FALSE)</f>
        <v>-29350.197698302782</v>
      </c>
      <c r="S269" s="179">
        <f>VLOOKUP(B269,Tot_res!C:V,18,FALSE)</f>
        <v>-103753.29036651066</v>
      </c>
      <c r="T269" s="179">
        <f>VLOOKUP(B269,Tot_res!C:V,19,FALSE)</f>
        <v>-12986.539124096304</v>
      </c>
      <c r="U269" s="179">
        <f>VLOOKUP(B269,Tot_res!C:V,20,FALSE)</f>
        <v>-7045.7601441149145</v>
      </c>
      <c r="V269" s="122">
        <f t="shared" si="48"/>
        <v>-1968479</v>
      </c>
      <c r="W269" s="105"/>
    </row>
    <row r="270" spans="1:23">
      <c r="A270" s="351" t="str">
        <f>IF(B270="","",(IF(ISERROR(MATCH(B270,Tot_res!C:C,0)),"Eliminar!!!","")))</f>
        <v/>
      </c>
      <c r="B270" s="119" t="s">
        <v>282</v>
      </c>
      <c r="C270" s="329" t="str">
        <f>VLOOKUP(B270,Tot_res!C:D,2,FALSE)</f>
        <v>Excedene bruto de puertos del Estado</v>
      </c>
      <c r="D270" s="179">
        <f>VLOOKUP(B270,Tot_res!C:V,3,FALSE)</f>
        <v>-88181.369792121899</v>
      </c>
      <c r="E270" s="179">
        <f>VLOOKUP(B270,Tot_res!C:V,4,FALSE)</f>
        <v>-12174.108859199523</v>
      </c>
      <c r="F270" s="179">
        <f>VLOOKUP(B270,Tot_res!C:V,5,FALSE)</f>
        <v>-8160.5048271564519</v>
      </c>
      <c r="G270" s="179">
        <f>VLOOKUP(B270,Tot_res!C:V,6,FALSE)</f>
        <v>-15506.923970986443</v>
      </c>
      <c r="H270" s="179">
        <f>VLOOKUP(B270,Tot_res!C:V,7,FALSE)</f>
        <v>-36194.370871642481</v>
      </c>
      <c r="I270" s="179">
        <f>VLOOKUP(B270,Tot_res!C:V,8,FALSE)</f>
        <v>-3009.4980962237096</v>
      </c>
      <c r="J270" s="179">
        <f>VLOOKUP(B270,Tot_res!C:V,9,FALSE)</f>
        <v>-28895.07551174051</v>
      </c>
      <c r="K270" s="179">
        <f>VLOOKUP(B270,Tot_res!C:V,10,FALSE)</f>
        <v>-24715.446644091233</v>
      </c>
      <c r="L270" s="179">
        <f>VLOOKUP(B270,Tot_res!C:V,11,FALSE)</f>
        <v>-77223.050676110244</v>
      </c>
      <c r="M270" s="179">
        <f>VLOOKUP(B270,Tot_res!C:V,12,FALSE)</f>
        <v>-48575.238477453815</v>
      </c>
      <c r="N270" s="179">
        <f>VLOOKUP(B270,Tot_res!C:V,13,FALSE)</f>
        <v>-15273.117459518377</v>
      </c>
      <c r="O270" s="179">
        <f>VLOOKUP(B270,Tot_res!C:V,14,FALSE)</f>
        <v>-20594.419179841774</v>
      </c>
      <c r="P270" s="179">
        <f>VLOOKUP(B270,Tot_res!C:V,15,FALSE)</f>
        <v>-103128.68889078623</v>
      </c>
      <c r="Q270" s="179">
        <f>VLOOKUP(B270,Tot_res!C:V,16,FALSE)</f>
        <v>-10822.375137017294</v>
      </c>
      <c r="R270" s="179">
        <f>VLOOKUP(B270,Tot_res!C:V,17,FALSE)</f>
        <v>-6003.05939222906</v>
      </c>
      <c r="S270" s="179">
        <f>VLOOKUP(B270,Tot_res!C:V,18,FALSE)</f>
        <v>-14301.003535139942</v>
      </c>
      <c r="T270" s="179">
        <f>VLOOKUP(B270,Tot_res!C:V,19,FALSE)</f>
        <v>-3428.2045440088168</v>
      </c>
      <c r="U270" s="179">
        <f>VLOOKUP(B270,Tot_res!C:V,20,FALSE)</f>
        <v>2465.8210052678141</v>
      </c>
      <c r="V270" s="122">
        <f t="shared" si="48"/>
        <v>-513720.63486000005</v>
      </c>
      <c r="W270" s="105"/>
    </row>
    <row r="271" spans="1:23">
      <c r="A271" s="351" t="str">
        <f>IF(B271="","",(IF(ISERROR(MATCH(B271,Tot_res!C:C,0)),"Eliminar!!!","")))</f>
        <v/>
      </c>
      <c r="B271" s="119" t="s">
        <v>283</v>
      </c>
      <c r="C271" s="329" t="str">
        <f>VLOOKUP(B271,Tot_res!C:D,2,FALSE)</f>
        <v>Excedente bruto de los concesionarios de autopistas de peaje</v>
      </c>
      <c r="D271" s="179">
        <f>VLOOKUP(B271,Tot_res!C:V,3,FALSE)</f>
        <v>-154383.62779670983</v>
      </c>
      <c r="E271" s="179">
        <f>VLOOKUP(B271,Tot_res!C:V,4,FALSE)</f>
        <v>-56606.866593843326</v>
      </c>
      <c r="F271" s="179">
        <f>VLOOKUP(B271,Tot_res!C:V,5,FALSE)</f>
        <v>-22697.603425905749</v>
      </c>
      <c r="G271" s="179">
        <f>VLOOKUP(B271,Tot_res!C:V,6,FALSE)</f>
        <v>-10833.920842231222</v>
      </c>
      <c r="H271" s="179">
        <f>VLOOKUP(B271,Tot_res!C:V,7,FALSE)</f>
        <v>-19811.647843952505</v>
      </c>
      <c r="I271" s="179">
        <f>VLOOKUP(B271,Tot_res!C:V,8,FALSE)</f>
        <v>-8118.2488957253163</v>
      </c>
      <c r="J271" s="179">
        <f>VLOOKUP(B271,Tot_res!C:V,9,FALSE)</f>
        <v>-82351.311394271121</v>
      </c>
      <c r="K271" s="179">
        <f>VLOOKUP(B271,Tot_res!C:V,10,FALSE)</f>
        <v>-77972.215660209258</v>
      </c>
      <c r="L271" s="179">
        <f>VLOOKUP(B271,Tot_res!C:V,11,FALSE)</f>
        <v>-234446.01127016929</v>
      </c>
      <c r="M271" s="179">
        <f>VLOOKUP(B271,Tot_res!C:V,12,FALSE)</f>
        <v>-145395.52654778358</v>
      </c>
      <c r="N271" s="179">
        <f>VLOOKUP(B271,Tot_res!C:V,13,FALSE)</f>
        <v>-18667.809143789949</v>
      </c>
      <c r="O271" s="179">
        <f>VLOOKUP(B271,Tot_res!C:V,14,FALSE)</f>
        <v>-95528.112229021965</v>
      </c>
      <c r="P271" s="179">
        <f>VLOOKUP(B271,Tot_res!C:V,15,FALSE)</f>
        <v>-156136.79925906123</v>
      </c>
      <c r="Q271" s="179">
        <f>VLOOKUP(B271,Tot_res!C:V,16,FALSE)</f>
        <v>-38472.87354598978</v>
      </c>
      <c r="R271" s="179">
        <f>VLOOKUP(B271,Tot_res!C:V,17,FALSE)</f>
        <v>-39266.039784783483</v>
      </c>
      <c r="S271" s="179">
        <f>VLOOKUP(B271,Tot_res!C:V,18,FALSE)</f>
        <v>-84037.20971481991</v>
      </c>
      <c r="T271" s="179">
        <f>VLOOKUP(B271,Tot_res!C:V,19,FALSE)</f>
        <v>-27158.663871576966</v>
      </c>
      <c r="U271" s="179">
        <f>VLOOKUP(B271,Tot_res!C:V,20,FALSE)</f>
        <v>-1822.1121801559123</v>
      </c>
      <c r="V271" s="122">
        <f t="shared" si="48"/>
        <v>-1273706.6000000006</v>
      </c>
      <c r="W271" s="105"/>
    </row>
    <row r="272" spans="1:23">
      <c r="A272" s="351" t="str">
        <f>IF(B272="","",(IF(ISERROR(MATCH(B272,Tot_res!C:C,0)),"Eliminar!!!","")))</f>
        <v/>
      </c>
      <c r="B272" s="119" t="s">
        <v>284</v>
      </c>
      <c r="C272" s="329" t="str">
        <f>VLOOKUP(B272,Tot_res!C:D,2,FALSE)</f>
        <v>Infraestructuras de carreteras, SEITT + AF06/2</v>
      </c>
      <c r="D272" s="179">
        <f>VLOOKUP(B272,Tot_res!C:V,3,FALSE)</f>
        <v>69804.438906176787</v>
      </c>
      <c r="E272" s="179">
        <f>VLOOKUP(B272,Tot_res!C:V,4,FALSE)</f>
        <v>28438.869867870424</v>
      </c>
      <c r="F272" s="179">
        <f>VLOOKUP(B272,Tot_res!C:V,5,FALSE)</f>
        <v>20764.928984318267</v>
      </c>
      <c r="G272" s="179">
        <f>VLOOKUP(B272,Tot_res!C:V,6,FALSE)</f>
        <v>597.80778428509757</v>
      </c>
      <c r="H272" s="179">
        <f>VLOOKUP(B272,Tot_res!C:V,7,FALSE)</f>
        <v>1285.0207375051805</v>
      </c>
      <c r="I272" s="179">
        <f>VLOOKUP(B272,Tot_res!C:V,8,FALSE)</f>
        <v>805.28403224354065</v>
      </c>
      <c r="J272" s="179">
        <f>VLOOKUP(B272,Tot_res!C:V,9,FALSE)</f>
        <v>2986.06524941814</v>
      </c>
      <c r="K272" s="179">
        <f>VLOOKUP(B272,Tot_res!C:V,10,FALSE)</f>
        <v>70582.092131258847</v>
      </c>
      <c r="L272" s="179">
        <f>VLOOKUP(B272,Tot_res!C:V,11,FALSE)</f>
        <v>61782.21339722797</v>
      </c>
      <c r="M272" s="179">
        <f>VLOOKUP(B272,Tot_res!C:V,12,FALSE)</f>
        <v>27578.474036970092</v>
      </c>
      <c r="N272" s="179">
        <f>VLOOKUP(B272,Tot_res!C:V,13,FALSE)</f>
        <v>1484.1377252018603</v>
      </c>
      <c r="O272" s="179">
        <f>VLOOKUP(B272,Tot_res!C:V,14,FALSE)</f>
        <v>50554.153559013146</v>
      </c>
      <c r="P272" s="179">
        <f>VLOOKUP(B272,Tot_res!C:V,15,FALSE)</f>
        <v>10526.80939275717</v>
      </c>
      <c r="Q272" s="179">
        <f>VLOOKUP(B272,Tot_res!C:V,16,FALSE)</f>
        <v>1793.5210860091465</v>
      </c>
      <c r="R272" s="179">
        <f>VLOOKUP(B272,Tot_res!C:V,17,FALSE)</f>
        <v>5727.1317630809463</v>
      </c>
      <c r="S272" s="179">
        <f>VLOOKUP(B272,Tot_res!C:V,18,FALSE)</f>
        <v>18435.318006642792</v>
      </c>
      <c r="T272" s="179">
        <f>VLOOKUP(B272,Tot_res!C:V,19,FALSE)</f>
        <v>490.86597782310639</v>
      </c>
      <c r="U272" s="179">
        <f>VLOOKUP(B272,Tot_res!C:V,20,FALSE)</f>
        <v>140.71298209340532</v>
      </c>
      <c r="V272" s="122">
        <f t="shared" si="48"/>
        <v>373777.84561989596</v>
      </c>
      <c r="W272" s="105"/>
    </row>
    <row r="273" spans="1:23">
      <c r="A273" s="351" t="str">
        <f>IF(B273="","",(IF(ISERROR(MATCH(B273,Tot_res!C:C,0)),"Eliminar!!!","")))</f>
        <v/>
      </c>
      <c r="B273" s="119" t="s">
        <v>286</v>
      </c>
      <c r="C273" s="329" t="str">
        <f>VLOOKUP(B273,Tot_res!C:D,2,FALSE)</f>
        <v>"Y" ferroviaria vasca, parte financiada mediante descuento del cupo</v>
      </c>
      <c r="D273" s="179">
        <f>VLOOKUP(B273,Tot_res!C:V,3,FALSE)</f>
        <v>9722.2799719619597</v>
      </c>
      <c r="E273" s="179">
        <f>VLOOKUP(B273,Tot_res!C:V,4,FALSE)</f>
        <v>2496.8331089359208</v>
      </c>
      <c r="F273" s="179">
        <f>VLOOKUP(B273,Tot_res!C:V,5,FALSE)</f>
        <v>1551.1674075158269</v>
      </c>
      <c r="G273" s="179">
        <f>VLOOKUP(B273,Tot_res!C:V,6,FALSE)</f>
        <v>399.37386026518806</v>
      </c>
      <c r="H273" s="179">
        <f>VLOOKUP(B273,Tot_res!C:V,7,FALSE)</f>
        <v>414.29823641046499</v>
      </c>
      <c r="I273" s="179">
        <f>VLOOKUP(B273,Tot_res!C:V,8,FALSE)</f>
        <v>703.58414273973904</v>
      </c>
      <c r="J273" s="179">
        <f>VLOOKUP(B273,Tot_res!C:V,9,FALSE)</f>
        <v>1985.5108090712338</v>
      </c>
      <c r="K273" s="179">
        <f>VLOOKUP(B273,Tot_res!C:V,10,FALSE)</f>
        <v>3085.9816570747112</v>
      </c>
      <c r="L273" s="179">
        <f>VLOOKUP(B273,Tot_res!C:V,11,FALSE)</f>
        <v>22139.16681406994</v>
      </c>
      <c r="M273" s="179">
        <f>VLOOKUP(B273,Tot_res!C:V,12,FALSE)</f>
        <v>8324.1250429951033</v>
      </c>
      <c r="N273" s="179">
        <f>VLOOKUP(B273,Tot_res!C:V,13,FALSE)</f>
        <v>797.29912963561992</v>
      </c>
      <c r="O273" s="179">
        <f>VLOOKUP(B273,Tot_res!C:V,14,FALSE)</f>
        <v>2447.4944524809171</v>
      </c>
      <c r="P273" s="179">
        <f>VLOOKUP(B273,Tot_res!C:V,15,FALSE)</f>
        <v>24401.689577922367</v>
      </c>
      <c r="Q273" s="179">
        <f>VLOOKUP(B273,Tot_res!C:V,16,FALSE)</f>
        <v>1325.5205626218799</v>
      </c>
      <c r="R273" s="179">
        <f>VLOOKUP(B273,Tot_res!C:V,17,FALSE)</f>
        <v>1772.8918491527547</v>
      </c>
      <c r="S273" s="179">
        <f>VLOOKUP(B273,Tot_res!C:V,18,FALSE)</f>
        <v>173126.2547192825</v>
      </c>
      <c r="T273" s="179">
        <f>VLOOKUP(B273,Tot_res!C:V,19,FALSE)</f>
        <v>332.05216692553245</v>
      </c>
      <c r="U273" s="179">
        <f>VLOOKUP(B273,Tot_res!C:V,20,FALSE)</f>
        <v>85.432410938341619</v>
      </c>
      <c r="V273" s="122">
        <f t="shared" si="48"/>
        <v>255110.95592000001</v>
      </c>
      <c r="W273" s="105"/>
    </row>
    <row r="274" spans="1:23">
      <c r="A274" s="351" t="str">
        <f>IF(B274="","",(IF(ISERROR(MATCH(B274,Tot_res!C:C,0)),"Eliminar!!!","")))</f>
        <v/>
      </c>
      <c r="B274" s="119" t="s">
        <v>1210</v>
      </c>
      <c r="C274" s="329" t="str">
        <f>VLOOKUP(B274,Tot_res!C:D,2,FALSE)</f>
        <v>Parques Nacionales transferidos durante el año, coste efectivo</v>
      </c>
      <c r="D274" s="179">
        <f>VLOOKUP(B274,Tot_res!C:V,3,FALSE)</f>
        <v>0.97438132129614918</v>
      </c>
      <c r="E274" s="179">
        <f>VLOOKUP(B274,Tot_res!C:V,4,FALSE)</f>
        <v>0.18605160801725051</v>
      </c>
      <c r="F274" s="179">
        <f>VLOOKUP(B274,Tot_res!C:V,5,FALSE)</f>
        <v>0.13191218962234241</v>
      </c>
      <c r="G274" s="179">
        <f>VLOOKUP(B274,Tot_res!C:V,6,FALSE)</f>
        <v>0.15216291360946965</v>
      </c>
      <c r="H274" s="179">
        <f>VLOOKUP(B274,Tot_res!C:V,7,FALSE)</f>
        <v>18.896485352935599</v>
      </c>
      <c r="I274" s="179">
        <f>VLOOKUP(B274,Tot_res!C:V,8,FALSE)</f>
        <v>7.4824104369680761E-2</v>
      </c>
      <c r="J274" s="179">
        <f>VLOOKUP(B274,Tot_res!C:V,9,FALSE)</f>
        <v>0.32073382197681066</v>
      </c>
      <c r="K274" s="179">
        <f>VLOOKUP(B274,Tot_res!C:V,10,FALSE)</f>
        <v>0.24463473905507577</v>
      </c>
      <c r="L274" s="179">
        <f>VLOOKUP(B274,Tot_res!C:V,11,FALSE)</f>
        <v>1.0894944117187384</v>
      </c>
      <c r="M274" s="179">
        <f>VLOOKUP(B274,Tot_res!C:V,12,FALSE)</f>
        <v>0.62363215824914109</v>
      </c>
      <c r="N274" s="179">
        <f>VLOOKUP(B274,Tot_res!C:V,13,FALSE)</f>
        <v>0.12284377200707222</v>
      </c>
      <c r="O274" s="179">
        <f>VLOOKUP(B274,Tot_res!C:V,14,FALSE)</f>
        <v>0.34376942203683891</v>
      </c>
      <c r="P274" s="179">
        <f>VLOOKUP(B274,Tot_res!C:V,15,FALSE)</f>
        <v>1.0144287189618124</v>
      </c>
      <c r="Q274" s="179">
        <f>VLOOKUP(B274,Tot_res!C:V,16,FALSE)</f>
        <v>0.1772052283398311</v>
      </c>
      <c r="R274" s="179">
        <f>VLOOKUP(B274,Tot_res!C:V,17,FALSE)</f>
        <v>9.6073900060663658E-2</v>
      </c>
      <c r="S274" s="179">
        <f>VLOOKUP(B274,Tot_res!C:V,18,FALSE)</f>
        <v>0.33719778594857913</v>
      </c>
      <c r="T274" s="179">
        <f>VLOOKUP(B274,Tot_res!C:V,19,FALSE)</f>
        <v>4.4044189521809191E-2</v>
      </c>
      <c r="U274" s="179">
        <f>VLOOKUP(B274,Tot_res!C:V,20,FALSE)</f>
        <v>2.0124362273138956E-2</v>
      </c>
      <c r="V274" s="122">
        <f t="shared" ref="V274" si="49">SUM(D274:U274)</f>
        <v>24.850000000000005</v>
      </c>
      <c r="W274" s="105"/>
    </row>
    <row r="275" spans="1:23">
      <c r="A275" s="351" t="str">
        <f>IF(B275="","",(IF(ISERROR(MATCH(B275,Tot_res!C:C,0)),"Eliminar!!!","")))</f>
        <v/>
      </c>
      <c r="B275" s="115" t="s">
        <v>226</v>
      </c>
      <c r="C275" s="329" t="str">
        <f>VLOOKUP(B275,Tot_res!C:D,2,FALSE)</f>
        <v>Ajuste forales, ayudas al transporte colectivo urbano</v>
      </c>
      <c r="D275" s="179">
        <f>VLOOKUP(B275,Tot_res!C:V,3,FALSE)</f>
        <v>0</v>
      </c>
      <c r="E275" s="179">
        <f>VLOOKUP(B275,Tot_res!C:V,4,FALSE)</f>
        <v>0</v>
      </c>
      <c r="F275" s="179">
        <f>VLOOKUP(B275,Tot_res!C:V,5,FALSE)</f>
        <v>0</v>
      </c>
      <c r="G275" s="179">
        <f>VLOOKUP(B275,Tot_res!C:V,6,FALSE)</f>
        <v>0</v>
      </c>
      <c r="H275" s="179">
        <f>VLOOKUP(B275,Tot_res!C:V,7,FALSE)</f>
        <v>0</v>
      </c>
      <c r="I275" s="179">
        <f>VLOOKUP(B275,Tot_res!C:V,8,FALSE)</f>
        <v>0</v>
      </c>
      <c r="J275" s="179">
        <f>VLOOKUP(B275,Tot_res!C:V,9,FALSE)</f>
        <v>0</v>
      </c>
      <c r="K275" s="179">
        <f>VLOOKUP(B275,Tot_res!C:V,10,FALSE)</f>
        <v>0</v>
      </c>
      <c r="L275" s="179">
        <f>VLOOKUP(B275,Tot_res!C:V,11,FALSE)</f>
        <v>0</v>
      </c>
      <c r="M275" s="179">
        <f>VLOOKUP(B275,Tot_res!C:V,12,FALSE)</f>
        <v>0</v>
      </c>
      <c r="N275" s="179">
        <f>VLOOKUP(B275,Tot_res!C:V,13,FALSE)</f>
        <v>0</v>
      </c>
      <c r="O275" s="179">
        <f>VLOOKUP(B275,Tot_res!C:V,14,FALSE)</f>
        <v>0</v>
      </c>
      <c r="P275" s="179">
        <f>VLOOKUP(B275,Tot_res!C:V,15,FALSE)</f>
        <v>0</v>
      </c>
      <c r="Q275" s="179">
        <f>VLOOKUP(B275,Tot_res!C:V,16,FALSE)</f>
        <v>0</v>
      </c>
      <c r="R275" s="179">
        <f>VLOOKUP(B275,Tot_res!C:V,17,FALSE)</f>
        <v>4351.1654260556852</v>
      </c>
      <c r="S275" s="179">
        <f>VLOOKUP(B275,Tot_res!C:V,18,FALSE)</f>
        <v>14857.215940025832</v>
      </c>
      <c r="T275" s="179">
        <f>VLOOKUP(B275,Tot_res!C:V,19,FALSE)</f>
        <v>0</v>
      </c>
      <c r="U275" s="179">
        <f>VLOOKUP(B275,Tot_res!C:V,20,FALSE)</f>
        <v>0</v>
      </c>
      <c r="V275" s="122">
        <f t="shared" si="48"/>
        <v>19208.381366081518</v>
      </c>
      <c r="W275" s="105"/>
    </row>
    <row r="276" spans="1:23">
      <c r="A276" s="352"/>
      <c r="B276" s="115"/>
      <c r="C276" s="119"/>
      <c r="D276" s="105"/>
      <c r="E276" s="105"/>
      <c r="F276" s="105"/>
      <c r="G276" s="105"/>
      <c r="H276" s="105"/>
      <c r="I276" s="105"/>
      <c r="J276" s="105"/>
      <c r="K276" s="105"/>
      <c r="L276" s="105"/>
      <c r="M276" s="105"/>
      <c r="N276" s="105"/>
      <c r="O276" s="105"/>
      <c r="P276" s="105"/>
      <c r="Q276" s="105"/>
      <c r="R276" s="105"/>
      <c r="S276" s="105"/>
      <c r="T276" s="105"/>
      <c r="U276" s="105"/>
      <c r="V276" s="122"/>
    </row>
    <row r="277" spans="1:23" ht="13.5">
      <c r="A277" s="352"/>
      <c r="B277" s="115"/>
      <c r="C277" s="117" t="s">
        <v>55</v>
      </c>
      <c r="D277" s="114">
        <f t="shared" ref="D277:V277" si="50">SUM(D278:D291)</f>
        <v>1194299.1299668963</v>
      </c>
      <c r="E277" s="114">
        <f t="shared" si="50"/>
        <v>79339.944929647914</v>
      </c>
      <c r="F277" s="114">
        <f t="shared" si="50"/>
        <v>106350.33957519766</v>
      </c>
      <c r="G277" s="114">
        <f t="shared" si="50"/>
        <v>336326.36899469595</v>
      </c>
      <c r="H277" s="114">
        <f t="shared" si="50"/>
        <v>1214578.8380730604</v>
      </c>
      <c r="I277" s="114">
        <f t="shared" si="50"/>
        <v>47602.969981202354</v>
      </c>
      <c r="J277" s="114">
        <f t="shared" si="50"/>
        <v>265320.46092255582</v>
      </c>
      <c r="K277" s="114">
        <f t="shared" si="50"/>
        <v>208362.92142381248</v>
      </c>
      <c r="L277" s="114">
        <f t="shared" si="50"/>
        <v>117635.84104418907</v>
      </c>
      <c r="M277" s="114">
        <f t="shared" si="50"/>
        <v>164759.16294049239</v>
      </c>
      <c r="N277" s="114">
        <f t="shared" si="50"/>
        <v>274160.37240649236</v>
      </c>
      <c r="O277" s="114">
        <f t="shared" si="50"/>
        <v>355647.6930544434</v>
      </c>
      <c r="P277" s="114">
        <f t="shared" si="50"/>
        <v>25840.073889923933</v>
      </c>
      <c r="Q277" s="114">
        <f t="shared" si="50"/>
        <v>97043.294615865962</v>
      </c>
      <c r="R277" s="114">
        <f t="shared" si="50"/>
        <v>4207.1495567568209</v>
      </c>
      <c r="S277" s="114">
        <f t="shared" si="50"/>
        <v>78044.830351823693</v>
      </c>
      <c r="T277" s="114">
        <f t="shared" si="50"/>
        <v>2473.8205374537756</v>
      </c>
      <c r="U277" s="114">
        <f t="shared" si="50"/>
        <v>137483.75718658688</v>
      </c>
      <c r="V277" s="126">
        <f t="shared" si="50"/>
        <v>4709476.9694510978</v>
      </c>
    </row>
    <row r="278" spans="1:23">
      <c r="A278" s="351" t="str">
        <f>IF(B278="","",(IF(ISERROR(MATCH(B278,Tot_res!C:C,0)),"Eliminar!!!","")))</f>
        <v/>
      </c>
      <c r="B278" s="115" t="s">
        <v>629</v>
      </c>
      <c r="C278" s="329" t="str">
        <f>VLOOKUP(B278,Tot_res!C:D,2,FALSE)</f>
        <v>Subsidio y renta para eventuales agrarios en Andalucía y Extremadura</v>
      </c>
      <c r="D278" s="179">
        <f>VLOOKUP(B278,Tot_res!C:V,3,FALSE)</f>
        <v>893054.25200244365</v>
      </c>
      <c r="E278" s="179">
        <f>VLOOKUP(B278,Tot_res!C:V,4,FALSE)</f>
        <v>0</v>
      </c>
      <c r="F278" s="179">
        <f>VLOOKUP(B278,Tot_res!C:V,5,FALSE)</f>
        <v>0</v>
      </c>
      <c r="G278" s="179">
        <f>VLOOKUP(B278,Tot_res!C:V,6,FALSE)</f>
        <v>0</v>
      </c>
      <c r="H278" s="179">
        <f>VLOOKUP(B278,Tot_res!C:V,7,FALSE)</f>
        <v>0</v>
      </c>
      <c r="I278" s="179">
        <f>VLOOKUP(B278,Tot_res!C:V,8,FALSE)</f>
        <v>0</v>
      </c>
      <c r="J278" s="179">
        <f>VLOOKUP(B278,Tot_res!C:V,9,FALSE)</f>
        <v>0</v>
      </c>
      <c r="K278" s="179">
        <f>VLOOKUP(B278,Tot_res!C:V,10,FALSE)</f>
        <v>0</v>
      </c>
      <c r="L278" s="179">
        <f>VLOOKUP(B278,Tot_res!C:V,11,FALSE)</f>
        <v>0</v>
      </c>
      <c r="M278" s="179">
        <f>VLOOKUP(B278,Tot_res!C:V,12,FALSE)</f>
        <v>0</v>
      </c>
      <c r="N278" s="179">
        <f>VLOOKUP(B278,Tot_res!C:V,13,FALSE)</f>
        <v>130568.29425631771</v>
      </c>
      <c r="O278" s="179">
        <f>VLOOKUP(B278,Tot_res!C:V,14,FALSE)</f>
        <v>0</v>
      </c>
      <c r="P278" s="179">
        <f>VLOOKUP(B278,Tot_res!C:V,15,FALSE)</f>
        <v>0</v>
      </c>
      <c r="Q278" s="179">
        <f>VLOOKUP(B278,Tot_res!C:V,16,FALSE)</f>
        <v>0</v>
      </c>
      <c r="R278" s="179">
        <f>VLOOKUP(B278,Tot_res!C:V,17,FALSE)</f>
        <v>0</v>
      </c>
      <c r="S278" s="179">
        <f>VLOOKUP(B278,Tot_res!C:V,18,FALSE)</f>
        <v>0</v>
      </c>
      <c r="T278" s="179">
        <f>VLOOKUP(B278,Tot_res!C:V,19,FALSE)</f>
        <v>0</v>
      </c>
      <c r="U278" s="179">
        <f>VLOOKUP(B278,Tot_res!C:V,20,FALSE)</f>
        <v>0</v>
      </c>
      <c r="V278" s="122">
        <f t="shared" ref="V278:V291" si="51">SUM(D278:U278)</f>
        <v>1023622.5462587613</v>
      </c>
    </row>
    <row r="279" spans="1:23">
      <c r="A279" s="351" t="str">
        <f>IF(B279="","",(IF(ISERROR(MATCH(B279,Tot_res!C:C,0)),"Eliminar!!!","")))</f>
        <v/>
      </c>
      <c r="B279" s="115" t="s">
        <v>288</v>
      </c>
      <c r="C279" s="329" t="str">
        <f>VLOOKUP(B279,Tot_res!C:D,2,FALSE)</f>
        <v>Incentivos regionales a la localización industrial</v>
      </c>
      <c r="D279" s="179">
        <f>VLOOKUP(B279,Tot_res!C:V,3,FALSE)</f>
        <v>14471.84745329366</v>
      </c>
      <c r="E279" s="179">
        <f>VLOOKUP(B279,Tot_res!C:V,4,FALSE)</f>
        <v>877.92105847618882</v>
      </c>
      <c r="F279" s="179">
        <f>VLOOKUP(B279,Tot_res!C:V,5,FALSE)</f>
        <v>2462.5131207283653</v>
      </c>
      <c r="G279" s="179">
        <f>VLOOKUP(B279,Tot_res!C:V,6,FALSE)</f>
        <v>0</v>
      </c>
      <c r="H279" s="179">
        <f>VLOOKUP(B279,Tot_res!C:V,7,FALSE)</f>
        <v>522.86757432044749</v>
      </c>
      <c r="I279" s="179">
        <f>VLOOKUP(B279,Tot_res!C:V,8,FALSE)</f>
        <v>342.16389637635086</v>
      </c>
      <c r="J279" s="179">
        <f>VLOOKUP(B279,Tot_res!C:V,9,FALSE)</f>
        <v>13570.592824284948</v>
      </c>
      <c r="K279" s="179">
        <f>VLOOKUP(B279,Tot_res!C:V,10,FALSE)</f>
        <v>1155.0910431569475</v>
      </c>
      <c r="L279" s="179">
        <f>VLOOKUP(B279,Tot_res!C:V,11,FALSE)</f>
        <v>0</v>
      </c>
      <c r="M279" s="179">
        <f>VLOOKUP(B279,Tot_res!C:V,12,FALSE)</f>
        <v>37568.777781506651</v>
      </c>
      <c r="N279" s="179">
        <f>VLOOKUP(B279,Tot_res!C:V,13,FALSE)</f>
        <v>6206.0178509282541</v>
      </c>
      <c r="O279" s="179">
        <f>VLOOKUP(B279,Tot_res!C:V,14,FALSE)</f>
        <v>3143.2915276844469</v>
      </c>
      <c r="P279" s="179">
        <f>VLOOKUP(B279,Tot_res!C:V,15,FALSE)</f>
        <v>0</v>
      </c>
      <c r="Q279" s="179">
        <f>VLOOKUP(B279,Tot_res!C:V,16,FALSE)</f>
        <v>977.3417292437415</v>
      </c>
      <c r="R279" s="179">
        <f>VLOOKUP(B279,Tot_res!C:V,17,FALSE)</f>
        <v>0</v>
      </c>
      <c r="S279" s="179">
        <f>VLOOKUP(B279,Tot_res!C:V,18,FALSE)</f>
        <v>0</v>
      </c>
      <c r="T279" s="179">
        <f>VLOOKUP(B279,Tot_res!C:V,19,FALSE)</f>
        <v>0</v>
      </c>
      <c r="U279" s="179">
        <f>VLOOKUP(B279,Tot_res!C:V,20,FALSE)</f>
        <v>0</v>
      </c>
      <c r="V279" s="122">
        <f t="shared" si="51"/>
        <v>81298.425860000003</v>
      </c>
    </row>
    <row r="280" spans="1:23">
      <c r="A280" s="351" t="str">
        <f>IF(B280="","",(IF(ISERROR(MATCH(B280,Tot_res!C:C,0)),"Eliminar!!!","")))</f>
        <v/>
      </c>
      <c r="B280" s="115" t="s">
        <v>289</v>
      </c>
      <c r="C280" s="329" t="str">
        <f>VLOOKUP(B280,Tot_res!C:D,2,FALSE)</f>
        <v>Desarrollo alternativo de las comarcas mineras del carbón</v>
      </c>
      <c r="D280" s="179">
        <f>VLOOKUP(B280,Tot_res!C:V,3,FALSE)</f>
        <v>581.47441000000003</v>
      </c>
      <c r="E280" s="179">
        <f>VLOOKUP(B280,Tot_res!C:V,4,FALSE)</f>
        <v>582.55178999999998</v>
      </c>
      <c r="F280" s="179">
        <f>VLOOKUP(B280,Tot_res!C:V,5,FALSE)</f>
        <v>4787.5285200000008</v>
      </c>
      <c r="G280" s="179">
        <f>VLOOKUP(B280,Tot_res!C:V,6,FALSE)</f>
        <v>0</v>
      </c>
      <c r="H280" s="179">
        <f>VLOOKUP(B280,Tot_res!C:V,7,FALSE)</f>
        <v>0</v>
      </c>
      <c r="I280" s="179">
        <f>VLOOKUP(B280,Tot_res!C:V,8,FALSE)</f>
        <v>0</v>
      </c>
      <c r="J280" s="179">
        <f>VLOOKUP(B280,Tot_res!C:V,9,FALSE)</f>
        <v>2085.8729800000001</v>
      </c>
      <c r="K280" s="179">
        <f>VLOOKUP(B280,Tot_res!C:V,10,FALSE)</f>
        <v>0</v>
      </c>
      <c r="L280" s="179">
        <f>VLOOKUP(B280,Tot_res!C:V,11,FALSE)</f>
        <v>694.04198999999994</v>
      </c>
      <c r="M280" s="179">
        <f>VLOOKUP(B280,Tot_res!C:V,12,FALSE)</f>
        <v>0</v>
      </c>
      <c r="N280" s="179">
        <f>VLOOKUP(B280,Tot_res!C:V,13,FALSE)</f>
        <v>0</v>
      </c>
      <c r="O280" s="179">
        <f>VLOOKUP(B280,Tot_res!C:V,14,FALSE)</f>
        <v>1299.83079</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51"/>
        <v>10031.300480000002</v>
      </c>
    </row>
    <row r="281" spans="1:23">
      <c r="A281" s="351" t="str">
        <f>IF(B281="","",(IF(ISERROR(MATCH(B281,Tot_res!C:C,0)),"Eliminar!!!","")))</f>
        <v/>
      </c>
      <c r="B281" s="115" t="s">
        <v>630</v>
      </c>
      <c r="C281" s="329" t="str">
        <f>VLOOKUP(B281,Tot_res!C:D,2,FALSE)</f>
        <v>Explotación minera</v>
      </c>
      <c r="D281" s="179">
        <f>VLOOKUP(B281,Tot_res!C:V,3,FALSE)</f>
        <v>15163.090848571117</v>
      </c>
      <c r="E281" s="179">
        <f>VLOOKUP(B281,Tot_res!C:V,4,FALSE)</f>
        <v>41422.06314923388</v>
      </c>
      <c r="F281" s="179">
        <f>VLOOKUP(B281,Tot_res!C:V,5,FALSE)</f>
        <v>60853.280664651546</v>
      </c>
      <c r="G281" s="179">
        <f>VLOOKUP(B281,Tot_res!C:V,6,FALSE)</f>
        <v>48.357761228072668</v>
      </c>
      <c r="H281" s="179">
        <f>VLOOKUP(B281,Tot_res!C:V,7,FALSE)</f>
        <v>142.87362173256014</v>
      </c>
      <c r="I281" s="179">
        <f>VLOOKUP(B281,Tot_res!C:V,8,FALSE)</f>
        <v>519.89097883529939</v>
      </c>
      <c r="J281" s="179">
        <f>VLOOKUP(B281,Tot_res!C:V,9,FALSE)</f>
        <v>164904.83254497542</v>
      </c>
      <c r="K281" s="179">
        <f>VLOOKUP(B281,Tot_res!C:V,10,FALSE)</f>
        <v>6041.6953171533314</v>
      </c>
      <c r="L281" s="179">
        <f>VLOOKUP(B281,Tot_res!C:V,11,FALSE)</f>
        <v>4697.2269548957092</v>
      </c>
      <c r="M281" s="179">
        <f>VLOOKUP(B281,Tot_res!C:V,12,FALSE)</f>
        <v>1560.0844560180792</v>
      </c>
      <c r="N281" s="179">
        <f>VLOOKUP(B281,Tot_res!C:V,13,FALSE)</f>
        <v>184.70335629775278</v>
      </c>
      <c r="O281" s="179">
        <f>VLOOKUP(B281,Tot_res!C:V,14,FALSE)</f>
        <v>46596.669842627482</v>
      </c>
      <c r="P281" s="179">
        <f>VLOOKUP(B281,Tot_res!C:V,15,FALSE)</f>
        <v>1469.2771414851613</v>
      </c>
      <c r="Q281" s="179">
        <f>VLOOKUP(B281,Tot_res!C:V,16,FALSE)</f>
        <v>110.05471380456606</v>
      </c>
      <c r="R281" s="179">
        <f>VLOOKUP(B281,Tot_res!C:V,17,FALSE)</f>
        <v>13.171398514556172</v>
      </c>
      <c r="S281" s="179">
        <f>VLOOKUP(B281,Tot_res!C:V,18,FALSE)</f>
        <v>142.04040396459536</v>
      </c>
      <c r="T281" s="179">
        <f>VLOOKUP(B281,Tot_res!C:V,19,FALSE)</f>
        <v>30.759746011006349</v>
      </c>
      <c r="U281" s="179">
        <f>VLOOKUP(B281,Tot_res!C:V,20,FALSE)</f>
        <v>0</v>
      </c>
      <c r="V281" s="122">
        <f t="shared" si="51"/>
        <v>343900.07290000014</v>
      </c>
    </row>
    <row r="282" spans="1:23">
      <c r="A282" s="351" t="str">
        <f>IF(B282="","",(IF(ISERROR(MATCH(B282,Tot_res!C:C,0)),"Eliminar!!!","")))</f>
        <v/>
      </c>
      <c r="B282" s="115" t="s">
        <v>1212</v>
      </c>
      <c r="C282" s="329" t="str">
        <f>VLOOKUP(B282,Tot_res!C:D,2,FALSE)</f>
        <v>Sobrecostes sistemas eléctricos extrapeninsulares</v>
      </c>
      <c r="D282" s="179">
        <f>VLOOKUP(B282,Tot_res!C:V,3,FALSE)</f>
        <v>0</v>
      </c>
      <c r="E282" s="179">
        <f>VLOOKUP(B282,Tot_res!C:V,4,FALSE)</f>
        <v>0</v>
      </c>
      <c r="F282" s="179">
        <f>VLOOKUP(B282,Tot_res!C:V,5,FALSE)</f>
        <v>0</v>
      </c>
      <c r="G282" s="179">
        <f>VLOOKUP(B282,Tot_res!C:V,6,FALSE)</f>
        <v>186574.29162666231</v>
      </c>
      <c r="H282" s="179">
        <f>VLOOKUP(B282,Tot_res!C:V,7,FALSE)</f>
        <v>637492.61997918214</v>
      </c>
      <c r="I282" s="179">
        <f>VLOOKUP(B282,Tot_res!C:V,8,FALSE)</f>
        <v>0</v>
      </c>
      <c r="J282" s="179">
        <f>VLOOKUP(B282,Tot_res!C:V,9,FALSE)</f>
        <v>0</v>
      </c>
      <c r="K282" s="179">
        <f>VLOOKUP(B282,Tot_res!C:V,10,FALSE)</f>
        <v>0</v>
      </c>
      <c r="L282" s="179">
        <f>VLOOKUP(B282,Tot_res!C:V,11,FALSE)</f>
        <v>0</v>
      </c>
      <c r="M282" s="179">
        <f>VLOOKUP(B282,Tot_res!C:V,12,FALSE)</f>
        <v>0</v>
      </c>
      <c r="N282" s="179">
        <f>VLOOKUP(B282,Tot_res!C:V,13,FALSE)</f>
        <v>0</v>
      </c>
      <c r="O282" s="179">
        <f>VLOOKUP(B282,Tot_res!C:V,14,FALSE)</f>
        <v>0</v>
      </c>
      <c r="P282" s="179">
        <f>VLOOKUP(B282,Tot_res!C:V,15,FALSE)</f>
        <v>0</v>
      </c>
      <c r="Q282" s="179">
        <f>VLOOKUP(B282,Tot_res!C:V,16,FALSE)</f>
        <v>0</v>
      </c>
      <c r="R282" s="179">
        <f>VLOOKUP(B282,Tot_res!C:V,17,FALSE)</f>
        <v>0</v>
      </c>
      <c r="S282" s="179">
        <f>VLOOKUP(B282,Tot_res!C:V,18,FALSE)</f>
        <v>0</v>
      </c>
      <c r="T282" s="179">
        <f>VLOOKUP(B282,Tot_res!C:V,19,FALSE)</f>
        <v>0</v>
      </c>
      <c r="U282" s="179">
        <f>VLOOKUP(B282,Tot_res!C:V,20,FALSE)</f>
        <v>56828.407504155526</v>
      </c>
      <c r="V282" s="122">
        <f t="shared" ref="V282" si="52">SUM(D282:U282)</f>
        <v>880895.31911000004</v>
      </c>
    </row>
    <row r="283" spans="1:23">
      <c r="A283" s="351" t="str">
        <f>IF(B283="","",(IF(ISERROR(MATCH(B283,Tot_res!C:C,0)),"Eliminar!!!","")))</f>
        <v/>
      </c>
      <c r="B283" s="115" t="s">
        <v>290</v>
      </c>
      <c r="C283" s="329" t="str">
        <f>VLOOKUP(B283,Tot_res!C:D,2,FALSE)</f>
        <v>Subvenciones y apoyo al transporte marítimo</v>
      </c>
      <c r="D283" s="179">
        <f>VLOOKUP(B283,Tot_res!C:V,3,FALSE)</f>
        <v>721.09326366964547</v>
      </c>
      <c r="E283" s="179">
        <f>VLOOKUP(B283,Tot_res!C:V,4,FALSE)</f>
        <v>25.87887388552808</v>
      </c>
      <c r="F283" s="179">
        <f>VLOOKUP(B283,Tot_res!C:V,5,FALSE)</f>
        <v>0</v>
      </c>
      <c r="G283" s="179">
        <f>VLOOKUP(B283,Tot_res!C:V,6,FALSE)</f>
        <v>22276.25842813318</v>
      </c>
      <c r="H283" s="179">
        <f>VLOOKUP(B283,Tot_res!C:V,7,FALSE)</f>
        <v>41037.333068025473</v>
      </c>
      <c r="I283" s="179">
        <f>VLOOKUP(B283,Tot_res!C:V,8,FALSE)</f>
        <v>0</v>
      </c>
      <c r="J283" s="179">
        <f>VLOOKUP(B283,Tot_res!C:V,9,FALSE)</f>
        <v>108.93859162550058</v>
      </c>
      <c r="K283" s="179">
        <f>VLOOKUP(B283,Tot_res!C:V,10,FALSE)</f>
        <v>0</v>
      </c>
      <c r="L283" s="179">
        <f>VLOOKUP(B283,Tot_res!C:V,11,FALSE)</f>
        <v>1564.3277314780262</v>
      </c>
      <c r="M283" s="179">
        <f>VLOOKUP(B283,Tot_res!C:V,12,FALSE)</f>
        <v>985.28305384583518</v>
      </c>
      <c r="N283" s="179">
        <f>VLOOKUP(B283,Tot_res!C:V,13,FALSE)</f>
        <v>0</v>
      </c>
      <c r="O283" s="179">
        <f>VLOOKUP(B283,Tot_res!C:V,14,FALSE)</f>
        <v>0</v>
      </c>
      <c r="P283" s="179">
        <f>VLOOKUP(B283,Tot_res!C:V,15,FALSE)</f>
        <v>639.33846062027146</v>
      </c>
      <c r="Q283" s="179">
        <f>VLOOKUP(B283,Tot_res!C:V,16,FALSE)</f>
        <v>115.34393262252095</v>
      </c>
      <c r="R283" s="179">
        <f>VLOOKUP(B283,Tot_res!C:V,17,FALSE)</f>
        <v>30.013543061093923</v>
      </c>
      <c r="S283" s="179">
        <f>VLOOKUP(B283,Tot_res!C:V,18,FALSE)</f>
        <v>143.55624422504761</v>
      </c>
      <c r="T283" s="179">
        <f>VLOOKUP(B283,Tot_res!C:V,19,FALSE)</f>
        <v>17.115762389436664</v>
      </c>
      <c r="U283" s="179">
        <f>VLOOKUP(B283,Tot_res!C:V,20,FALSE)</f>
        <v>27037.903256418434</v>
      </c>
      <c r="V283" s="122">
        <f t="shared" ref="V283:V290" si="53">SUM(D283:U283)</f>
        <v>94702.384210000004</v>
      </c>
    </row>
    <row r="284" spans="1:23">
      <c r="A284" s="351" t="str">
        <f>IF(B284="","",(IF(ISERROR(MATCH(B284,Tot_res!C:C,0)),"Eliminar!!!","")))</f>
        <v/>
      </c>
      <c r="B284" s="115" t="s">
        <v>291</v>
      </c>
      <c r="C284" s="329" t="str">
        <f>VLOOKUP(B284,Tot_res!C:D,2,FALSE)</f>
        <v>Subvenciones y apoyo al transporte aéreo</v>
      </c>
      <c r="D284" s="179">
        <f>VLOOKUP(B284,Tot_res!C:V,3,FALSE)</f>
        <v>1606.022658918338</v>
      </c>
      <c r="E284" s="179">
        <f>VLOOKUP(B284,Tot_res!C:V,4,FALSE)</f>
        <v>245.4887180523119</v>
      </c>
      <c r="F284" s="179">
        <f>VLOOKUP(B284,Tot_res!C:V,5,FALSE)</f>
        <v>206.85214981776022</v>
      </c>
      <c r="G284" s="179">
        <f>VLOOKUP(B284,Tot_res!C:V,6,FALSE)</f>
        <v>126025.25756867236</v>
      </c>
      <c r="H284" s="179">
        <f>VLOOKUP(B284,Tot_res!C:V,7,FALSE)</f>
        <v>241041.19830746381</v>
      </c>
      <c r="I284" s="179">
        <f>VLOOKUP(B284,Tot_res!C:V,8,FALSE)</f>
        <v>120.72407599070151</v>
      </c>
      <c r="J284" s="179">
        <f>VLOOKUP(B284,Tot_res!C:V,9,FALSE)</f>
        <v>472.65756166983454</v>
      </c>
      <c r="K284" s="179">
        <f>VLOOKUP(B284,Tot_res!C:V,10,FALSE)</f>
        <v>372.68894350239481</v>
      </c>
      <c r="L284" s="179">
        <f>VLOOKUP(B284,Tot_res!C:V,11,FALSE)</f>
        <v>1527.426207815347</v>
      </c>
      <c r="M284" s="179">
        <f>VLOOKUP(B284,Tot_res!C:V,12,FALSE)</f>
        <v>950.29659912179761</v>
      </c>
      <c r="N284" s="179">
        <f>VLOOKUP(B284,Tot_res!C:V,13,FALSE)</f>
        <v>198.72768294861095</v>
      </c>
      <c r="O284" s="179">
        <f>VLOOKUP(B284,Tot_res!C:V,14,FALSE)</f>
        <v>540.24152413156878</v>
      </c>
      <c r="P284" s="179">
        <f>VLOOKUP(B284,Tot_res!C:V,15,FALSE)</f>
        <v>1326.5482878185046</v>
      </c>
      <c r="Q284" s="179">
        <f>VLOOKUP(B284,Tot_res!C:V,16,FALSE)</f>
        <v>263.03676019511141</v>
      </c>
      <c r="R284" s="179">
        <f>VLOOKUP(B284,Tot_res!C:V,17,FALSE)</f>
        <v>124.37961518117352</v>
      </c>
      <c r="S284" s="179">
        <f>VLOOKUP(B284,Tot_res!C:V,18,FALSE)</f>
        <v>453.41870363408049</v>
      </c>
      <c r="T284" s="179">
        <f>VLOOKUP(B284,Tot_res!C:V,19,FALSE)</f>
        <v>59.827229053332537</v>
      </c>
      <c r="U284" s="179">
        <f>VLOOKUP(B284,Tot_res!C:V,20,FALSE)</f>
        <v>1217.9593960129225</v>
      </c>
      <c r="V284" s="122">
        <f t="shared" si="53"/>
        <v>376752.75198999996</v>
      </c>
    </row>
    <row r="285" spans="1:23">
      <c r="A285" s="351" t="str">
        <f>IF(B285="","",(IF(ISERROR(MATCH(B285,Tot_res!C:C,0)),"Eliminar!!!","")))</f>
        <v/>
      </c>
      <c r="B285" s="115" t="s">
        <v>292</v>
      </c>
      <c r="C285" s="329" t="str">
        <f>VLOOKUP(B285,Tot_res!C:D,2,FALSE)</f>
        <v>Subvenciones al transporte extrapeninsular de mercancías</v>
      </c>
      <c r="D285" s="179">
        <f>VLOOKUP(B285,Tot_res!C:V,3,FALSE)</f>
        <v>0</v>
      </c>
      <c r="E285" s="179">
        <f>VLOOKUP(B285,Tot_res!C:V,4,FALSE)</f>
        <v>0</v>
      </c>
      <c r="F285" s="179">
        <f>VLOOKUP(B285,Tot_res!C:V,5,FALSE)</f>
        <v>0</v>
      </c>
      <c r="G285" s="179">
        <f>VLOOKUP(B285,Tot_res!C:V,6,FALSE)</f>
        <v>1143.1400000000001</v>
      </c>
      <c r="H285" s="179">
        <f>VLOOKUP(B285,Tot_res!C:V,7,FALSE)</f>
        <v>19006.83927</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53"/>
        <v>20149.97927</v>
      </c>
    </row>
    <row r="286" spans="1:23">
      <c r="A286" s="351" t="str">
        <f>IF(B286="","",(IF(ISERROR(MATCH(B286,Tot_res!C:C,0)),"Eliminar!!!","")))</f>
        <v/>
      </c>
      <c r="B286" s="115" t="s">
        <v>631</v>
      </c>
      <c r="C286" s="329" t="str">
        <f>VLOOKUP(B286,Tot_res!C:D,2,FALSE)</f>
        <v>Direc. y serv. grales. de hacienda y admones. Públicas, transferencias a la ZEC</v>
      </c>
      <c r="D286" s="179">
        <f>VLOOKUP(B286,Tot_res!C:V,3,FALSE)</f>
        <v>0</v>
      </c>
      <c r="E286" s="179">
        <f>VLOOKUP(B286,Tot_res!C:V,4,FALSE)</f>
        <v>0</v>
      </c>
      <c r="F286" s="179">
        <f>VLOOKUP(B286,Tot_res!C:V,5,FALSE)</f>
        <v>0</v>
      </c>
      <c r="G286" s="179">
        <f>VLOOKUP(B286,Tot_res!C:V,6,FALSE)</f>
        <v>0</v>
      </c>
      <c r="H286" s="179">
        <f>VLOOKUP(B286,Tot_res!C:V,7,FALSE)</f>
        <v>1086</v>
      </c>
      <c r="I286" s="179">
        <f>VLOOKUP(B286,Tot_res!C:V,8,FALSE)</f>
        <v>0</v>
      </c>
      <c r="J286" s="179">
        <f>VLOOKUP(B286,Tot_res!C:V,9,FALSE)</f>
        <v>0</v>
      </c>
      <c r="K286" s="179">
        <f>VLOOKUP(B286,Tot_res!C:V,10,FALSE)</f>
        <v>0</v>
      </c>
      <c r="L286" s="179">
        <f>VLOOKUP(B286,Tot_res!C:V,11,FALSE)</f>
        <v>0</v>
      </c>
      <c r="M286" s="179">
        <f>VLOOKUP(B286,Tot_res!C:V,12,FALSE)</f>
        <v>0</v>
      </c>
      <c r="N286" s="179">
        <f>VLOOKUP(B286,Tot_res!C:V,13,FALSE)</f>
        <v>0</v>
      </c>
      <c r="O286" s="179">
        <f>VLOOKUP(B286,Tot_res!C:V,14,FALSE)</f>
        <v>0</v>
      </c>
      <c r="P286" s="179">
        <f>VLOOKUP(B286,Tot_res!C:V,15,FALSE)</f>
        <v>0</v>
      </c>
      <c r="Q286" s="179">
        <f>VLOOKUP(B286,Tot_res!C:V,16,FALSE)</f>
        <v>0</v>
      </c>
      <c r="R286" s="179">
        <f>VLOOKUP(B286,Tot_res!C:V,17,FALSE)</f>
        <v>0</v>
      </c>
      <c r="S286" s="179">
        <f>VLOOKUP(B286,Tot_res!C:V,18,FALSE)</f>
        <v>0</v>
      </c>
      <c r="T286" s="179">
        <f>VLOOKUP(B286,Tot_res!C:V,19,FALSE)</f>
        <v>0</v>
      </c>
      <c r="U286" s="179">
        <f>VLOOKUP(B286,Tot_res!C:V,20,FALSE)</f>
        <v>0</v>
      </c>
      <c r="V286" s="122">
        <f t="shared" si="53"/>
        <v>1086</v>
      </c>
    </row>
    <row r="287" spans="1:23">
      <c r="A287" s="351" t="str">
        <f>IF(B287="","",(IF(ISERROR(MATCH(B287,Tot_res!C:C,0)),"Eliminar!!!","")))</f>
        <v/>
      </c>
      <c r="B287" s="115" t="s">
        <v>293</v>
      </c>
      <c r="C287" s="329" t="str">
        <f>VLOOKUP(B287,Tot_res!C:D,2,FALSE)</f>
        <v>Transfer. a cc.aa. por fondos de compens. intert.</v>
      </c>
      <c r="D287" s="179">
        <f>VLOOKUP(B287,Tot_res!C:V,3,FALSE)</f>
        <v>159350.27000000002</v>
      </c>
      <c r="E287" s="179">
        <f>VLOOKUP(B287,Tot_res!C:V,4,FALSE)</f>
        <v>0</v>
      </c>
      <c r="F287" s="179">
        <f>VLOOKUP(B287,Tot_res!C:V,5,FALSE)</f>
        <v>13065.23</v>
      </c>
      <c r="G287" s="179">
        <f>VLOOKUP(B287,Tot_res!C:V,6,FALSE)</f>
        <v>0</v>
      </c>
      <c r="H287" s="179">
        <f>VLOOKUP(B287,Tot_res!C:V,7,FALSE)</f>
        <v>41432.250689999993</v>
      </c>
      <c r="I287" s="179">
        <f>VLOOKUP(B287,Tot_res!C:V,8,FALSE)</f>
        <v>5008.7350000000006</v>
      </c>
      <c r="J287" s="179">
        <f>VLOOKUP(B287,Tot_res!C:V,9,FALSE)</f>
        <v>20885.810000000001</v>
      </c>
      <c r="K287" s="179">
        <f>VLOOKUP(B287,Tot_res!C:V,10,FALSE)</f>
        <v>37715.89</v>
      </c>
      <c r="L287" s="179">
        <f>VLOOKUP(B287,Tot_res!C:V,11,FALSE)</f>
        <v>0</v>
      </c>
      <c r="M287" s="179">
        <f>VLOOKUP(B287,Tot_res!C:V,12,FALSE)</f>
        <v>53867.200000000004</v>
      </c>
      <c r="N287" s="179">
        <f>VLOOKUP(B287,Tot_res!C:V,13,FALSE)</f>
        <v>35732.944860000003</v>
      </c>
      <c r="O287" s="179">
        <f>VLOOKUP(B287,Tot_res!C:V,14,FALSE)</f>
        <v>43244.503999999994</v>
      </c>
      <c r="P287" s="179">
        <f>VLOOKUP(B287,Tot_res!C:V,15,FALSE)</f>
        <v>0</v>
      </c>
      <c r="Q287" s="179">
        <f>VLOOKUP(B287,Tot_res!C:V,16,FALSE)</f>
        <v>18277.46</v>
      </c>
      <c r="R287" s="179">
        <f>VLOOKUP(B287,Tot_res!C:V,17,FALSE)</f>
        <v>0</v>
      </c>
      <c r="S287" s="179">
        <f>VLOOKUP(B287,Tot_res!C:V,18,FALSE)</f>
        <v>0</v>
      </c>
      <c r="T287" s="179">
        <f>VLOOKUP(B287,Tot_res!C:V,19,FALSE)</f>
        <v>0</v>
      </c>
      <c r="U287" s="179">
        <f>VLOOKUP(B287,Tot_res!C:V,20,FALSE)</f>
        <v>6291.4662500000004</v>
      </c>
      <c r="V287" s="122">
        <f t="shared" si="53"/>
        <v>434871.76080000005</v>
      </c>
    </row>
    <row r="288" spans="1:23" ht="25.5">
      <c r="A288" s="351" t="str">
        <f>IF(B288="","",(IF(ISERROR(MATCH(B288,Tot_res!C:C,0)),"Eliminar!!!","")))</f>
        <v/>
      </c>
      <c r="B288" s="115" t="s">
        <v>632</v>
      </c>
      <c r="C288" s="330" t="str">
        <f>VLOOKUP(B288,Tot_res!C:D,2,FALSE)</f>
        <v>Otras transferencias a Comunidades Autónomas: Transferencias de capital a Aragón, Extremadura y Cantabria para proyectos de inversión</v>
      </c>
      <c r="D288" s="179">
        <f>VLOOKUP(B288,Tot_res!C:V,3,FALSE)</f>
        <v>0</v>
      </c>
      <c r="E288" s="179">
        <f>VLOOKUP(B288,Tot_res!C:V,4,FALSE)</f>
        <v>30000</v>
      </c>
      <c r="F288" s="179">
        <f>VLOOKUP(B288,Tot_res!C:V,5,FALSE)</f>
        <v>0</v>
      </c>
      <c r="G288" s="179">
        <f>VLOOKUP(B288,Tot_res!C:V,6,FALSE)</f>
        <v>0</v>
      </c>
      <c r="H288" s="179">
        <f>VLOOKUP(B288,Tot_res!C:V,7,FALSE)</f>
        <v>0</v>
      </c>
      <c r="I288" s="179">
        <f>VLOOKUP(B288,Tot_res!C:V,8,FALSE)</f>
        <v>28000</v>
      </c>
      <c r="J288" s="179">
        <f>VLOOKUP(B288,Tot_res!C:V,9,FALSE)</f>
        <v>0</v>
      </c>
      <c r="K288" s="179">
        <f>VLOOKUP(B288,Tot_res!C:V,10,FALSE)</f>
        <v>0</v>
      </c>
      <c r="L288" s="179">
        <f>VLOOKUP(B288,Tot_res!C:V,11,FALSE)</f>
        <v>0</v>
      </c>
      <c r="M288" s="179">
        <f>VLOOKUP(B288,Tot_res!C:V,12,FALSE)</f>
        <v>0</v>
      </c>
      <c r="N288" s="179">
        <f>VLOOKUP(B288,Tot_res!C:V,13,FALSE)</f>
        <v>40000</v>
      </c>
      <c r="O288" s="179">
        <f>VLOOKUP(B288,Tot_res!C:V,14,FALSE)</f>
        <v>0</v>
      </c>
      <c r="P288" s="179">
        <f>VLOOKUP(B288,Tot_res!C:V,15,FALSE)</f>
        <v>0</v>
      </c>
      <c r="Q288" s="179">
        <f>VLOOKUP(B288,Tot_res!C:V,16,FALSE)</f>
        <v>0</v>
      </c>
      <c r="R288" s="179">
        <f>VLOOKUP(B288,Tot_res!C:V,17,FALSE)</f>
        <v>0</v>
      </c>
      <c r="S288" s="179">
        <f>VLOOKUP(B288,Tot_res!C:V,18,FALSE)</f>
        <v>0</v>
      </c>
      <c r="T288" s="179">
        <f>VLOOKUP(B288,Tot_res!C:V,19,FALSE)</f>
        <v>0</v>
      </c>
      <c r="U288" s="179">
        <f>VLOOKUP(B288,Tot_res!C:V,20,FALSE)</f>
        <v>0</v>
      </c>
      <c r="V288" s="122">
        <f t="shared" si="53"/>
        <v>98000</v>
      </c>
    </row>
    <row r="289" spans="1:22">
      <c r="A289" s="351" t="str">
        <f>IF(B289="","",(IF(ISERROR(MATCH(B289,Tot_res!C:C,0)),"Eliminar!!!","")))</f>
        <v/>
      </c>
      <c r="B289" s="115" t="s">
        <v>294</v>
      </c>
      <c r="C289" s="330" t="str">
        <f>VLOOKUP(B289,Tot_res!C:D,2,FALSE)</f>
        <v>Infraestructuras REF Canarias</v>
      </c>
      <c r="D289" s="179">
        <f>VLOOKUP(B289,Tot_res!C:V,3,FALSE)</f>
        <v>0</v>
      </c>
      <c r="E289" s="179">
        <f>VLOOKUP(B289,Tot_res!C:V,4,FALSE)</f>
        <v>0</v>
      </c>
      <c r="F289" s="179">
        <f>VLOOKUP(B289,Tot_res!C:V,5,FALSE)</f>
        <v>0</v>
      </c>
      <c r="G289" s="179">
        <f>VLOOKUP(B289,Tot_res!C:V,6,FALSE)</f>
        <v>0</v>
      </c>
      <c r="H289" s="179">
        <f>VLOOKUP(B289,Tot_res!C:V,7,FALSE)</f>
        <v>120866.69101151821</v>
      </c>
      <c r="I289" s="179">
        <f>VLOOKUP(B289,Tot_res!C:V,8,FALSE)</f>
        <v>0</v>
      </c>
      <c r="J289" s="179">
        <f>VLOOKUP(B289,Tot_res!C:V,9,FALSE)</f>
        <v>0</v>
      </c>
      <c r="K289" s="179">
        <f>VLOOKUP(B289,Tot_res!C:V,10,FALSE)</f>
        <v>0</v>
      </c>
      <c r="L289" s="179">
        <f>VLOOKUP(B289,Tot_res!C:V,11,FALSE)</f>
        <v>0</v>
      </c>
      <c r="M289" s="179">
        <f>VLOOKUP(B289,Tot_res!C:V,12,FALSE)</f>
        <v>0</v>
      </c>
      <c r="N289" s="179">
        <f>VLOOKUP(B289,Tot_res!C:V,13,FALSE)</f>
        <v>0</v>
      </c>
      <c r="O289" s="179">
        <f>VLOOKUP(B289,Tot_res!C:V,14,FALSE)</f>
        <v>0</v>
      </c>
      <c r="P289" s="179">
        <f>VLOOKUP(B289,Tot_res!C:V,15,FALSE)</f>
        <v>0</v>
      </c>
      <c r="Q289" s="179">
        <f>VLOOKUP(B289,Tot_res!C:V,16,FALSE)</f>
        <v>0</v>
      </c>
      <c r="R289" s="179">
        <f>VLOOKUP(B289,Tot_res!C:V,17,FALSE)</f>
        <v>0</v>
      </c>
      <c r="S289" s="179">
        <f>VLOOKUP(B289,Tot_res!C:V,18,FALSE)</f>
        <v>0</v>
      </c>
      <c r="T289" s="179">
        <f>VLOOKUP(B289,Tot_res!C:V,19,FALSE)</f>
        <v>0</v>
      </c>
      <c r="U289" s="179">
        <f>VLOOKUP(B289,Tot_res!C:V,20,FALSE)</f>
        <v>0</v>
      </c>
      <c r="V289" s="122">
        <f t="shared" si="53"/>
        <v>120866.69101151821</v>
      </c>
    </row>
    <row r="290" spans="1:22">
      <c r="A290" s="351" t="str">
        <f>IF(B290="","",(IF(ISERROR(MATCH(B290,Tot_res!C:C,0)),"Eliminar!!!","")))</f>
        <v/>
      </c>
      <c r="B290" s="115" t="s">
        <v>295</v>
      </c>
      <c r="C290" s="330" t="str">
        <f>VLOOKUP(B290,Tot_res!C:D,2,FALSE)</f>
        <v>Transporte interinsular Canarias</v>
      </c>
      <c r="D290" s="179">
        <f>VLOOKUP(B290,Tot_res!C:V,3,FALSE)</f>
        <v>0</v>
      </c>
      <c r="E290" s="179">
        <f>VLOOKUP(B290,Tot_res!C:V,4,FALSE)</f>
        <v>0</v>
      </c>
      <c r="F290" s="179">
        <f>VLOOKUP(B290,Tot_res!C:V,5,FALSE)</f>
        <v>0</v>
      </c>
      <c r="G290" s="179">
        <f>VLOOKUP(B290,Tot_res!C:V,6,FALSE)</f>
        <v>0</v>
      </c>
      <c r="H290" s="179">
        <f>VLOOKUP(B290,Tot_res!C:V,7,FALSE)</f>
        <v>31290.36706081784</v>
      </c>
      <c r="I290" s="179">
        <f>VLOOKUP(B290,Tot_res!C:V,8,FALSE)</f>
        <v>0</v>
      </c>
      <c r="J290" s="179">
        <f>VLOOKUP(B290,Tot_res!C:V,9,FALSE)</f>
        <v>0</v>
      </c>
      <c r="K290" s="179">
        <f>VLOOKUP(B290,Tot_res!C:V,10,FALSE)</f>
        <v>0</v>
      </c>
      <c r="L290" s="179">
        <f>VLOOKUP(B290,Tot_res!C:V,11,FALSE)</f>
        <v>0</v>
      </c>
      <c r="M290" s="179">
        <f>VLOOKUP(B290,Tot_res!C:V,12,FALSE)</f>
        <v>0</v>
      </c>
      <c r="N290" s="179">
        <f>VLOOKUP(B290,Tot_res!C:V,13,FALSE)</f>
        <v>0</v>
      </c>
      <c r="O290" s="179">
        <f>VLOOKUP(B290,Tot_res!C:V,14,FALSE)</f>
        <v>0</v>
      </c>
      <c r="P290" s="179">
        <f>VLOOKUP(B290,Tot_res!C:V,15,FALSE)</f>
        <v>0</v>
      </c>
      <c r="Q290" s="179">
        <f>VLOOKUP(B290,Tot_res!C:V,16,FALSE)</f>
        <v>0</v>
      </c>
      <c r="R290" s="179">
        <f>VLOOKUP(B290,Tot_res!C:V,17,FALSE)</f>
        <v>0</v>
      </c>
      <c r="S290" s="179">
        <f>VLOOKUP(B290,Tot_res!C:V,18,FALSE)</f>
        <v>0</v>
      </c>
      <c r="T290" s="179">
        <f>VLOOKUP(B290,Tot_res!C:V,19,FALSE)</f>
        <v>0</v>
      </c>
      <c r="U290" s="179">
        <f>VLOOKUP(B290,Tot_res!C:V,20,FALSE)</f>
        <v>0</v>
      </c>
      <c r="V290" s="122">
        <f t="shared" si="53"/>
        <v>31290.36706081784</v>
      </c>
    </row>
    <row r="291" spans="1:22">
      <c r="A291" s="351" t="str">
        <f>IF(B291="","",(IF(ISERROR(MATCH(B291,Tot_res!C:C,0)),"Eliminar!!!","")))</f>
        <v/>
      </c>
      <c r="B291" s="115" t="s">
        <v>296</v>
      </c>
      <c r="C291" s="330" t="str">
        <f>VLOOKUP(B291,Tot_res!C:D,2,FALSE)</f>
        <v>Ayudas de la UE gestionadas por las comunidades autónomas, excepto FEOGA Garantía</v>
      </c>
      <c r="D291" s="179">
        <f>VLOOKUP(B291,Tot_res!C:V,3,FALSE)</f>
        <v>109351.07932999992</v>
      </c>
      <c r="E291" s="179">
        <f>VLOOKUP(B291,Tot_res!C:V,4,FALSE)</f>
        <v>6186.0413400000107</v>
      </c>
      <c r="F291" s="179">
        <f>VLOOKUP(B291,Tot_res!C:V,5,FALSE)</f>
        <v>24974.935119999991</v>
      </c>
      <c r="G291" s="179">
        <f>VLOOKUP(B291,Tot_res!C:V,6,FALSE)</f>
        <v>259.06361000000015</v>
      </c>
      <c r="H291" s="179">
        <f>VLOOKUP(B291,Tot_res!C:V,7,FALSE)</f>
        <v>80659.797490000041</v>
      </c>
      <c r="I291" s="179">
        <f>VLOOKUP(B291,Tot_res!C:V,8,FALSE)</f>
        <v>13611.456030000003</v>
      </c>
      <c r="J291" s="179">
        <f>VLOOKUP(B291,Tot_res!C:V,9,FALSE)</f>
        <v>63291.756420000122</v>
      </c>
      <c r="K291" s="179">
        <f>VLOOKUP(B291,Tot_res!C:V,10,FALSE)</f>
        <v>163077.55611999982</v>
      </c>
      <c r="L291" s="179">
        <f>VLOOKUP(B291,Tot_res!C:V,11,FALSE)</f>
        <v>109152.81816</v>
      </c>
      <c r="M291" s="179">
        <f>VLOOKUP(B291,Tot_res!C:V,12,FALSE)</f>
        <v>69827.521049999996</v>
      </c>
      <c r="N291" s="179">
        <f>VLOOKUP(B291,Tot_res!C:V,13,FALSE)</f>
        <v>61269.684400000027</v>
      </c>
      <c r="O291" s="179">
        <f>VLOOKUP(B291,Tot_res!C:V,14,FALSE)</f>
        <v>260823.15536999991</v>
      </c>
      <c r="P291" s="179">
        <f>VLOOKUP(B291,Tot_res!C:V,15,FALSE)</f>
        <v>22404.909999999996</v>
      </c>
      <c r="Q291" s="179">
        <f>VLOOKUP(B291,Tot_res!C:V,16,FALSE)</f>
        <v>77300.057480000018</v>
      </c>
      <c r="R291" s="179">
        <f>VLOOKUP(B291,Tot_res!C:V,17,FALSE)</f>
        <v>4039.5849999999973</v>
      </c>
      <c r="S291" s="179">
        <f>VLOOKUP(B291,Tot_res!C:V,18,FALSE)</f>
        <v>77305.814999999973</v>
      </c>
      <c r="T291" s="179">
        <f>VLOOKUP(B291,Tot_res!C:V,19,FALSE)</f>
        <v>2366.1178</v>
      </c>
      <c r="U291" s="179">
        <f>VLOOKUP(B291,Tot_res!C:V,20,FALSE)</f>
        <v>46108.020779999999</v>
      </c>
      <c r="V291" s="122">
        <f t="shared" si="51"/>
        <v>1192009.3704999997</v>
      </c>
    </row>
    <row r="292" spans="1:22">
      <c r="A292" s="352"/>
      <c r="B292" s="115"/>
      <c r="C292" s="147"/>
      <c r="D292" s="105"/>
      <c r="E292" s="105"/>
      <c r="F292" s="105"/>
      <c r="G292" s="105"/>
      <c r="H292" s="105"/>
      <c r="I292" s="105"/>
      <c r="J292" s="105"/>
      <c r="K292" s="105"/>
      <c r="L292" s="105"/>
      <c r="M292" s="105"/>
      <c r="N292" s="105"/>
      <c r="O292" s="105"/>
      <c r="P292" s="105"/>
      <c r="Q292" s="105"/>
      <c r="R292" s="105"/>
      <c r="S292" s="105"/>
      <c r="T292" s="105"/>
      <c r="U292" s="105"/>
      <c r="V292" s="122"/>
    </row>
    <row r="293" spans="1:22" ht="13.5">
      <c r="A293" s="352"/>
      <c r="B293" s="115"/>
      <c r="C293" s="112" t="s">
        <v>22</v>
      </c>
      <c r="D293" s="114">
        <f t="shared" ref="D293:V293" si="54">D295+D321+D335+D355+D360</f>
        <v>3251455.5108248563</v>
      </c>
      <c r="E293" s="114">
        <f t="shared" si="54"/>
        <v>610167.76960163249</v>
      </c>
      <c r="F293" s="114">
        <f t="shared" si="54"/>
        <v>424799.40675058414</v>
      </c>
      <c r="G293" s="114">
        <f t="shared" si="54"/>
        <v>438652.1922002174</v>
      </c>
      <c r="H293" s="114">
        <f t="shared" si="54"/>
        <v>803198.83571674884</v>
      </c>
      <c r="I293" s="114">
        <f t="shared" si="54"/>
        <v>235831.602699863</v>
      </c>
      <c r="J293" s="114">
        <f t="shared" si="54"/>
        <v>1127884.0076763956</v>
      </c>
      <c r="K293" s="114">
        <f t="shared" si="54"/>
        <v>759960.77874413109</v>
      </c>
      <c r="L293" s="114">
        <f t="shared" si="54"/>
        <v>3326740.3690493768</v>
      </c>
      <c r="M293" s="114">
        <f t="shared" si="54"/>
        <v>1765452.5050077746</v>
      </c>
      <c r="N293" s="114">
        <f t="shared" si="54"/>
        <v>436000.22894837207</v>
      </c>
      <c r="O293" s="114">
        <f t="shared" si="54"/>
        <v>1110755.595507656</v>
      </c>
      <c r="P293" s="114">
        <f t="shared" si="54"/>
        <v>2786597.8323573638</v>
      </c>
      <c r="Q293" s="114">
        <f t="shared" si="54"/>
        <v>539739.45701803092</v>
      </c>
      <c r="R293" s="114">
        <f t="shared" si="54"/>
        <v>302583.49360628898</v>
      </c>
      <c r="S293" s="114">
        <f t="shared" si="54"/>
        <v>1120058.5521062638</v>
      </c>
      <c r="T293" s="114">
        <f t="shared" si="54"/>
        <v>165125.6216832028</v>
      </c>
      <c r="U293" s="114">
        <f t="shared" si="54"/>
        <v>148031.63557042627</v>
      </c>
      <c r="V293" s="126">
        <f t="shared" si="54"/>
        <v>19353035.395069182</v>
      </c>
    </row>
    <row r="294" spans="1:22">
      <c r="A294" s="352"/>
      <c r="B294" s="115"/>
      <c r="C294" s="102"/>
    </row>
    <row r="295" spans="1:22" ht="13.5">
      <c r="A295" s="352"/>
      <c r="B295" s="115"/>
      <c r="C295" s="117" t="s">
        <v>28</v>
      </c>
      <c r="D295" s="114">
        <f t="shared" ref="D295:U295" si="55">SUM(D296:D318)</f>
        <v>693591.11970113672</v>
      </c>
      <c r="E295" s="114">
        <f t="shared" si="55"/>
        <v>128840.94798902985</v>
      </c>
      <c r="F295" s="114">
        <f t="shared" si="55"/>
        <v>76447.119264440043</v>
      </c>
      <c r="G295" s="114">
        <f t="shared" si="55"/>
        <v>71684.094372007356</v>
      </c>
      <c r="H295" s="114">
        <f t="shared" si="55"/>
        <v>153224.46947983347</v>
      </c>
      <c r="I295" s="114">
        <f t="shared" si="55"/>
        <v>50996.58028743606</v>
      </c>
      <c r="J295" s="114">
        <f t="shared" si="55"/>
        <v>219509.93069654645</v>
      </c>
      <c r="K295" s="114">
        <f t="shared" si="55"/>
        <v>149641.11789153653</v>
      </c>
      <c r="L295" s="114">
        <f t="shared" si="55"/>
        <v>454066.47985836561</v>
      </c>
      <c r="M295" s="114">
        <f t="shared" si="55"/>
        <v>349114.25792722532</v>
      </c>
      <c r="N295" s="114">
        <f t="shared" si="55"/>
        <v>95378.625809564546</v>
      </c>
      <c r="O295" s="114">
        <f t="shared" si="55"/>
        <v>285895.855799207</v>
      </c>
      <c r="P295" s="114">
        <f t="shared" si="55"/>
        <v>555315.94564917055</v>
      </c>
      <c r="Q295" s="114">
        <f t="shared" si="55"/>
        <v>131378.75388486637</v>
      </c>
      <c r="R295" s="114">
        <f t="shared" si="55"/>
        <v>38629.958016743578</v>
      </c>
      <c r="S295" s="114">
        <f t="shared" si="55"/>
        <v>124541.35519230466</v>
      </c>
      <c r="T295" s="114">
        <f t="shared" si="55"/>
        <v>25800.396341315001</v>
      </c>
      <c r="U295" s="114">
        <f t="shared" si="55"/>
        <v>29192.606144562385</v>
      </c>
      <c r="V295" s="126">
        <f>SUM(V296:V318)</f>
        <v>3633249.6143052909</v>
      </c>
    </row>
    <row r="296" spans="1:22">
      <c r="A296" s="351" t="str">
        <f>IF(B296="","",(IF(ISERROR(MATCH(B296,Tot_res!C:C,0)),"Eliminar!!!","")))</f>
        <v/>
      </c>
      <c r="B296" s="119" t="s">
        <v>297</v>
      </c>
      <c r="C296" s="330" t="str">
        <f>VLOOKUP(B296,Tot_res!C:D,2,FALSE)</f>
        <v>Plan nacional sobre drogas + AF 11/1</v>
      </c>
      <c r="D296" s="179">
        <f>VLOOKUP(B296,Tot_res!C:V,3,FALSE)</f>
        <v>5491.358984880615</v>
      </c>
      <c r="E296" s="179">
        <f>VLOOKUP(B296,Tot_res!C:V,4,FALSE)</f>
        <v>973.29083435196981</v>
      </c>
      <c r="F296" s="179">
        <f>VLOOKUP(B296,Tot_res!C:V,5,FALSE)</f>
        <v>1047.446974956968</v>
      </c>
      <c r="G296" s="179">
        <f>VLOOKUP(B296,Tot_res!C:V,6,FALSE)</f>
        <v>860.26547232804967</v>
      </c>
      <c r="H296" s="179">
        <f>VLOOKUP(B296,Tot_res!C:V,7,FALSE)</f>
        <v>1356.605702565726</v>
      </c>
      <c r="I296" s="179">
        <f>VLOOKUP(B296,Tot_res!C:V,8,FALSE)</f>
        <v>717.66902216970902</v>
      </c>
      <c r="J296" s="179">
        <f>VLOOKUP(B296,Tot_res!C:V,9,FALSE)</f>
        <v>2636.9603601682961</v>
      </c>
      <c r="K296" s="179">
        <f>VLOOKUP(B296,Tot_res!C:V,10,FALSE)</f>
        <v>1619.7230693294002</v>
      </c>
      <c r="L296" s="179">
        <f>VLOOKUP(B296,Tot_res!C:V,11,FALSE)</f>
        <v>4937.4365124053957</v>
      </c>
      <c r="M296" s="179">
        <f>VLOOKUP(B296,Tot_res!C:V,12,FALSE)</f>
        <v>2625.8933452000083</v>
      </c>
      <c r="N296" s="179">
        <f>VLOOKUP(B296,Tot_res!C:V,13,FALSE)</f>
        <v>1094.6308162376458</v>
      </c>
      <c r="O296" s="179">
        <f>VLOOKUP(B296,Tot_res!C:V,14,FALSE)</f>
        <v>2078.6458337914755</v>
      </c>
      <c r="P296" s="179">
        <f>VLOOKUP(B296,Tot_res!C:V,15,FALSE)</f>
        <v>4505.2729878008977</v>
      </c>
      <c r="Q296" s="179">
        <f>VLOOKUP(B296,Tot_res!C:V,16,FALSE)</f>
        <v>939.94763424996381</v>
      </c>
      <c r="R296" s="179">
        <f>VLOOKUP(B296,Tot_res!C:V,17,FALSE)</f>
        <v>460.54981094305242</v>
      </c>
      <c r="S296" s="179">
        <f>VLOOKUP(B296,Tot_res!C:V,18,FALSE)</f>
        <v>1573.754806076905</v>
      </c>
      <c r="T296" s="179">
        <f>VLOOKUP(B296,Tot_res!C:V,19,FALSE)</f>
        <v>281.90530617851255</v>
      </c>
      <c r="U296" s="179">
        <f>VLOOKUP(B296,Tot_res!C:V,20,FALSE)</f>
        <v>369.64384111167539</v>
      </c>
      <c r="V296" s="122">
        <f t="shared" ref="V296:V318" si="56">SUM(D296:U296)</f>
        <v>33571.001314746267</v>
      </c>
    </row>
    <row r="297" spans="1:22">
      <c r="A297" s="351" t="str">
        <f>IF(B297="","",(IF(ISERROR(MATCH(B297,Tot_res!C:C,0)),"Eliminar!!!","")))</f>
        <v/>
      </c>
      <c r="B297" s="119" t="s">
        <v>298</v>
      </c>
      <c r="C297" s="330" t="str">
        <f>VLOOKUP(B297,Tot_res!C:D,2,FALSE)</f>
        <v>Direc. y serv. grales. de sanidad, serv. soc. e igualdad</v>
      </c>
      <c r="D297" s="179">
        <f>VLOOKUP(B297,Tot_res!C:V,3,FALSE)</f>
        <v>7616.1810668925946</v>
      </c>
      <c r="E297" s="179">
        <f>VLOOKUP(B297,Tot_res!C:V,4,FALSE)</f>
        <v>1324.1346974680532</v>
      </c>
      <c r="F297" s="179">
        <f>VLOOKUP(B297,Tot_res!C:V,5,FALSE)</f>
        <v>1126.6302851403364</v>
      </c>
      <c r="G297" s="179">
        <f>VLOOKUP(B297,Tot_res!C:V,6,FALSE)</f>
        <v>978.9216328929856</v>
      </c>
      <c r="H297" s="179">
        <f>VLOOKUP(B297,Tot_res!C:V,7,FALSE)</f>
        <v>1858.2521444338634</v>
      </c>
      <c r="I297" s="179">
        <f>VLOOKUP(B297,Tot_res!C:V,8,FALSE)</f>
        <v>583.6579892193314</v>
      </c>
      <c r="J297" s="179">
        <f>VLOOKUP(B297,Tot_res!C:V,9,FALSE)</f>
        <v>2637.7051899907656</v>
      </c>
      <c r="K297" s="179">
        <f>VLOOKUP(B297,Tot_res!C:V,10,FALSE)</f>
        <v>1958.8077994565633</v>
      </c>
      <c r="L297" s="179">
        <f>VLOOKUP(B297,Tot_res!C:V,11,FALSE)</f>
        <v>7085.5028898757246</v>
      </c>
      <c r="M297" s="179">
        <f>VLOOKUP(B297,Tot_res!C:V,12,FALSE)</f>
        <v>4723.6375456355026</v>
      </c>
      <c r="N297" s="179">
        <f>VLOOKUP(B297,Tot_res!C:V,13,FALSE)</f>
        <v>1072.5686467408696</v>
      </c>
      <c r="O297" s="179">
        <f>VLOOKUP(B297,Tot_res!C:V,14,FALSE)</f>
        <v>2883.9486696461572</v>
      </c>
      <c r="P297" s="179">
        <f>VLOOKUP(B297,Tot_res!C:V,15,FALSE)</f>
        <v>5916.3084411991786</v>
      </c>
      <c r="Q297" s="179">
        <f>VLOOKUP(B297,Tot_res!C:V,16,FALSE)</f>
        <v>1293.1213116126319</v>
      </c>
      <c r="R297" s="179">
        <f>VLOOKUP(B297,Tot_res!C:V,17,FALSE)</f>
        <v>615.67838502343363</v>
      </c>
      <c r="S297" s="179">
        <f>VLOOKUP(B297,Tot_res!C:V,18,FALSE)</f>
        <v>2205.9451724523897</v>
      </c>
      <c r="T297" s="179">
        <f>VLOOKUP(B297,Tot_res!C:V,19,FALSE)</f>
        <v>311.39295734977242</v>
      </c>
      <c r="U297" s="179">
        <f>VLOOKUP(B297,Tot_res!C:V,20,FALSE)</f>
        <v>136.77019496983777</v>
      </c>
      <c r="V297" s="122">
        <f t="shared" si="56"/>
        <v>44329.165019999993</v>
      </c>
    </row>
    <row r="298" spans="1:22">
      <c r="A298" s="351" t="str">
        <f>IF(B298="","",(IF(ISERROR(MATCH(B298,Tot_res!C:C,0)),"Eliminar!!!","")))</f>
        <v/>
      </c>
      <c r="B298" s="119" t="s">
        <v>299</v>
      </c>
      <c r="C298" s="330" t="str">
        <f>VLOOKUP(B298,Tot_res!C:D,2,FALSE)</f>
        <v>Políticas de salud y ordenación profesional</v>
      </c>
      <c r="D298" s="179">
        <f>VLOOKUP(B298,Tot_res!C:V,3,FALSE)</f>
        <v>2563.4066389069485</v>
      </c>
      <c r="E298" s="179">
        <f>VLOOKUP(B298,Tot_res!C:V,4,FALSE)</f>
        <v>470.72827839463724</v>
      </c>
      <c r="F298" s="179">
        <f>VLOOKUP(B298,Tot_res!C:V,5,FALSE)</f>
        <v>406.14468937565471</v>
      </c>
      <c r="G298" s="179">
        <f>VLOOKUP(B298,Tot_res!C:V,6,FALSE)</f>
        <v>338.38364370410915</v>
      </c>
      <c r="H298" s="179">
        <f>VLOOKUP(B298,Tot_res!C:V,7,FALSE)</f>
        <v>616.205471741172</v>
      </c>
      <c r="I298" s="179">
        <f>VLOOKUP(B298,Tot_res!C:V,8,FALSE)</f>
        <v>205.83608451856574</v>
      </c>
      <c r="J298" s="179">
        <f>VLOOKUP(B298,Tot_res!C:V,9,FALSE)</f>
        <v>921.96842917549236</v>
      </c>
      <c r="K298" s="179">
        <f>VLOOKUP(B298,Tot_res!C:V,10,FALSE)</f>
        <v>681.91530809880624</v>
      </c>
      <c r="L298" s="179">
        <f>VLOOKUP(B298,Tot_res!C:V,11,FALSE)</f>
        <v>3845.9242713888852</v>
      </c>
      <c r="M298" s="179">
        <f>VLOOKUP(B298,Tot_res!C:V,12,FALSE)</f>
        <v>1579.308236840006</v>
      </c>
      <c r="N298" s="179">
        <f>VLOOKUP(B298,Tot_res!C:V,13,FALSE)</f>
        <v>378.83757609044847</v>
      </c>
      <c r="O298" s="179">
        <f>VLOOKUP(B298,Tot_res!C:V,14,FALSE)</f>
        <v>1015.5082618062966</v>
      </c>
      <c r="P298" s="179">
        <f>VLOOKUP(B298,Tot_res!C:V,15,FALSE)</f>
        <v>2069.8337830726573</v>
      </c>
      <c r="Q298" s="179">
        <f>VLOOKUP(B298,Tot_res!C:V,16,FALSE)</f>
        <v>443.81160626219889</v>
      </c>
      <c r="R298" s="179">
        <f>VLOOKUP(B298,Tot_res!C:V,17,FALSE)</f>
        <v>211.49174427301671</v>
      </c>
      <c r="S298" s="179">
        <f>VLOOKUP(B298,Tot_res!C:V,18,FALSE)</f>
        <v>792.83895116487258</v>
      </c>
      <c r="T298" s="179">
        <f>VLOOKUP(B298,Tot_res!C:V,19,FALSE)</f>
        <v>110.79267644933201</v>
      </c>
      <c r="U298" s="179">
        <f>VLOOKUP(B298,Tot_res!C:V,20,FALSE)</f>
        <v>42.016188736897803</v>
      </c>
      <c r="V298" s="122">
        <f t="shared" si="56"/>
        <v>16694.951840000002</v>
      </c>
    </row>
    <row r="299" spans="1:22">
      <c r="A299" s="351" t="str">
        <f>IF(B299="","",(IF(ISERROR(MATCH(B299,Tot_res!C:C,0)),"Eliminar!!!","")))</f>
        <v/>
      </c>
      <c r="B299" s="119" t="s">
        <v>300</v>
      </c>
      <c r="C299" s="330" t="str">
        <f>VLOOKUP(B299,Tot_res!C:D,2,FALSE)</f>
        <v>Asistencia sanitaria del mutualismo administrativo</v>
      </c>
      <c r="D299" s="179">
        <f>VLOOKUP(B299,Tot_res!C:V,3,FALSE)</f>
        <v>475479.10322252265</v>
      </c>
      <c r="E299" s="179">
        <f>VLOOKUP(B299,Tot_res!C:V,4,FALSE)</f>
        <v>71039.724921218323</v>
      </c>
      <c r="F299" s="179">
        <f>VLOOKUP(B299,Tot_res!C:V,5,FALSE)</f>
        <v>37635.28718967954</v>
      </c>
      <c r="G299" s="179">
        <f>VLOOKUP(B299,Tot_res!C:V,6,FALSE)</f>
        <v>32745.298226520863</v>
      </c>
      <c r="H299" s="179">
        <f>VLOOKUP(B299,Tot_res!C:V,7,FALSE)</f>
        <v>82172.551280819724</v>
      </c>
      <c r="I299" s="179">
        <f>VLOOKUP(B299,Tot_res!C:V,8,FALSE)</f>
        <v>23671.997033885251</v>
      </c>
      <c r="J299" s="179">
        <f>VLOOKUP(B299,Tot_res!C:V,9,FALSE)</f>
        <v>154515.2740202744</v>
      </c>
      <c r="K299" s="179">
        <f>VLOOKUP(B299,Tot_res!C:V,10,FALSE)</f>
        <v>94894.317358578497</v>
      </c>
      <c r="L299" s="179">
        <f>VLOOKUP(B299,Tot_res!C:V,11,FALSE)</f>
        <v>155353.71364799546</v>
      </c>
      <c r="M299" s="179">
        <f>VLOOKUP(B299,Tot_res!C:V,12,FALSE)</f>
        <v>180586.96113773866</v>
      </c>
      <c r="N299" s="179">
        <f>VLOOKUP(B299,Tot_res!C:V,13,FALSE)</f>
        <v>72324.830532887572</v>
      </c>
      <c r="O299" s="179">
        <f>VLOOKUP(B299,Tot_res!C:V,14,FALSE)</f>
        <v>137926.50742975555</v>
      </c>
      <c r="P299" s="179">
        <f>VLOOKUP(B299,Tot_res!C:V,15,FALSE)</f>
        <v>337433.72662146564</v>
      </c>
      <c r="Q299" s="179">
        <f>VLOOKUP(B299,Tot_res!C:V,16,FALSE)</f>
        <v>89494.6749664456</v>
      </c>
      <c r="R299" s="179">
        <f>VLOOKUP(B299,Tot_res!C:V,17,FALSE)</f>
        <v>14991.826231413712</v>
      </c>
      <c r="S299" s="179">
        <f>VLOOKUP(B299,Tot_res!C:V,18,FALSE)</f>
        <v>34338.401841347666</v>
      </c>
      <c r="T299" s="179">
        <f>VLOOKUP(B299,Tot_res!C:V,19,FALSE)</f>
        <v>12942.840158883162</v>
      </c>
      <c r="U299" s="179">
        <f>VLOOKUP(B299,Tot_res!C:V,20,FALSE)</f>
        <v>25477.074818568213</v>
      </c>
      <c r="V299" s="122">
        <f t="shared" si="56"/>
        <v>2033024.1106400006</v>
      </c>
    </row>
    <row r="300" spans="1:22">
      <c r="A300" s="351" t="str">
        <f>IF(B300="","",(IF(ISERROR(MATCH(B300,Tot_res!C:C,0)),"Eliminar!!!","")))</f>
        <v/>
      </c>
      <c r="B300" s="119" t="s">
        <v>302</v>
      </c>
      <c r="C300" s="330" t="str">
        <f>VLOOKUP(B300,Tot_res!C:D,2,FALSE)</f>
        <v>Prestaciones y farmacia</v>
      </c>
      <c r="D300" s="179">
        <f>VLOOKUP(B300,Tot_res!C:V,3,FALSE)</f>
        <v>11976.152951950302</v>
      </c>
      <c r="E300" s="179">
        <f>VLOOKUP(B300,Tot_res!C:V,4,FALSE)</f>
        <v>2189.2782884877524</v>
      </c>
      <c r="F300" s="179">
        <f>VLOOKUP(B300,Tot_res!C:V,5,FALSE)</f>
        <v>1739.5139418476983</v>
      </c>
      <c r="G300" s="179">
        <f>VLOOKUP(B300,Tot_res!C:V,6,FALSE)</f>
        <v>1622.8144268292256</v>
      </c>
      <c r="H300" s="179">
        <f>VLOOKUP(B300,Tot_res!C:V,7,FALSE)</f>
        <v>3011.9514356597779</v>
      </c>
      <c r="I300" s="179">
        <f>VLOOKUP(B300,Tot_res!C:V,8,FALSE)</f>
        <v>934.61819582336443</v>
      </c>
      <c r="J300" s="179">
        <f>VLOOKUP(B300,Tot_res!C:V,9,FALSE)</f>
        <v>4167.2950411354668</v>
      </c>
      <c r="K300" s="179">
        <f>VLOOKUP(B300,Tot_res!C:V,10,FALSE)</f>
        <v>3340.5476408934887</v>
      </c>
      <c r="L300" s="179">
        <f>VLOOKUP(B300,Tot_res!C:V,11,FALSE)</f>
        <v>11068.543409786025</v>
      </c>
      <c r="M300" s="179">
        <f>VLOOKUP(B300,Tot_res!C:V,12,FALSE)</f>
        <v>7473.0128335909012</v>
      </c>
      <c r="N300" s="179">
        <f>VLOOKUP(B300,Tot_res!C:V,13,FALSE)</f>
        <v>1758.6255909595893</v>
      </c>
      <c r="O300" s="179">
        <f>VLOOKUP(B300,Tot_res!C:V,14,FALSE)</f>
        <v>4354.8225297808331</v>
      </c>
      <c r="P300" s="179">
        <f>VLOOKUP(B300,Tot_res!C:V,15,FALSE)</f>
        <v>9564.2741172607348</v>
      </c>
      <c r="Q300" s="179">
        <f>VLOOKUP(B300,Tot_res!C:V,16,FALSE)</f>
        <v>2112.1644302457626</v>
      </c>
      <c r="R300" s="179">
        <f>VLOOKUP(B300,Tot_res!C:V,17,FALSE)</f>
        <v>1004.1609581079074</v>
      </c>
      <c r="S300" s="179">
        <f>VLOOKUP(B300,Tot_res!C:V,18,FALSE)</f>
        <v>3431.8799981637612</v>
      </c>
      <c r="T300" s="179">
        <f>VLOOKUP(B300,Tot_res!C:V,19,FALSE)</f>
        <v>536.95891651548709</v>
      </c>
      <c r="U300" s="179">
        <f>VLOOKUP(B300,Tot_res!C:V,20,FALSE)</f>
        <v>202.64904296190798</v>
      </c>
      <c r="V300" s="122">
        <f t="shared" si="56"/>
        <v>70489.263749999984</v>
      </c>
    </row>
    <row r="301" spans="1:22">
      <c r="A301" s="351" t="str">
        <f>IF(B301="","",(IF(ISERROR(MATCH(B301,Tot_res!C:C,0)),"Eliminar!!!","")))</f>
        <v/>
      </c>
      <c r="B301" s="119" t="s">
        <v>303</v>
      </c>
      <c r="C301" s="330" t="str">
        <f>VLOOKUP(B301,Tot_res!C:D,2,FALSE)</f>
        <v>Salud pública, sanidad exterior y calidad + AF11/2</v>
      </c>
      <c r="D301" s="179">
        <f>VLOOKUP(B301,Tot_res!C:V,3,FALSE)</f>
        <v>3241.9087744197486</v>
      </c>
      <c r="E301" s="179">
        <f>VLOOKUP(B301,Tot_res!C:V,4,FALSE)</f>
        <v>548.95473042057949</v>
      </c>
      <c r="F301" s="179">
        <f>VLOOKUP(B301,Tot_res!C:V,5,FALSE)</f>
        <v>437.72219719122199</v>
      </c>
      <c r="G301" s="179">
        <f>VLOOKUP(B301,Tot_res!C:V,6,FALSE)</f>
        <v>455.52903150376363</v>
      </c>
      <c r="H301" s="179">
        <f>VLOOKUP(B301,Tot_res!C:V,7,FALSE)</f>
        <v>832.08213384943042</v>
      </c>
      <c r="I301" s="179">
        <f>VLOOKUP(B301,Tot_res!C:V,8,FALSE)</f>
        <v>296.59083392393131</v>
      </c>
      <c r="J301" s="179">
        <f>VLOOKUP(B301,Tot_res!C:V,9,FALSE)</f>
        <v>976.05884798572788</v>
      </c>
      <c r="K301" s="179">
        <f>VLOOKUP(B301,Tot_res!C:V,10,FALSE)</f>
        <v>819.73294435391767</v>
      </c>
      <c r="L301" s="179">
        <f>VLOOKUP(B301,Tot_res!C:V,11,FALSE)</f>
        <v>3031.1972258137316</v>
      </c>
      <c r="M301" s="179">
        <f>VLOOKUP(B301,Tot_res!C:V,12,FALSE)</f>
        <v>1993.8290505595044</v>
      </c>
      <c r="N301" s="179">
        <f>VLOOKUP(B301,Tot_res!C:V,13,FALSE)</f>
        <v>452.6466935086155</v>
      </c>
      <c r="O301" s="179">
        <f>VLOOKUP(B301,Tot_res!C:V,14,FALSE)</f>
        <v>1084.7274656985969</v>
      </c>
      <c r="P301" s="179">
        <f>VLOOKUP(B301,Tot_res!C:V,15,FALSE)</f>
        <v>2689.9276626312239</v>
      </c>
      <c r="Q301" s="179">
        <f>VLOOKUP(B301,Tot_res!C:V,16,FALSE)</f>
        <v>617.3225490329736</v>
      </c>
      <c r="R301" s="179">
        <f>VLOOKUP(B301,Tot_res!C:V,17,FALSE)</f>
        <v>258.45225571704987</v>
      </c>
      <c r="S301" s="179">
        <f>VLOOKUP(B301,Tot_res!C:V,18,FALSE)</f>
        <v>883.16284126413086</v>
      </c>
      <c r="T301" s="179">
        <f>VLOOKUP(B301,Tot_res!C:V,19,FALSE)</f>
        <v>159.22960984920039</v>
      </c>
      <c r="U301" s="179">
        <f>VLOOKUP(B301,Tot_res!C:V,20,FALSE)</f>
        <v>60.366207978399402</v>
      </c>
      <c r="V301" s="122">
        <f t="shared" si="56"/>
        <v>18839.441055701747</v>
      </c>
    </row>
    <row r="302" spans="1:22">
      <c r="A302" s="351" t="str">
        <f>IF(B302="","",(IF(ISERROR(MATCH(B302,Tot_res!C:C,0)),"Eliminar!!!","")))</f>
        <v/>
      </c>
      <c r="B302" s="119" t="s">
        <v>304</v>
      </c>
      <c r="C302" s="330" t="str">
        <f>VLOOKUP(B302,Tot_res!C:D,2,FALSE)</f>
        <v>Seguridad alimentaria y nutrición</v>
      </c>
      <c r="D302" s="179">
        <f>VLOOKUP(B302,Tot_res!C:V,3,FALSE)</f>
        <v>2814.2822583367119</v>
      </c>
      <c r="E302" s="179">
        <f>VLOOKUP(B302,Tot_res!C:V,4,FALSE)</f>
        <v>442.75024374638656</v>
      </c>
      <c r="F302" s="179">
        <f>VLOOKUP(B302,Tot_res!C:V,5,FALSE)</f>
        <v>353.93208911758734</v>
      </c>
      <c r="G302" s="179">
        <f>VLOOKUP(B302,Tot_res!C:V,6,FALSE)</f>
        <v>369.83418819186721</v>
      </c>
      <c r="H302" s="179">
        <f>VLOOKUP(B302,Tot_res!C:V,7,FALSE)</f>
        <v>704.37190066291896</v>
      </c>
      <c r="I302" s="179">
        <f>VLOOKUP(B302,Tot_res!C:V,8,FALSE)</f>
        <v>196.62130768999455</v>
      </c>
      <c r="J302" s="179">
        <f>VLOOKUP(B302,Tot_res!C:V,9,FALSE)</f>
        <v>831.96272826213897</v>
      </c>
      <c r="K302" s="179">
        <f>VLOOKUP(B302,Tot_res!C:V,10,FALSE)</f>
        <v>693.09574190774242</v>
      </c>
      <c r="L302" s="179">
        <f>VLOOKUP(B302,Tot_res!C:V,11,FALSE)</f>
        <v>2517.0745123882975</v>
      </c>
      <c r="M302" s="179">
        <f>VLOOKUP(B302,Tot_res!C:V,12,FALSE)</f>
        <v>1672.6103382856998</v>
      </c>
      <c r="N302" s="179">
        <f>VLOOKUP(B302,Tot_res!C:V,13,FALSE)</f>
        <v>367.27272679635979</v>
      </c>
      <c r="O302" s="179">
        <f>VLOOKUP(B302,Tot_res!C:V,14,FALSE)</f>
        <v>918.09295645792042</v>
      </c>
      <c r="P302" s="179">
        <f>VLOOKUP(B302,Tot_res!C:V,15,FALSE)</f>
        <v>2159.3588573537786</v>
      </c>
      <c r="Q302" s="179">
        <f>VLOOKUP(B302,Tot_res!C:V,16,FALSE)</f>
        <v>491.47261635669338</v>
      </c>
      <c r="R302" s="179">
        <f>VLOOKUP(B302,Tot_res!C:V,17,FALSE)</f>
        <v>214.61636125923025</v>
      </c>
      <c r="S302" s="179">
        <f>VLOOKUP(B302,Tot_res!C:V,18,FALSE)</f>
        <v>733.37025001235872</v>
      </c>
      <c r="T302" s="179">
        <f>VLOOKUP(B302,Tot_res!C:V,19,FALSE)</f>
        <v>106.54135024322795</v>
      </c>
      <c r="U302" s="179">
        <f>VLOOKUP(B302,Tot_res!C:V,20,FALSE)</f>
        <v>56.837072931085935</v>
      </c>
      <c r="V302" s="122">
        <f t="shared" si="56"/>
        <v>15644.0975</v>
      </c>
    </row>
    <row r="303" spans="1:22">
      <c r="A303" s="351" t="str">
        <f>IF(B303="","",(IF(ISERROR(MATCH(B303,Tot_res!C:C,0)),"Eliminar!!!","")))</f>
        <v/>
      </c>
      <c r="B303" s="119" t="s">
        <v>305</v>
      </c>
      <c r="C303" s="330" t="str">
        <f>VLOOKUP(B303,Tot_res!C:D,2,FALSE)</f>
        <v>Donación y trasplante de órganos, tejidos y células</v>
      </c>
      <c r="D303" s="179">
        <f>VLOOKUP(B303,Tot_res!C:V,3,FALSE)</f>
        <v>629.15693897474671</v>
      </c>
      <c r="E303" s="179">
        <f>VLOOKUP(B303,Tot_res!C:V,4,FALSE)</f>
        <v>109.63448586621976</v>
      </c>
      <c r="F303" s="179">
        <f>VLOOKUP(B303,Tot_res!C:V,5,FALSE)</f>
        <v>93.404296122672733</v>
      </c>
      <c r="G303" s="179">
        <f>VLOOKUP(B303,Tot_res!C:V,6,FALSE)</f>
        <v>80.823042062278006</v>
      </c>
      <c r="H303" s="179">
        <f>VLOOKUP(B303,Tot_res!C:V,7,FALSE)</f>
        <v>153.41097424305374</v>
      </c>
      <c r="I303" s="179">
        <f>VLOOKUP(B303,Tot_res!C:V,8,FALSE)</f>
        <v>48.317298092011825</v>
      </c>
      <c r="J303" s="179">
        <f>VLOOKUP(B303,Tot_res!C:V,9,FALSE)</f>
        <v>218.66342388827221</v>
      </c>
      <c r="K303" s="179">
        <f>VLOOKUP(B303,Tot_res!C:V,10,FALSE)</f>
        <v>161.9783421960403</v>
      </c>
      <c r="L303" s="179">
        <f>VLOOKUP(B303,Tot_res!C:V,11,FALSE)</f>
        <v>585.86293179965321</v>
      </c>
      <c r="M303" s="179">
        <f>VLOOKUP(B303,Tot_res!C:V,12,FALSE)</f>
        <v>390.60193675822495</v>
      </c>
      <c r="N303" s="179">
        <f>VLOOKUP(B303,Tot_res!C:V,13,FALSE)</f>
        <v>88.75905773159225</v>
      </c>
      <c r="O303" s="179">
        <f>VLOOKUP(B303,Tot_res!C:V,14,FALSE)</f>
        <v>239.03124534058185</v>
      </c>
      <c r="P303" s="179">
        <f>VLOOKUP(B303,Tot_res!C:V,15,FALSE)</f>
        <v>488.87821117793538</v>
      </c>
      <c r="Q303" s="179">
        <f>VLOOKUP(B303,Tot_res!C:V,16,FALSE)</f>
        <v>106.74862345216575</v>
      </c>
      <c r="R303" s="179">
        <f>VLOOKUP(B303,Tot_res!C:V,17,FALSE)</f>
        <v>50.929265909995763</v>
      </c>
      <c r="S303" s="179">
        <f>VLOOKUP(B303,Tot_res!C:V,18,FALSE)</f>
        <v>182.66858722725809</v>
      </c>
      <c r="T303" s="179">
        <f>VLOOKUP(B303,Tot_res!C:V,19,FALSE)</f>
        <v>25.769396984544677</v>
      </c>
      <c r="U303" s="179">
        <f>VLOOKUP(B303,Tot_res!C:V,20,FALSE)</f>
        <v>11.264402172752169</v>
      </c>
      <c r="V303" s="122">
        <f t="shared" si="56"/>
        <v>3665.9024599999993</v>
      </c>
    </row>
    <row r="304" spans="1:22">
      <c r="A304" s="351" t="str">
        <f>IF(B304="","",(IF(ISERROR(MATCH(B304,Tot_res!C:C,0)),"Eliminar!!!","")))</f>
        <v/>
      </c>
      <c r="B304" s="115" t="s">
        <v>306</v>
      </c>
      <c r="C304" s="330" t="str">
        <f>VLOOKUP(B304,Tot_res!C:D,2,FALSE)</f>
        <v>Protec. y promoc. de derechos de consum. y usuar.</v>
      </c>
      <c r="D304" s="179">
        <f>VLOOKUP(B304,Tot_res!C:V,3,FALSE)</f>
        <v>2849.1088202088827</v>
      </c>
      <c r="E304" s="179">
        <f>VLOOKUP(B304,Tot_res!C:V,4,FALSE)</f>
        <v>448.22924952559555</v>
      </c>
      <c r="F304" s="179">
        <f>VLOOKUP(B304,Tot_res!C:V,5,FALSE)</f>
        <v>358.31197594794577</v>
      </c>
      <c r="G304" s="179">
        <f>VLOOKUP(B304,Tot_res!C:V,6,FALSE)</f>
        <v>374.41086247510714</v>
      </c>
      <c r="H304" s="179">
        <f>VLOOKUP(B304,Tot_res!C:V,7,FALSE)</f>
        <v>713.08845761337705</v>
      </c>
      <c r="I304" s="179">
        <f>VLOOKUP(B304,Tot_res!C:V,8,FALSE)</f>
        <v>199.05448372177602</v>
      </c>
      <c r="J304" s="179">
        <f>VLOOKUP(B304,Tot_res!C:V,9,FALSE)</f>
        <v>842.25821349477008</v>
      </c>
      <c r="K304" s="179">
        <f>VLOOKUP(B304,Tot_res!C:V,10,FALSE)</f>
        <v>701.67275711912862</v>
      </c>
      <c r="L304" s="179">
        <f>VLOOKUP(B304,Tot_res!C:V,11,FALSE)</f>
        <v>2548.2231475271074</v>
      </c>
      <c r="M304" s="179">
        <f>VLOOKUP(B304,Tot_res!C:V,12,FALSE)</f>
        <v>1693.3087836039624</v>
      </c>
      <c r="N304" s="179">
        <f>VLOOKUP(B304,Tot_res!C:V,13,FALSE)</f>
        <v>371.81770315963831</v>
      </c>
      <c r="O304" s="179">
        <f>VLOOKUP(B304,Tot_res!C:V,14,FALSE)</f>
        <v>929.45429772273837</v>
      </c>
      <c r="P304" s="179">
        <f>VLOOKUP(B304,Tot_res!C:V,15,FALSE)</f>
        <v>2186.0807842774475</v>
      </c>
      <c r="Q304" s="179">
        <f>VLOOKUP(B304,Tot_res!C:V,16,FALSE)</f>
        <v>497.55455836209126</v>
      </c>
      <c r="R304" s="179">
        <f>VLOOKUP(B304,Tot_res!C:V,17,FALSE)</f>
        <v>217.27222492110479</v>
      </c>
      <c r="S304" s="179">
        <f>VLOOKUP(B304,Tot_res!C:V,18,FALSE)</f>
        <v>742.44565967022288</v>
      </c>
      <c r="T304" s="179">
        <f>VLOOKUP(B304,Tot_res!C:V,19,FALSE)</f>
        <v>107.85979259747259</v>
      </c>
      <c r="U304" s="179">
        <f>VLOOKUP(B304,Tot_res!C:V,20,FALSE)</f>
        <v>57.54042805163359</v>
      </c>
      <c r="V304" s="122">
        <f t="shared" si="56"/>
        <v>15837.692200000003</v>
      </c>
    </row>
    <row r="305" spans="1:22">
      <c r="A305" s="351" t="str">
        <f>IF(B305="","",(IF(ISERROR(MATCH(B305,Tot_res!C:C,0)),"Eliminar!!!","")))</f>
        <v/>
      </c>
      <c r="B305" s="115" t="s">
        <v>783</v>
      </c>
      <c r="C305" s="330" t="str">
        <f>VLOOKUP(B305,Tot_res!C:D,2,FALSE)</f>
        <v>Atención Primaria de Salud, ISM</v>
      </c>
      <c r="D305" s="179">
        <f>VLOOKUP(B305,Tot_res!C:V,3,FALSE)</f>
        <v>0</v>
      </c>
      <c r="E305" s="179">
        <f>VLOOKUP(B305,Tot_res!C:V,4,FALSE)</f>
        <v>0</v>
      </c>
      <c r="F305" s="179">
        <f>VLOOKUP(B305,Tot_res!C:V,5,FALSE)</f>
        <v>0</v>
      </c>
      <c r="G305" s="179">
        <f>VLOOKUP(B305,Tot_res!C:V,6,FALSE)</f>
        <v>0</v>
      </c>
      <c r="H305" s="179">
        <f>VLOOKUP(B305,Tot_res!C:V,7,FALSE)</f>
        <v>0</v>
      </c>
      <c r="I305" s="179">
        <f>VLOOKUP(B305,Tot_res!C:V,8,FALSE)</f>
        <v>0</v>
      </c>
      <c r="J305" s="179">
        <f>VLOOKUP(B305,Tot_res!C:V,9,FALSE)</f>
        <v>0</v>
      </c>
      <c r="K305" s="179">
        <f>VLOOKUP(B305,Tot_res!C:V,10,FALSE)</f>
        <v>0</v>
      </c>
      <c r="L305" s="179">
        <f>VLOOKUP(B305,Tot_res!C:V,11,FALSE)</f>
        <v>0</v>
      </c>
      <c r="M305" s="179">
        <f>VLOOKUP(B305,Tot_res!C:V,12,FALSE)</f>
        <v>0</v>
      </c>
      <c r="N305" s="179">
        <f>VLOOKUP(B305,Tot_res!C:V,13,FALSE)</f>
        <v>0</v>
      </c>
      <c r="O305" s="179">
        <f>VLOOKUP(B305,Tot_res!C:V,14,FALSE)</f>
        <v>0</v>
      </c>
      <c r="P305" s="179">
        <f>VLOOKUP(B305,Tot_res!C:V,15,FALSE)</f>
        <v>1073.30701</v>
      </c>
      <c r="Q305" s="179">
        <f>VLOOKUP(B305,Tot_res!C:V,16,FALSE)</f>
        <v>0</v>
      </c>
      <c r="R305" s="179">
        <f>VLOOKUP(B305,Tot_res!C:V,17,FALSE)</f>
        <v>0</v>
      </c>
      <c r="S305" s="179">
        <f>VLOOKUP(B305,Tot_res!C:V,18,FALSE)</f>
        <v>0</v>
      </c>
      <c r="T305" s="179">
        <f>VLOOKUP(B305,Tot_res!C:V,19,FALSE)</f>
        <v>0</v>
      </c>
      <c r="U305" s="179">
        <f>VLOOKUP(B305,Tot_res!C:V,20,FALSE)</f>
        <v>0</v>
      </c>
      <c r="V305" s="122">
        <f t="shared" si="56"/>
        <v>1073.30701</v>
      </c>
    </row>
    <row r="306" spans="1:22" ht="25.5">
      <c r="A306" s="351" t="str">
        <f>IF(B306="","",(IF(ISERROR(MATCH(B306,Tot_res!C:C,0)),"Eliminar!!!","")))</f>
        <v/>
      </c>
      <c r="B306" s="115" t="s">
        <v>784</v>
      </c>
      <c r="C306" s="330" t="str">
        <f>VLOOKUP(B306,Tot_res!C:D,2,FALSE)</f>
        <v xml:space="preserve">Medicina Ambulatoria de Mutuas de Accidentes de Trabajo, mutuas de enfermedades profesionales y accidentes de trabajo de la Seguridad Social </v>
      </c>
      <c r="D306" s="179">
        <f>VLOOKUP(B306,Tot_res!C:V,3,FALSE)</f>
        <v>106439.46004343702</v>
      </c>
      <c r="E306" s="179">
        <f>VLOOKUP(B306,Tot_res!C:V,4,FALSE)</f>
        <v>20549.659544652059</v>
      </c>
      <c r="F306" s="179">
        <f>VLOOKUP(B306,Tot_res!C:V,5,FALSE)</f>
        <v>21835.72022799843</v>
      </c>
      <c r="G306" s="179">
        <f>VLOOKUP(B306,Tot_res!C:V,6,FALSE)</f>
        <v>22226.11764473276</v>
      </c>
      <c r="H306" s="179">
        <f>VLOOKUP(B306,Tot_res!C:V,7,FALSE)</f>
        <v>35088.161922023413</v>
      </c>
      <c r="I306" s="179">
        <f>VLOOKUP(B306,Tot_res!C:V,8,FALSE)</f>
        <v>11153.669625890408</v>
      </c>
      <c r="J306" s="179">
        <f>VLOOKUP(B306,Tot_res!C:V,9,FALSE)</f>
        <v>41621.048457054421</v>
      </c>
      <c r="K306" s="179">
        <f>VLOOKUP(B306,Tot_res!C:V,10,FALSE)</f>
        <v>36051.015189947248</v>
      </c>
      <c r="L306" s="179">
        <f>VLOOKUP(B306,Tot_res!C:V,11,FALSE)</f>
        <v>165604.30633447503</v>
      </c>
      <c r="M306" s="179">
        <f>VLOOKUP(B306,Tot_res!C:V,12,FALSE)</f>
        <v>90410.0494582393</v>
      </c>
      <c r="N306" s="179">
        <f>VLOOKUP(B306,Tot_res!C:V,13,FALSE)</f>
        <v>13548.292831609513</v>
      </c>
      <c r="O306" s="179">
        <f>VLOOKUP(B306,Tot_res!C:V,14,FALSE)</f>
        <v>46466.107143925059</v>
      </c>
      <c r="P306" s="179">
        <f>VLOOKUP(B306,Tot_res!C:V,15,FALSE)</f>
        <v>99382.196023222161</v>
      </c>
      <c r="Q306" s="179">
        <f>VLOOKUP(B306,Tot_res!C:V,16,FALSE)</f>
        <v>21795.615958410453</v>
      </c>
      <c r="R306" s="179">
        <f>VLOOKUP(B306,Tot_res!C:V,17,FALSE)</f>
        <v>15678.032188894604</v>
      </c>
      <c r="S306" s="179">
        <f>VLOOKUP(B306,Tot_res!C:V,18,FALSE)</f>
        <v>37832.153676495494</v>
      </c>
      <c r="T306" s="179">
        <f>VLOOKUP(B306,Tot_res!C:V,19,FALSE)</f>
        <v>9386.9154898662473</v>
      </c>
      <c r="U306" s="179">
        <f>VLOOKUP(B306,Tot_res!C:V,20,FALSE)</f>
        <v>1924.4650246793396</v>
      </c>
      <c r="V306" s="122">
        <f t="shared" si="56"/>
        <v>796992.98678555293</v>
      </c>
    </row>
    <row r="307" spans="1:22">
      <c r="A307" s="351" t="str">
        <f>IF(B307="","",(IF(ISERROR(MATCH(B307,Tot_res!C:C,0)),"Eliminar!!!","")))</f>
        <v/>
      </c>
      <c r="B307" s="115" t="s">
        <v>786</v>
      </c>
      <c r="C307" s="330" t="str">
        <f>VLOOKUP(B307,Tot_res!C:D,2,FALSE)</f>
        <v>Atenció Primaria de Salud INGESA neto de Ceuta y Melilla</v>
      </c>
      <c r="D307" s="179">
        <f>VLOOKUP(B307,Tot_res!C:V,3,FALSE)</f>
        <v>0</v>
      </c>
      <c r="E307" s="179">
        <f>VLOOKUP(B307,Tot_res!C:V,4,FALSE)</f>
        <v>124.3700655078221</v>
      </c>
      <c r="F307" s="179">
        <f>VLOOKUP(B307,Tot_res!C:V,5,FALSE)</f>
        <v>107.30657991393724</v>
      </c>
      <c r="G307" s="179">
        <f>VLOOKUP(B307,Tot_res!C:V,6,FALSE)</f>
        <v>89.40358560522597</v>
      </c>
      <c r="H307" s="179">
        <f>VLOOKUP(B307,Tot_res!C:V,7,FALSE)</f>
        <v>0</v>
      </c>
      <c r="I307" s="179">
        <f>VLOOKUP(B307,Tot_res!C:V,8,FALSE)</f>
        <v>54.383491475704112</v>
      </c>
      <c r="J307" s="179">
        <f>VLOOKUP(B307,Tot_res!C:V,9,FALSE)</f>
        <v>243.59121640992572</v>
      </c>
      <c r="K307" s="179">
        <f>VLOOKUP(B307,Tot_res!C:V,10,FALSE)</f>
        <v>180.16731824199965</v>
      </c>
      <c r="L307" s="179">
        <f>VLOOKUP(B307,Tot_res!C:V,11,FALSE)</f>
        <v>0</v>
      </c>
      <c r="M307" s="179">
        <f>VLOOKUP(B307,Tot_res!C:V,12,FALSE)</f>
        <v>0</v>
      </c>
      <c r="N307" s="179">
        <f>VLOOKUP(B307,Tot_res!C:V,13,FALSE)</f>
        <v>100.09182859350899</v>
      </c>
      <c r="O307" s="179">
        <f>VLOOKUP(B307,Tot_res!C:V,14,FALSE)</f>
        <v>0</v>
      </c>
      <c r="P307" s="179">
        <f>VLOOKUP(B307,Tot_res!C:V,15,FALSE)</f>
        <v>546.86615401345375</v>
      </c>
      <c r="Q307" s="179">
        <f>VLOOKUP(B307,Tot_res!C:V,16,FALSE)</f>
        <v>117.25847177102639</v>
      </c>
      <c r="R307" s="179">
        <f>VLOOKUP(B307,Tot_res!C:V,17,FALSE)</f>
        <v>0</v>
      </c>
      <c r="S307" s="179">
        <f>VLOOKUP(B307,Tot_res!C:V,18,FALSE)</f>
        <v>0</v>
      </c>
      <c r="T307" s="179">
        <f>VLOOKUP(B307,Tot_res!C:V,19,FALSE)</f>
        <v>29.272285223192874</v>
      </c>
      <c r="U307" s="179">
        <f>VLOOKUP(B307,Tot_res!C:V,20,FALSE)</f>
        <v>11.101003244203076</v>
      </c>
      <c r="V307" s="122">
        <f t="shared" si="56"/>
        <v>1603.8120000000001</v>
      </c>
    </row>
    <row r="308" spans="1:22">
      <c r="A308" s="351" t="str">
        <f>IF(B308="","",(IF(ISERROR(MATCH(B308,Tot_res!C:C,0)),"Eliminar!!!","")))</f>
        <v/>
      </c>
      <c r="B308" s="115" t="s">
        <v>788</v>
      </c>
      <c r="C308" s="330" t="str">
        <f>VLOOKUP(B308,Tot_res!C:D,2,FALSE)</f>
        <v>Atención Especializada, INGESA neto de Ceuta y Melilla</v>
      </c>
      <c r="D308" s="179">
        <f>VLOOKUP(B308,Tot_res!C:V,3,FALSE)</f>
        <v>531.34997243069665</v>
      </c>
      <c r="E308" s="179">
        <f>VLOOKUP(B308,Tot_res!C:V,4,FALSE)</f>
        <v>108.07126458877036</v>
      </c>
      <c r="F308" s="179">
        <f>VLOOKUP(B308,Tot_res!C:V,5,FALSE)</f>
        <v>93.243963027950471</v>
      </c>
      <c r="G308" s="179">
        <f>VLOOKUP(B308,Tot_res!C:V,6,FALSE)</f>
        <v>77.687171070272356</v>
      </c>
      <c r="H308" s="179">
        <f>VLOOKUP(B308,Tot_res!C:V,7,FALSE)</f>
        <v>127.72876353356497</v>
      </c>
      <c r="I308" s="179">
        <f>VLOOKUP(B308,Tot_res!C:V,8,FALSE)</f>
        <v>47.256489514048795</v>
      </c>
      <c r="J308" s="179">
        <f>VLOOKUP(B308,Tot_res!C:V,9,FALSE)</f>
        <v>211.66838412963455</v>
      </c>
      <c r="K308" s="179">
        <f>VLOOKUP(B308,Tot_res!C:V,10,FALSE)</f>
        <v>156.55624076804668</v>
      </c>
      <c r="L308" s="179">
        <f>VLOOKUP(B308,Tot_res!C:V,11,FALSE)</f>
        <v>511.55812490315265</v>
      </c>
      <c r="M308" s="179">
        <f>VLOOKUP(B308,Tot_res!C:V,12,FALSE)</f>
        <v>327.36335131843708</v>
      </c>
      <c r="N308" s="179">
        <f>VLOOKUP(B308,Tot_res!C:V,13,FALSE)</f>
        <v>86.974710891525874</v>
      </c>
      <c r="O308" s="179">
        <f>VLOOKUP(B308,Tot_res!C:V,14,FALSE)</f>
        <v>210.4973431542663</v>
      </c>
      <c r="P308" s="179">
        <f>VLOOKUP(B308,Tot_res!C:V,15,FALSE)</f>
        <v>475.19888796162252</v>
      </c>
      <c r="Q308" s="179">
        <f>VLOOKUP(B308,Tot_res!C:V,16,FALSE)</f>
        <v>101.89165114851889</v>
      </c>
      <c r="R308" s="179">
        <f>VLOOKUP(B308,Tot_res!C:V,17,FALSE)</f>
        <v>43.838589938545688</v>
      </c>
      <c r="S308" s="179">
        <f>VLOOKUP(B308,Tot_res!C:V,18,FALSE)</f>
        <v>164.3418365425907</v>
      </c>
      <c r="T308" s="179">
        <f>VLOOKUP(B308,Tot_res!C:V,19,FALSE)</f>
        <v>25.436127805807626</v>
      </c>
      <c r="U308" s="179">
        <f>VLOOKUP(B308,Tot_res!C:V,20,FALSE)</f>
        <v>9.6462075010293802</v>
      </c>
      <c r="V308" s="122">
        <f t="shared" si="56"/>
        <v>3310.3090802284814</v>
      </c>
    </row>
    <row r="309" spans="1:22">
      <c r="A309" s="351" t="str">
        <f>IF(B309="","",(IF(ISERROR(MATCH(B309,Tot_res!C:C,0)),"Eliminar!!!","")))</f>
        <v/>
      </c>
      <c r="B309" s="115" t="s">
        <v>790</v>
      </c>
      <c r="C309" s="330" t="str">
        <f>VLOOKUP(B309,Tot_res!C:D,2,FALSE)</f>
        <v>Atención Especializada, ISM</v>
      </c>
      <c r="D309" s="179">
        <f>VLOOKUP(B309,Tot_res!C:V,3,FALSE)</f>
        <v>0</v>
      </c>
      <c r="E309" s="179">
        <f>VLOOKUP(B309,Tot_res!C:V,4,FALSE)</f>
        <v>0</v>
      </c>
      <c r="F309" s="179">
        <f>VLOOKUP(B309,Tot_res!C:V,5,FALSE)</f>
        <v>0</v>
      </c>
      <c r="G309" s="179">
        <f>VLOOKUP(B309,Tot_res!C:V,6,FALSE)</f>
        <v>0</v>
      </c>
      <c r="H309" s="179">
        <f>VLOOKUP(B309,Tot_res!C:V,7,FALSE)</f>
        <v>0</v>
      </c>
      <c r="I309" s="179">
        <f>VLOOKUP(B309,Tot_res!C:V,8,FALSE)</f>
        <v>0</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263.23218000000003</v>
      </c>
      <c r="Q309" s="179">
        <f>VLOOKUP(B309,Tot_res!C:V,16,FALSE)</f>
        <v>0</v>
      </c>
      <c r="R309" s="179">
        <f>VLOOKUP(B309,Tot_res!C:V,17,FALSE)</f>
        <v>0</v>
      </c>
      <c r="S309" s="179">
        <f>VLOOKUP(B309,Tot_res!C:V,18,FALSE)</f>
        <v>11.2935</v>
      </c>
      <c r="T309" s="179">
        <f>VLOOKUP(B309,Tot_res!C:V,19,FALSE)</f>
        <v>0</v>
      </c>
      <c r="U309" s="179">
        <f>VLOOKUP(B309,Tot_res!C:V,20,FALSE)</f>
        <v>0</v>
      </c>
      <c r="V309" s="122">
        <f t="shared" si="56"/>
        <v>274.52568000000002</v>
      </c>
    </row>
    <row r="310" spans="1:22">
      <c r="A310" s="351" t="str">
        <f>IF(B310="","",(IF(ISERROR(MATCH(B310,Tot_res!C:C,0)),"Eliminar!!!","")))</f>
        <v/>
      </c>
      <c r="B310" s="115" t="s">
        <v>792</v>
      </c>
      <c r="C310" s="330" t="str">
        <f>VLOOKUP(B310,Tot_res!C:D,2,FALSE)</f>
        <v>Atención Especializada, mutuas de la Seg. Social</v>
      </c>
      <c r="D310" s="179">
        <f>VLOOKUP(B310,Tot_res!C:V,3,FALSE)</f>
        <v>33797.220507827464</v>
      </c>
      <c r="E310" s="179">
        <f>VLOOKUP(B310,Tot_res!C:V,4,FALSE)</f>
        <v>28987.195073587256</v>
      </c>
      <c r="F310" s="179">
        <f>VLOOKUP(B310,Tot_res!C:V,5,FALSE)</f>
        <v>4951.599651572561</v>
      </c>
      <c r="G310" s="179">
        <f>VLOOKUP(B310,Tot_res!C:V,6,FALSE)</f>
        <v>8626.409791187587</v>
      </c>
      <c r="H310" s="179">
        <f>VLOOKUP(B310,Tot_res!C:V,7,FALSE)</f>
        <v>9392.1360275516272</v>
      </c>
      <c r="I310" s="179">
        <f>VLOOKUP(B310,Tot_res!C:V,8,FALSE)</f>
        <v>5851.502183329023</v>
      </c>
      <c r="J310" s="179">
        <f>VLOOKUP(B310,Tot_res!C:V,9,FALSE)</f>
        <v>6818.9375932791709</v>
      </c>
      <c r="K310" s="179">
        <f>VLOOKUP(B310,Tot_res!C:V,10,FALSE)</f>
        <v>5996.0071734283883</v>
      </c>
      <c r="L310" s="179">
        <f>VLOOKUP(B310,Tot_res!C:V,11,FALSE)</f>
        <v>84740.828437905584</v>
      </c>
      <c r="M310" s="179">
        <f>VLOOKUP(B310,Tot_res!C:V,12,FALSE)</f>
        <v>40937.388903760766</v>
      </c>
      <c r="N310" s="179">
        <f>VLOOKUP(B310,Tot_res!C:V,13,FALSE)</f>
        <v>2468.6479046768241</v>
      </c>
      <c r="O310" s="179">
        <f>VLOOKUP(B310,Tot_res!C:V,14,FALSE)</f>
        <v>21717.416061981847</v>
      </c>
      <c r="P310" s="179">
        <f>VLOOKUP(B310,Tot_res!C:V,15,FALSE)</f>
        <v>79031.892964457424</v>
      </c>
      <c r="Q310" s="179">
        <f>VLOOKUP(B310,Tot_res!C:V,16,FALSE)</f>
        <v>9605.0612663296906</v>
      </c>
      <c r="R310" s="179">
        <f>VLOOKUP(B310,Tot_res!C:V,17,FALSE)</f>
        <v>4148.1065718886048</v>
      </c>
      <c r="S310" s="179">
        <f>VLOOKUP(B310,Tot_res!C:V,18,FALSE)</f>
        <v>38135.706052930807</v>
      </c>
      <c r="T310" s="179">
        <f>VLOOKUP(B310,Tot_res!C:V,19,FALSE)</f>
        <v>1408.602824546746</v>
      </c>
      <c r="U310" s="179">
        <f>VLOOKUP(B310,Tot_res!C:V,20,FALSE)</f>
        <v>205.13342075860979</v>
      </c>
      <c r="V310" s="122">
        <f t="shared" si="56"/>
        <v>386819.79241099994</v>
      </c>
    </row>
    <row r="311" spans="1:22">
      <c r="A311" s="351" t="str">
        <f>IF(B311="","",(IF(ISERROR(MATCH(B311,Tot_res!C:C,0)),"Eliminar!!!","")))</f>
        <v/>
      </c>
      <c r="B311" s="115" t="s">
        <v>622</v>
      </c>
      <c r="C311" s="330" t="str">
        <f>VLOOKUP(B311,Tot_res!C:D,2,FALSE)</f>
        <v xml:space="preserve">Medicina Marítima </v>
      </c>
      <c r="D311" s="179">
        <f>VLOOKUP(B311,Tot_res!C:V,3,FALSE)</f>
        <v>2410.0570409154052</v>
      </c>
      <c r="E311" s="179">
        <f>VLOOKUP(B311,Tot_res!C:V,4,FALSE)</f>
        <v>0</v>
      </c>
      <c r="F311" s="179">
        <f>VLOOKUP(B311,Tot_res!C:V,5,FALSE)</f>
        <v>567.98385042639916</v>
      </c>
      <c r="G311" s="179">
        <f>VLOOKUP(B311,Tot_res!C:V,6,FALSE)</f>
        <v>402.86931959032376</v>
      </c>
      <c r="H311" s="179">
        <f>VLOOKUP(B311,Tot_res!C:V,7,FALSE)</f>
        <v>6010.8721446338604</v>
      </c>
      <c r="I311" s="179">
        <f>VLOOKUP(B311,Tot_res!C:V,8,FALSE)</f>
        <v>4631.4353818280761</v>
      </c>
      <c r="J311" s="179">
        <f>VLOOKUP(B311,Tot_res!C:V,9,FALSE)</f>
        <v>0</v>
      </c>
      <c r="K311" s="179">
        <f>VLOOKUP(B311,Tot_res!C:V,10,FALSE)</f>
        <v>0</v>
      </c>
      <c r="L311" s="179">
        <f>VLOOKUP(B311,Tot_res!C:V,11,FALSE)</f>
        <v>1267.2388791199214</v>
      </c>
      <c r="M311" s="179">
        <f>VLOOKUP(B311,Tot_res!C:V,12,FALSE)</f>
        <v>794.57697362419958</v>
      </c>
      <c r="N311" s="179">
        <f>VLOOKUP(B311,Tot_res!C:V,13,FALSE)</f>
        <v>0</v>
      </c>
      <c r="O311" s="179">
        <f>VLOOKUP(B311,Tot_res!C:V,14,FALSE)</f>
        <v>4458.6860252484548</v>
      </c>
      <c r="P311" s="179">
        <f>VLOOKUP(B311,Tot_res!C:V,15,FALSE)</f>
        <v>98.828037823074595</v>
      </c>
      <c r="Q311" s="179">
        <f>VLOOKUP(B311,Tot_res!C:V,16,FALSE)</f>
        <v>350.29610367753901</v>
      </c>
      <c r="R311" s="179">
        <f>VLOOKUP(B311,Tot_res!C:V,17,FALSE)</f>
        <v>0</v>
      </c>
      <c r="S311" s="179">
        <f>VLOOKUP(B311,Tot_res!C:V,18,FALSE)</f>
        <v>1000.9957120540059</v>
      </c>
      <c r="T311" s="179">
        <f>VLOOKUP(B311,Tot_res!C:V,19,FALSE)</f>
        <v>0</v>
      </c>
      <c r="U311" s="179">
        <f>VLOOKUP(B311,Tot_res!C:V,20,FALSE)</f>
        <v>432.87132105874002</v>
      </c>
      <c r="V311" s="122">
        <f t="shared" si="56"/>
        <v>22426.710789999997</v>
      </c>
    </row>
    <row r="312" spans="1:22">
      <c r="A312" s="351" t="str">
        <f>IF(B312="","",(IF(ISERROR(MATCH(B312,Tot_res!C:C,0)),"Eliminar!!!","")))</f>
        <v/>
      </c>
      <c r="B312" s="115" t="s">
        <v>794</v>
      </c>
      <c r="C312" s="330" t="str">
        <f>VLOOKUP(B312,Tot_res!C:D,2,FALSE)</f>
        <v>Admón.,Ser.Grales.y Cont.Int.Asist.San., neto CyMel</v>
      </c>
      <c r="D312" s="179">
        <f>VLOOKUP(B312,Tot_res!C:V,3,FALSE)</f>
        <v>28.138359699631934</v>
      </c>
      <c r="E312" s="179">
        <f>VLOOKUP(B312,Tot_res!C:V,4,FALSE)</f>
        <v>13.400100723998618</v>
      </c>
      <c r="F312" s="179">
        <f>VLOOKUP(B312,Tot_res!C:V,5,FALSE)</f>
        <v>11.56161632080293</v>
      </c>
      <c r="G312" s="179">
        <f>VLOOKUP(B312,Tot_res!C:V,6,FALSE)</f>
        <v>9.6326800770343954</v>
      </c>
      <c r="H312" s="179">
        <f>VLOOKUP(B312,Tot_res!C:V,7,FALSE)</f>
        <v>6.7640502094228552</v>
      </c>
      <c r="I312" s="179">
        <f>VLOOKUP(B312,Tot_res!C:V,8,FALSE)</f>
        <v>5.8594828307083402</v>
      </c>
      <c r="J312" s="179">
        <f>VLOOKUP(B312,Tot_res!C:V,9,FALSE)</f>
        <v>26.245437935940096</v>
      </c>
      <c r="K312" s="179">
        <f>VLOOKUP(B312,Tot_res!C:V,10,FALSE)</f>
        <v>19.411907533840335</v>
      </c>
      <c r="L312" s="179">
        <f>VLOOKUP(B312,Tot_res!C:V,11,FALSE)</f>
        <v>27.090255523955253</v>
      </c>
      <c r="M312" s="179">
        <f>VLOOKUP(B312,Tot_res!C:V,12,FALSE)</f>
        <v>17.335971035693621</v>
      </c>
      <c r="N312" s="179">
        <f>VLOOKUP(B312,Tot_res!C:V,13,FALSE)</f>
        <v>10.784271756436997</v>
      </c>
      <c r="O312" s="179">
        <f>VLOOKUP(B312,Tot_res!C:V,14,FALSE)</f>
        <v>11.147172795354079</v>
      </c>
      <c r="P312" s="179">
        <f>VLOOKUP(B312,Tot_res!C:V,15,FALSE)</f>
        <v>58.921425476495635</v>
      </c>
      <c r="Q312" s="179">
        <f>VLOOKUP(B312,Tot_res!C:V,16,FALSE)</f>
        <v>12.633870747419348</v>
      </c>
      <c r="R312" s="179">
        <f>VLOOKUP(B312,Tot_res!C:V,17,FALSE)</f>
        <v>2.3215320907471284</v>
      </c>
      <c r="S312" s="179">
        <f>VLOOKUP(B312,Tot_res!C:V,18,FALSE)</f>
        <v>8.7029452343420921</v>
      </c>
      <c r="T312" s="179">
        <f>VLOOKUP(B312,Tot_res!C:V,19,FALSE)</f>
        <v>3.1539065997173616</v>
      </c>
      <c r="U312" s="179">
        <f>VLOOKUP(B312,Tot_res!C:V,20,FALSE)</f>
        <v>1.1960640287706603</v>
      </c>
      <c r="V312" s="122">
        <f t="shared" si="56"/>
        <v>274.30105062031168</v>
      </c>
    </row>
    <row r="313" spans="1:22">
      <c r="A313" s="351" t="str">
        <f>IF(B313="","",(IF(ISERROR(MATCH(B313,Tot_res!C:C,0)),"Eliminar!!!","")))</f>
        <v/>
      </c>
      <c r="B313" s="115" t="s">
        <v>796</v>
      </c>
      <c r="C313" s="330" t="str">
        <f>VLOOKUP(B313,Tot_res!C:D,2,FALSE)</f>
        <v>Formación del Personal Sanitario, neto de CyMel</v>
      </c>
      <c r="D313" s="179">
        <f>VLOOKUP(B313,Tot_res!C:V,3,FALSE)</f>
        <v>1.0988692898484054</v>
      </c>
      <c r="E313" s="179">
        <f>VLOOKUP(B313,Tot_res!C:V,4,FALSE)</f>
        <v>0.20178961899374809</v>
      </c>
      <c r="F313" s="179">
        <f>VLOOKUP(B313,Tot_res!C:V,5,FALSE)</f>
        <v>0.17410422506365661</v>
      </c>
      <c r="G313" s="179">
        <f>VLOOKUP(B313,Tot_res!C:V,6,FALSE)</f>
        <v>0.14505673372680533</v>
      </c>
      <c r="H313" s="179">
        <f>VLOOKUP(B313,Tot_res!C:V,7,FALSE)</f>
        <v>0.26415210870392969</v>
      </c>
      <c r="I313" s="179">
        <f>VLOOKUP(B313,Tot_res!C:V,8,FALSE)</f>
        <v>8.823685972684385E-2</v>
      </c>
      <c r="J313" s="179">
        <f>VLOOKUP(B313,Tot_res!C:V,9,FALSE)</f>
        <v>0.39522515766859551</v>
      </c>
      <c r="K313" s="179">
        <f>VLOOKUP(B313,Tot_res!C:V,10,FALSE)</f>
        <v>0.29232029712882884</v>
      </c>
      <c r="L313" s="179">
        <f>VLOOKUP(B313,Tot_res!C:V,11,FALSE)</f>
        <v>1.057938350607194</v>
      </c>
      <c r="M313" s="179">
        <f>VLOOKUP(B313,Tot_res!C:V,12,FALSE)</f>
        <v>0.67701054305146136</v>
      </c>
      <c r="N313" s="179">
        <f>VLOOKUP(B313,Tot_res!C:V,13,FALSE)</f>
        <v>0.16239833816764712</v>
      </c>
      <c r="O313" s="179">
        <f>VLOOKUP(B313,Tot_res!C:V,14,FALSE)</f>
        <v>0.43532338004792892</v>
      </c>
      <c r="P313" s="179">
        <f>VLOOKUP(B313,Tot_res!C:V,15,FALSE)</f>
        <v>0.88728676316416955</v>
      </c>
      <c r="Q313" s="179">
        <f>VLOOKUP(B313,Tot_res!C:V,16,FALSE)</f>
        <v>0.19025110460343383</v>
      </c>
      <c r="R313" s="179">
        <f>VLOOKUP(B313,Tot_res!C:V,17,FALSE)</f>
        <v>9.0661301765680019E-2</v>
      </c>
      <c r="S313" s="179">
        <f>VLOOKUP(B313,Tot_res!C:V,18,FALSE)</f>
        <v>0.33987053088159047</v>
      </c>
      <c r="T313" s="179">
        <f>VLOOKUP(B313,Tot_res!C:V,19,FALSE)</f>
        <v>4.7494091589852128E-2</v>
      </c>
      <c r="U313" s="179">
        <f>VLOOKUP(B313,Tot_res!C:V,20,FALSE)</f>
        <v>1.8011305260229309E-2</v>
      </c>
      <c r="V313" s="122">
        <f t="shared" si="56"/>
        <v>6.5659999999999998</v>
      </c>
    </row>
    <row r="314" spans="1:22">
      <c r="A314" s="351" t="str">
        <f>IF(B314="","",(IF(ISERROR(MATCH(B314,Tot_res!C:C,0)),"Eliminar!!!","")))</f>
        <v/>
      </c>
      <c r="B314" s="115" t="s">
        <v>309</v>
      </c>
      <c r="C314" s="330" t="str">
        <f>VLOOKUP(B314,Tot_res!C:D,2,FALSE)</f>
        <v>ISM sanidad transferida</v>
      </c>
      <c r="D314" s="179">
        <f>VLOOKUP(B314,Tot_res!C:V,3,FALSE)</f>
        <v>25718.071078715555</v>
      </c>
      <c r="E314" s="179">
        <f>VLOOKUP(B314,Tot_res!C:V,4,FALSE)</f>
        <v>0</v>
      </c>
      <c r="F314" s="179">
        <f>VLOOKUP(B314,Tot_res!C:V,5,FALSE)</f>
        <v>4472.9912721565715</v>
      </c>
      <c r="G314" s="179">
        <f>VLOOKUP(B314,Tot_res!C:V,6,FALSE)</f>
        <v>1098.0037289002764</v>
      </c>
      <c r="H314" s="179">
        <f>VLOOKUP(B314,Tot_res!C:V,7,FALSE)</f>
        <v>0</v>
      </c>
      <c r="I314" s="179">
        <f>VLOOKUP(B314,Tot_res!C:V,8,FALSE)</f>
        <v>1726.85788323935</v>
      </c>
      <c r="J314" s="179">
        <f>VLOOKUP(B314,Tot_res!C:V,9,FALSE)</f>
        <v>0</v>
      </c>
      <c r="K314" s="179">
        <f>VLOOKUP(B314,Tot_res!C:V,10,FALSE)</f>
        <v>0</v>
      </c>
      <c r="L314" s="179">
        <f>VLOOKUP(B314,Tot_res!C:V,11,FALSE)</f>
        <v>0</v>
      </c>
      <c r="M314" s="179">
        <f>VLOOKUP(B314,Tot_res!C:V,12,FALSE)</f>
        <v>0</v>
      </c>
      <c r="N314" s="179">
        <f>VLOOKUP(B314,Tot_res!C:V,13,FALSE)</f>
        <v>0</v>
      </c>
      <c r="O314" s="179">
        <f>VLOOKUP(B314,Tot_res!C:V,14,FALSE)</f>
        <v>0</v>
      </c>
      <c r="P314" s="179">
        <f>VLOOKUP(B314,Tot_res!C:V,15,FALSE)</f>
        <v>0</v>
      </c>
      <c r="Q314" s="179">
        <f>VLOOKUP(B314,Tot_res!C:V,16,FALSE)</f>
        <v>1721.3501650160956</v>
      </c>
      <c r="R314" s="179">
        <f>VLOOKUP(B314,Tot_res!C:V,17,FALSE)</f>
        <v>0</v>
      </c>
      <c r="S314" s="179">
        <f>VLOOKUP(B314,Tot_res!C:V,18,FALSE)</f>
        <v>0</v>
      </c>
      <c r="T314" s="179">
        <f>VLOOKUP(B314,Tot_res!C:V,19,FALSE)</f>
        <v>0</v>
      </c>
      <c r="U314" s="179">
        <f>VLOOKUP(B314,Tot_res!C:V,20,FALSE)</f>
        <v>0</v>
      </c>
      <c r="V314" s="122">
        <f t="shared" si="56"/>
        <v>34737.27412802785</v>
      </c>
    </row>
    <row r="315" spans="1:22">
      <c r="A315" s="351" t="str">
        <f>IF(B315="","",(IF(ISERROR(MATCH(B315,Tot_res!C:C,0)),"Eliminar!!!","")))</f>
        <v/>
      </c>
      <c r="B315" s="115" t="s">
        <v>798</v>
      </c>
      <c r="C315" s="330" t="str">
        <f>VLOOKUP(B315,Tot_res!C:D,2,FALSE)</f>
        <v>ISM transf. antes de 2002, sanidad</v>
      </c>
      <c r="D315" s="179">
        <f>VLOOKUP(B315,Tot_res!C:V,3,FALSE)</f>
        <v>0</v>
      </c>
      <c r="E315" s="179">
        <f>VLOOKUP(B315,Tot_res!C:V,4,FALSE)</f>
        <v>0</v>
      </c>
      <c r="F315" s="179">
        <f>VLOOKUP(B315,Tot_res!C:V,5,FALSE)</f>
        <v>0</v>
      </c>
      <c r="G315" s="179">
        <f>VLOOKUP(B315,Tot_res!C:V,6,FALSE)</f>
        <v>0</v>
      </c>
      <c r="H315" s="179">
        <f>VLOOKUP(B315,Tot_res!C:V,7,FALSE)</f>
        <v>8775.6550609471578</v>
      </c>
      <c r="I315" s="179">
        <f>VLOOKUP(B315,Tot_res!C:V,8,FALSE)</f>
        <v>0</v>
      </c>
      <c r="J315" s="179">
        <f>VLOOKUP(B315,Tot_res!C:V,9,FALSE)</f>
        <v>0</v>
      </c>
      <c r="K315" s="179">
        <f>VLOOKUP(B315,Tot_res!C:V,10,FALSE)</f>
        <v>0</v>
      </c>
      <c r="L315" s="179">
        <f>VLOOKUP(B315,Tot_res!C:V,11,FALSE)</f>
        <v>2348.9075944358196</v>
      </c>
      <c r="M315" s="179">
        <f>VLOOKUP(B315,Tot_res!C:V,12,FALSE)</f>
        <v>8178.2610195544366</v>
      </c>
      <c r="N315" s="179">
        <f>VLOOKUP(B315,Tot_res!C:V,13,FALSE)</f>
        <v>0</v>
      </c>
      <c r="O315" s="179">
        <f>VLOOKUP(B315,Tot_res!C:V,14,FALSE)</f>
        <v>58466.92506447585</v>
      </c>
      <c r="P315" s="179">
        <f>VLOOKUP(B315,Tot_res!C:V,15,FALSE)</f>
        <v>0</v>
      </c>
      <c r="Q315" s="179">
        <f>VLOOKUP(B315,Tot_res!C:V,16,FALSE)</f>
        <v>0</v>
      </c>
      <c r="R315" s="179">
        <f>VLOOKUP(B315,Tot_res!C:V,17,FALSE)</f>
        <v>0</v>
      </c>
      <c r="S315" s="179">
        <f>VLOOKUP(B315,Tot_res!C:V,18,FALSE)</f>
        <v>0</v>
      </c>
      <c r="T315" s="179">
        <f>VLOOKUP(B315,Tot_res!C:V,19,FALSE)</f>
        <v>0</v>
      </c>
      <c r="U315" s="179">
        <f>VLOOKUP(B315,Tot_res!C:V,20,FALSE)</f>
        <v>0</v>
      </c>
      <c r="V315" s="122">
        <f t="shared" si="56"/>
        <v>77769.748739413262</v>
      </c>
    </row>
    <row r="316" spans="1:22">
      <c r="A316" s="351" t="str">
        <f>IF(B316="","",(IF(ISERROR(MATCH(B316,Tot_res!C:C,0)),"Eliminar!!!","")))</f>
        <v/>
      </c>
      <c r="B316" s="115" t="s">
        <v>623</v>
      </c>
      <c r="C316" s="330" t="str">
        <f>VLOOKUP(B316,Tot_res!C:D,2,FALSE)</f>
        <v>Compensación Fondo Cohesión Sanitaria, extrapresupuestario</v>
      </c>
      <c r="D316" s="179">
        <f>VLOOKUP(B316,Tot_res!C:V,3,FALSE)</f>
        <v>9606.5300117278475</v>
      </c>
      <c r="E316" s="179">
        <f>VLOOKUP(B316,Tot_res!C:V,4,FALSE)</f>
        <v>1511.3244208714339</v>
      </c>
      <c r="F316" s="179">
        <f>VLOOKUP(B316,Tot_res!C:V,5,FALSE)</f>
        <v>1208.1443594187065</v>
      </c>
      <c r="G316" s="179">
        <f>VLOOKUP(B316,Tot_res!C:V,6,FALSE)</f>
        <v>1262.4260476019044</v>
      </c>
      <c r="H316" s="179">
        <f>VLOOKUP(B316,Tot_res!C:V,7,FALSE)</f>
        <v>2404.3678572366348</v>
      </c>
      <c r="I316" s="179">
        <f>VLOOKUP(B316,Tot_res!C:V,8,FALSE)</f>
        <v>671.16526342508689</v>
      </c>
      <c r="J316" s="179">
        <f>VLOOKUP(B316,Tot_res!C:V,9,FALSE)</f>
        <v>2839.8981282043778</v>
      </c>
      <c r="K316" s="179">
        <f>VLOOKUP(B316,Tot_res!C:V,10,FALSE)</f>
        <v>2365.8767793862439</v>
      </c>
      <c r="L316" s="179">
        <f>VLOOKUP(B316,Tot_res!C:V,11,FALSE)</f>
        <v>8592.0137446712288</v>
      </c>
      <c r="M316" s="179">
        <f>VLOOKUP(B316,Tot_res!C:V,12,FALSE)</f>
        <v>5709.4420309369707</v>
      </c>
      <c r="N316" s="179">
        <f>VLOOKUP(B316,Tot_res!C:V,13,FALSE)</f>
        <v>1253.6825195862152</v>
      </c>
      <c r="O316" s="179">
        <f>VLOOKUP(B316,Tot_res!C:V,14,FALSE)</f>
        <v>3133.9029742459247</v>
      </c>
      <c r="P316" s="179">
        <f>VLOOKUP(B316,Tot_res!C:V,15,FALSE)</f>
        <v>7370.9542132136539</v>
      </c>
      <c r="Q316" s="179">
        <f>VLOOKUP(B316,Tot_res!C:V,16,FALSE)</f>
        <v>1677.6378506409574</v>
      </c>
      <c r="R316" s="179">
        <f>VLOOKUP(B316,Tot_res!C:V,17,FALSE)</f>
        <v>732.5912350608113</v>
      </c>
      <c r="S316" s="179">
        <f>VLOOKUP(B316,Tot_res!C:V,18,FALSE)</f>
        <v>2503.353491136982</v>
      </c>
      <c r="T316" s="179">
        <f>VLOOKUP(B316,Tot_res!C:V,19,FALSE)</f>
        <v>363.67804813099258</v>
      </c>
      <c r="U316" s="179">
        <f>VLOOKUP(B316,Tot_res!C:V,20,FALSE)</f>
        <v>194.01289450402916</v>
      </c>
      <c r="V316" s="122">
        <f t="shared" ref="V316:V317" si="57">SUM(D316:U316)</f>
        <v>53401.00187</v>
      </c>
    </row>
    <row r="317" spans="1:22">
      <c r="A317" s="351" t="str">
        <f>IF(B317="","",(IF(ISERROR(MATCH(B317,Tot_res!C:C,0)),"Eliminar!!!","")))</f>
        <v/>
      </c>
      <c r="B317" s="115" t="s">
        <v>1214</v>
      </c>
      <c r="C317" s="330" t="str">
        <f>VLOOKUP(B317,Tot_res!C:D,2,FALSE)</f>
        <v>Gestion del Hospital Militar San Carlos (San Fernando)</v>
      </c>
      <c r="D317" s="179">
        <f>VLOOKUP(B317,Tot_res!C:V,3,FALSE)</f>
        <v>2398.5341600000002</v>
      </c>
      <c r="E317" s="179">
        <f>VLOOKUP(B317,Tot_res!C:V,4,FALSE)</f>
        <v>0</v>
      </c>
      <c r="F317" s="179">
        <f>VLOOKUP(B317,Tot_res!C:V,5,FALSE)</f>
        <v>0</v>
      </c>
      <c r="G317" s="179">
        <f>VLOOKUP(B317,Tot_res!C:V,6,FALSE)</f>
        <v>0</v>
      </c>
      <c r="H317" s="179">
        <f>VLOOKUP(B317,Tot_res!C:V,7,FALSE)</f>
        <v>0</v>
      </c>
      <c r="I317" s="179">
        <f>VLOOKUP(B317,Tot_res!C:V,8,FALSE)</f>
        <v>0</v>
      </c>
      <c r="J317" s="179">
        <f>VLOOKUP(B317,Tot_res!C:V,9,FALSE)</f>
        <v>0</v>
      </c>
      <c r="K317" s="179">
        <f>VLOOKUP(B317,Tot_res!C:V,10,FALSE)</f>
        <v>0</v>
      </c>
      <c r="L317" s="179">
        <f>VLOOKUP(B317,Tot_res!C:V,11,FALSE)</f>
        <v>0</v>
      </c>
      <c r="M317" s="179">
        <f>VLOOKUP(B317,Tot_res!C:V,12,FALSE)</f>
        <v>0</v>
      </c>
      <c r="N317" s="179">
        <f>VLOOKUP(B317,Tot_res!C:V,13,FALSE)</f>
        <v>0</v>
      </c>
      <c r="O317" s="179">
        <f>VLOOKUP(B317,Tot_res!C:V,14,FALSE)</f>
        <v>0</v>
      </c>
      <c r="P317" s="179">
        <f>VLOOKUP(B317,Tot_res!C:V,15,FALSE)</f>
        <v>0</v>
      </c>
      <c r="Q317" s="179">
        <f>VLOOKUP(B317,Tot_res!C:V,16,FALSE)</f>
        <v>0</v>
      </c>
      <c r="R317" s="179">
        <f>VLOOKUP(B317,Tot_res!C:V,17,FALSE)</f>
        <v>0</v>
      </c>
      <c r="S317" s="179">
        <f>VLOOKUP(B317,Tot_res!C:V,18,FALSE)</f>
        <v>0</v>
      </c>
      <c r="T317" s="179">
        <f>VLOOKUP(B317,Tot_res!C:V,19,FALSE)</f>
        <v>0</v>
      </c>
      <c r="U317" s="179">
        <f>VLOOKUP(B317,Tot_res!C:V,20,FALSE)</f>
        <v>0</v>
      </c>
      <c r="V317" s="122">
        <f t="shared" si="57"/>
        <v>2398.5341600000002</v>
      </c>
    </row>
    <row r="318" spans="1:22">
      <c r="A318" s="351" t="str">
        <f>IF(B318="","",(IF(ISERROR(MATCH(B318,Tot_res!C:C,0)),"Eliminar!!!","")))</f>
        <v/>
      </c>
      <c r="B318" s="115" t="s">
        <v>1216</v>
      </c>
      <c r="C318" s="330" t="str">
        <f>VLOOKUP(B318,Tot_res!C:D,2,FALSE)</f>
        <v>Gestion de funciones y servicios traspasados en materia sanitaria</v>
      </c>
      <c r="D318" s="179">
        <f>VLOOKUP(B318,Tot_res!C:V,3,FALSE)</f>
        <v>0</v>
      </c>
      <c r="E318" s="179">
        <f>VLOOKUP(B318,Tot_res!C:V,4,FALSE)</f>
        <v>0</v>
      </c>
      <c r="F318" s="179">
        <f>VLOOKUP(B318,Tot_res!C:V,5,FALSE)</f>
        <v>0</v>
      </c>
      <c r="G318" s="179">
        <f>VLOOKUP(B318,Tot_res!C:V,6,FALSE)</f>
        <v>65.118819999999999</v>
      </c>
      <c r="H318" s="179">
        <f>VLOOKUP(B318,Tot_res!C:V,7,FALSE)</f>
        <v>0</v>
      </c>
      <c r="I318" s="179">
        <f>VLOOKUP(B318,Tot_res!C:V,8,FALSE)</f>
        <v>0</v>
      </c>
      <c r="J318" s="179">
        <f>VLOOKUP(B318,Tot_res!C:V,9,FALSE)</f>
        <v>0</v>
      </c>
      <c r="K318" s="179">
        <f>VLOOKUP(B318,Tot_res!C:V,10,FALSE)</f>
        <v>0</v>
      </c>
      <c r="L318" s="179">
        <f>VLOOKUP(B318,Tot_res!C:V,11,FALSE)</f>
        <v>0</v>
      </c>
      <c r="M318" s="179">
        <f>VLOOKUP(B318,Tot_res!C:V,12,FALSE)</f>
        <v>0</v>
      </c>
      <c r="N318" s="179">
        <f>VLOOKUP(B318,Tot_res!C:V,13,FALSE)</f>
        <v>0</v>
      </c>
      <c r="O318" s="179">
        <f>VLOOKUP(B318,Tot_res!C:V,14,FALSE)</f>
        <v>0</v>
      </c>
      <c r="P318" s="179">
        <f>VLOOKUP(B318,Tot_res!C:V,15,FALSE)</f>
        <v>0</v>
      </c>
      <c r="Q318" s="179">
        <f>VLOOKUP(B318,Tot_res!C:V,16,FALSE)</f>
        <v>0</v>
      </c>
      <c r="R318" s="179">
        <f>VLOOKUP(B318,Tot_res!C:V,17,FALSE)</f>
        <v>0</v>
      </c>
      <c r="S318" s="179">
        <f>VLOOKUP(B318,Tot_res!C:V,18,FALSE)</f>
        <v>0</v>
      </c>
      <c r="T318" s="179">
        <f>VLOOKUP(B318,Tot_res!C:V,19,FALSE)</f>
        <v>0</v>
      </c>
      <c r="U318" s="179">
        <f>VLOOKUP(B318,Tot_res!C:V,20,FALSE)</f>
        <v>0</v>
      </c>
      <c r="V318" s="122">
        <f t="shared" si="56"/>
        <v>65.118819999999999</v>
      </c>
    </row>
    <row r="319" spans="1:22">
      <c r="A319" s="352"/>
      <c r="B319" s="115"/>
      <c r="C319" s="148"/>
      <c r="D319" s="105"/>
      <c r="E319" s="105"/>
      <c r="F319" s="105"/>
      <c r="G319" s="105"/>
      <c r="H319" s="105"/>
      <c r="I319" s="105"/>
      <c r="J319" s="105"/>
      <c r="K319" s="105"/>
      <c r="L319" s="105"/>
      <c r="M319" s="105"/>
      <c r="N319" s="105"/>
      <c r="O319" s="105"/>
      <c r="P319" s="105"/>
      <c r="Q319" s="105"/>
      <c r="R319" s="105"/>
      <c r="S319" s="105"/>
      <c r="T319" s="105"/>
      <c r="U319" s="105"/>
      <c r="V319" s="122"/>
    </row>
    <row r="320" spans="1:22">
      <c r="A320" s="352"/>
      <c r="B320" s="115"/>
      <c r="C320" s="105"/>
    </row>
    <row r="321" spans="1:23" ht="13.5">
      <c r="A321" s="358"/>
      <c r="B321" s="115"/>
      <c r="C321" s="117" t="s">
        <v>58</v>
      </c>
      <c r="D321" s="114">
        <f t="shared" ref="D321:V321" si="58">SUM(D322:D333)</f>
        <v>116400.86838576841</v>
      </c>
      <c r="E321" s="114">
        <f t="shared" si="58"/>
        <v>16388.058068388447</v>
      </c>
      <c r="F321" s="114">
        <f t="shared" si="58"/>
        <v>13096.273847596947</v>
      </c>
      <c r="G321" s="114">
        <f t="shared" si="58"/>
        <v>9800.3190111031745</v>
      </c>
      <c r="H321" s="114">
        <f t="shared" si="58"/>
        <v>31216.539706153191</v>
      </c>
      <c r="I321" s="114">
        <f t="shared" si="58"/>
        <v>7187.2249475630088</v>
      </c>
      <c r="J321" s="114">
        <f t="shared" si="58"/>
        <v>27994.976932772712</v>
      </c>
      <c r="K321" s="114">
        <f t="shared" si="58"/>
        <v>24927.327657463771</v>
      </c>
      <c r="L321" s="114">
        <f t="shared" si="58"/>
        <v>50702.066918339842</v>
      </c>
      <c r="M321" s="114">
        <f t="shared" si="58"/>
        <v>56969.377150480781</v>
      </c>
      <c r="N321" s="114">
        <f t="shared" si="58"/>
        <v>14422.587518823188</v>
      </c>
      <c r="O321" s="114">
        <f t="shared" si="58"/>
        <v>30880.002606316517</v>
      </c>
      <c r="P321" s="114">
        <f t="shared" si="58"/>
        <v>82126.720348174087</v>
      </c>
      <c r="Q321" s="114">
        <f t="shared" si="58"/>
        <v>24024.454376789938</v>
      </c>
      <c r="R321" s="114">
        <f t="shared" si="58"/>
        <v>7628.5856561894398</v>
      </c>
      <c r="S321" s="114">
        <f t="shared" si="58"/>
        <v>22585.297234314065</v>
      </c>
      <c r="T321" s="114">
        <f t="shared" si="58"/>
        <v>3512.4677863082816</v>
      </c>
      <c r="U321" s="114">
        <f t="shared" si="58"/>
        <v>1135.2220402496596</v>
      </c>
      <c r="V321" s="126">
        <f t="shared" si="58"/>
        <v>540998.37019279553</v>
      </c>
    </row>
    <row r="322" spans="1:23" ht="25.5">
      <c r="A322" s="351" t="str">
        <f>IF(B322="","",(IF(ISERROR(MATCH(B322,Tot_res!C:C,0)),"Eliminar!!!","")))</f>
        <v/>
      </c>
      <c r="B322" s="119" t="s">
        <v>637</v>
      </c>
      <c r="C322" s="330" t="str">
        <f>VLOOKUP(B322,Tot_res!C:D,2,FALSE)</f>
        <v xml:space="preserve">Dirección y servicios generales de la educación,cultura y deporte, neto del gasto directo del Estado en Ceuta y Melilla </v>
      </c>
      <c r="D322" s="179">
        <f>VLOOKUP(B322,Tot_res!C:V,3,FALSE)</f>
        <v>11274.972210091482</v>
      </c>
      <c r="E322" s="179">
        <f>VLOOKUP(B322,Tot_res!C:V,4,FALSE)</f>
        <v>1542.9943229966063</v>
      </c>
      <c r="F322" s="179">
        <f>VLOOKUP(B322,Tot_res!C:V,5,FALSE)</f>
        <v>1013.0501107971105</v>
      </c>
      <c r="G322" s="179">
        <f>VLOOKUP(B322,Tot_res!C:V,6,FALSE)</f>
        <v>1226.7558901022499</v>
      </c>
      <c r="H322" s="179">
        <f>VLOOKUP(B322,Tot_res!C:V,7,FALSE)</f>
        <v>2521.2446221899754</v>
      </c>
      <c r="I322" s="179">
        <f>VLOOKUP(B322,Tot_res!C:V,8,FALSE)</f>
        <v>662.36570064828175</v>
      </c>
      <c r="J322" s="179">
        <f>VLOOKUP(B322,Tot_res!C:V,9,FALSE)</f>
        <v>2680.5676888369671</v>
      </c>
      <c r="K322" s="179">
        <f>VLOOKUP(B322,Tot_res!C:V,10,FALSE)</f>
        <v>2662.1866044516328</v>
      </c>
      <c r="L322" s="179">
        <f>VLOOKUP(B322,Tot_res!C:V,11,FALSE)</f>
        <v>9244.3250137560717</v>
      </c>
      <c r="M322" s="179">
        <f>VLOOKUP(B322,Tot_res!C:V,12,FALSE)</f>
        <v>6122.6377355707418</v>
      </c>
      <c r="N322" s="179">
        <f>VLOOKUP(B322,Tot_res!C:V,13,FALSE)</f>
        <v>1357.9999642508799</v>
      </c>
      <c r="O322" s="179">
        <f>VLOOKUP(B322,Tot_res!C:V,14,FALSE)</f>
        <v>2944.0705689749489</v>
      </c>
      <c r="P322" s="179">
        <f>VLOOKUP(B322,Tot_res!C:V,15,FALSE)</f>
        <v>8462.6360943907493</v>
      </c>
      <c r="Q322" s="179">
        <f>VLOOKUP(B322,Tot_res!C:V,16,FALSE)</f>
        <v>2043.3954005628318</v>
      </c>
      <c r="R322" s="179">
        <f>VLOOKUP(B322,Tot_res!C:V,17,FALSE)</f>
        <v>777.93328629967311</v>
      </c>
      <c r="S322" s="179">
        <f>VLOOKUP(B322,Tot_res!C:V,18,FALSE)</f>
        <v>2615.9400482959445</v>
      </c>
      <c r="T322" s="179">
        <f>VLOOKUP(B322,Tot_res!C:V,19,FALSE)</f>
        <v>380.31702013478849</v>
      </c>
      <c r="U322" s="179">
        <f>VLOOKUP(B322,Tot_res!C:V,20,FALSE)</f>
        <v>271.38687882831709</v>
      </c>
      <c r="V322" s="122">
        <f t="shared" ref="V322:V333" si="59">SUM(D322:U322)</f>
        <v>57804.779161179264</v>
      </c>
    </row>
    <row r="323" spans="1:23" ht="25.5">
      <c r="A323" s="351" t="str">
        <f>IF(B323="","",(IF(ISERROR(MATCH(B323,Tot_res!C:C,0)),"Eliminar!!!","")))</f>
        <v/>
      </c>
      <c r="B323" s="115" t="s">
        <v>638</v>
      </c>
      <c r="C323" s="330" t="str">
        <f>VLOOKUP(B323,Tot_res!C:D,2,FALSE)</f>
        <v xml:space="preserve">Formac. permanente del profesorado de educación, neto del gasto directo del Estado en Ceuta y Melilla </v>
      </c>
      <c r="D323" s="179">
        <f>VLOOKUP(B323,Tot_res!C:V,3,FALSE)</f>
        <v>432.56818798025455</v>
      </c>
      <c r="E323" s="179">
        <f>VLOOKUP(B323,Tot_res!C:V,4,FALSE)</f>
        <v>65.049100656521503</v>
      </c>
      <c r="F323" s="179">
        <f>VLOOKUP(B323,Tot_res!C:V,5,FALSE)</f>
        <v>50.369733220081073</v>
      </c>
      <c r="G323" s="179">
        <f>VLOOKUP(B323,Tot_res!C:V,6,FALSE)</f>
        <v>41.393035515627751</v>
      </c>
      <c r="H323" s="179">
        <f>VLOOKUP(B323,Tot_res!C:V,7,FALSE)</f>
        <v>109.3826852450659</v>
      </c>
      <c r="I323" s="179">
        <f>VLOOKUP(B323,Tot_res!C:V,8,FALSE)</f>
        <v>29.075771849802578</v>
      </c>
      <c r="J323" s="179">
        <f>VLOOKUP(B323,Tot_res!C:V,9,FALSE)</f>
        <v>128.07172240125078</v>
      </c>
      <c r="K323" s="179">
        <f>VLOOKUP(B323,Tot_res!C:V,10,FALSE)</f>
        <v>105.82131013823535</v>
      </c>
      <c r="L323" s="179">
        <f>VLOOKUP(B323,Tot_res!C:V,11,FALSE)</f>
        <v>300.83245774329259</v>
      </c>
      <c r="M323" s="179">
        <f>VLOOKUP(B323,Tot_res!C:V,12,FALSE)</f>
        <v>198.11516177534239</v>
      </c>
      <c r="N323" s="179">
        <f>VLOOKUP(B323,Tot_res!C:V,13,FALSE)</f>
        <v>63.075282737724812</v>
      </c>
      <c r="O323" s="179">
        <f>VLOOKUP(B323,Tot_res!C:V,14,FALSE)</f>
        <v>114.15497189565787</v>
      </c>
      <c r="P323" s="179">
        <f>VLOOKUP(B323,Tot_res!C:V,15,FALSE)</f>
        <v>236.55316179449807</v>
      </c>
      <c r="Q323" s="179">
        <f>VLOOKUP(B323,Tot_res!C:V,16,FALSE)</f>
        <v>83.514590906910598</v>
      </c>
      <c r="R323" s="179">
        <f>VLOOKUP(B323,Tot_res!C:V,17,FALSE)</f>
        <v>31.028798391407722</v>
      </c>
      <c r="S323" s="179">
        <f>VLOOKUP(B323,Tot_res!C:V,18,FALSE)</f>
        <v>82.325797060238855</v>
      </c>
      <c r="T323" s="179">
        <f>VLOOKUP(B323,Tot_res!C:V,19,FALSE)</f>
        <v>15.514880222505152</v>
      </c>
      <c r="U323" s="179">
        <f>VLOOKUP(B323,Tot_res!C:V,20,FALSE)</f>
        <v>9.3354804655821191</v>
      </c>
      <c r="V323" s="122">
        <f t="shared" si="59"/>
        <v>2096.1821299999992</v>
      </c>
    </row>
    <row r="324" spans="1:23">
      <c r="A324" s="351" t="str">
        <f>IF(B324="","",(IF(ISERROR(MATCH(B324,Tot_res!C:C,0)),"Eliminar!!!","")))</f>
        <v/>
      </c>
      <c r="B324" s="115" t="s">
        <v>639</v>
      </c>
      <c r="C324" s="330" t="str">
        <f>VLOOKUP(B324,Tot_res!C:D,2,FALSE)</f>
        <v>Educación infantil y primaria +AF12/1</v>
      </c>
      <c r="D324" s="179">
        <f>VLOOKUP(B324,Tot_res!C:V,3,FALSE)</f>
        <v>69231.792644223198</v>
      </c>
      <c r="E324" s="179">
        <f>VLOOKUP(B324,Tot_res!C:V,4,FALSE)</f>
        <v>7560.7163005169195</v>
      </c>
      <c r="F324" s="179">
        <f>VLOOKUP(B324,Tot_res!C:V,5,FALSE)</f>
        <v>78.626406790238349</v>
      </c>
      <c r="G324" s="179">
        <f>VLOOKUP(B324,Tot_res!C:V,6,FALSE)</f>
        <v>113.2034079266989</v>
      </c>
      <c r="H324" s="179">
        <f>VLOOKUP(B324,Tot_res!C:V,7,FALSE)</f>
        <v>16545.938814236357</v>
      </c>
      <c r="I324" s="179">
        <f>VLOOKUP(B324,Tot_res!C:V,8,FALSE)</f>
        <v>3426.2062572622158</v>
      </c>
      <c r="J324" s="179">
        <f>VLOOKUP(B324,Tot_res!C:V,9,FALSE)</f>
        <v>204.63600859297469</v>
      </c>
      <c r="K324" s="179">
        <f>VLOOKUP(B324,Tot_res!C:V,10,FALSE)</f>
        <v>223.83488673854961</v>
      </c>
      <c r="L324" s="179">
        <f>VLOOKUP(B324,Tot_res!C:V,11,FALSE)</f>
        <v>830.48077042975876</v>
      </c>
      <c r="M324" s="179">
        <f>VLOOKUP(B324,Tot_res!C:V,12,FALSE)</f>
        <v>523.31711581487593</v>
      </c>
      <c r="N324" s="179">
        <f>VLOOKUP(B324,Tot_res!C:V,13,FALSE)</f>
        <v>106.16826201187337</v>
      </c>
      <c r="O324" s="179">
        <f>VLOOKUP(B324,Tot_res!C:V,14,FALSE)</f>
        <v>234.96429390016988</v>
      </c>
      <c r="P324" s="179">
        <f>VLOOKUP(B324,Tot_res!C:V,15,FALSE)</f>
        <v>730.13839643309802</v>
      </c>
      <c r="Q324" s="179">
        <f>VLOOKUP(B324,Tot_res!C:V,16,FALSE)</f>
        <v>174.39449552312254</v>
      </c>
      <c r="R324" s="179">
        <f>VLOOKUP(B324,Tot_res!C:V,17,FALSE)</f>
        <v>3206.8441388633073</v>
      </c>
      <c r="S324" s="179">
        <f>VLOOKUP(B324,Tot_res!C:V,18,FALSE)</f>
        <v>10956.392778136678</v>
      </c>
      <c r="T324" s="179">
        <f>VLOOKUP(B324,Tot_res!C:V,19,FALSE)</f>
        <v>32.983168680943315</v>
      </c>
      <c r="U324" s="179">
        <f>VLOOKUP(B324,Tot_res!C:V,20,FALSE)</f>
        <v>24.212230930307314</v>
      </c>
      <c r="V324" s="122">
        <f t="shared" si="59"/>
        <v>114204.85037701129</v>
      </c>
    </row>
    <row r="325" spans="1:23" ht="25.5">
      <c r="A325" s="351" t="str">
        <f>IF(B325="","",(IF(ISERROR(MATCH(B325,Tot_res!C:C,0)),"Eliminar!!!","")))</f>
        <v/>
      </c>
      <c r="B325" s="115" t="s">
        <v>640</v>
      </c>
      <c r="C325" s="330" t="str">
        <f>VLOOKUP(B325,Tot_res!C:D,2,FALSE)</f>
        <v xml:space="preserve">Educ. secund., formac. profesional y EEOO Idiomas, neto del gasto directo del Estado en Ceuta y Melilla </v>
      </c>
      <c r="D325" s="179">
        <f>VLOOKUP(B325,Tot_res!C:V,3,FALSE)</f>
        <v>4922.6226078164727</v>
      </c>
      <c r="E325" s="179">
        <f>VLOOKUP(B325,Tot_res!C:V,4,FALSE)</f>
        <v>1164.3205915949743</v>
      </c>
      <c r="F325" s="179">
        <f>VLOOKUP(B325,Tot_res!C:V,5,FALSE)</f>
        <v>479.76698013197029</v>
      </c>
      <c r="G325" s="179">
        <f>VLOOKUP(B325,Tot_res!C:V,6,FALSE)</f>
        <v>861.13308504918746</v>
      </c>
      <c r="H325" s="179">
        <f>VLOOKUP(B325,Tot_res!C:V,7,FALSE)</f>
        <v>1285.6013715929189</v>
      </c>
      <c r="I325" s="179">
        <f>VLOOKUP(B325,Tot_res!C:V,8,FALSE)</f>
        <v>511.43491429622202</v>
      </c>
      <c r="J325" s="179">
        <f>VLOOKUP(B325,Tot_res!C:V,9,FALSE)</f>
        <v>2413.5740586794018</v>
      </c>
      <c r="K325" s="179">
        <f>VLOOKUP(B325,Tot_res!C:V,10,FALSE)</f>
        <v>1614.691170710496</v>
      </c>
      <c r="L325" s="179">
        <f>VLOOKUP(B325,Tot_res!C:V,11,FALSE)</f>
        <v>2506.0061160915866</v>
      </c>
      <c r="M325" s="179">
        <f>VLOOKUP(B325,Tot_res!C:V,12,FALSE)</f>
        <v>4562.3909802885173</v>
      </c>
      <c r="N325" s="179">
        <f>VLOOKUP(B325,Tot_res!C:V,13,FALSE)</f>
        <v>879.46764064989748</v>
      </c>
      <c r="O325" s="179">
        <f>VLOOKUP(B325,Tot_res!C:V,14,FALSE)</f>
        <v>1421.6472799967453</v>
      </c>
      <c r="P325" s="179">
        <f>VLOOKUP(B325,Tot_res!C:V,15,FALSE)</f>
        <v>4440.9999507350412</v>
      </c>
      <c r="Q325" s="179">
        <f>VLOOKUP(B325,Tot_res!C:V,16,FALSE)</f>
        <v>1022.3019752828725</v>
      </c>
      <c r="R325" s="179">
        <f>VLOOKUP(B325,Tot_res!C:V,17,FALSE)</f>
        <v>529.1061509326139</v>
      </c>
      <c r="S325" s="179">
        <f>VLOOKUP(B325,Tot_res!C:V,18,FALSE)</f>
        <v>730.37694010222356</v>
      </c>
      <c r="T325" s="179">
        <f>VLOOKUP(B325,Tot_res!C:V,19,FALSE)</f>
        <v>441.59880260127318</v>
      </c>
      <c r="U325" s="179">
        <f>VLOOKUP(B325,Tot_res!C:V,20,FALSE)</f>
        <v>61.539093447584037</v>
      </c>
      <c r="V325" s="122">
        <f t="shared" si="59"/>
        <v>29848.579709999998</v>
      </c>
    </row>
    <row r="326" spans="1:23">
      <c r="A326" s="351" t="str">
        <f>IF(B326="","",(IF(ISERROR(MATCH(B326,Tot_res!C:C,0)),"Eliminar!!!","")))</f>
        <v/>
      </c>
      <c r="B326" s="115" t="s">
        <v>641</v>
      </c>
      <c r="C326" s="330" t="str">
        <f>VLOOKUP(B326,Tot_res!C:D,2,FALSE)</f>
        <v>Enseñanzas universitarias, neto del gasto directo del Estado en Ceuta y Melilla</v>
      </c>
      <c r="D326" s="179">
        <f>VLOOKUP(B326,Tot_res!C:V,3,FALSE)</f>
        <v>18128.796555276745</v>
      </c>
      <c r="E326" s="179">
        <f>VLOOKUP(B326,Tot_res!C:V,4,FALSE)</f>
        <v>3903.0769876540535</v>
      </c>
      <c r="F326" s="179">
        <f>VLOOKUP(B326,Tot_res!C:V,5,FALSE)</f>
        <v>2622.7577866887245</v>
      </c>
      <c r="G326" s="179">
        <f>VLOOKUP(B326,Tot_res!C:V,6,FALSE)</f>
        <v>2398.6733595310602</v>
      </c>
      <c r="H326" s="179">
        <f>VLOOKUP(B326,Tot_res!C:V,7,FALSE)</f>
        <v>5032.8504360972547</v>
      </c>
      <c r="I326" s="179">
        <f>VLOOKUP(B326,Tot_res!C:V,8,FALSE)</f>
        <v>1669.9722320529947</v>
      </c>
      <c r="J326" s="179">
        <f>VLOOKUP(B326,Tot_res!C:V,9,FALSE)</f>
        <v>6320.8466282618356</v>
      </c>
      <c r="K326" s="179">
        <f>VLOOKUP(B326,Tot_res!C:V,10,FALSE)</f>
        <v>5624.8783377673499</v>
      </c>
      <c r="L326" s="179">
        <f>VLOOKUP(B326,Tot_res!C:V,11,FALSE)</f>
        <v>10740.409511011445</v>
      </c>
      <c r="M326" s="179">
        <f>VLOOKUP(B326,Tot_res!C:V,12,FALSE)</f>
        <v>10445.571840740176</v>
      </c>
      <c r="N326" s="179">
        <f>VLOOKUP(B326,Tot_res!C:V,13,FALSE)</f>
        <v>2698.9416990401069</v>
      </c>
      <c r="O326" s="179">
        <f>VLOOKUP(B326,Tot_res!C:V,14,FALSE)</f>
        <v>7167.0555097091265</v>
      </c>
      <c r="P326" s="179">
        <f>VLOOKUP(B326,Tot_res!C:V,15,FALSE)</f>
        <v>23826.291690585716</v>
      </c>
      <c r="Q326" s="179">
        <f>VLOOKUP(B326,Tot_res!C:V,16,FALSE)</f>
        <v>3570.4077923228342</v>
      </c>
      <c r="R326" s="179">
        <f>VLOOKUP(B326,Tot_res!C:V,17,FALSE)</f>
        <v>2208.5783332663109</v>
      </c>
      <c r="S326" s="179">
        <f>VLOOKUP(B326,Tot_res!C:V,18,FALSE)</f>
        <v>4516.4809143686716</v>
      </c>
      <c r="T326" s="179">
        <f>VLOOKUP(B326,Tot_res!C:V,19,FALSE)</f>
        <v>762.64695883908598</v>
      </c>
      <c r="U326" s="179">
        <f>VLOOKUP(B326,Tot_res!C:V,20,FALSE)</f>
        <v>592.85650678651541</v>
      </c>
      <c r="V326" s="122">
        <f t="shared" si="59"/>
        <v>112231.09308000001</v>
      </c>
    </row>
    <row r="327" spans="1:23">
      <c r="A327" s="351" t="str">
        <f>IF(B327="","",(IF(ISERROR(MATCH(B327,Tot_res!C:C,0)),"Eliminar!!!","")))</f>
        <v/>
      </c>
      <c r="B327" s="115" t="s">
        <v>642</v>
      </c>
      <c r="C327" s="330" t="str">
        <f>VLOOKUP(B327,Tot_res!C:D,2,FALSE)</f>
        <v xml:space="preserve">Enseñanzas artísticas, neto del gasto directo del Estado en Ceuta y Melilla </v>
      </c>
      <c r="D327" s="179">
        <f>VLOOKUP(B327,Tot_res!C:V,3,FALSE)</f>
        <v>0.44147207112789361</v>
      </c>
      <c r="E327" s="179">
        <f>VLOOKUP(B327,Tot_res!C:V,4,FALSE)</f>
        <v>0.10100133241272419</v>
      </c>
      <c r="F327" s="179">
        <f>VLOOKUP(B327,Tot_res!C:V,5,FALSE)</f>
        <v>2.4089923247895259E-2</v>
      </c>
      <c r="G327" s="179">
        <f>VLOOKUP(B327,Tot_res!C:V,6,FALSE)</f>
        <v>1.7398866307091639E-2</v>
      </c>
      <c r="H327" s="179">
        <f>VLOOKUP(B327,Tot_res!C:V,7,FALSE)</f>
        <v>0.19046873366828945</v>
      </c>
      <c r="I327" s="179">
        <f>VLOOKUP(B327,Tot_res!C:V,8,FALSE)</f>
        <v>1.8203805487940192E-2</v>
      </c>
      <c r="J327" s="179">
        <f>VLOOKUP(B327,Tot_res!C:V,9,FALSE)</f>
        <v>0.17559059795385512</v>
      </c>
      <c r="K327" s="179">
        <f>VLOOKUP(B327,Tot_res!C:V,10,FALSE)</f>
        <v>0.13855545215606319</v>
      </c>
      <c r="L327" s="179">
        <f>VLOOKUP(B327,Tot_res!C:V,11,FALSE)</f>
        <v>0.6116266817847682</v>
      </c>
      <c r="M327" s="179">
        <f>VLOOKUP(B327,Tot_res!C:V,12,FALSE)</f>
        <v>0.18978294666881648</v>
      </c>
      <c r="N327" s="179">
        <f>VLOOKUP(B327,Tot_res!C:V,13,FALSE)</f>
        <v>2.0740423038114263E-2</v>
      </c>
      <c r="O327" s="179">
        <f>VLOOKUP(B327,Tot_res!C:V,14,FALSE)</f>
        <v>0.19829041241903494</v>
      </c>
      <c r="P327" s="179">
        <f>VLOOKUP(B327,Tot_res!C:V,15,FALSE)</f>
        <v>0.43316848799914009</v>
      </c>
      <c r="Q327" s="179">
        <f>VLOOKUP(B327,Tot_res!C:V,16,FALSE)</f>
        <v>3.9868319888278624E-2</v>
      </c>
      <c r="R327" s="179">
        <f>VLOOKUP(B327,Tot_res!C:V,17,FALSE)</f>
        <v>0.11585298986463058</v>
      </c>
      <c r="S327" s="179">
        <f>VLOOKUP(B327,Tot_res!C:V,18,FALSE)</f>
        <v>0.30486806692013763</v>
      </c>
      <c r="T327" s="179">
        <f>VLOOKUP(B327,Tot_res!C:V,19,FALSE)</f>
        <v>2.8051071322071044E-2</v>
      </c>
      <c r="U327" s="179">
        <f>VLOOKUP(B327,Tot_res!C:V,20,FALSE)</f>
        <v>5.4598177332556624E-3</v>
      </c>
      <c r="V327" s="122">
        <f t="shared" si="59"/>
        <v>3.0544900000000004</v>
      </c>
    </row>
    <row r="328" spans="1:23">
      <c r="A328" s="351" t="str">
        <f>IF(B328="","",(IF(ISERROR(MATCH(B328,Tot_res!C:C,0)),"Eliminar!!!","")))</f>
        <v/>
      </c>
      <c r="B328" s="115" t="s">
        <v>643</v>
      </c>
      <c r="C328" s="330" t="str">
        <f>VLOOKUP(B328,Tot_res!C:D,2,FALSE)</f>
        <v>Educación compensatoria,neto del gasto directo del Estado en Ceuta y Melilla  +AF12/2</v>
      </c>
      <c r="D328" s="179">
        <f>VLOOKUP(B328,Tot_res!C:V,3,FALSE)</f>
        <v>143.68880092888776</v>
      </c>
      <c r="E328" s="179">
        <f>VLOOKUP(B328,Tot_res!C:V,4,FALSE)</f>
        <v>17.481050378486646</v>
      </c>
      <c r="F328" s="179">
        <f>VLOOKUP(B328,Tot_res!C:V,5,FALSE)</f>
        <v>11.946942451179645</v>
      </c>
      <c r="G328" s="179">
        <f>VLOOKUP(B328,Tot_res!C:V,6,FALSE)</f>
        <v>11.99679927935358</v>
      </c>
      <c r="H328" s="179">
        <f>VLOOKUP(B328,Tot_res!C:V,7,FALSE)</f>
        <v>31.908370031319656</v>
      </c>
      <c r="I328" s="179">
        <f>VLOOKUP(B328,Tot_res!C:V,8,FALSE)</f>
        <v>19.670919149264137</v>
      </c>
      <c r="J328" s="179">
        <f>VLOOKUP(B328,Tot_res!C:V,9,FALSE)</f>
        <v>49.38943697279413</v>
      </c>
      <c r="K328" s="179">
        <f>VLOOKUP(B328,Tot_res!C:V,10,FALSE)</f>
        <v>25.707427027186245</v>
      </c>
      <c r="L328" s="179">
        <f>VLOOKUP(B328,Tot_res!C:V,11,FALSE)</f>
        <v>158.24729988188864</v>
      </c>
      <c r="M328" s="179">
        <f>VLOOKUP(B328,Tot_res!C:V,12,FALSE)</f>
        <v>60.611923161026205</v>
      </c>
      <c r="N328" s="179">
        <f>VLOOKUP(B328,Tot_res!C:V,13,FALSE)</f>
        <v>13.187131052006325</v>
      </c>
      <c r="O328" s="179">
        <f>VLOOKUP(B328,Tot_res!C:V,14,FALSE)</f>
        <v>29.476333966402567</v>
      </c>
      <c r="P328" s="179">
        <f>VLOOKUP(B328,Tot_res!C:V,15,FALSE)</f>
        <v>398.37977490834834</v>
      </c>
      <c r="Q328" s="179">
        <f>VLOOKUP(B328,Tot_res!C:V,16,FALSE)</f>
        <v>66.584907017662715</v>
      </c>
      <c r="R328" s="179">
        <f>VLOOKUP(B328,Tot_res!C:V,17,FALSE)</f>
        <v>17.405017415355061</v>
      </c>
      <c r="S328" s="179">
        <f>VLOOKUP(B328,Tot_res!C:V,18,FALSE)</f>
        <v>45.206410712797826</v>
      </c>
      <c r="T328" s="179">
        <f>VLOOKUP(B328,Tot_res!C:V,19,FALSE)</f>
        <v>9.676941077827852</v>
      </c>
      <c r="U328" s="179">
        <f>VLOOKUP(B328,Tot_res!C:V,20,FALSE)</f>
        <v>3.8202794588279199</v>
      </c>
      <c r="V328" s="122">
        <f t="shared" si="59"/>
        <v>1114.3857648706153</v>
      </c>
    </row>
    <row r="329" spans="1:23" ht="25.5">
      <c r="A329" s="351" t="str">
        <f>IF(B329="","",(IF(ISERROR(MATCH(B329,Tot_res!C:C,0)),"Eliminar!!!","")))</f>
        <v/>
      </c>
      <c r="B329" s="119" t="s">
        <v>644</v>
      </c>
      <c r="C329" s="330" t="str">
        <f>VLOOKUP(B329,Tot_res!C:D,2,FALSE)</f>
        <v xml:space="preserve">Deporte en edad escolar y en la universidad, neto del gasto directo del Estado en Ceuta y Melilla  </v>
      </c>
      <c r="D329" s="179">
        <f>VLOOKUP(B329,Tot_res!C:V,3,FALSE)</f>
        <v>362.33507910284067</v>
      </c>
      <c r="E329" s="179">
        <f>VLOOKUP(B329,Tot_res!C:V,4,FALSE)</f>
        <v>99.055034765676623</v>
      </c>
      <c r="F329" s="179">
        <f>VLOOKUP(B329,Tot_res!C:V,5,FALSE)</f>
        <v>145.36737139593427</v>
      </c>
      <c r="G329" s="179">
        <f>VLOOKUP(B329,Tot_res!C:V,6,FALSE)</f>
        <v>31.009318645925998</v>
      </c>
      <c r="H329" s="179">
        <f>VLOOKUP(B329,Tot_res!C:V,7,FALSE)</f>
        <v>66.967754019285593</v>
      </c>
      <c r="I329" s="179">
        <f>VLOOKUP(B329,Tot_res!C:V,8,FALSE)</f>
        <v>47.533947180651111</v>
      </c>
      <c r="J329" s="179">
        <f>VLOOKUP(B329,Tot_res!C:V,9,FALSE)</f>
        <v>181.57104239928344</v>
      </c>
      <c r="K329" s="179">
        <f>VLOOKUP(B329,Tot_res!C:V,10,FALSE)</f>
        <v>69.795414589169553</v>
      </c>
      <c r="L329" s="179">
        <f>VLOOKUP(B329,Tot_res!C:V,11,FALSE)</f>
        <v>265.74740016942832</v>
      </c>
      <c r="M329" s="179">
        <f>VLOOKUP(B329,Tot_res!C:V,12,FALSE)</f>
        <v>200.63895856079341</v>
      </c>
      <c r="N329" s="179">
        <f>VLOOKUP(B329,Tot_res!C:V,13,FALSE)</f>
        <v>122.07684037009329</v>
      </c>
      <c r="O329" s="179">
        <f>VLOOKUP(B329,Tot_res!C:V,14,FALSE)</f>
        <v>99.165735728937506</v>
      </c>
      <c r="P329" s="179">
        <f>VLOOKUP(B329,Tot_res!C:V,15,FALSE)</f>
        <v>320.87333402069419</v>
      </c>
      <c r="Q329" s="179">
        <f>VLOOKUP(B329,Tot_res!C:V,16,FALSE)</f>
        <v>130.47692163079083</v>
      </c>
      <c r="R329" s="179">
        <f>VLOOKUP(B329,Tot_res!C:V,17,FALSE)</f>
        <v>19.664206509844657</v>
      </c>
      <c r="S329" s="179">
        <f>VLOOKUP(B329,Tot_res!C:V,18,FALSE)</f>
        <v>78.044417392841524</v>
      </c>
      <c r="T329" s="179">
        <f>VLOOKUP(B329,Tot_res!C:V,19,FALSE)</f>
        <v>9.6134624328934226</v>
      </c>
      <c r="U329" s="179">
        <f>VLOOKUP(B329,Tot_res!C:V,20,FALSE)</f>
        <v>6.8599810849158915</v>
      </c>
      <c r="V329" s="122">
        <f t="shared" si="59"/>
        <v>2256.7962200000006</v>
      </c>
    </row>
    <row r="330" spans="1:23" ht="25.5">
      <c r="A330" s="351" t="str">
        <f>IF(B330="","",(IF(ISERROR(MATCH(B330,Tot_res!C:C,0)),"Eliminar!!!","")))</f>
        <v/>
      </c>
      <c r="B330" s="102" t="s">
        <v>645</v>
      </c>
      <c r="C330" s="330" t="str">
        <f>VLOOKUP(B330,Tot_res!C:D,2,FALSE)</f>
        <v xml:space="preserve">Otras enseñanzas y actividades educativas, neto del gasto directo del Estado en Ceuta y Melilla  </v>
      </c>
      <c r="D330" s="179">
        <f>VLOOKUP(B330,Tot_res!C:V,3,FALSE)</f>
        <v>2785.1284769382119</v>
      </c>
      <c r="E330" s="179">
        <f>VLOOKUP(B330,Tot_res!C:V,4,FALSE)</f>
        <v>531.94104177911504</v>
      </c>
      <c r="F330" s="179">
        <f>VLOOKUP(B330,Tot_res!C:V,5,FALSE)</f>
        <v>214.23980208453327</v>
      </c>
      <c r="G330" s="179">
        <f>VLOOKUP(B330,Tot_res!C:V,6,FALSE)</f>
        <v>362.35259236104184</v>
      </c>
      <c r="H330" s="179">
        <f>VLOOKUP(B330,Tot_res!C:V,7,FALSE)</f>
        <v>3312.0073456723976</v>
      </c>
      <c r="I330" s="179">
        <f>VLOOKUP(B330,Tot_res!C:V,8,FALSE)</f>
        <v>186.02689530546328</v>
      </c>
      <c r="J330" s="179">
        <f>VLOOKUP(B330,Tot_res!C:V,9,FALSE)</f>
        <v>927.19290719832566</v>
      </c>
      <c r="K330" s="179">
        <f>VLOOKUP(B330,Tot_res!C:V,10,FALSE)</f>
        <v>661.90729589470379</v>
      </c>
      <c r="L330" s="179">
        <f>VLOOKUP(B330,Tot_res!C:V,11,FALSE)</f>
        <v>2160.3622348156255</v>
      </c>
      <c r="M330" s="179">
        <f>VLOOKUP(B330,Tot_res!C:V,12,FALSE)</f>
        <v>1495.6198903395766</v>
      </c>
      <c r="N330" s="179">
        <f>VLOOKUP(B330,Tot_res!C:V,13,FALSE)</f>
        <v>293.59091576491528</v>
      </c>
      <c r="O330" s="179">
        <f>VLOOKUP(B330,Tot_res!C:V,14,FALSE)</f>
        <v>674.03358279607994</v>
      </c>
      <c r="P330" s="179">
        <f>VLOOKUP(B330,Tot_res!C:V,15,FALSE)</f>
        <v>3609.4934924539662</v>
      </c>
      <c r="Q330" s="179">
        <f>VLOOKUP(B330,Tot_res!C:V,16,FALSE)</f>
        <v>415.20318628308371</v>
      </c>
      <c r="R330" s="179">
        <f>VLOOKUP(B330,Tot_res!C:V,17,FALSE)</f>
        <v>150.2423781963175</v>
      </c>
      <c r="S330" s="179">
        <f>VLOOKUP(B330,Tot_res!C:V,18,FALSE)</f>
        <v>1281.6857648470734</v>
      </c>
      <c r="T330" s="179">
        <f>VLOOKUP(B330,Tot_res!C:V,19,FALSE)</f>
        <v>119.99987106985803</v>
      </c>
      <c r="U330" s="179">
        <f>VLOOKUP(B330,Tot_res!C:V,20,FALSE)</f>
        <v>47.805046199707313</v>
      </c>
      <c r="V330" s="122">
        <f t="shared" si="59"/>
        <v>19228.832719999995</v>
      </c>
    </row>
    <row r="331" spans="1:23" ht="25.5">
      <c r="A331" s="351" t="str">
        <f>IF(B331="","",(IF(ISERROR(MATCH(B331,Tot_res!C:C,0)),"Eliminar!!!","")))</f>
        <v/>
      </c>
      <c r="B331" s="115" t="s">
        <v>646</v>
      </c>
      <c r="C331" s="330" t="str">
        <f>VLOOKUP(B331,Tot_res!C:D,2,FALSE)</f>
        <v xml:space="preserve">Servicios complementarios de la enseñanza, neto del gasto directo del Estado en Ceuta y Melilla  </v>
      </c>
      <c r="D331" s="179">
        <f>VLOOKUP(B331,Tot_res!C:V,3,FALSE)</f>
        <v>1160.6612819051893</v>
      </c>
      <c r="E331" s="179">
        <f>VLOOKUP(B331,Tot_res!C:V,4,FALSE)</f>
        <v>165.91119972456704</v>
      </c>
      <c r="F331" s="179">
        <f>VLOOKUP(B331,Tot_res!C:V,5,FALSE)</f>
        <v>119.57795399554379</v>
      </c>
      <c r="G331" s="179">
        <f>VLOOKUP(B331,Tot_res!C:V,6,FALSE)</f>
        <v>122.35009325107703</v>
      </c>
      <c r="H331" s="179">
        <f>VLOOKUP(B331,Tot_res!C:V,7,FALSE)</f>
        <v>291.53830476275022</v>
      </c>
      <c r="I331" s="179">
        <f>VLOOKUP(B331,Tot_res!C:V,8,FALSE)</f>
        <v>72.957096629372501</v>
      </c>
      <c r="J331" s="179">
        <f>VLOOKUP(B331,Tot_res!C:V,9,FALSE)</f>
        <v>315.86921206368254</v>
      </c>
      <c r="K331" s="179">
        <f>VLOOKUP(B331,Tot_res!C:V,10,FALSE)</f>
        <v>285.25951256714717</v>
      </c>
      <c r="L331" s="179">
        <f>VLOOKUP(B331,Tot_res!C:V,11,FALSE)</f>
        <v>935.90699926377954</v>
      </c>
      <c r="M331" s="179">
        <f>VLOOKUP(B331,Tot_res!C:V,12,FALSE)</f>
        <v>649.82307621747805</v>
      </c>
      <c r="N331" s="179">
        <f>VLOOKUP(B331,Tot_res!C:V,13,FALSE)</f>
        <v>154.9955219348243</v>
      </c>
      <c r="O331" s="179">
        <f>VLOOKUP(B331,Tot_res!C:V,14,FALSE)</f>
        <v>335.73723823354754</v>
      </c>
      <c r="P331" s="179">
        <f>VLOOKUP(B331,Tot_res!C:V,15,FALSE)</f>
        <v>851.50040266646829</v>
      </c>
      <c r="Q331" s="179">
        <f>VLOOKUP(B331,Tot_res!C:V,16,FALSE)</f>
        <v>214.39589458885078</v>
      </c>
      <c r="R331" s="179">
        <f>VLOOKUP(B331,Tot_res!C:V,17,FALSE)</f>
        <v>81.355783211786274</v>
      </c>
      <c r="S331" s="179">
        <f>VLOOKUP(B331,Tot_res!C:V,18,FALSE)</f>
        <v>271.94479916707161</v>
      </c>
      <c r="T331" s="179">
        <f>VLOOKUP(B331,Tot_res!C:V,19,FALSE)</f>
        <v>39.944212659452631</v>
      </c>
      <c r="U331" s="179">
        <f>VLOOKUP(B331,Tot_res!C:V,20,FALSE)</f>
        <v>26.955577157410858</v>
      </c>
      <c r="V331" s="122">
        <f t="shared" si="59"/>
        <v>6096.684159999998</v>
      </c>
      <c r="W331" s="104"/>
    </row>
    <row r="332" spans="1:23">
      <c r="A332" s="351" t="str">
        <f>IF(B332="","",(IF(ISERROR(MATCH(B332,Tot_res!C:C,0)),"Eliminar!!!","")))</f>
        <v/>
      </c>
      <c r="B332" s="115" t="s">
        <v>647</v>
      </c>
      <c r="C332" s="330" t="str">
        <f>VLOOKUP(B332,Tot_res!C:D,2,FALSE)</f>
        <v>Formación del personal de las administraciones públicas + AF12/3</v>
      </c>
      <c r="D332" s="179">
        <f>VLOOKUP(B332,Tot_res!C:V,3,FALSE)</f>
        <v>7957.8610694339986</v>
      </c>
      <c r="E332" s="179">
        <f>VLOOKUP(B332,Tot_res!C:V,4,FALSE)</f>
        <v>1337.4114369891136</v>
      </c>
      <c r="F332" s="179">
        <f>VLOOKUP(B332,Tot_res!C:V,5,FALSE)</f>
        <v>1003.8664584062701</v>
      </c>
      <c r="G332" s="179">
        <f>VLOOKUP(B332,Tot_res!C:V,6,FALSE)</f>
        <v>947.21991672635636</v>
      </c>
      <c r="H332" s="179">
        <f>VLOOKUP(B332,Tot_res!C:V,7,FALSE)</f>
        <v>2018.9095335721943</v>
      </c>
      <c r="I332" s="179">
        <f>VLOOKUP(B332,Tot_res!C:V,8,FALSE)</f>
        <v>561.96300938325351</v>
      </c>
      <c r="J332" s="179">
        <f>VLOOKUP(B332,Tot_res!C:V,9,FALSE)</f>
        <v>2550.4216083786373</v>
      </c>
      <c r="K332" s="179">
        <f>VLOOKUP(B332,Tot_res!C:V,10,FALSE)</f>
        <v>2103.9885697496202</v>
      </c>
      <c r="L332" s="179">
        <f>VLOOKUP(B332,Tot_res!C:V,11,FALSE)</f>
        <v>6120.0628184352872</v>
      </c>
      <c r="M332" s="179">
        <f>VLOOKUP(B332,Tot_res!C:V,12,FALSE)</f>
        <v>4358.5970647393697</v>
      </c>
      <c r="N332" s="179">
        <f>VLOOKUP(B332,Tot_res!C:V,13,FALSE)</f>
        <v>1425.1919192995556</v>
      </c>
      <c r="O332" s="179">
        <f>VLOOKUP(B332,Tot_res!C:V,14,FALSE)</f>
        <v>2788.9962593530663</v>
      </c>
      <c r="P332" s="179">
        <f>VLOOKUP(B332,Tot_res!C:V,15,FALSE)</f>
        <v>5275.9198184100942</v>
      </c>
      <c r="Q332" s="179">
        <f>VLOOKUP(B332,Tot_res!C:V,16,FALSE)</f>
        <v>1371.0634033952904</v>
      </c>
      <c r="R332" s="179">
        <f>VLOOKUP(B332,Tot_res!C:V,17,FALSE)</f>
        <v>606.31171011295771</v>
      </c>
      <c r="S332" s="179">
        <f>VLOOKUP(B332,Tot_res!C:V,18,FALSE)</f>
        <v>2006.5944961636064</v>
      </c>
      <c r="T332" s="179">
        <f>VLOOKUP(B332,Tot_res!C:V,19,FALSE)</f>
        <v>279.42051551816513</v>
      </c>
      <c r="U332" s="179">
        <f>VLOOKUP(B332,Tot_res!C:V,20,FALSE)</f>
        <v>90.445506072758263</v>
      </c>
      <c r="V332" s="122">
        <f t="shared" si="59"/>
        <v>42804.245114139594</v>
      </c>
    </row>
    <row r="333" spans="1:23">
      <c r="A333" s="351" t="str">
        <f>IF(B333="","",(IF(ISERROR(MATCH(B333,Tot_res!C:C,0)),"Eliminar!!!","")))</f>
        <v/>
      </c>
      <c r="B333" s="115" t="s">
        <v>311</v>
      </c>
      <c r="C333" s="330" t="str">
        <f>VLOOKUP(B333,Tot_res!C:D,2,FALSE)</f>
        <v>Profesores de religión</v>
      </c>
      <c r="D333" s="179">
        <f>VLOOKUP(B333,Tot_res!C:V,3,FALSE)</f>
        <v>0</v>
      </c>
      <c r="E333" s="179">
        <f>VLOOKUP(B333,Tot_res!C:V,4,FALSE)</f>
        <v>0</v>
      </c>
      <c r="F333" s="179">
        <f>VLOOKUP(B333,Tot_res!C:V,5,FALSE)</f>
        <v>7356.6802117121142</v>
      </c>
      <c r="G333" s="179">
        <f>VLOOKUP(B333,Tot_res!C:V,6,FALSE)</f>
        <v>3684.2141138482893</v>
      </c>
      <c r="H333" s="179">
        <f>VLOOKUP(B333,Tot_res!C:V,7,FALSE)</f>
        <v>0</v>
      </c>
      <c r="I333" s="179">
        <f>VLOOKUP(B333,Tot_res!C:V,8,FALSE)</f>
        <v>0</v>
      </c>
      <c r="J333" s="179">
        <f>VLOOKUP(B333,Tot_res!C:V,9,FALSE)</f>
        <v>12222.661028389603</v>
      </c>
      <c r="K333" s="179">
        <f>VLOOKUP(B333,Tot_res!C:V,10,FALSE)</f>
        <v>11549.118572377529</v>
      </c>
      <c r="L333" s="179">
        <f>VLOOKUP(B333,Tot_res!C:V,11,FALSE)</f>
        <v>17439.074670059901</v>
      </c>
      <c r="M333" s="179">
        <f>VLOOKUP(B333,Tot_res!C:V,12,FALSE)</f>
        <v>28351.86362032621</v>
      </c>
      <c r="N333" s="179">
        <f>VLOOKUP(B333,Tot_res!C:V,13,FALSE)</f>
        <v>7307.8716012882742</v>
      </c>
      <c r="O333" s="179">
        <f>VLOOKUP(B333,Tot_res!C:V,14,FALSE)</f>
        <v>15070.502541349415</v>
      </c>
      <c r="P333" s="179">
        <f>VLOOKUP(B333,Tot_res!C:V,15,FALSE)</f>
        <v>33973.501063287411</v>
      </c>
      <c r="Q333" s="179">
        <f>VLOOKUP(B333,Tot_res!C:V,16,FALSE)</f>
        <v>14932.675940955798</v>
      </c>
      <c r="R333" s="179">
        <f>VLOOKUP(B333,Tot_res!C:V,17,FALSE)</f>
        <v>0</v>
      </c>
      <c r="S333" s="179">
        <f>VLOOKUP(B333,Tot_res!C:V,18,FALSE)</f>
        <v>0</v>
      </c>
      <c r="T333" s="179">
        <f>VLOOKUP(B333,Tot_res!C:V,19,FALSE)</f>
        <v>1420.7239020001659</v>
      </c>
      <c r="U333" s="179">
        <f>VLOOKUP(B333,Tot_res!C:V,20,FALSE)</f>
        <v>0</v>
      </c>
      <c r="V333" s="122">
        <f t="shared" si="59"/>
        <v>153308.88726559471</v>
      </c>
    </row>
    <row r="334" spans="1:23">
      <c r="A334" s="352"/>
      <c r="B334" s="115"/>
      <c r="C334"/>
    </row>
    <row r="335" spans="1:23" ht="13.5">
      <c r="A335" s="352"/>
      <c r="B335" s="115"/>
      <c r="C335" s="117" t="s">
        <v>76</v>
      </c>
      <c r="D335" s="114">
        <f t="shared" ref="D335:V335" si="60">SUM(D336:D353)</f>
        <v>2098200.098045852</v>
      </c>
      <c r="E335" s="114">
        <f t="shared" si="60"/>
        <v>372997.97909971041</v>
      </c>
      <c r="F335" s="114">
        <f t="shared" si="60"/>
        <v>283108.46217847348</v>
      </c>
      <c r="G335" s="114">
        <f t="shared" si="60"/>
        <v>304635.7729262964</v>
      </c>
      <c r="H335" s="114">
        <f t="shared" si="60"/>
        <v>552298.38342226925</v>
      </c>
      <c r="I335" s="114">
        <f t="shared" si="60"/>
        <v>148322.08378832845</v>
      </c>
      <c r="J335" s="114">
        <f t="shared" si="60"/>
        <v>766165.68057589955</v>
      </c>
      <c r="K335" s="114">
        <f t="shared" si="60"/>
        <v>501287.01015147666</v>
      </c>
      <c r="L335" s="114">
        <f t="shared" si="60"/>
        <v>2416194.0656066877</v>
      </c>
      <c r="M335" s="114">
        <f t="shared" si="60"/>
        <v>1129747.1537288891</v>
      </c>
      <c r="N335" s="114">
        <f t="shared" si="60"/>
        <v>283495.84020484058</v>
      </c>
      <c r="O335" s="114">
        <f t="shared" si="60"/>
        <v>666681.53951917298</v>
      </c>
      <c r="P335" s="114">
        <f t="shared" si="60"/>
        <v>1712994.987532489</v>
      </c>
      <c r="Q335" s="114">
        <f t="shared" si="60"/>
        <v>327832.5641817968</v>
      </c>
      <c r="R335" s="114">
        <f t="shared" si="60"/>
        <v>223699.07153102892</v>
      </c>
      <c r="S335" s="114">
        <f t="shared" si="60"/>
        <v>862712.62070701551</v>
      </c>
      <c r="T335" s="114">
        <f t="shared" si="60"/>
        <v>118650.21261670969</v>
      </c>
      <c r="U335" s="114">
        <f t="shared" si="60"/>
        <v>114429.70045514607</v>
      </c>
      <c r="V335" s="126">
        <f t="shared" si="60"/>
        <v>12883453.226272082</v>
      </c>
    </row>
    <row r="336" spans="1:23">
      <c r="A336" s="351" t="str">
        <f>IF(B336="","",(IF(ISERROR(MATCH(B336,Tot_res!C:C,0)),"Eliminar!!!","")))</f>
        <v/>
      </c>
      <c r="B336" s="115" t="s">
        <v>313</v>
      </c>
      <c r="C336" s="330" t="str">
        <f>VLOOKUP(B336,Tot_res!C:D,2,FALSE)</f>
        <v>Dirección y servicios generales de justicia</v>
      </c>
      <c r="D336" s="179">
        <f>VLOOKUP(B336,Tot_res!C:V,3,FALSE)</f>
        <v>8487.0750108493812</v>
      </c>
      <c r="E336" s="179">
        <f>VLOOKUP(B336,Tot_res!C:V,4,FALSE)</f>
        <v>1371.9868792059572</v>
      </c>
      <c r="F336" s="179">
        <f>VLOOKUP(B336,Tot_res!C:V,5,FALSE)</f>
        <v>1135.6857197061963</v>
      </c>
      <c r="G336" s="179">
        <f>VLOOKUP(B336,Tot_res!C:V,6,FALSE)</f>
        <v>1985.3722272098432</v>
      </c>
      <c r="H336" s="179">
        <f>VLOOKUP(B336,Tot_res!C:V,7,FALSE)</f>
        <v>2258.5460861725333</v>
      </c>
      <c r="I336" s="179">
        <f>VLOOKUP(B336,Tot_res!C:V,8,FALSE)</f>
        <v>619.72957507749925</v>
      </c>
      <c r="J336" s="179">
        <f>VLOOKUP(B336,Tot_res!C:V,9,FALSE)</f>
        <v>4424.372564230006</v>
      </c>
      <c r="K336" s="179">
        <f>VLOOKUP(B336,Tot_res!C:V,10,FALSE)</f>
        <v>3188.2047283155675</v>
      </c>
      <c r="L336" s="179">
        <f>VLOOKUP(B336,Tot_res!C:V,11,FALSE)</f>
        <v>7852.3579782073557</v>
      </c>
      <c r="M336" s="179">
        <f>VLOOKUP(B336,Tot_res!C:V,12,FALSE)</f>
        <v>5078.818569834486</v>
      </c>
      <c r="N336" s="179">
        <f>VLOOKUP(B336,Tot_res!C:V,13,FALSE)</f>
        <v>1771.2698842234986</v>
      </c>
      <c r="O336" s="179">
        <f>VLOOKUP(B336,Tot_res!C:V,14,FALSE)</f>
        <v>2879.2968082554121</v>
      </c>
      <c r="P336" s="179">
        <f>VLOOKUP(B336,Tot_res!C:V,15,FALSE)</f>
        <v>7001.0838745897972</v>
      </c>
      <c r="Q336" s="179">
        <f>VLOOKUP(B336,Tot_res!C:V,16,FALSE)</f>
        <v>2389.0592864490527</v>
      </c>
      <c r="R336" s="179">
        <f>VLOOKUP(B336,Tot_res!C:V,17,FALSE)</f>
        <v>647.10756908870235</v>
      </c>
      <c r="S336" s="179">
        <f>VLOOKUP(B336,Tot_res!C:V,18,FALSE)</f>
        <v>2280.4260324150846</v>
      </c>
      <c r="T336" s="179">
        <f>VLOOKUP(B336,Tot_res!C:V,19,FALSE)</f>
        <v>565.71241897028949</v>
      </c>
      <c r="U336" s="179">
        <f>VLOOKUP(B336,Tot_res!C:V,20,FALSE)</f>
        <v>252.32512719934397</v>
      </c>
      <c r="V336" s="122">
        <f t="shared" ref="V336:V353" si="61">SUM(D336:U336)</f>
        <v>54188.430340000006</v>
      </c>
    </row>
    <row r="337" spans="1:22">
      <c r="A337" s="351" t="str">
        <f>IF(B337="","",(IF(ISERROR(MATCH(B337,Tot_res!C:C,0)),"Eliminar!!!","")))</f>
        <v/>
      </c>
      <c r="B337" s="115" t="s">
        <v>314</v>
      </c>
      <c r="C337" s="330" t="str">
        <f>VLOOKUP(B337,Tot_res!C:D,2,FALSE)</f>
        <v>Formación del personal de la administración de justicia</v>
      </c>
      <c r="D337" s="179">
        <f>VLOOKUP(B337,Tot_res!C:V,3,FALSE)</f>
        <v>783.01694467847096</v>
      </c>
      <c r="E337" s="179">
        <f>VLOOKUP(B337,Tot_res!C:V,4,FALSE)</f>
        <v>138.440145537831</v>
      </c>
      <c r="F337" s="179">
        <f>VLOOKUP(B337,Tot_res!C:V,5,FALSE)</f>
        <v>124.62157443158927</v>
      </c>
      <c r="G337" s="179">
        <f>VLOOKUP(B337,Tot_res!C:V,6,FALSE)</f>
        <v>123.61022996197075</v>
      </c>
      <c r="H337" s="179">
        <f>VLOOKUP(B337,Tot_res!C:V,7,FALSE)</f>
        <v>232.94684131509933</v>
      </c>
      <c r="I337" s="179">
        <f>VLOOKUP(B337,Tot_res!C:V,8,FALSE)</f>
        <v>66.58836851220876</v>
      </c>
      <c r="J337" s="179">
        <f>VLOOKUP(B337,Tot_res!C:V,9,FALSE)</f>
        <v>277.62781337793592</v>
      </c>
      <c r="K337" s="179">
        <f>VLOOKUP(B337,Tot_res!C:V,10,FALSE)</f>
        <v>187.34641783439864</v>
      </c>
      <c r="L337" s="179">
        <f>VLOOKUP(B337,Tot_res!C:V,11,FALSE)</f>
        <v>783.10911894152059</v>
      </c>
      <c r="M337" s="179">
        <f>VLOOKUP(B337,Tot_res!C:V,12,FALSE)</f>
        <v>491.36160796759339</v>
      </c>
      <c r="N337" s="179">
        <f>VLOOKUP(B337,Tot_res!C:V,13,FALSE)</f>
        <v>104.84590707288287</v>
      </c>
      <c r="O337" s="179">
        <f>VLOOKUP(B337,Tot_res!C:V,14,FALSE)</f>
        <v>296.39206258093611</v>
      </c>
      <c r="P337" s="179">
        <f>VLOOKUP(B337,Tot_res!C:V,15,FALSE)</f>
        <v>708.66106826995144</v>
      </c>
      <c r="Q337" s="179">
        <f>VLOOKUP(B337,Tot_res!C:V,16,FALSE)</f>
        <v>146.36960038936965</v>
      </c>
      <c r="R337" s="179">
        <f>VLOOKUP(B337,Tot_res!C:V,17,FALSE)</f>
        <v>63.180776924247809</v>
      </c>
      <c r="S337" s="179">
        <f>VLOOKUP(B337,Tot_res!C:V,18,FALSE)</f>
        <v>229.9504068989242</v>
      </c>
      <c r="T337" s="179">
        <f>VLOOKUP(B337,Tot_res!C:V,19,FALSE)</f>
        <v>35.156180120372412</v>
      </c>
      <c r="U337" s="179">
        <f>VLOOKUP(B337,Tot_res!C:V,20,FALSE)</f>
        <v>42.240875184697074</v>
      </c>
      <c r="V337" s="122">
        <f t="shared" si="61"/>
        <v>4835.4659399999991</v>
      </c>
    </row>
    <row r="338" spans="1:22">
      <c r="A338" s="351" t="str">
        <f>IF(B338="","",(IF(ISERROR(MATCH(B338,Tot_res!C:C,0)),"Eliminar!!!","")))</f>
        <v/>
      </c>
      <c r="B338" s="115" t="s">
        <v>315</v>
      </c>
      <c r="C338" s="330" t="str">
        <f>VLOOKUP(B338,Tot_res!C:D,2,FALSE)</f>
        <v>Formación de la carrera fiscal</v>
      </c>
      <c r="D338" s="179">
        <f>VLOOKUP(B338,Tot_res!C:V,3,FALSE)</f>
        <v>247.50887123764005</v>
      </c>
      <c r="E338" s="179">
        <f>VLOOKUP(B338,Tot_res!C:V,4,FALSE)</f>
        <v>38.227056124839557</v>
      </c>
      <c r="F338" s="179">
        <f>VLOOKUP(B338,Tot_res!C:V,5,FALSE)</f>
        <v>30.318122642602052</v>
      </c>
      <c r="G338" s="179">
        <f>VLOOKUP(B338,Tot_res!C:V,6,FALSE)</f>
        <v>35.112166050553547</v>
      </c>
      <c r="H338" s="179">
        <f>VLOOKUP(B338,Tot_res!C:V,7,FALSE)</f>
        <v>68.502965628874179</v>
      </c>
      <c r="I338" s="179">
        <f>VLOOKUP(B338,Tot_res!C:V,8,FALSE)</f>
        <v>17.041523468226785</v>
      </c>
      <c r="J338" s="179">
        <f>VLOOKUP(B338,Tot_res!C:V,9,FALSE)</f>
        <v>76.055816342574502</v>
      </c>
      <c r="K338" s="179">
        <f>VLOOKUP(B338,Tot_res!C:V,10,FALSE)</f>
        <v>51.603047283747053</v>
      </c>
      <c r="L338" s="179">
        <f>VLOOKUP(B338,Tot_res!C:V,11,FALSE)</f>
        <v>234.04418038057068</v>
      </c>
      <c r="M338" s="179">
        <f>VLOOKUP(B338,Tot_res!C:V,12,FALSE)</f>
        <v>147.47815648417722</v>
      </c>
      <c r="N338" s="179">
        <f>VLOOKUP(B338,Tot_res!C:V,13,FALSE)</f>
        <v>32.301063944675597</v>
      </c>
      <c r="O338" s="179">
        <f>VLOOKUP(B338,Tot_res!C:V,14,FALSE)</f>
        <v>84.913727565623091</v>
      </c>
      <c r="P338" s="179">
        <f>VLOOKUP(B338,Tot_res!C:V,15,FALSE)</f>
        <v>192.85229608250714</v>
      </c>
      <c r="Q338" s="179">
        <f>VLOOKUP(B338,Tot_res!C:V,16,FALSE)</f>
        <v>37.207971230991724</v>
      </c>
      <c r="R338" s="179">
        <f>VLOOKUP(B338,Tot_res!C:V,17,FALSE)</f>
        <v>15.437441465110259</v>
      </c>
      <c r="S338" s="179">
        <f>VLOOKUP(B338,Tot_res!C:V,18,FALSE)</f>
        <v>62.928357325488534</v>
      </c>
      <c r="T338" s="179">
        <f>VLOOKUP(B338,Tot_res!C:V,19,FALSE)</f>
        <v>8.5307025322831578</v>
      </c>
      <c r="U338" s="179">
        <f>VLOOKUP(B338,Tot_res!C:V,20,FALSE)</f>
        <v>3.0617642095148554</v>
      </c>
      <c r="V338" s="122">
        <f t="shared" si="61"/>
        <v>1383.1252299999999</v>
      </c>
    </row>
    <row r="339" spans="1:22">
      <c r="A339" s="351" t="str">
        <f>IF(B339="","",(IF(ISERROR(MATCH(B339,Tot_res!C:C,0)),"Eliminar!!!","")))</f>
        <v/>
      </c>
      <c r="B339" s="115" t="s">
        <v>317</v>
      </c>
      <c r="C339" s="330" t="str">
        <f>VLOOKUP(B339,Tot_res!C:D,2,FALSE)</f>
        <v>Tribunales de justicia y ministerio fiscal</v>
      </c>
      <c r="D339" s="179">
        <f>VLOOKUP(B339,Tot_res!C:V,3,FALSE)</f>
        <v>186206.15940712171</v>
      </c>
      <c r="E339" s="179">
        <f>VLOOKUP(B339,Tot_res!C:V,4,FALSE)</f>
        <v>31280.335256438866</v>
      </c>
      <c r="F339" s="179">
        <f>VLOOKUP(B339,Tot_res!C:V,5,FALSE)</f>
        <v>27108.938376061058</v>
      </c>
      <c r="G339" s="179">
        <f>VLOOKUP(B339,Tot_res!C:V,6,FALSE)</f>
        <v>71770.982780993567</v>
      </c>
      <c r="H339" s="179">
        <f>VLOOKUP(B339,Tot_res!C:V,7,FALSE)</f>
        <v>53869.20613681239</v>
      </c>
      <c r="I339" s="179">
        <f>VLOOKUP(B339,Tot_res!C:V,8,FALSE)</f>
        <v>14454.143533857805</v>
      </c>
      <c r="J339" s="179">
        <f>VLOOKUP(B339,Tot_res!C:V,9,FALSE)</f>
        <v>159180.80368682419</v>
      </c>
      <c r="K339" s="179">
        <f>VLOOKUP(B339,Tot_res!C:V,10,FALSE)</f>
        <v>105597.28259057876</v>
      </c>
      <c r="L339" s="179">
        <f>VLOOKUP(B339,Tot_res!C:V,11,FALSE)</f>
        <v>180673.77799651644</v>
      </c>
      <c r="M339" s="179">
        <f>VLOOKUP(B339,Tot_res!C:V,12,FALSE)</f>
        <v>112528.88921318097</v>
      </c>
      <c r="N339" s="179">
        <f>VLOOKUP(B339,Tot_res!C:V,13,FALSE)</f>
        <v>60396.811872921491</v>
      </c>
      <c r="O339" s="179">
        <f>VLOOKUP(B339,Tot_res!C:V,14,FALSE)</f>
        <v>66715.433390496051</v>
      </c>
      <c r="P339" s="179">
        <f>VLOOKUP(B339,Tot_res!C:V,15,FALSE)</f>
        <v>169364.20256376133</v>
      </c>
      <c r="Q339" s="179">
        <f>VLOOKUP(B339,Tot_res!C:V,16,FALSE)</f>
        <v>81843.743024294308</v>
      </c>
      <c r="R339" s="179">
        <f>VLOOKUP(B339,Tot_res!C:V,17,FALSE)</f>
        <v>14193.778323365303</v>
      </c>
      <c r="S339" s="179">
        <f>VLOOKUP(B339,Tot_res!C:V,18,FALSE)</f>
        <v>52240.523639967418</v>
      </c>
      <c r="T339" s="179">
        <f>VLOOKUP(B339,Tot_res!C:V,19,FALSE)</f>
        <v>20338.809983830852</v>
      </c>
      <c r="U339" s="179">
        <f>VLOOKUP(B339,Tot_res!C:V,20,FALSE)</f>
        <v>8137.568862977485</v>
      </c>
      <c r="V339" s="122">
        <f t="shared" si="61"/>
        <v>1415901.3906400001</v>
      </c>
    </row>
    <row r="340" spans="1:22">
      <c r="A340" s="351" t="str">
        <f>IF(B340="","",(IF(ISERROR(MATCH(B340,Tot_res!C:C,0)),"Eliminar!!!","")))</f>
        <v/>
      </c>
      <c r="B340" s="115" t="s">
        <v>318</v>
      </c>
      <c r="C340" s="330" t="str">
        <f>VLOOKUP(B340,Tot_res!C:D,2,FALSE)</f>
        <v>Dirección y serv. grales. seguridad y protecc. civil</v>
      </c>
      <c r="D340" s="179">
        <f>VLOOKUP(B340,Tot_res!C:V,3,FALSE)</f>
        <v>21097.271041000688</v>
      </c>
      <c r="E340" s="179">
        <f>VLOOKUP(B340,Tot_res!C:V,4,FALSE)</f>
        <v>3409.4964258039136</v>
      </c>
      <c r="F340" s="179">
        <f>VLOOKUP(B340,Tot_res!C:V,5,FALSE)</f>
        <v>2648.0783266204903</v>
      </c>
      <c r="G340" s="179">
        <f>VLOOKUP(B340,Tot_res!C:V,6,FALSE)</f>
        <v>2776.8601455726271</v>
      </c>
      <c r="H340" s="179">
        <f>VLOOKUP(B340,Tot_res!C:V,7,FALSE)</f>
        <v>5308.7620873383385</v>
      </c>
      <c r="I340" s="179">
        <f>VLOOKUP(B340,Tot_res!C:V,8,FALSE)</f>
        <v>1452.5923187970784</v>
      </c>
      <c r="J340" s="179">
        <f>VLOOKUP(B340,Tot_res!C:V,9,FALSE)</f>
        <v>6479.9547349209452</v>
      </c>
      <c r="K340" s="179">
        <f>VLOOKUP(B340,Tot_res!C:V,10,FALSE)</f>
        <v>5108.6168569995616</v>
      </c>
      <c r="L340" s="179">
        <f>VLOOKUP(B340,Tot_res!C:V,11,FALSE)</f>
        <v>16977.173353159975</v>
      </c>
      <c r="M340" s="179">
        <f>VLOOKUP(B340,Tot_res!C:V,12,FALSE)</f>
        <v>12224.051405578251</v>
      </c>
      <c r="N340" s="179">
        <f>VLOOKUP(B340,Tot_res!C:V,13,FALSE)</f>
        <v>2787.3426110265691</v>
      </c>
      <c r="O340" s="179">
        <f>VLOOKUP(B340,Tot_res!C:V,14,FALSE)</f>
        <v>6835.3593395485714</v>
      </c>
      <c r="P340" s="179">
        <f>VLOOKUP(B340,Tot_res!C:V,15,FALSE)</f>
        <v>16437.871308468646</v>
      </c>
      <c r="Q340" s="179">
        <f>VLOOKUP(B340,Tot_res!C:V,16,FALSE)</f>
        <v>3544.0935420444439</v>
      </c>
      <c r="R340" s="179">
        <f>VLOOKUP(B340,Tot_res!C:V,17,FALSE)</f>
        <v>2932.933734125153</v>
      </c>
      <c r="S340" s="179">
        <f>VLOOKUP(B340,Tot_res!C:V,18,FALSE)</f>
        <v>5205.3722220556501</v>
      </c>
      <c r="T340" s="179">
        <f>VLOOKUP(B340,Tot_res!C:V,19,FALSE)</f>
        <v>848.58520935706201</v>
      </c>
      <c r="U340" s="179">
        <f>VLOOKUP(B340,Tot_res!C:V,20,FALSE)</f>
        <v>614.61640758203362</v>
      </c>
      <c r="V340" s="122">
        <f t="shared" si="61"/>
        <v>116689.03106999998</v>
      </c>
    </row>
    <row r="341" spans="1:22">
      <c r="A341" s="351" t="str">
        <f>IF(B341="","",(IF(ISERROR(MATCH(B341,Tot_res!C:C,0)),"Eliminar!!!","")))</f>
        <v/>
      </c>
      <c r="B341" s="115" t="s">
        <v>319</v>
      </c>
      <c r="C341" s="330" t="str">
        <f>VLOOKUP(B341,Tot_res!C:D,2,FALSE)</f>
        <v>Formac. fuerzas y cuerpos de segur. del estado</v>
      </c>
      <c r="D341" s="179">
        <f>VLOOKUP(B341,Tot_res!C:V,3,FALSE)</f>
        <v>13288.663133712593</v>
      </c>
      <c r="E341" s="179">
        <f>VLOOKUP(B341,Tot_res!C:V,4,FALSE)</f>
        <v>2510.1619782897487</v>
      </c>
      <c r="F341" s="179">
        <f>VLOOKUP(B341,Tot_res!C:V,5,FALSE)</f>
        <v>1748.8018925555443</v>
      </c>
      <c r="G341" s="179">
        <f>VLOOKUP(B341,Tot_res!C:V,6,FALSE)</f>
        <v>1907.4775096347164</v>
      </c>
      <c r="H341" s="179">
        <f>VLOOKUP(B341,Tot_res!C:V,7,FALSE)</f>
        <v>3623.4658514970884</v>
      </c>
      <c r="I341" s="179">
        <f>VLOOKUP(B341,Tot_res!C:V,8,FALSE)</f>
        <v>894.44551543069997</v>
      </c>
      <c r="J341" s="179">
        <f>VLOOKUP(B341,Tot_res!C:V,9,FALSE)</f>
        <v>4722.2391825656632</v>
      </c>
      <c r="K341" s="179">
        <f>VLOOKUP(B341,Tot_res!C:V,10,FALSE)</f>
        <v>3312.9704106437071</v>
      </c>
      <c r="L341" s="179">
        <f>VLOOKUP(B341,Tot_res!C:V,11,FALSE)</f>
        <v>6635.0924728889777</v>
      </c>
      <c r="M341" s="179">
        <f>VLOOKUP(B341,Tot_res!C:V,12,FALSE)</f>
        <v>7306.3772048142664</v>
      </c>
      <c r="N341" s="179">
        <f>VLOOKUP(B341,Tot_res!C:V,13,FALSE)</f>
        <v>1877.1130827672159</v>
      </c>
      <c r="O341" s="179">
        <f>VLOOKUP(B341,Tot_res!C:V,14,FALSE)</f>
        <v>4329.3049925786281</v>
      </c>
      <c r="P341" s="179">
        <f>VLOOKUP(B341,Tot_res!C:V,15,FALSE)</f>
        <v>11151.704505738742</v>
      </c>
      <c r="Q341" s="179">
        <f>VLOOKUP(B341,Tot_res!C:V,16,FALSE)</f>
        <v>1937.5325872708349</v>
      </c>
      <c r="R341" s="179">
        <f>VLOOKUP(B341,Tot_res!C:V,17,FALSE)</f>
        <v>1199.4281021921129</v>
      </c>
      <c r="S341" s="179">
        <f>VLOOKUP(B341,Tot_res!C:V,18,FALSE)</f>
        <v>2801.781042629716</v>
      </c>
      <c r="T341" s="179">
        <f>VLOOKUP(B341,Tot_res!C:V,19,FALSE)</f>
        <v>741.78561760938214</v>
      </c>
      <c r="U341" s="179">
        <f>VLOOKUP(B341,Tot_res!C:V,20,FALSE)</f>
        <v>865.50441718035654</v>
      </c>
      <c r="V341" s="122">
        <f t="shared" si="61"/>
        <v>70853.849499999997</v>
      </c>
    </row>
    <row r="342" spans="1:22">
      <c r="A342" s="351" t="str">
        <f>IF(B342="","",(IF(ISERROR(MATCH(B342,Tot_res!C:C,0)),"Eliminar!!!","")))</f>
        <v/>
      </c>
      <c r="B342" s="115" t="s">
        <v>320</v>
      </c>
      <c r="C342" s="330" t="str">
        <f>VLOOKUP(B342,Tot_res!C:D,2,FALSE)</f>
        <v>Fuerzas y cuerpos en reserva</v>
      </c>
      <c r="D342" s="179">
        <f>VLOOKUP(B342,Tot_res!C:V,3,FALSE)</f>
        <v>139485.63037140507</v>
      </c>
      <c r="E342" s="179">
        <f>VLOOKUP(B342,Tot_res!C:V,4,FALSE)</f>
        <v>15034.815224053862</v>
      </c>
      <c r="F342" s="179">
        <f>VLOOKUP(B342,Tot_res!C:V,5,FALSE)</f>
        <v>13491.612653699352</v>
      </c>
      <c r="G342" s="179">
        <f>VLOOKUP(B342,Tot_res!C:V,6,FALSE)</f>
        <v>8975.1751055954101</v>
      </c>
      <c r="H342" s="179">
        <f>VLOOKUP(B342,Tot_res!C:V,7,FALSE)</f>
        <v>24662.353239376407</v>
      </c>
      <c r="I342" s="179">
        <f>VLOOKUP(B342,Tot_res!C:V,8,FALSE)</f>
        <v>7080.0383674536706</v>
      </c>
      <c r="J342" s="179">
        <f>VLOOKUP(B342,Tot_res!C:V,9,FALSE)</f>
        <v>31076.076080676208</v>
      </c>
      <c r="K342" s="179">
        <f>VLOOKUP(B342,Tot_res!C:V,10,FALSE)</f>
        <v>17951.149161143683</v>
      </c>
      <c r="L342" s="179">
        <f>VLOOKUP(B342,Tot_res!C:V,11,FALSE)</f>
        <v>45990.936474148883</v>
      </c>
      <c r="M342" s="179">
        <f>VLOOKUP(B342,Tot_res!C:V,12,FALSE)</f>
        <v>54246.271201334886</v>
      </c>
      <c r="N342" s="179">
        <f>VLOOKUP(B342,Tot_res!C:V,13,FALSE)</f>
        <v>11625.355646765945</v>
      </c>
      <c r="O342" s="179">
        <f>VLOOKUP(B342,Tot_res!C:V,14,FALSE)</f>
        <v>35605.798360980785</v>
      </c>
      <c r="P342" s="179">
        <f>VLOOKUP(B342,Tot_res!C:V,15,FALSE)</f>
        <v>64788.845794602355</v>
      </c>
      <c r="Q342" s="179">
        <f>VLOOKUP(B342,Tot_res!C:V,16,FALSE)</f>
        <v>14898.127896165191</v>
      </c>
      <c r="R342" s="179">
        <f>VLOOKUP(B342,Tot_res!C:V,17,FALSE)</f>
        <v>6335.8521438381686</v>
      </c>
      <c r="S342" s="179">
        <f>VLOOKUP(B342,Tot_res!C:V,18,FALSE)</f>
        <v>18071.826518833397</v>
      </c>
      <c r="T342" s="179">
        <f>VLOOKUP(B342,Tot_res!C:V,19,FALSE)</f>
        <v>6090.7655440859317</v>
      </c>
      <c r="U342" s="179">
        <f>VLOOKUP(B342,Tot_res!C:V,20,FALSE)</f>
        <v>11030.613545840741</v>
      </c>
      <c r="V342" s="122">
        <f t="shared" si="61"/>
        <v>526441.24333000008</v>
      </c>
    </row>
    <row r="343" spans="1:22">
      <c r="A343" s="351" t="str">
        <f>IF(B343="","",(IF(ISERROR(MATCH(B343,Tot_res!C:C,0)),"Eliminar!!!","")))</f>
        <v/>
      </c>
      <c r="B343" s="115" t="s">
        <v>321</v>
      </c>
      <c r="C343" s="330" t="str">
        <f>VLOOKUP(B343,Tot_res!C:D,2,FALSE)</f>
        <v>Seguridad ciudadana</v>
      </c>
      <c r="D343" s="179">
        <f>VLOOKUP(B343,Tot_res!C:V,3,FALSE)</f>
        <v>1003344.0251537875</v>
      </c>
      <c r="E343" s="179">
        <f>VLOOKUP(B343,Tot_res!C:V,4,FALSE)</f>
        <v>181629.44144345529</v>
      </c>
      <c r="F343" s="179">
        <f>VLOOKUP(B343,Tot_res!C:V,5,FALSE)</f>
        <v>131230.33337126242</v>
      </c>
      <c r="G343" s="179">
        <f>VLOOKUP(B343,Tot_res!C:V,6,FALSE)</f>
        <v>144182.61731604533</v>
      </c>
      <c r="H343" s="179">
        <f>VLOOKUP(B343,Tot_res!C:V,7,FALSE)</f>
        <v>274014.26841196441</v>
      </c>
      <c r="I343" s="179">
        <f>VLOOKUP(B343,Tot_res!C:V,8,FALSE)</f>
        <v>66425.374828040556</v>
      </c>
      <c r="J343" s="179">
        <f>VLOOKUP(B343,Tot_res!C:V,9,FALSE)</f>
        <v>336008.86608938756</v>
      </c>
      <c r="K343" s="179">
        <f>VLOOKUP(B343,Tot_res!C:V,10,FALSE)</f>
        <v>240915.63326467358</v>
      </c>
      <c r="L343" s="179">
        <f>VLOOKUP(B343,Tot_res!C:V,11,FALSE)</f>
        <v>524631.05289254035</v>
      </c>
      <c r="M343" s="179">
        <f>VLOOKUP(B343,Tot_res!C:V,12,FALSE)</f>
        <v>550544.80144669546</v>
      </c>
      <c r="N343" s="179">
        <f>VLOOKUP(B343,Tot_res!C:V,13,FALSE)</f>
        <v>136629.12566328925</v>
      </c>
      <c r="O343" s="179">
        <f>VLOOKUP(B343,Tot_res!C:V,14,FALSE)</f>
        <v>316692.16343717312</v>
      </c>
      <c r="P343" s="179">
        <f>VLOOKUP(B343,Tot_res!C:V,15,FALSE)</f>
        <v>860310.90332365618</v>
      </c>
      <c r="Q343" s="179">
        <f>VLOOKUP(B343,Tot_res!C:V,16,FALSE)</f>
        <v>146089.78936770756</v>
      </c>
      <c r="R343" s="179">
        <f>VLOOKUP(B343,Tot_res!C:V,17,FALSE)</f>
        <v>90112.131853867118</v>
      </c>
      <c r="S343" s="179">
        <f>VLOOKUP(B343,Tot_res!C:V,18,FALSE)</f>
        <v>221659.69013498316</v>
      </c>
      <c r="T343" s="179">
        <f>VLOOKUP(B343,Tot_res!C:V,19,FALSE)</f>
        <v>55084.791129448</v>
      </c>
      <c r="U343" s="179">
        <f>VLOOKUP(B343,Tot_res!C:V,20,FALSE)</f>
        <v>74037.318912023969</v>
      </c>
      <c r="V343" s="122">
        <f t="shared" si="61"/>
        <v>5353542.3280400019</v>
      </c>
    </row>
    <row r="344" spans="1:22">
      <c r="A344" s="351" t="str">
        <f>IF(B344="","",(IF(ISERROR(MATCH(B344,Tot_res!C:C,0)),"Eliminar!!!","")))</f>
        <v/>
      </c>
      <c r="B344" s="115" t="s">
        <v>323</v>
      </c>
      <c r="C344" s="330" t="str">
        <f>VLOOKUP(B344,Tot_res!C:D,2,FALSE)</f>
        <v>Seguridad vial</v>
      </c>
      <c r="D344" s="179">
        <f>VLOOKUP(B344,Tot_res!C:V,3,FALSE)</f>
        <v>115144.70910068667</v>
      </c>
      <c r="E344" s="179">
        <f>VLOOKUP(B344,Tot_res!C:V,4,FALSE)</f>
        <v>33333.481197955203</v>
      </c>
      <c r="F344" s="179">
        <f>VLOOKUP(B344,Tot_res!C:V,5,FALSE)</f>
        <v>19763.062963290202</v>
      </c>
      <c r="G344" s="179">
        <f>VLOOKUP(B344,Tot_res!C:V,6,FALSE)</f>
        <v>17542.216418688804</v>
      </c>
      <c r="H344" s="179">
        <f>VLOOKUP(B344,Tot_res!C:V,7,FALSE)</f>
        <v>31230.879553842973</v>
      </c>
      <c r="I344" s="179">
        <f>VLOOKUP(B344,Tot_res!C:V,8,FALSE)</f>
        <v>10928.04896621338</v>
      </c>
      <c r="J344" s="179">
        <f>VLOOKUP(B344,Tot_res!C:V,9,FALSE)</f>
        <v>72000.466427959953</v>
      </c>
      <c r="K344" s="179">
        <f>VLOOKUP(B344,Tot_res!C:V,10,FALSE)</f>
        <v>44754.862579849767</v>
      </c>
      <c r="L344" s="179">
        <f>VLOOKUP(B344,Tot_res!C:V,11,FALSE)</f>
        <v>43643.303498219189</v>
      </c>
      <c r="M344" s="179">
        <f>VLOOKUP(B344,Tot_res!C:V,12,FALSE)</f>
        <v>65575.371633866089</v>
      </c>
      <c r="N344" s="179">
        <f>VLOOKUP(B344,Tot_res!C:V,13,FALSE)</f>
        <v>25333.216215618315</v>
      </c>
      <c r="O344" s="179">
        <f>VLOOKUP(B344,Tot_res!C:V,14,FALSE)</f>
        <v>57435.500467661834</v>
      </c>
      <c r="P344" s="179">
        <f>VLOOKUP(B344,Tot_res!C:V,15,FALSE)</f>
        <v>79793.56582206556</v>
      </c>
      <c r="Q344" s="179">
        <f>VLOOKUP(B344,Tot_res!C:V,16,FALSE)</f>
        <v>18224.100064608683</v>
      </c>
      <c r="R344" s="179">
        <f>VLOOKUP(B344,Tot_res!C:V,17,FALSE)</f>
        <v>11192.925705267833</v>
      </c>
      <c r="S344" s="179">
        <f>VLOOKUP(B344,Tot_res!C:V,18,FALSE)</f>
        <v>13546.36346597195</v>
      </c>
      <c r="T344" s="179">
        <f>VLOOKUP(B344,Tot_res!C:V,19,FALSE)</f>
        <v>7482.967279550373</v>
      </c>
      <c r="U344" s="179">
        <f>VLOOKUP(B344,Tot_res!C:V,20,FALSE)</f>
        <v>1555.7497386833184</v>
      </c>
      <c r="V344" s="122">
        <f t="shared" si="61"/>
        <v>668480.79110000015</v>
      </c>
    </row>
    <row r="345" spans="1:22">
      <c r="A345" s="351" t="str">
        <f>IF(B345="","",(IF(ISERROR(MATCH(B345,Tot_res!C:C,0)),"Eliminar!!!","")))</f>
        <v/>
      </c>
      <c r="B345" s="115" t="s">
        <v>324</v>
      </c>
      <c r="C345" s="330" t="str">
        <f>VLOOKUP(B345,Tot_res!C:D,2,FALSE)</f>
        <v>Actuaciones policiales en materia de droga</v>
      </c>
      <c r="D345" s="179">
        <f>VLOOKUP(B345,Tot_res!C:V,3,FALSE)</f>
        <v>15760.692748421678</v>
      </c>
      <c r="E345" s="179">
        <f>VLOOKUP(B345,Tot_res!C:V,4,FALSE)</f>
        <v>2646.039561801344</v>
      </c>
      <c r="F345" s="179">
        <f>VLOOKUP(B345,Tot_res!C:V,5,FALSE)</f>
        <v>1979.6986754347524</v>
      </c>
      <c r="G345" s="179">
        <f>VLOOKUP(B345,Tot_res!C:V,6,FALSE)</f>
        <v>2131.658269367821</v>
      </c>
      <c r="H345" s="179">
        <f>VLOOKUP(B345,Tot_res!C:V,7,FALSE)</f>
        <v>4167.1733509257519</v>
      </c>
      <c r="I345" s="179">
        <f>VLOOKUP(B345,Tot_res!C:V,8,FALSE)</f>
        <v>1016.8195837205484</v>
      </c>
      <c r="J345" s="179">
        <f>VLOOKUP(B345,Tot_res!C:V,9,FALSE)</f>
        <v>4985.2918270400487</v>
      </c>
      <c r="K345" s="179">
        <f>VLOOKUP(B345,Tot_res!C:V,10,FALSE)</f>
        <v>3766.64432379859</v>
      </c>
      <c r="L345" s="179">
        <f>VLOOKUP(B345,Tot_res!C:V,11,FALSE)</f>
        <v>8915.6476381523335</v>
      </c>
      <c r="M345" s="179">
        <f>VLOOKUP(B345,Tot_res!C:V,12,FALSE)</f>
        <v>8697.6250720152166</v>
      </c>
      <c r="N345" s="179">
        <f>VLOOKUP(B345,Tot_res!C:V,13,FALSE)</f>
        <v>2140.6234026065436</v>
      </c>
      <c r="O345" s="179">
        <f>VLOOKUP(B345,Tot_res!C:V,14,FALSE)</f>
        <v>4915.3968839604158</v>
      </c>
      <c r="P345" s="179">
        <f>VLOOKUP(B345,Tot_res!C:V,15,FALSE)</f>
        <v>12227.130468997975</v>
      </c>
      <c r="Q345" s="179">
        <f>VLOOKUP(B345,Tot_res!C:V,16,FALSE)</f>
        <v>2386.7640930387802</v>
      </c>
      <c r="R345" s="179">
        <f>VLOOKUP(B345,Tot_res!C:V,17,FALSE)</f>
        <v>1280.5770294966007</v>
      </c>
      <c r="S345" s="179">
        <f>VLOOKUP(B345,Tot_res!C:V,18,FALSE)</f>
        <v>3339.9718241579471</v>
      </c>
      <c r="T345" s="179">
        <f>VLOOKUP(B345,Tot_res!C:V,19,FALSE)</f>
        <v>772.76151384992284</v>
      </c>
      <c r="U345" s="179">
        <f>VLOOKUP(B345,Tot_res!C:V,20,FALSE)</f>
        <v>887.14009321372089</v>
      </c>
      <c r="V345" s="122">
        <f t="shared" si="61"/>
        <v>82017.656360000008</v>
      </c>
    </row>
    <row r="346" spans="1:22">
      <c r="A346" s="351" t="str">
        <f>IF(B346="","",(IF(ISERROR(MATCH(B346,Tot_res!C:C,0)),"Eliminar!!!","")))</f>
        <v/>
      </c>
      <c r="B346" s="115" t="s">
        <v>326</v>
      </c>
      <c r="C346" s="330" t="str">
        <f>VLOOKUP(B346,Tot_res!C:D,2,FALSE)</f>
        <v>Centros e instituciones penitenciarias</v>
      </c>
      <c r="D346" s="179">
        <f>VLOOKUP(B346,Tot_res!C:V,3,FALSE)</f>
        <v>245225.70518752225</v>
      </c>
      <c r="E346" s="179">
        <f>VLOOKUP(B346,Tot_res!C:V,4,FALSE)</f>
        <v>38195.758738900746</v>
      </c>
      <c r="F346" s="179">
        <f>VLOOKUP(B346,Tot_res!C:V,5,FALSE)</f>
        <v>22248.518124798404</v>
      </c>
      <c r="G346" s="179">
        <f>VLOOKUP(B346,Tot_res!C:V,6,FALSE)</f>
        <v>31644.169292659062</v>
      </c>
      <c r="H346" s="179">
        <f>VLOOKUP(B346,Tot_res!C:V,7,FALSE)</f>
        <v>62201.472315789324</v>
      </c>
      <c r="I346" s="179">
        <f>VLOOKUP(B346,Tot_res!C:V,8,FALSE)</f>
        <v>14171.545840281007</v>
      </c>
      <c r="J346" s="179">
        <f>VLOOKUP(B346,Tot_res!C:V,9,FALSE)</f>
        <v>100973.93876642549</v>
      </c>
      <c r="K346" s="179">
        <f>VLOOKUP(B346,Tot_res!C:V,10,FALSE)</f>
        <v>41544.991527210164</v>
      </c>
      <c r="L346" s="179">
        <f>VLOOKUP(B346,Tot_res!C:V,11,FALSE)</f>
        <v>50299.333344000988</v>
      </c>
      <c r="M346" s="179">
        <f>VLOOKUP(B346,Tot_res!C:V,12,FALSE)</f>
        <v>123215.84065746854</v>
      </c>
      <c r="N346" s="179">
        <f>VLOOKUP(B346,Tot_res!C:V,13,FALSE)</f>
        <v>23089.526537413389</v>
      </c>
      <c r="O346" s="179">
        <f>VLOOKUP(B346,Tot_res!C:V,14,FALSE)</f>
        <v>72122.666960214861</v>
      </c>
      <c r="P346" s="179">
        <f>VLOOKUP(B346,Tot_res!C:V,15,FALSE)</f>
        <v>174361.51568711264</v>
      </c>
      <c r="Q346" s="179">
        <f>VLOOKUP(B346,Tot_res!C:V,16,FALSE)</f>
        <v>31126.027707530888</v>
      </c>
      <c r="R346" s="179">
        <f>VLOOKUP(B346,Tot_res!C:V,17,FALSE)</f>
        <v>11904.50517605954</v>
      </c>
      <c r="S346" s="179">
        <f>VLOOKUP(B346,Tot_res!C:V,18,FALSE)</f>
        <v>36178.129413615723</v>
      </c>
      <c r="T346" s="179">
        <f>VLOOKUP(B346,Tot_res!C:V,19,FALSE)</f>
        <v>7852.7229469090744</v>
      </c>
      <c r="U346" s="179">
        <f>VLOOKUP(B346,Tot_res!C:V,20,FALSE)</f>
        <v>14147.418996087952</v>
      </c>
      <c r="V346" s="122">
        <f t="shared" si="61"/>
        <v>1100503.7872200001</v>
      </c>
    </row>
    <row r="347" spans="1:22">
      <c r="A347" s="351" t="str">
        <f>IF(B347="","",(IF(ISERROR(MATCH(B347,Tot_res!C:C,0)),"Eliminar!!!","")))</f>
        <v/>
      </c>
      <c r="B347" s="115" t="s">
        <v>327</v>
      </c>
      <c r="C347" s="330" t="str">
        <f>VLOOKUP(B347,Tot_res!C:D,2,FALSE)</f>
        <v>Protección civil</v>
      </c>
      <c r="D347" s="179">
        <f>VLOOKUP(B347,Tot_res!C:V,3,FALSE)</f>
        <v>3238.550271836566</v>
      </c>
      <c r="E347" s="179">
        <f>VLOOKUP(B347,Tot_res!C:V,4,FALSE)</f>
        <v>372.63082529595778</v>
      </c>
      <c r="F347" s="179">
        <f>VLOOKUP(B347,Tot_res!C:V,5,FALSE)</f>
        <v>357.57594049716766</v>
      </c>
      <c r="G347" s="179">
        <f>VLOOKUP(B347,Tot_res!C:V,6,FALSE)</f>
        <v>295.1288456518181</v>
      </c>
      <c r="H347" s="179">
        <f>VLOOKUP(B347,Tot_res!C:V,7,FALSE)</f>
        <v>566.86943084508403</v>
      </c>
      <c r="I347" s="179">
        <f>VLOOKUP(B347,Tot_res!C:V,8,FALSE)</f>
        <v>342.12215717714173</v>
      </c>
      <c r="J347" s="179">
        <f>VLOOKUP(B347,Tot_res!C:V,9,FALSE)</f>
        <v>1136.117638501458</v>
      </c>
      <c r="K347" s="179">
        <f>VLOOKUP(B347,Tot_res!C:V,10,FALSE)</f>
        <v>718.99492723016544</v>
      </c>
      <c r="L347" s="179">
        <f>VLOOKUP(B347,Tot_res!C:V,11,FALSE)</f>
        <v>2277.5793875983704</v>
      </c>
      <c r="M347" s="179">
        <f>VLOOKUP(B347,Tot_res!C:V,12,FALSE)</f>
        <v>1476.3160106605744</v>
      </c>
      <c r="N347" s="179">
        <f>VLOOKUP(B347,Tot_res!C:V,13,FALSE)</f>
        <v>540.38624902309016</v>
      </c>
      <c r="O347" s="179">
        <f>VLOOKUP(B347,Tot_res!C:V,14,FALSE)</f>
        <v>838.43339811510566</v>
      </c>
      <c r="P347" s="179">
        <f>VLOOKUP(B347,Tot_res!C:V,15,FALSE)</f>
        <v>1744.5034738362658</v>
      </c>
      <c r="Q347" s="179">
        <f>VLOOKUP(B347,Tot_res!C:V,16,FALSE)</f>
        <v>444.59000610190918</v>
      </c>
      <c r="R347" s="179">
        <f>VLOOKUP(B347,Tot_res!C:V,17,FALSE)</f>
        <v>167.51297075880993</v>
      </c>
      <c r="S347" s="179">
        <f>VLOOKUP(B347,Tot_res!C:V,18,FALSE)</f>
        <v>1083.6173724676323</v>
      </c>
      <c r="T347" s="179">
        <f>VLOOKUP(B347,Tot_res!C:V,19,FALSE)</f>
        <v>81.877175165808538</v>
      </c>
      <c r="U347" s="179">
        <f>VLOOKUP(B347,Tot_res!C:V,20,FALSE)</f>
        <v>43.679369237073821</v>
      </c>
      <c r="V347" s="122">
        <f t="shared" si="61"/>
        <v>15726.485449999996</v>
      </c>
    </row>
    <row r="348" spans="1:22" ht="25.5">
      <c r="A348" s="351" t="str">
        <f>IF(B348="","",(IF(ISERROR(MATCH(B348,Tot_res!C:C,0)),"Eliminar!!!","")))</f>
        <v/>
      </c>
      <c r="B348" s="115" t="s">
        <v>819</v>
      </c>
      <c r="C348" s="330" t="str">
        <f>VLOOKUP(B348,Tot_res!C:D,2,FALSE)</f>
        <v>Otras transferencias a Comunidades Autónomas: Transferencias a PV para prejubilaciones policía autónoma</v>
      </c>
      <c r="D348" s="179">
        <f>VLOOKUP(B348,Tot_res!C:V,3,FALSE)</f>
        <v>511.69104608797022</v>
      </c>
      <c r="E348" s="179">
        <f>VLOOKUP(B348,Tot_res!C:V,4,FALSE)</f>
        <v>97.703989035890942</v>
      </c>
      <c r="F348" s="179">
        <f>VLOOKUP(B348,Tot_res!C:V,5,FALSE)</f>
        <v>69.272968215177784</v>
      </c>
      <c r="G348" s="179">
        <f>VLOOKUP(B348,Tot_res!C:V,6,FALSE)</f>
        <v>79.907525666697808</v>
      </c>
      <c r="H348" s="179">
        <f>VLOOKUP(B348,Tot_res!C:V,7,FALSE)</f>
        <v>136.00474810908207</v>
      </c>
      <c r="I348" s="179">
        <f>VLOOKUP(B348,Tot_res!C:V,8,FALSE)</f>
        <v>39.29347104744086</v>
      </c>
      <c r="J348" s="179">
        <f>VLOOKUP(B348,Tot_res!C:V,9,FALSE)</f>
        <v>168.43162045101047</v>
      </c>
      <c r="K348" s="179">
        <f>VLOOKUP(B348,Tot_res!C:V,10,FALSE)</f>
        <v>128.46860135828021</v>
      </c>
      <c r="L348" s="179">
        <f>VLOOKUP(B348,Tot_res!C:V,11,FALSE)</f>
        <v>572.14205881715543</v>
      </c>
      <c r="M348" s="179">
        <f>VLOOKUP(B348,Tot_res!C:V,12,FALSE)</f>
        <v>327.49703268543431</v>
      </c>
      <c r="N348" s="179">
        <f>VLOOKUP(B348,Tot_res!C:V,13,FALSE)</f>
        <v>64.510738075392652</v>
      </c>
      <c r="O348" s="179">
        <f>VLOOKUP(B348,Tot_res!C:V,14,FALSE)</f>
        <v>180.52864041060946</v>
      </c>
      <c r="P348" s="179">
        <f>VLOOKUP(B348,Tot_res!C:V,15,FALSE)</f>
        <v>532.72171894342409</v>
      </c>
      <c r="Q348" s="179">
        <f>VLOOKUP(B348,Tot_res!C:V,16,FALSE)</f>
        <v>93.058360910334656</v>
      </c>
      <c r="R348" s="179">
        <f>VLOOKUP(B348,Tot_res!C:V,17,FALSE)</f>
        <v>50.452685565028986</v>
      </c>
      <c r="S348" s="179">
        <f>VLOOKUP(B348,Tot_res!C:V,18,FALSE)</f>
        <v>9964.459238996591</v>
      </c>
      <c r="T348" s="179">
        <f>VLOOKUP(B348,Tot_res!C:V,19,FALSE)</f>
        <v>23.129566339112486</v>
      </c>
      <c r="U348" s="179">
        <f>VLOOKUP(B348,Tot_res!C:V,20,FALSE)</f>
        <v>10.568199285365807</v>
      </c>
      <c r="V348" s="122">
        <f t="shared" si="61"/>
        <v>13049.842209999999</v>
      </c>
    </row>
    <row r="349" spans="1:22">
      <c r="A349" s="351" t="str">
        <f>IF(B349="","",(IF(ISERROR(MATCH(B349,Tot_res!C:C,0)),"Eliminar!!!","")))</f>
        <v/>
      </c>
      <c r="B349" s="115" t="s">
        <v>329</v>
      </c>
      <c r="C349" s="330" t="str">
        <f>VLOOKUP(B349,Tot_res!C:D,2,FALSE)</f>
        <v>Administración de Justicia + AF13</v>
      </c>
      <c r="D349" s="179">
        <f>VLOOKUP(B349,Tot_res!C:V,3,FALSE)</f>
        <v>260772.27682463865</v>
      </c>
      <c r="E349" s="179">
        <f>VLOOKUP(B349,Tot_res!C:V,4,FALSE)</f>
        <v>46784.295118245762</v>
      </c>
      <c r="F349" s="179">
        <f>VLOOKUP(B349,Tot_res!C:V,5,FALSE)</f>
        <v>49717.79240971792</v>
      </c>
      <c r="G349" s="179">
        <f>VLOOKUP(B349,Tot_res!C:V,6,FALSE)</f>
        <v>7972.9305663381419</v>
      </c>
      <c r="H349" s="179">
        <f>VLOOKUP(B349,Tot_res!C:V,7,FALSE)</f>
        <v>67469.8108482635</v>
      </c>
      <c r="I349" s="179">
        <f>VLOOKUP(B349,Tot_res!C:V,8,FALSE)</f>
        <v>24317.200443129761</v>
      </c>
      <c r="J349" s="179">
        <f>VLOOKUP(B349,Tot_res!C:V,9,FALSE)</f>
        <v>16805.596266778022</v>
      </c>
      <c r="K349" s="179">
        <f>VLOOKUP(B349,Tot_res!C:V,10,FALSE)</f>
        <v>12818.207422120395</v>
      </c>
      <c r="L349" s="179">
        <f>VLOOKUP(B349,Tot_res!C:V,11,FALSE)</f>
        <v>261768.15915535472</v>
      </c>
      <c r="M349" s="179">
        <f>VLOOKUP(B349,Tot_res!C:V,12,FALSE)</f>
        <v>133735.45477455395</v>
      </c>
      <c r="N349" s="179">
        <f>VLOOKUP(B349,Tot_res!C:V,13,FALSE)</f>
        <v>6436.6857960749949</v>
      </c>
      <c r="O349" s="179">
        <f>VLOOKUP(B349,Tot_res!C:V,14,FALSE)</f>
        <v>67900.290180093172</v>
      </c>
      <c r="P349" s="179">
        <f>VLOOKUP(B349,Tot_res!C:V,15,FALSE)</f>
        <v>226033.49546438319</v>
      </c>
      <c r="Q349" s="179">
        <f>VLOOKUP(B349,Tot_res!C:V,16,FALSE)</f>
        <v>9285.0810229072977</v>
      </c>
      <c r="R349" s="179">
        <f>VLOOKUP(B349,Tot_res!C:V,17,FALSE)</f>
        <v>21301.258619029901</v>
      </c>
      <c r="S349" s="179">
        <f>VLOOKUP(B349,Tot_res!C:V,18,FALSE)</f>
        <v>73002.491806580612</v>
      </c>
      <c r="T349" s="179">
        <f>VLOOKUP(B349,Tot_res!C:V,19,FALSE)</f>
        <v>14898.188374468416</v>
      </c>
      <c r="U349" s="179">
        <f>VLOOKUP(B349,Tot_res!C:V,20,FALSE)</f>
        <v>1054.4628733080876</v>
      </c>
      <c r="V349" s="122">
        <f t="shared" si="61"/>
        <v>1302073.6779659863</v>
      </c>
    </row>
    <row r="350" spans="1:22">
      <c r="A350" s="351" t="str">
        <f>IF(B350="","",(IF(ISERROR(MATCH(B350,Tot_res!C:C,0)),"Eliminar!!!","")))</f>
        <v/>
      </c>
      <c r="B350" s="115" t="s">
        <v>331</v>
      </c>
      <c r="C350" s="330" t="str">
        <f>VLOOKUP(B350,Tot_res!C:D,2,FALSE)</f>
        <v>Instituciones Penitenciarias transferidas, Cataluña</v>
      </c>
      <c r="D350" s="179">
        <f>VLOOKUP(B350,Tot_res!C:V,3,FALSE)</f>
        <v>15978.441952517693</v>
      </c>
      <c r="E350" s="179">
        <f>VLOOKUP(B350,Tot_res!C:V,4,FALSE)</f>
        <v>3050.9768135966433</v>
      </c>
      <c r="F350" s="179">
        <f>VLOOKUP(B350,Tot_res!C:V,5,FALSE)</f>
        <v>2163.1687909475886</v>
      </c>
      <c r="G350" s="179">
        <f>VLOOKUP(B350,Tot_res!C:V,6,FALSE)</f>
        <v>2495.2513244000384</v>
      </c>
      <c r="H350" s="179">
        <f>VLOOKUP(B350,Tot_res!C:V,7,FALSE)</f>
        <v>4246.9845613717271</v>
      </c>
      <c r="I350" s="179">
        <f>VLOOKUP(B350,Tot_res!C:V,8,FALSE)</f>
        <v>1227.006903960028</v>
      </c>
      <c r="J350" s="179">
        <f>VLOOKUP(B350,Tot_res!C:V,9,FALSE)</f>
        <v>5259.5699903692994</v>
      </c>
      <c r="K350" s="179">
        <f>VLOOKUP(B350,Tot_res!C:V,10,FALSE)</f>
        <v>4011.6552853877956</v>
      </c>
      <c r="L350" s="179">
        <f>VLOOKUP(B350,Tot_res!C:V,11,FALSE)</f>
        <v>323494.12721293973</v>
      </c>
      <c r="M350" s="179">
        <f>VLOOKUP(B350,Tot_res!C:V,12,FALSE)</f>
        <v>10226.663855842338</v>
      </c>
      <c r="N350" s="179">
        <f>VLOOKUP(B350,Tot_res!C:V,13,FALSE)</f>
        <v>2014.4598806884769</v>
      </c>
      <c r="O350" s="179">
        <f>VLOOKUP(B350,Tot_res!C:V,14,FALSE)</f>
        <v>5637.3204565943215</v>
      </c>
      <c r="P350" s="179">
        <f>VLOOKUP(B350,Tot_res!C:V,15,FALSE)</f>
        <v>16635.161252205198</v>
      </c>
      <c r="Q350" s="179">
        <f>VLOOKUP(B350,Tot_res!C:V,16,FALSE)</f>
        <v>2905.9090038221821</v>
      </c>
      <c r="R350" s="179">
        <f>VLOOKUP(B350,Tot_res!C:V,17,FALSE)</f>
        <v>1575.4727658667066</v>
      </c>
      <c r="S350" s="179">
        <f>VLOOKUP(B350,Tot_res!C:V,18,FALSE)</f>
        <v>5529.5551459563376</v>
      </c>
      <c r="T350" s="179">
        <f>VLOOKUP(B350,Tot_res!C:V,19,FALSE)</f>
        <v>722.26089544056344</v>
      </c>
      <c r="U350" s="179">
        <f>VLOOKUP(B350,Tot_res!C:V,20,FALSE)</f>
        <v>330.01038442018273</v>
      </c>
      <c r="V350" s="122">
        <f t="shared" si="61"/>
        <v>407503.99647632689</v>
      </c>
    </row>
    <row r="351" spans="1:22">
      <c r="A351" s="351" t="str">
        <f>IF(B351="","",(IF(ISERROR(MATCH(B351,Tot_res!C:C,0)),"Eliminar!!!","")))</f>
        <v/>
      </c>
      <c r="B351" s="115" t="s">
        <v>332</v>
      </c>
      <c r="C351" s="330" t="str">
        <f>VLOOKUP(B351,Tot_res!C:D,2,FALSE)</f>
        <v>Policía áutonómica catalana y tráfico</v>
      </c>
      <c r="D351" s="179">
        <f>VLOOKUP(B351,Tot_res!C:V,3,FALSE)</f>
        <v>45207.622051207349</v>
      </c>
      <c r="E351" s="179">
        <f>VLOOKUP(B351,Tot_res!C:V,4,FALSE)</f>
        <v>8632.0936099993778</v>
      </c>
      <c r="F351" s="179">
        <f>VLOOKUP(B351,Tot_res!C:V,5,FALSE)</f>
        <v>6120.2285820312354</v>
      </c>
      <c r="G351" s="179">
        <f>VLOOKUP(B351,Tot_res!C:V,6,FALSE)</f>
        <v>7059.7858747095888</v>
      </c>
      <c r="H351" s="179">
        <f>VLOOKUP(B351,Tot_res!C:V,7,FALSE)</f>
        <v>12015.944575719614</v>
      </c>
      <c r="I351" s="179">
        <f>VLOOKUP(B351,Tot_res!C:V,8,FALSE)</f>
        <v>3471.5565217988428</v>
      </c>
      <c r="J351" s="179">
        <f>VLOOKUP(B351,Tot_res!C:V,9,FALSE)</f>
        <v>14880.840884428173</v>
      </c>
      <c r="K351" s="179">
        <f>VLOOKUP(B351,Tot_res!C:V,10,FALSE)</f>
        <v>11350.130161655949</v>
      </c>
      <c r="L351" s="179">
        <f>VLOOKUP(B351,Tot_res!C:V,11,FALSE)</f>
        <v>915258.21367855149</v>
      </c>
      <c r="M351" s="179">
        <f>VLOOKUP(B351,Tot_res!C:V,12,FALSE)</f>
        <v>28934.182432400172</v>
      </c>
      <c r="N351" s="179">
        <f>VLOOKUP(B351,Tot_res!C:V,13,FALSE)</f>
        <v>5699.4881725082942</v>
      </c>
      <c r="O351" s="179">
        <f>VLOOKUP(B351,Tot_res!C:V,14,FALSE)</f>
        <v>15949.605934081676</v>
      </c>
      <c r="P351" s="179">
        <f>VLOOKUP(B351,Tot_res!C:V,15,FALSE)</f>
        <v>47065.670413008251</v>
      </c>
      <c r="Q351" s="179">
        <f>VLOOKUP(B351,Tot_res!C:V,16,FALSE)</f>
        <v>8221.6549242020483</v>
      </c>
      <c r="R351" s="179">
        <f>VLOOKUP(B351,Tot_res!C:V,17,FALSE)</f>
        <v>4457.4669772511725</v>
      </c>
      <c r="S351" s="179">
        <f>VLOOKUP(B351,Tot_res!C:V,18,FALSE)</f>
        <v>15644.706780082164</v>
      </c>
      <c r="T351" s="179">
        <f>VLOOKUP(B351,Tot_res!C:V,19,FALSE)</f>
        <v>2043.4844448834838</v>
      </c>
      <c r="U351" s="179">
        <f>VLOOKUP(B351,Tot_res!C:V,20,FALSE)</f>
        <v>933.69458525275763</v>
      </c>
      <c r="V351" s="122">
        <f t="shared" si="61"/>
        <v>1152946.3706037714</v>
      </c>
    </row>
    <row r="352" spans="1:22">
      <c r="A352" s="351" t="str">
        <f>IF(B352="","",(IF(ISERROR(MATCH(B352,Tot_res!C:C,0)),"Eliminar!!!","")))</f>
        <v/>
      </c>
      <c r="B352" s="115" t="s">
        <v>225</v>
      </c>
      <c r="C352" s="330" t="str">
        <f>VLOOKUP(B352,Tot_res!C:D,2,FALSE)</f>
        <v>Ajuste forales, seguridad ciudadana y vial</v>
      </c>
      <c r="D352" s="179">
        <f>VLOOKUP(B352,Tot_res!C:V,3,FALSE)</f>
        <v>23407.391386254094</v>
      </c>
      <c r="E352" s="179">
        <f>VLOOKUP(B352,Tot_res!C:V,4,FALSE)</f>
        <v>4469.4851099039879</v>
      </c>
      <c r="F352" s="179">
        <f>VLOOKUP(B352,Tot_res!C:V,5,FALSE)</f>
        <v>3168.903368345118</v>
      </c>
      <c r="G352" s="179">
        <f>VLOOKUP(B352,Tot_res!C:V,6,FALSE)</f>
        <v>3655.3829547878686</v>
      </c>
      <c r="H352" s="179">
        <f>VLOOKUP(B352,Tot_res!C:V,7,FALSE)</f>
        <v>6221.5596573696403</v>
      </c>
      <c r="I352" s="179">
        <f>VLOOKUP(B352,Tot_res!C:V,8,FALSE)</f>
        <v>1797.4863206298251</v>
      </c>
      <c r="J352" s="179">
        <f>VLOOKUP(B352,Tot_res!C:V,9,FALSE)</f>
        <v>7704.9322865032036</v>
      </c>
      <c r="K352" s="179">
        <f>VLOOKUP(B352,Tot_res!C:V,10,FALSE)</f>
        <v>5876.8173799956112</v>
      </c>
      <c r="L352" s="179">
        <f>VLOOKUP(B352,Tot_res!C:V,11,FALSE)</f>
        <v>26172.732944339899</v>
      </c>
      <c r="M352" s="179">
        <f>VLOOKUP(B352,Tot_res!C:V,12,FALSE)</f>
        <v>14981.405831727006</v>
      </c>
      <c r="N352" s="179">
        <f>VLOOKUP(B352,Tot_res!C:V,13,FALSE)</f>
        <v>2951.0543643306883</v>
      </c>
      <c r="O352" s="179">
        <f>VLOOKUP(B352,Tot_res!C:V,14,FALSE)</f>
        <v>8258.3124618384973</v>
      </c>
      <c r="P352" s="179">
        <f>VLOOKUP(B352,Tot_res!C:V,15,FALSE)</f>
        <v>24369.442988304687</v>
      </c>
      <c r="Q352" s="179">
        <f>VLOOKUP(B352,Tot_res!C:V,16,FALSE)</f>
        <v>4256.9700842820794</v>
      </c>
      <c r="R352" s="179">
        <f>VLOOKUP(B352,Tot_res!C:V,17,FALSE)</f>
        <v>56267.702038516625</v>
      </c>
      <c r="S352" s="179">
        <f>VLOOKUP(B352,Tot_res!C:V,18,FALSE)</f>
        <v>401866.09746669285</v>
      </c>
      <c r="T352" s="179">
        <f>VLOOKUP(B352,Tot_res!C:V,19,FALSE)</f>
        <v>1058.0658309992314</v>
      </c>
      <c r="U352" s="179">
        <f>VLOOKUP(B352,Tot_res!C:V,20,FALSE)</f>
        <v>483.44402117593347</v>
      </c>
      <c r="V352" s="122">
        <f t="shared" ref="V352" si="62">SUM(D352:U352)</f>
        <v>596967.1864959969</v>
      </c>
    </row>
    <row r="353" spans="1:22">
      <c r="A353" s="351" t="str">
        <f>IF(B353="","",(IF(ISERROR(MATCH(B353,Tot_res!C:C,0)),"Eliminar!!!","")))</f>
        <v/>
      </c>
      <c r="B353" s="115" t="s">
        <v>1218</v>
      </c>
      <c r="C353" s="330" t="str">
        <f>VLOOKUP(B353,Tot_res!C:D,2,FALSE)</f>
        <v>Administración de justicia, coste efectivo</v>
      </c>
      <c r="D353" s="179">
        <f>VLOOKUP(B353,Tot_res!C:V,3,FALSE)</f>
        <v>13.667542885953821</v>
      </c>
      <c r="E353" s="179">
        <f>VLOOKUP(B353,Tot_res!C:V,4,FALSE)</f>
        <v>2.6097260651444412</v>
      </c>
      <c r="F353" s="179">
        <f>VLOOKUP(B353,Tot_res!C:V,5,FALSE)</f>
        <v>1.8503182167379286</v>
      </c>
      <c r="G353" s="179">
        <f>VLOOKUP(B353,Tot_res!C:V,6,FALSE)</f>
        <v>2.1343729625714163</v>
      </c>
      <c r="H353" s="179">
        <f>VLOOKUP(B353,Tot_res!C:V,7,FALSE)</f>
        <v>3.6327599274712572</v>
      </c>
      <c r="I353" s="179">
        <f>VLOOKUP(B353,Tot_res!C:V,8,FALSE)</f>
        <v>1.0495497327630661</v>
      </c>
      <c r="J353" s="179">
        <f>VLOOKUP(B353,Tot_res!C:V,9,FALSE)</f>
        <v>4.4988991178655748</v>
      </c>
      <c r="K353" s="179">
        <f>VLOOKUP(B353,Tot_res!C:V,10,FALSE)</f>
        <v>3.4314653969163524</v>
      </c>
      <c r="L353" s="179">
        <f>VLOOKUP(B353,Tot_res!C:V,11,FALSE)</f>
        <v>15.282221929670047</v>
      </c>
      <c r="M353" s="179">
        <f>VLOOKUP(B353,Tot_res!C:V,12,FALSE)</f>
        <v>8.74762177972773</v>
      </c>
      <c r="N353" s="179">
        <f>VLOOKUP(B353,Tot_res!C:V,13,FALSE)</f>
        <v>1.7231164899031286</v>
      </c>
      <c r="O353" s="179">
        <f>VLOOKUP(B353,Tot_res!C:V,14,FALSE)</f>
        <v>4.822017023394908</v>
      </c>
      <c r="P353" s="179">
        <f>VLOOKUP(B353,Tot_res!C:V,15,FALSE)</f>
        <v>275.65550846236204</v>
      </c>
      <c r="Q353" s="179">
        <f>VLOOKUP(B353,Tot_res!C:V,16,FALSE)</f>
        <v>2.4856388407857843</v>
      </c>
      <c r="R353" s="179">
        <f>VLOOKUP(B353,Tot_res!C:V,17,FALSE)</f>
        <v>1.3476183508456909</v>
      </c>
      <c r="S353" s="179">
        <f>VLOOKUP(B353,Tot_res!C:V,18,FALSE)</f>
        <v>4.729837384783103</v>
      </c>
      <c r="T353" s="179">
        <f>VLOOKUP(B353,Tot_res!C:V,19,FALSE)</f>
        <v>0.61780314955713633</v>
      </c>
      <c r="U353" s="179">
        <f>VLOOKUP(B353,Tot_res!C:V,20,FALSE)</f>
        <v>0.28228228354656659</v>
      </c>
      <c r="V353" s="122">
        <f t="shared" si="61"/>
        <v>348.56829999999991</v>
      </c>
    </row>
    <row r="354" spans="1:22">
      <c r="A354" s="352"/>
      <c r="B354" s="115"/>
      <c r="C354" s="102"/>
    </row>
    <row r="355" spans="1:22" ht="13.5">
      <c r="A355" s="352"/>
      <c r="B355" s="115"/>
      <c r="C355" s="117" t="s">
        <v>6</v>
      </c>
      <c r="D355" s="114">
        <f t="shared" ref="D355:U355" si="63">SUM(D356:D358)</f>
        <v>178342.64594847622</v>
      </c>
      <c r="E355" s="114">
        <f t="shared" si="63"/>
        <v>62110.359238643476</v>
      </c>
      <c r="F355" s="114">
        <f t="shared" si="63"/>
        <v>29997.132895352181</v>
      </c>
      <c r="G355" s="114">
        <f t="shared" si="63"/>
        <v>8992.8106439361654</v>
      </c>
      <c r="H355" s="114">
        <f t="shared" si="63"/>
        <v>27127.756327580526</v>
      </c>
      <c r="I355" s="114">
        <f t="shared" si="63"/>
        <v>9929.4928879232721</v>
      </c>
      <c r="J355" s="114">
        <f t="shared" si="63"/>
        <v>42909.947040734638</v>
      </c>
      <c r="K355" s="114">
        <f t="shared" si="63"/>
        <v>33950.414239715239</v>
      </c>
      <c r="L355" s="114">
        <f t="shared" si="63"/>
        <v>181263.22314236755</v>
      </c>
      <c r="M355" s="114">
        <f t="shared" si="63"/>
        <v>84897.227260906497</v>
      </c>
      <c r="N355" s="114">
        <f t="shared" si="63"/>
        <v>16620.267066161956</v>
      </c>
      <c r="O355" s="114">
        <f t="shared" si="63"/>
        <v>30188.80661272525</v>
      </c>
      <c r="P355" s="114">
        <f t="shared" si="63"/>
        <v>59081.944170595591</v>
      </c>
      <c r="Q355" s="114">
        <f t="shared" si="63"/>
        <v>23674.610134478262</v>
      </c>
      <c r="R355" s="114">
        <f t="shared" si="63"/>
        <v>11700.928164074578</v>
      </c>
      <c r="S355" s="114">
        <f t="shared" si="63"/>
        <v>39988.294820726442</v>
      </c>
      <c r="T355" s="114">
        <f t="shared" si="63"/>
        <v>10470.098191693078</v>
      </c>
      <c r="U355" s="114">
        <f t="shared" si="63"/>
        <v>426.30377182228227</v>
      </c>
      <c r="V355" s="126">
        <f>SUM(V356:V358)</f>
        <v>851672.26255791332</v>
      </c>
    </row>
    <row r="356" spans="1:22">
      <c r="A356" s="351" t="str">
        <f>IF(B356="","",(IF(ISERROR(MATCH(B356,Tot_res!C:C,0)),"Eliminar!!!","")))</f>
        <v/>
      </c>
      <c r="B356" s="119" t="s">
        <v>333</v>
      </c>
      <c r="C356" s="330" t="str">
        <f>VLOOKUP(B356,Tot_res!C:D,2,FALSE)</f>
        <v>Promoción, administración y ayudas para rehabilitación y acceso a vivienda+AF15</v>
      </c>
      <c r="D356" s="179">
        <f>VLOOKUP(B356,Tot_res!C:V,3,FALSE)</f>
        <v>171779.4799959721</v>
      </c>
      <c r="E356" s="179">
        <f>VLOOKUP(B356,Tot_res!C:V,4,FALSE)</f>
        <v>61358.970856982603</v>
      </c>
      <c r="F356" s="179">
        <f>VLOOKUP(B356,Tot_res!C:V,5,FALSE)</f>
        <v>29888.333350392586</v>
      </c>
      <c r="G356" s="179">
        <f>VLOOKUP(B356,Tot_res!C:V,6,FALSE)</f>
        <v>6929.3474168443354</v>
      </c>
      <c r="H356" s="179">
        <f>VLOOKUP(B356,Tot_res!C:V,7,FALSE)</f>
        <v>25705.274301885605</v>
      </c>
      <c r="I356" s="179">
        <f>VLOOKUP(B356,Tot_res!C:V,8,FALSE)</f>
        <v>9867.5986319765925</v>
      </c>
      <c r="J356" s="179">
        <f>VLOOKUP(B356,Tot_res!C:V,9,FALSE)</f>
        <v>36464.368918753913</v>
      </c>
      <c r="K356" s="179">
        <f>VLOOKUP(B356,Tot_res!C:V,10,FALSE)</f>
        <v>32968.637221370955</v>
      </c>
      <c r="L356" s="179">
        <f>VLOOKUP(B356,Tot_res!C:V,11,FALSE)</f>
        <v>179801.26365018968</v>
      </c>
      <c r="M356" s="179">
        <f>VLOOKUP(B356,Tot_res!C:V,12,FALSE)</f>
        <v>84084.583384151425</v>
      </c>
      <c r="N356" s="179">
        <f>VLOOKUP(B356,Tot_res!C:V,13,FALSE)</f>
        <v>16113.852288243104</v>
      </c>
      <c r="O356" s="179">
        <f>VLOOKUP(B356,Tot_res!C:V,14,FALSE)</f>
        <v>27646.592738862029</v>
      </c>
      <c r="P356" s="179">
        <f>VLOOKUP(B356,Tot_res!C:V,15,FALSE)</f>
        <v>58176.66401031422</v>
      </c>
      <c r="Q356" s="179">
        <f>VLOOKUP(B356,Tot_res!C:V,16,FALSE)</f>
        <v>23523.530312490311</v>
      </c>
      <c r="R356" s="179">
        <f>VLOOKUP(B356,Tot_res!C:V,17,FALSE)</f>
        <v>11318.278376930373</v>
      </c>
      <c r="S356" s="179">
        <f>VLOOKUP(B356,Tot_res!C:V,18,FALSE)</f>
        <v>38675.935955194625</v>
      </c>
      <c r="T356" s="179">
        <f>VLOOKUP(B356,Tot_res!C:V,19,FALSE)</f>
        <v>10315.259943560022</v>
      </c>
      <c r="U356" s="179">
        <f>VLOOKUP(B356,Tot_res!C:V,20,FALSE)</f>
        <v>408.83192379868325</v>
      </c>
      <c r="V356" s="122">
        <f>SUM(D356:U356)</f>
        <v>825026.80327791325</v>
      </c>
    </row>
    <row r="357" spans="1:22">
      <c r="A357" s="351" t="str">
        <f>IF(B357="","",(IF(ISERROR(MATCH(B357,Tot_res!C:C,0)),"Eliminar!!!","")))</f>
        <v/>
      </c>
      <c r="B357" s="119" t="s">
        <v>824</v>
      </c>
      <c r="C357" s="330" t="str">
        <f>VLOOKUP(B357,Tot_res!C:D,2,FALSE)</f>
        <v>Ordenación y fomento de la edificación, neto de actuaciones relacionadas con el 1% cultural</v>
      </c>
      <c r="D357" s="179">
        <f>VLOOKUP(B357,Tot_res!C:V,3,FALSE)</f>
        <v>6317.0908262460634</v>
      </c>
      <c r="E357" s="179">
        <f>VLOOKUP(B357,Tot_res!C:V,4,FALSE)</f>
        <v>712.67519935375151</v>
      </c>
      <c r="F357" s="179">
        <f>VLOOKUP(B357,Tot_res!C:V,5,FALSE)</f>
        <v>77.852441747616766</v>
      </c>
      <c r="G357" s="179">
        <f>VLOOKUP(B357,Tot_res!C:V,6,FALSE)</f>
        <v>2031.1256766260715</v>
      </c>
      <c r="H357" s="179">
        <f>VLOOKUP(B357,Tot_res!C:V,7,FALSE)</f>
        <v>1360.8931769308017</v>
      </c>
      <c r="I357" s="179">
        <f>VLOOKUP(B357,Tot_res!C:V,8,FALSE)</f>
        <v>44.702088042586062</v>
      </c>
      <c r="J357" s="179">
        <f>VLOOKUP(B357,Tot_res!C:V,9,FALSE)</f>
        <v>6372.8329903249987</v>
      </c>
      <c r="K357" s="179">
        <f>VLOOKUP(B357,Tot_res!C:V,10,FALSE)</f>
        <v>921.1741340054341</v>
      </c>
      <c r="L357" s="179">
        <f>VLOOKUP(B357,Tot_res!C:V,11,FALSE)</f>
        <v>1241.8716077440979</v>
      </c>
      <c r="M357" s="179">
        <f>VLOOKUP(B357,Tot_res!C:V,12,FALSE)</f>
        <v>666.39422501707531</v>
      </c>
      <c r="N357" s="179">
        <f>VLOOKUP(B357,Tot_res!C:V,13,FALSE)</f>
        <v>474.30119643645617</v>
      </c>
      <c r="O357" s="179">
        <f>VLOOKUP(B357,Tot_res!C:V,14,FALSE)</f>
        <v>2461.937689941808</v>
      </c>
      <c r="P357" s="179">
        <f>VLOOKUP(B357,Tot_res!C:V,15,FALSE)</f>
        <v>716.47020638079755</v>
      </c>
      <c r="Q357" s="179">
        <f>VLOOKUP(B357,Tot_res!C:V,16,FALSE)</f>
        <v>108.10645435075631</v>
      </c>
      <c r="R357" s="179">
        <f>VLOOKUP(B357,Tot_res!C:V,17,FALSE)</f>
        <v>363.8841682950432</v>
      </c>
      <c r="S357" s="179">
        <f>VLOOKUP(B357,Tot_res!C:V,18,FALSE)</f>
        <v>1248.2344599818357</v>
      </c>
      <c r="T357" s="179">
        <f>VLOOKUP(B357,Tot_res!C:V,19,FALSE)</f>
        <v>145.52248880040813</v>
      </c>
      <c r="U357" s="179">
        <f>VLOOKUP(B357,Tot_res!C:V,20,FALSE)</f>
        <v>12.502129774399521</v>
      </c>
      <c r="V357" s="122">
        <f>SUM(D357:U357)</f>
        <v>25277.571160000007</v>
      </c>
    </row>
    <row r="358" spans="1:22">
      <c r="A358" s="351" t="str">
        <f>IF(B358="","",(IF(ISERROR(MATCH(B358,Tot_res!C:C,0)),"Eliminar!!!","")))</f>
        <v/>
      </c>
      <c r="B358" s="119" t="s">
        <v>334</v>
      </c>
      <c r="C358" s="330" t="str">
        <f>VLOOKUP(B358,Tot_res!C:D,2,FALSE)</f>
        <v>Suelo y políticas urbanas</v>
      </c>
      <c r="D358" s="179">
        <f>VLOOKUP(B358,Tot_res!C:V,3,FALSE)</f>
        <v>246.07512625803818</v>
      </c>
      <c r="E358" s="179">
        <f>VLOOKUP(B358,Tot_res!C:V,4,FALSE)</f>
        <v>38.713182307115289</v>
      </c>
      <c r="F358" s="179">
        <f>VLOOKUP(B358,Tot_res!C:V,5,FALSE)</f>
        <v>30.947103211976852</v>
      </c>
      <c r="G358" s="179">
        <f>VLOOKUP(B358,Tot_res!C:V,6,FALSE)</f>
        <v>32.337550465758696</v>
      </c>
      <c r="H358" s="179">
        <f>VLOOKUP(B358,Tot_res!C:V,7,FALSE)</f>
        <v>61.58884876411868</v>
      </c>
      <c r="I358" s="179">
        <f>VLOOKUP(B358,Tot_res!C:V,8,FALSE)</f>
        <v>17.192167904093427</v>
      </c>
      <c r="J358" s="179">
        <f>VLOOKUP(B358,Tot_res!C:V,9,FALSE)</f>
        <v>72.745131655729466</v>
      </c>
      <c r="K358" s="179">
        <f>VLOOKUP(B358,Tot_res!C:V,10,FALSE)</f>
        <v>60.602884338849655</v>
      </c>
      <c r="L358" s="179">
        <f>VLOOKUP(B358,Tot_res!C:V,11,FALSE)</f>
        <v>220.08788443377736</v>
      </c>
      <c r="M358" s="179">
        <f>VLOOKUP(B358,Tot_res!C:V,12,FALSE)</f>
        <v>146.24965173799191</v>
      </c>
      <c r="N358" s="179">
        <f>VLOOKUP(B358,Tot_res!C:V,13,FALSE)</f>
        <v>32.113581482392725</v>
      </c>
      <c r="O358" s="179">
        <f>VLOOKUP(B358,Tot_res!C:V,14,FALSE)</f>
        <v>80.276183921409768</v>
      </c>
      <c r="P358" s="179">
        <f>VLOOKUP(B358,Tot_res!C:V,15,FALSE)</f>
        <v>188.8099539005691</v>
      </c>
      <c r="Q358" s="179">
        <f>VLOOKUP(B358,Tot_res!C:V,16,FALSE)</f>
        <v>42.973367637195985</v>
      </c>
      <c r="R358" s="179">
        <f>VLOOKUP(B358,Tot_res!C:V,17,FALSE)</f>
        <v>18.765618849162077</v>
      </c>
      <c r="S358" s="179">
        <f>VLOOKUP(B358,Tot_res!C:V,18,FALSE)</f>
        <v>64.124405549974071</v>
      </c>
      <c r="T358" s="179">
        <f>VLOOKUP(B358,Tot_res!C:V,19,FALSE)</f>
        <v>9.3157593326473851</v>
      </c>
      <c r="U358" s="179">
        <f>VLOOKUP(B358,Tot_res!C:V,20,FALSE)</f>
        <v>4.9697182491994845</v>
      </c>
      <c r="V358" s="122">
        <f>SUM(D358:U358)</f>
        <v>1367.8881200000001</v>
      </c>
    </row>
    <row r="359" spans="1:22">
      <c r="A359" s="352"/>
      <c r="B359" s="115"/>
      <c r="C359" s="102"/>
      <c r="D359" s="105"/>
      <c r="E359" s="105"/>
      <c r="F359" s="105"/>
      <c r="G359" s="105"/>
      <c r="H359" s="105"/>
      <c r="I359" s="105"/>
      <c r="J359" s="105"/>
      <c r="K359" s="105"/>
      <c r="L359" s="105"/>
      <c r="M359" s="105"/>
      <c r="N359" s="105"/>
      <c r="O359" s="105"/>
      <c r="P359" s="105"/>
      <c r="Q359" s="105"/>
      <c r="R359" s="105"/>
      <c r="S359" s="105"/>
      <c r="T359" s="105"/>
      <c r="U359" s="105"/>
      <c r="V359" s="122"/>
    </row>
    <row r="360" spans="1:22" ht="13.5">
      <c r="A360" s="352"/>
      <c r="B360" s="115"/>
      <c r="C360" s="117" t="s">
        <v>45</v>
      </c>
      <c r="D360" s="114">
        <f>SUM(D361:D379)</f>
        <v>164920.7787436228</v>
      </c>
      <c r="E360" s="114">
        <f t="shared" ref="E360:I360" si="64">SUM(E361:E379)</f>
        <v>29830.425205860323</v>
      </c>
      <c r="F360" s="114">
        <f t="shared" si="64"/>
        <v>22150.418564721487</v>
      </c>
      <c r="G360" s="114">
        <f t="shared" si="64"/>
        <v>43539.195246874275</v>
      </c>
      <c r="H360" s="114">
        <f t="shared" si="64"/>
        <v>39331.686780912423</v>
      </c>
      <c r="I360" s="114">
        <f t="shared" si="64"/>
        <v>19396.220788612205</v>
      </c>
      <c r="J360" s="114">
        <f t="shared" ref="J360" si="65">SUM(J361:J379)</f>
        <v>71303.47243044214</v>
      </c>
      <c r="K360" s="114">
        <f t="shared" ref="K360" si="66">SUM(K361:K379)</f>
        <v>50154.908803939034</v>
      </c>
      <c r="L360" s="114">
        <f t="shared" ref="L360" si="67">SUM(L361:L379)</f>
        <v>224514.53352361638</v>
      </c>
      <c r="M360" s="114">
        <f t="shared" ref="M360:N360" si="68">SUM(M361:M379)</f>
        <v>144724.48894027286</v>
      </c>
      <c r="N360" s="114">
        <f t="shared" si="68"/>
        <v>26082.908348981742</v>
      </c>
      <c r="O360" s="114">
        <f t="shared" ref="O360" si="69">SUM(O361:O379)</f>
        <v>97109.390970234075</v>
      </c>
      <c r="P360" s="114">
        <f t="shared" ref="P360" si="70">SUM(P361:P379)</f>
        <v>377078.23465693468</v>
      </c>
      <c r="Q360" s="114">
        <f t="shared" ref="Q360" si="71">SUM(Q361:Q379)</f>
        <v>32829.074440099605</v>
      </c>
      <c r="R360" s="114">
        <f t="shared" ref="R360:S360" si="72">SUM(R361:R379)</f>
        <v>20924.950238252419</v>
      </c>
      <c r="S360" s="114">
        <f t="shared" si="72"/>
        <v>70230.984151903103</v>
      </c>
      <c r="T360" s="114">
        <f t="shared" ref="T360" si="73">SUM(T361:T379)</f>
        <v>6692.4467471767457</v>
      </c>
      <c r="U360" s="114">
        <f t="shared" ref="U360" si="74">SUM(U361:U379)</f>
        <v>2847.803158645866</v>
      </c>
      <c r="V360" s="126">
        <f>SUM(V361:V379)</f>
        <v>1443661.9217411024</v>
      </c>
    </row>
    <row r="361" spans="1:22">
      <c r="A361" s="351" t="str">
        <f>IF(B361="","",(IF(ISERROR(MATCH(B361,Tot_res!C:C,0)),"Eliminar!!!","")))</f>
        <v/>
      </c>
      <c r="B361" s="102" t="s">
        <v>648</v>
      </c>
      <c r="C361" s="330" t="str">
        <f>VLOOKUP(B361,Tot_res!C:D,2,FALSE)</f>
        <v>Dirección y servicios generales de Cultura</v>
      </c>
      <c r="D361" s="179">
        <f>VLOOKUP(B361,Tot_res!C:V,3,FALSE)</f>
        <v>3284.3364306915619</v>
      </c>
      <c r="E361" s="179">
        <f>VLOOKUP(B361,Tot_res!C:V,4,FALSE)</f>
        <v>572.52175204294338</v>
      </c>
      <c r="F361" s="179">
        <f>VLOOKUP(B361,Tot_res!C:V,5,FALSE)</f>
        <v>426.29409368493123</v>
      </c>
      <c r="G361" s="179">
        <f>VLOOKUP(B361,Tot_res!C:V,6,FALSE)</f>
        <v>471.82910297101569</v>
      </c>
      <c r="H361" s="179">
        <f>VLOOKUP(B361,Tot_res!C:V,7,FALSE)</f>
        <v>822.28223163621328</v>
      </c>
      <c r="I361" s="179">
        <f>VLOOKUP(B361,Tot_res!C:V,8,FALSE)</f>
        <v>331.25191248655204</v>
      </c>
      <c r="J361" s="179">
        <f>VLOOKUP(B361,Tot_res!C:V,9,FALSE)</f>
        <v>1288.032129706522</v>
      </c>
      <c r="K361" s="179">
        <f>VLOOKUP(B361,Tot_res!C:V,10,FALSE)</f>
        <v>940.42822018695176</v>
      </c>
      <c r="L361" s="179">
        <f>VLOOKUP(B361,Tot_res!C:V,11,FALSE)</f>
        <v>3310.0394719810884</v>
      </c>
      <c r="M361" s="179">
        <f>VLOOKUP(B361,Tot_res!C:V,12,FALSE)</f>
        <v>2061.6232438534412</v>
      </c>
      <c r="N361" s="179">
        <f>VLOOKUP(B361,Tot_res!C:V,13,FALSE)</f>
        <v>474.58990123257149</v>
      </c>
      <c r="O361" s="179">
        <f>VLOOKUP(B361,Tot_res!C:V,14,FALSE)</f>
        <v>1201.5764637437653</v>
      </c>
      <c r="P361" s="179">
        <f>VLOOKUP(B361,Tot_res!C:V,15,FALSE)</f>
        <v>7261.9486702438571</v>
      </c>
      <c r="Q361" s="179">
        <f>VLOOKUP(B361,Tot_res!C:V,16,FALSE)</f>
        <v>615.47394202213854</v>
      </c>
      <c r="R361" s="179">
        <f>VLOOKUP(B361,Tot_res!C:V,17,FALSE)</f>
        <v>281.16557216753137</v>
      </c>
      <c r="S361" s="179">
        <f>VLOOKUP(B361,Tot_res!C:V,18,FALSE)</f>
        <v>992.05000845501206</v>
      </c>
      <c r="T361" s="179">
        <f>VLOOKUP(B361,Tot_res!C:V,19,FALSE)</f>
        <v>141.7021242484104</v>
      </c>
      <c r="U361" s="179">
        <f>VLOOKUP(B361,Tot_res!C:V,20,FALSE)</f>
        <v>65.749548575793455</v>
      </c>
      <c r="V361" s="122">
        <f t="shared" ref="V361:V379" si="75">SUM(D361:U361)</f>
        <v>24542.894819930301</v>
      </c>
    </row>
    <row r="362" spans="1:22">
      <c r="A362" s="351" t="str">
        <f>IF(B362="","",(IF(ISERROR(MATCH(B362,Tot_res!C:C,0)),"Eliminar!!!","")))</f>
        <v/>
      </c>
      <c r="B362" s="115" t="s">
        <v>335</v>
      </c>
      <c r="C362" s="330" t="str">
        <f>VLOOKUP(B362,Tot_res!C:D,2,FALSE)</f>
        <v>Archivos</v>
      </c>
      <c r="D362" s="179">
        <f>VLOOKUP(B362,Tot_res!C:V,3,FALSE)</f>
        <v>3170.8493750445505</v>
      </c>
      <c r="E362" s="179">
        <f>VLOOKUP(B362,Tot_res!C:V,4,FALSE)</f>
        <v>389.68978363802887</v>
      </c>
      <c r="F362" s="179">
        <f>VLOOKUP(B362,Tot_res!C:V,5,FALSE)</f>
        <v>270.88902225785762</v>
      </c>
      <c r="G362" s="179">
        <f>VLOOKUP(B362,Tot_res!C:V,6,FALSE)</f>
        <v>909.94845987952635</v>
      </c>
      <c r="H362" s="179">
        <f>VLOOKUP(B362,Tot_res!C:V,7,FALSE)</f>
        <v>580.6413590268287</v>
      </c>
      <c r="I362" s="179">
        <f>VLOOKUP(B362,Tot_res!C:V,8,FALSE)</f>
        <v>182.44865515039044</v>
      </c>
      <c r="J362" s="179">
        <f>VLOOKUP(B362,Tot_res!C:V,9,FALSE)</f>
        <v>3773.5891271122614</v>
      </c>
      <c r="K362" s="179">
        <f>VLOOKUP(B362,Tot_res!C:V,10,FALSE)</f>
        <v>819.91118256739878</v>
      </c>
      <c r="L362" s="179">
        <f>VLOOKUP(B362,Tot_res!C:V,11,FALSE)</f>
        <v>3088.260750863979</v>
      </c>
      <c r="M362" s="179">
        <f>VLOOKUP(B362,Tot_res!C:V,12,FALSE)</f>
        <v>1350.490273413734</v>
      </c>
      <c r="N362" s="179">
        <f>VLOOKUP(B362,Tot_res!C:V,13,FALSE)</f>
        <v>307.67351772816346</v>
      </c>
      <c r="O362" s="179">
        <f>VLOOKUP(B362,Tot_res!C:V,14,FALSE)</f>
        <v>2004.1029117982637</v>
      </c>
      <c r="P362" s="179">
        <f>VLOOKUP(B362,Tot_res!C:V,15,FALSE)</f>
        <v>7015.8275255650215</v>
      </c>
      <c r="Q362" s="179">
        <f>VLOOKUP(B362,Tot_res!C:V,16,FALSE)</f>
        <v>361.18103827539744</v>
      </c>
      <c r="R362" s="179">
        <f>VLOOKUP(B362,Tot_res!C:V,17,FALSE)</f>
        <v>195.70809382401947</v>
      </c>
      <c r="S362" s="179">
        <f>VLOOKUP(B362,Tot_res!C:V,18,FALSE)</f>
        <v>699.33666398922219</v>
      </c>
      <c r="T362" s="179">
        <f>VLOOKUP(B362,Tot_res!C:V,19,FALSE)</f>
        <v>89.737932942879681</v>
      </c>
      <c r="U362" s="179">
        <f>VLOOKUP(B362,Tot_res!C:V,20,FALSE)</f>
        <v>41.019806922476356</v>
      </c>
      <c r="V362" s="122">
        <f t="shared" si="75"/>
        <v>25251.305480000003</v>
      </c>
    </row>
    <row r="363" spans="1:22">
      <c r="A363" s="351" t="str">
        <f>IF(B363="","",(IF(ISERROR(MATCH(B363,Tot_res!C:C,0)),"Eliminar!!!","")))</f>
        <v/>
      </c>
      <c r="B363" s="115" t="s">
        <v>337</v>
      </c>
      <c r="C363" s="330" t="str">
        <f>VLOOKUP(B363,Tot_res!C:D,2,FALSE)</f>
        <v>Bibliotecas</v>
      </c>
      <c r="D363" s="179">
        <f>VLOOKUP(B363,Tot_res!C:V,3,FALSE)</f>
        <v>2341.3810815597694</v>
      </c>
      <c r="E363" s="179">
        <f>VLOOKUP(B363,Tot_res!C:V,4,FALSE)</f>
        <v>321.32069641785154</v>
      </c>
      <c r="F363" s="179">
        <f>VLOOKUP(B363,Tot_res!C:V,5,FALSE)</f>
        <v>285.31932821826632</v>
      </c>
      <c r="G363" s="179">
        <f>VLOOKUP(B363,Tot_res!C:V,6,FALSE)</f>
        <v>509.56148215919609</v>
      </c>
      <c r="H363" s="179">
        <f>VLOOKUP(B363,Tot_res!C:V,7,FALSE)</f>
        <v>498.30802040395275</v>
      </c>
      <c r="I363" s="179">
        <f>VLOOKUP(B363,Tot_res!C:V,8,FALSE)</f>
        <v>105.3205334269754</v>
      </c>
      <c r="J363" s="179">
        <f>VLOOKUP(B363,Tot_res!C:V,9,FALSE)</f>
        <v>5368.4510724384954</v>
      </c>
      <c r="K363" s="179">
        <f>VLOOKUP(B363,Tot_res!C:V,10,FALSE)</f>
        <v>619.03062957647398</v>
      </c>
      <c r="L363" s="179">
        <f>VLOOKUP(B363,Tot_res!C:V,11,FALSE)</f>
        <v>2245.1425374166975</v>
      </c>
      <c r="M363" s="179">
        <f>VLOOKUP(B363,Tot_res!C:V,12,FALSE)</f>
        <v>974.69769882320998</v>
      </c>
      <c r="N363" s="179">
        <f>VLOOKUP(B363,Tot_res!C:V,13,FALSE)</f>
        <v>614.83511905257114</v>
      </c>
      <c r="O363" s="179">
        <f>VLOOKUP(B363,Tot_res!C:V,14,FALSE)</f>
        <v>2953.7876346810212</v>
      </c>
      <c r="P363" s="179">
        <f>VLOOKUP(B363,Tot_res!C:V,15,FALSE)</f>
        <v>21912.127834607461</v>
      </c>
      <c r="Q363" s="179">
        <f>VLOOKUP(B363,Tot_res!C:V,16,FALSE)</f>
        <v>391.97434633764226</v>
      </c>
      <c r="R363" s="179">
        <f>VLOOKUP(B363,Tot_res!C:V,17,FALSE)</f>
        <v>121.69259941482105</v>
      </c>
      <c r="S363" s="179">
        <f>VLOOKUP(B363,Tot_res!C:V,18,FALSE)</f>
        <v>461.98939500084481</v>
      </c>
      <c r="T363" s="179">
        <f>VLOOKUP(B363,Tot_res!C:V,19,FALSE)</f>
        <v>314.66936218824645</v>
      </c>
      <c r="U363" s="179">
        <f>VLOOKUP(B363,Tot_res!C:V,20,FALSE)</f>
        <v>157.72915827650121</v>
      </c>
      <c r="V363" s="122">
        <f t="shared" si="75"/>
        <v>40197.338530000001</v>
      </c>
    </row>
    <row r="364" spans="1:22">
      <c r="A364" s="351" t="str">
        <f>IF(B364="","",(IF(ISERROR(MATCH(B364,Tot_res!C:C,0)),"Eliminar!!!","")))</f>
        <v/>
      </c>
      <c r="B364" s="115" t="s">
        <v>338</v>
      </c>
      <c r="C364" s="330" t="str">
        <f>VLOOKUP(B364,Tot_res!C:D,2,FALSE)</f>
        <v>Museos</v>
      </c>
      <c r="D364" s="179">
        <f>VLOOKUP(B364,Tot_res!C:V,3,FALSE)</f>
        <v>6468.6831821709857</v>
      </c>
      <c r="E364" s="179">
        <f>VLOOKUP(B364,Tot_res!C:V,4,FALSE)</f>
        <v>1079.258680280419</v>
      </c>
      <c r="F364" s="179">
        <f>VLOOKUP(B364,Tot_res!C:V,5,FALSE)</f>
        <v>724.67618773971151</v>
      </c>
      <c r="G364" s="179">
        <f>VLOOKUP(B364,Tot_res!C:V,6,FALSE)</f>
        <v>1210.9457310189655</v>
      </c>
      <c r="H364" s="179">
        <f>VLOOKUP(B364,Tot_res!C:V,7,FALSE)</f>
        <v>1369.453116196054</v>
      </c>
      <c r="I364" s="179">
        <f>VLOOKUP(B364,Tot_res!C:V,8,FALSE)</f>
        <v>4313.7178416726247</v>
      </c>
      <c r="J364" s="179">
        <f>VLOOKUP(B364,Tot_res!C:V,9,FALSE)</f>
        <v>5447.8081898364171</v>
      </c>
      <c r="K364" s="179">
        <f>VLOOKUP(B364,Tot_res!C:V,10,FALSE)</f>
        <v>6136.5333086083492</v>
      </c>
      <c r="L364" s="179">
        <f>VLOOKUP(B364,Tot_res!C:V,11,FALSE)</f>
        <v>8758.5094050945663</v>
      </c>
      <c r="M364" s="179">
        <f>VLOOKUP(B364,Tot_res!C:V,12,FALSE)</f>
        <v>8939.9146635293946</v>
      </c>
      <c r="N364" s="179">
        <f>VLOOKUP(B364,Tot_res!C:V,13,FALSE)</f>
        <v>3207.3948723015528</v>
      </c>
      <c r="O364" s="179">
        <f>VLOOKUP(B364,Tot_res!C:V,14,FALSE)</f>
        <v>1920.5526370331486</v>
      </c>
      <c r="P364" s="179">
        <f>VLOOKUP(B364,Tot_res!C:V,15,FALSE)</f>
        <v>69684.397818684054</v>
      </c>
      <c r="Q364" s="179">
        <f>VLOOKUP(B364,Tot_res!C:V,16,FALSE)</f>
        <v>3575.8441122680661</v>
      </c>
      <c r="R364" s="179">
        <f>VLOOKUP(B364,Tot_res!C:V,17,FALSE)</f>
        <v>503.56584159323654</v>
      </c>
      <c r="S364" s="179">
        <f>VLOOKUP(B364,Tot_res!C:V,18,FALSE)</f>
        <v>2153.7618424988541</v>
      </c>
      <c r="T364" s="179">
        <f>VLOOKUP(B364,Tot_res!C:V,19,FALSE)</f>
        <v>443.56087687616497</v>
      </c>
      <c r="U364" s="179">
        <f>VLOOKUP(B364,Tot_res!C:V,20,FALSE)</f>
        <v>106.38072259744618</v>
      </c>
      <c r="V364" s="122">
        <f t="shared" si="75"/>
        <v>126044.95903000001</v>
      </c>
    </row>
    <row r="365" spans="1:22">
      <c r="A365" s="351" t="str">
        <f>IF(B365="","",(IF(ISERROR(MATCH(B365,Tot_res!C:C,0)),"Eliminar!!!","")))</f>
        <v/>
      </c>
      <c r="B365" s="119" t="s">
        <v>340</v>
      </c>
      <c r="C365" s="330" t="str">
        <f>VLOOKUP(B365,Tot_res!C:D,2,FALSE)</f>
        <v>Exposiciones</v>
      </c>
      <c r="D365" s="179">
        <f>VLOOKUP(B365,Tot_res!C:V,3,FALSE)</f>
        <v>30.556865518307777</v>
      </c>
      <c r="E365" s="179">
        <f>VLOOKUP(B365,Tot_res!C:V,4,FALSE)</f>
        <v>18.817944307366947</v>
      </c>
      <c r="F365" s="179">
        <f>VLOOKUP(B365,Tot_res!C:V,5,FALSE)</f>
        <v>3.8429177520280855</v>
      </c>
      <c r="G365" s="179">
        <f>VLOOKUP(B365,Tot_res!C:V,6,FALSE)</f>
        <v>4.0155792899502849</v>
      </c>
      <c r="H365" s="179">
        <f>VLOOKUP(B365,Tot_res!C:V,7,FALSE)</f>
        <v>7.6479171126752412</v>
      </c>
      <c r="I365" s="179">
        <f>VLOOKUP(B365,Tot_res!C:V,8,FALSE)</f>
        <v>2.1348714541049216</v>
      </c>
      <c r="J365" s="179">
        <f>VLOOKUP(B365,Tot_res!C:V,9,FALSE)</f>
        <v>316.35391609508525</v>
      </c>
      <c r="K365" s="179">
        <f>VLOOKUP(B365,Tot_res!C:V,10,FALSE)</f>
        <v>96.717026771296986</v>
      </c>
      <c r="L365" s="179">
        <f>VLOOKUP(B365,Tot_res!C:V,11,FALSE)</f>
        <v>826.96833791893869</v>
      </c>
      <c r="M365" s="179">
        <f>VLOOKUP(B365,Tot_res!C:V,12,FALSE)</f>
        <v>126.32916771101353</v>
      </c>
      <c r="N365" s="179">
        <f>VLOOKUP(B365,Tot_res!C:V,13,FALSE)</f>
        <v>3.9877674984496285</v>
      </c>
      <c r="O365" s="179">
        <f>VLOOKUP(B365,Tot_res!C:V,14,FALSE)</f>
        <v>9.9684539177568787</v>
      </c>
      <c r="P365" s="179">
        <f>VLOOKUP(B365,Tot_res!C:V,15,FALSE)</f>
        <v>508.23085197468743</v>
      </c>
      <c r="Q365" s="179">
        <f>VLOOKUP(B365,Tot_res!C:V,16,FALSE)</f>
        <v>5.3363029239356257</v>
      </c>
      <c r="R365" s="179">
        <f>VLOOKUP(B365,Tot_res!C:V,17,FALSE)</f>
        <v>2.330257837358058</v>
      </c>
      <c r="S365" s="179">
        <f>VLOOKUP(B365,Tot_res!C:V,18,FALSE)</f>
        <v>31.853954482885285</v>
      </c>
      <c r="T365" s="179">
        <f>VLOOKUP(B365,Tot_res!C:V,19,FALSE)</f>
        <v>1.1568028408939126</v>
      </c>
      <c r="U365" s="179">
        <f>VLOOKUP(B365,Tot_res!C:V,20,FALSE)</f>
        <v>0.6171245932651761</v>
      </c>
      <c r="V365" s="122">
        <f t="shared" si="75"/>
        <v>1996.8660599999994</v>
      </c>
    </row>
    <row r="366" spans="1:22">
      <c r="A366" s="351" t="str">
        <f>IF(B366="","",(IF(ISERROR(MATCH(B366,Tot_res!C:C,0)),"Eliminar!!!","")))</f>
        <v/>
      </c>
      <c r="B366" s="115" t="s">
        <v>341</v>
      </c>
      <c r="C366" s="330" t="str">
        <f>VLOOKUP(B366,Tot_res!C:D,2,FALSE)</f>
        <v>Promoción y cooperación cultural</v>
      </c>
      <c r="D366" s="179">
        <f>VLOOKUP(B366,Tot_res!C:V,3,FALSE)</f>
        <v>998.66128644341052</v>
      </c>
      <c r="E366" s="179">
        <f>VLOOKUP(B366,Tot_res!C:V,4,FALSE)</f>
        <v>217.04693665438953</v>
      </c>
      <c r="F366" s="179">
        <f>VLOOKUP(B366,Tot_res!C:V,5,FALSE)</f>
        <v>279.78846851211398</v>
      </c>
      <c r="G366" s="179">
        <f>VLOOKUP(B366,Tot_res!C:V,6,FALSE)</f>
        <v>131.36640093917077</v>
      </c>
      <c r="H366" s="179">
        <f>VLOOKUP(B366,Tot_res!C:V,7,FALSE)</f>
        <v>149.34075859325242</v>
      </c>
      <c r="I366" s="179">
        <f>VLOOKUP(B366,Tot_res!C:V,8,FALSE)</f>
        <v>445.31064228956041</v>
      </c>
      <c r="J366" s="179">
        <f>VLOOKUP(B366,Tot_res!C:V,9,FALSE)</f>
        <v>412.87188664960019</v>
      </c>
      <c r="K366" s="179">
        <f>VLOOKUP(B366,Tot_res!C:V,10,FALSE)</f>
        <v>155.03431551872222</v>
      </c>
      <c r="L366" s="179">
        <f>VLOOKUP(B366,Tot_res!C:V,11,FALSE)</f>
        <v>884.16773932708293</v>
      </c>
      <c r="M366" s="179">
        <f>VLOOKUP(B366,Tot_res!C:V,12,FALSE)</f>
        <v>370.14773829810508</v>
      </c>
      <c r="N366" s="179">
        <f>VLOOKUP(B366,Tot_res!C:V,13,FALSE)</f>
        <v>143.13074708622986</v>
      </c>
      <c r="O366" s="179">
        <f>VLOOKUP(B366,Tot_res!C:V,14,FALSE)</f>
        <v>350.36794600652939</v>
      </c>
      <c r="P366" s="179">
        <f>VLOOKUP(B366,Tot_res!C:V,15,FALSE)</f>
        <v>2340.5259434626942</v>
      </c>
      <c r="Q366" s="179">
        <f>VLOOKUP(B366,Tot_res!C:V,16,FALSE)</f>
        <v>93.876080812545098</v>
      </c>
      <c r="R366" s="179">
        <f>VLOOKUP(B366,Tot_res!C:V,17,FALSE)</f>
        <v>100.94503709767417</v>
      </c>
      <c r="S366" s="179">
        <f>VLOOKUP(B366,Tot_res!C:V,18,FALSE)</f>
        <v>2067.405159764462</v>
      </c>
      <c r="T366" s="179">
        <f>VLOOKUP(B366,Tot_res!C:V,19,FALSE)</f>
        <v>16.412272307042187</v>
      </c>
      <c r="U366" s="179">
        <f>VLOOKUP(B366,Tot_res!C:V,20,FALSE)</f>
        <v>20.020370237414461</v>
      </c>
      <c r="V366" s="122">
        <f t="shared" si="75"/>
        <v>9176.4197299999978</v>
      </c>
    </row>
    <row r="367" spans="1:22">
      <c r="A367" s="351" t="str">
        <f>IF(B367="","",(IF(ISERROR(MATCH(B367,Tot_res!C:C,0)),"Eliminar!!!","")))</f>
        <v/>
      </c>
      <c r="B367" s="115" t="s">
        <v>343</v>
      </c>
      <c r="C367" s="330" t="str">
        <f>VLOOKUP(B367,Tot_res!C:D,2,FALSE)</f>
        <v>Promoción del libro y publicaciones culturales</v>
      </c>
      <c r="D367" s="179">
        <f>VLOOKUP(B367,Tot_res!C:V,3,FALSE)</f>
        <v>1119.1977527861275</v>
      </c>
      <c r="E367" s="179">
        <f>VLOOKUP(B367,Tot_res!C:V,4,FALSE)</f>
        <v>176.07511697825564</v>
      </c>
      <c r="F367" s="179">
        <f>VLOOKUP(B367,Tot_res!C:V,5,FALSE)</f>
        <v>140.75347190420646</v>
      </c>
      <c r="G367" s="179">
        <f>VLOOKUP(B367,Tot_res!C:V,6,FALSE)</f>
        <v>147.07749768228712</v>
      </c>
      <c r="H367" s="179">
        <f>VLOOKUP(B367,Tot_res!C:V,7,FALSE)</f>
        <v>280.11811751019934</v>
      </c>
      <c r="I367" s="179">
        <f>VLOOKUP(B367,Tot_res!C:V,8,FALSE)</f>
        <v>78.193338661975446</v>
      </c>
      <c r="J367" s="179">
        <f>VLOOKUP(B367,Tot_res!C:V,9,FALSE)</f>
        <v>330.85907183422154</v>
      </c>
      <c r="K367" s="179">
        <f>VLOOKUP(B367,Tot_res!C:V,10,FALSE)</f>
        <v>275.63375866471807</v>
      </c>
      <c r="L367" s="179">
        <f>VLOOKUP(B367,Tot_res!C:V,11,FALSE)</f>
        <v>1001.0026995391628</v>
      </c>
      <c r="M367" s="179">
        <f>VLOOKUP(B367,Tot_res!C:V,12,FALSE)</f>
        <v>665.1719906028801</v>
      </c>
      <c r="N367" s="179">
        <f>VLOOKUP(B367,Tot_res!C:V,13,FALSE)</f>
        <v>146.05884298650881</v>
      </c>
      <c r="O367" s="179">
        <f>VLOOKUP(B367,Tot_res!C:V,14,FALSE)</f>
        <v>365.11176896796502</v>
      </c>
      <c r="P367" s="179">
        <f>VLOOKUP(B367,Tot_res!C:V,15,FALSE)</f>
        <v>858.74456034040747</v>
      </c>
      <c r="Q367" s="179">
        <f>VLOOKUP(B367,Tot_res!C:V,16,FALSE)</f>
        <v>195.45127222150825</v>
      </c>
      <c r="R367" s="179">
        <f>VLOOKUP(B367,Tot_res!C:V,17,FALSE)</f>
        <v>85.34970098359193</v>
      </c>
      <c r="S367" s="179">
        <f>VLOOKUP(B367,Tot_res!C:V,18,FALSE)</f>
        <v>291.65032517354206</v>
      </c>
      <c r="T367" s="179">
        <f>VLOOKUP(B367,Tot_res!C:V,19,FALSE)</f>
        <v>42.369893573324013</v>
      </c>
      <c r="U367" s="179">
        <f>VLOOKUP(B367,Tot_res!C:V,20,FALSE)</f>
        <v>22.603249589118445</v>
      </c>
      <c r="V367" s="122">
        <f t="shared" si="75"/>
        <v>6221.4224299999996</v>
      </c>
    </row>
    <row r="368" spans="1:22">
      <c r="A368" s="351" t="str">
        <f>IF(B368="","",(IF(ISERROR(MATCH(B368,Tot_res!C:C,0)),"Eliminar!!!","")))</f>
        <v/>
      </c>
      <c r="B368" s="119" t="s">
        <v>345</v>
      </c>
      <c r="C368" s="330" t="str">
        <f>VLOOKUP(B368,Tot_res!C:D,2,FALSE)</f>
        <v>Fomento de las industrias culturales</v>
      </c>
      <c r="D368" s="179">
        <f>VLOOKUP(B368,Tot_res!C:V,3,FALSE)</f>
        <v>241.62965532528133</v>
      </c>
      <c r="E368" s="179">
        <f>VLOOKUP(B368,Tot_res!C:V,4,FALSE)</f>
        <v>81.458313269622664</v>
      </c>
      <c r="F368" s="179">
        <f>VLOOKUP(B368,Tot_res!C:V,5,FALSE)</f>
        <v>42.531514976311314</v>
      </c>
      <c r="G368" s="179">
        <f>VLOOKUP(B368,Tot_res!C:V,6,FALSE)</f>
        <v>33.274448695954099</v>
      </c>
      <c r="H368" s="179">
        <f>VLOOKUP(B368,Tot_res!C:V,7,FALSE)</f>
        <v>145.42949427395803</v>
      </c>
      <c r="I368" s="179">
        <f>VLOOKUP(B368,Tot_res!C:V,8,FALSE)</f>
        <v>7.2693163498656563</v>
      </c>
      <c r="J368" s="179">
        <f>VLOOKUP(B368,Tot_res!C:V,9,FALSE)</f>
        <v>80.906249012928185</v>
      </c>
      <c r="K368" s="179">
        <f>VLOOKUP(B368,Tot_res!C:V,10,FALSE)</f>
        <v>28.846732541244272</v>
      </c>
      <c r="L368" s="179">
        <f>VLOOKUP(B368,Tot_res!C:V,11,FALSE)</f>
        <v>499.73334742013986</v>
      </c>
      <c r="M368" s="179">
        <f>VLOOKUP(B368,Tot_res!C:V,12,FALSE)</f>
        <v>240.70681557566749</v>
      </c>
      <c r="N368" s="179">
        <f>VLOOKUP(B368,Tot_res!C:V,13,FALSE)</f>
        <v>33.629011049765708</v>
      </c>
      <c r="O368" s="179">
        <f>VLOOKUP(B368,Tot_res!C:V,14,FALSE)</f>
        <v>85.052152395023427</v>
      </c>
      <c r="P368" s="179">
        <f>VLOOKUP(B368,Tot_res!C:V,15,FALSE)</f>
        <v>1256.4076564843394</v>
      </c>
      <c r="Q368" s="179">
        <f>VLOOKUP(B368,Tot_res!C:V,16,FALSE)</f>
        <v>14.759291725315091</v>
      </c>
      <c r="R368" s="179">
        <f>VLOOKUP(B368,Tot_res!C:V,17,FALSE)</f>
        <v>31.841185669448734</v>
      </c>
      <c r="S368" s="179">
        <f>VLOOKUP(B368,Tot_res!C:V,18,FALSE)</f>
        <v>144.25463098428111</v>
      </c>
      <c r="T368" s="179">
        <f>VLOOKUP(B368,Tot_res!C:V,19,FALSE)</f>
        <v>4.1459033820952484</v>
      </c>
      <c r="U368" s="179">
        <f>VLOOKUP(B368,Tot_res!C:V,20,FALSE)</f>
        <v>0.56874086875819363</v>
      </c>
      <c r="V368" s="122">
        <f t="shared" si="75"/>
        <v>2972.4444599999997</v>
      </c>
    </row>
    <row r="369" spans="1:22">
      <c r="A369" s="351" t="str">
        <f>IF(B369="","",(IF(ISERROR(MATCH(B369,Tot_res!C:C,0)),"Eliminar!!!","")))</f>
        <v/>
      </c>
      <c r="B369" s="119" t="s">
        <v>347</v>
      </c>
      <c r="C369" s="330" t="str">
        <f>VLOOKUP(B369,Tot_res!C:D,2,FALSE)</f>
        <v>Música y danza</v>
      </c>
      <c r="D369" s="179">
        <f>VLOOKUP(B369,Tot_res!C:V,3,FALSE)</f>
        <v>5614.4756640799096</v>
      </c>
      <c r="E369" s="179">
        <f>VLOOKUP(B369,Tot_res!C:V,4,FALSE)</f>
        <v>851.83060962792729</v>
      </c>
      <c r="F369" s="179">
        <f>VLOOKUP(B369,Tot_res!C:V,5,FALSE)</f>
        <v>728.5085762768565</v>
      </c>
      <c r="G369" s="179">
        <f>VLOOKUP(B369,Tot_res!C:V,6,FALSE)</f>
        <v>618.19160314275882</v>
      </c>
      <c r="H369" s="179">
        <f>VLOOKUP(B369,Tot_res!C:V,7,FALSE)</f>
        <v>1150.9157837039461</v>
      </c>
      <c r="I369" s="179">
        <f>VLOOKUP(B369,Tot_res!C:V,8,FALSE)</f>
        <v>377.2701512951179</v>
      </c>
      <c r="J369" s="179">
        <f>VLOOKUP(B369,Tot_res!C:V,9,FALSE)</f>
        <v>1330.6709700131614</v>
      </c>
      <c r="K369" s="179">
        <f>VLOOKUP(B369,Tot_res!C:V,10,FALSE)</f>
        <v>1081.0384465549346</v>
      </c>
      <c r="L369" s="179">
        <f>VLOOKUP(B369,Tot_res!C:V,11,FALSE)</f>
        <v>13139.905419500881</v>
      </c>
      <c r="M369" s="179">
        <f>VLOOKUP(B369,Tot_res!C:V,12,FALSE)</f>
        <v>2855.2841540483787</v>
      </c>
      <c r="N369" s="179">
        <f>VLOOKUP(B369,Tot_res!C:V,13,FALSE)</f>
        <v>532.81850185948315</v>
      </c>
      <c r="O369" s="179">
        <f>VLOOKUP(B369,Tot_res!C:V,14,FALSE)</f>
        <v>1405.4362005362664</v>
      </c>
      <c r="P369" s="179">
        <f>VLOOKUP(B369,Tot_res!C:V,15,FALSE)</f>
        <v>55160.693051963899</v>
      </c>
      <c r="Q369" s="179">
        <f>VLOOKUP(B369,Tot_res!C:V,16,FALSE)</f>
        <v>745.81376842803911</v>
      </c>
      <c r="R369" s="179">
        <f>VLOOKUP(B369,Tot_res!C:V,17,FALSE)</f>
        <v>446.85984789121665</v>
      </c>
      <c r="S369" s="179">
        <f>VLOOKUP(B369,Tot_res!C:V,18,FALSE)</f>
        <v>1851.0874547608773</v>
      </c>
      <c r="T369" s="179">
        <f>VLOOKUP(B369,Tot_res!C:V,19,FALSE)</f>
        <v>168.72752378133066</v>
      </c>
      <c r="U369" s="179">
        <f>VLOOKUP(B369,Tot_res!C:V,20,FALSE)</f>
        <v>74.451292535017046</v>
      </c>
      <c r="V369" s="122">
        <f t="shared" si="75"/>
        <v>88133.979019999999</v>
      </c>
    </row>
    <row r="370" spans="1:22">
      <c r="A370" s="351" t="str">
        <f>IF(B370="","",(IF(ISERROR(MATCH(B370,Tot_res!C:C,0)),"Eliminar!!!","")))</f>
        <v/>
      </c>
      <c r="B370" s="115" t="s">
        <v>348</v>
      </c>
      <c r="C370" s="330" t="str">
        <f>VLOOKUP(B370,Tot_res!C:D,2,FALSE)</f>
        <v>Teatro</v>
      </c>
      <c r="D370" s="179">
        <f>VLOOKUP(B370,Tot_res!C:V,3,FALSE)</f>
        <v>3040.4550395298374</v>
      </c>
      <c r="E370" s="179">
        <f>VLOOKUP(B370,Tot_res!C:V,4,FALSE)</f>
        <v>676.11864946859009</v>
      </c>
      <c r="F370" s="179">
        <f>VLOOKUP(B370,Tot_res!C:V,5,FALSE)</f>
        <v>404.37629023400012</v>
      </c>
      <c r="G370" s="179">
        <f>VLOOKUP(B370,Tot_res!C:V,6,FALSE)</f>
        <v>534.71145201636102</v>
      </c>
      <c r="H370" s="179">
        <f>VLOOKUP(B370,Tot_res!C:V,7,FALSE)</f>
        <v>649.85663300091369</v>
      </c>
      <c r="I370" s="179">
        <f>VLOOKUP(B370,Tot_res!C:V,8,FALSE)</f>
        <v>221.07260124798449</v>
      </c>
      <c r="J370" s="179">
        <f>VLOOKUP(B370,Tot_res!C:V,9,FALSE)</f>
        <v>1114.5349199342238</v>
      </c>
      <c r="K370" s="179">
        <f>VLOOKUP(B370,Tot_res!C:V,10,FALSE)</f>
        <v>776.24112702070136</v>
      </c>
      <c r="L370" s="179">
        <f>VLOOKUP(B370,Tot_res!C:V,11,FALSE)</f>
        <v>4466.3842265163794</v>
      </c>
      <c r="M370" s="179">
        <f>VLOOKUP(B370,Tot_res!C:V,12,FALSE)</f>
        <v>2272.6262894852407</v>
      </c>
      <c r="N370" s="179">
        <f>VLOOKUP(B370,Tot_res!C:V,13,FALSE)</f>
        <v>553.68229593815386</v>
      </c>
      <c r="O370" s="179">
        <f>VLOOKUP(B370,Tot_res!C:V,14,FALSE)</f>
        <v>1034.4675571627199</v>
      </c>
      <c r="P370" s="179">
        <f>VLOOKUP(B370,Tot_res!C:V,15,FALSE)</f>
        <v>25903.755819953523</v>
      </c>
      <c r="Q370" s="179">
        <f>VLOOKUP(B370,Tot_res!C:V,16,FALSE)</f>
        <v>593.83379092376572</v>
      </c>
      <c r="R370" s="179">
        <f>VLOOKUP(B370,Tot_res!C:V,17,FALSE)</f>
        <v>220.29864686394092</v>
      </c>
      <c r="S370" s="179">
        <f>VLOOKUP(B370,Tot_res!C:V,18,FALSE)</f>
        <v>1287.9081839387877</v>
      </c>
      <c r="T370" s="179">
        <f>VLOOKUP(B370,Tot_res!C:V,19,FALSE)</f>
        <v>138.99387396313537</v>
      </c>
      <c r="U370" s="179">
        <f>VLOOKUP(B370,Tot_res!C:V,20,FALSE)</f>
        <v>46.145412801738082</v>
      </c>
      <c r="V370" s="122">
        <f t="shared" si="75"/>
        <v>43935.462809999997</v>
      </c>
    </row>
    <row r="371" spans="1:22">
      <c r="A371" s="351" t="str">
        <f>IF(B371="","",(IF(ISERROR(MATCH(B371,Tot_res!C:C,0)),"Eliminar!!!","")))</f>
        <v/>
      </c>
      <c r="B371" s="115" t="s">
        <v>350</v>
      </c>
      <c r="C371" s="330" t="str">
        <f>VLOOKUP(B371,Tot_res!C:D,2,FALSE)</f>
        <v>Cinematografía</v>
      </c>
      <c r="D371" s="179">
        <f>VLOOKUP(B371,Tot_res!C:V,3,FALSE)</f>
        <v>12830.942594618837</v>
      </c>
      <c r="E371" s="179">
        <f>VLOOKUP(B371,Tot_res!C:V,4,FALSE)</f>
        <v>2080.6933937219733</v>
      </c>
      <c r="F371" s="179">
        <f>VLOOKUP(B371,Tot_res!C:V,5,FALSE)</f>
        <v>1387.1289291479823</v>
      </c>
      <c r="G371" s="179">
        <f>VLOOKUP(B371,Tot_res!C:V,6,FALSE)</f>
        <v>1733.9111614349779</v>
      </c>
      <c r="H371" s="179">
        <f>VLOOKUP(B371,Tot_res!C:V,7,FALSE)</f>
        <v>2774.2578582959645</v>
      </c>
      <c r="I371" s="179">
        <f>VLOOKUP(B371,Tot_res!C:V,8,FALSE)</f>
        <v>1040.3466968609866</v>
      </c>
      <c r="J371" s="179">
        <f>VLOOKUP(B371,Tot_res!C:V,9,FALSE)</f>
        <v>4161.3867874439466</v>
      </c>
      <c r="K371" s="179">
        <f>VLOOKUP(B371,Tot_res!C:V,10,FALSE)</f>
        <v>2427.4756260089689</v>
      </c>
      <c r="L371" s="179">
        <f>VLOOKUP(B371,Tot_res!C:V,11,FALSE)</f>
        <v>12484.160362331841</v>
      </c>
      <c r="M371" s="179">
        <f>VLOOKUP(B371,Tot_res!C:V,12,FALSE)</f>
        <v>7975.991342600898</v>
      </c>
      <c r="N371" s="179">
        <f>VLOOKUP(B371,Tot_res!C:V,13,FALSE)</f>
        <v>1040.3466968609866</v>
      </c>
      <c r="O371" s="179">
        <f>VLOOKUP(B371,Tot_res!C:V,14,FALSE)</f>
        <v>3121.0400905829601</v>
      </c>
      <c r="P371" s="179">
        <f>VLOOKUP(B371,Tot_res!C:V,15,FALSE)</f>
        <v>14564.853756053813</v>
      </c>
      <c r="Q371" s="179">
        <f>VLOOKUP(B371,Tot_res!C:V,16,FALSE)</f>
        <v>2080.6933937219733</v>
      </c>
      <c r="R371" s="179">
        <f>VLOOKUP(B371,Tot_res!C:V,17,FALSE)</f>
        <v>1733.9111614349779</v>
      </c>
      <c r="S371" s="179">
        <f>VLOOKUP(B371,Tot_res!C:V,18,FALSE)</f>
        <v>5201.7334843049339</v>
      </c>
      <c r="T371" s="179">
        <f>VLOOKUP(B371,Tot_res!C:V,19,FALSE)</f>
        <v>693.56446457399113</v>
      </c>
      <c r="U371" s="179">
        <f>VLOOKUP(B371,Tot_res!C:V,20,FALSE)</f>
        <v>0</v>
      </c>
      <c r="V371" s="122">
        <f t="shared" si="75"/>
        <v>77332.437800000014</v>
      </c>
    </row>
    <row r="372" spans="1:22">
      <c r="A372" s="351" t="str">
        <f>IF(B372="","",(IF(ISERROR(MATCH(B372,Tot_res!C:C,0)),"Eliminar!!!","")))</f>
        <v/>
      </c>
      <c r="B372" s="102" t="s">
        <v>831</v>
      </c>
      <c r="C372" s="330" t="str">
        <f>VLOOKUP(B372,Tot_res!C:D,2,FALSE)</f>
        <v>Fomento y apoyo de las actividades deportivas</v>
      </c>
      <c r="D372" s="179">
        <f>VLOOKUP(B372,Tot_res!C:V,3,FALSE)</f>
        <v>15336.158991767485</v>
      </c>
      <c r="E372" s="179">
        <f>VLOOKUP(B372,Tot_res!C:V,4,FALSE)</f>
        <v>4028.2453531452288</v>
      </c>
      <c r="F372" s="179">
        <f>VLOOKUP(B372,Tot_res!C:V,5,FALSE)</f>
        <v>2591.6744172351328</v>
      </c>
      <c r="G372" s="179">
        <f>VLOOKUP(B372,Tot_res!C:V,6,FALSE)</f>
        <v>2535.436447038222</v>
      </c>
      <c r="H372" s="179">
        <f>VLOOKUP(B372,Tot_res!C:V,7,FALSE)</f>
        <v>4521.00773945943</v>
      </c>
      <c r="I372" s="179">
        <f>VLOOKUP(B372,Tot_res!C:V,8,FALSE)</f>
        <v>1881.2522368772529</v>
      </c>
      <c r="J372" s="179">
        <f>VLOOKUP(B372,Tot_res!C:V,9,FALSE)</f>
        <v>5103.5298449221054</v>
      </c>
      <c r="K372" s="179">
        <f>VLOOKUP(B372,Tot_res!C:V,10,FALSE)</f>
        <v>3874.2791071659399</v>
      </c>
      <c r="L372" s="179">
        <f>VLOOKUP(B372,Tot_res!C:V,11,FALSE)</f>
        <v>17147.625329585029</v>
      </c>
      <c r="M372" s="179">
        <f>VLOOKUP(B372,Tot_res!C:V,12,FALSE)</f>
        <v>10262.213181953071</v>
      </c>
      <c r="N372" s="179">
        <f>VLOOKUP(B372,Tot_res!C:V,13,FALSE)</f>
        <v>2173.478228359746</v>
      </c>
      <c r="O372" s="179">
        <f>VLOOKUP(B372,Tot_res!C:V,14,FALSE)</f>
        <v>6029.35900122983</v>
      </c>
      <c r="P372" s="179">
        <f>VLOOKUP(B372,Tot_res!C:V,15,FALSE)</f>
        <v>13920.745833989538</v>
      </c>
      <c r="Q372" s="179">
        <f>VLOOKUP(B372,Tot_res!C:V,16,FALSE)</f>
        <v>2677.2232806346879</v>
      </c>
      <c r="R372" s="179">
        <f>VLOOKUP(B372,Tot_res!C:V,17,FALSE)</f>
        <v>2064.6839785371294</v>
      </c>
      <c r="S372" s="179">
        <f>VLOOKUP(B372,Tot_res!C:V,18,FALSE)</f>
        <v>5852.7566640407376</v>
      </c>
      <c r="T372" s="179">
        <f>VLOOKUP(B372,Tot_res!C:V,19,FALSE)</f>
        <v>915.01458579373855</v>
      </c>
      <c r="U372" s="179">
        <f>VLOOKUP(B372,Tot_res!C:V,20,FALSE)</f>
        <v>525.42391826569565</v>
      </c>
      <c r="V372" s="122">
        <f t="shared" si="75"/>
        <v>101440.10813999997</v>
      </c>
    </row>
    <row r="373" spans="1:22">
      <c r="A373" s="351" t="str">
        <f>IF(B373="","",(IF(ISERROR(MATCH(B373,Tot_res!C:C,0)),"Eliminar!!!","")))</f>
        <v/>
      </c>
      <c r="B373" s="119" t="s">
        <v>353</v>
      </c>
      <c r="C373" s="330" t="str">
        <f>VLOOKUP(B373,Tot_res!C:D,2,FALSE)</f>
        <v>Administración del patrimonio histórico-nacional</v>
      </c>
      <c r="D373" s="179">
        <f>VLOOKUP(B373,Tot_res!C:V,3,FALSE)</f>
        <v>4303.5143060757409</v>
      </c>
      <c r="E373" s="179">
        <f>VLOOKUP(B373,Tot_res!C:V,4,FALSE)</f>
        <v>786.70492585462625</v>
      </c>
      <c r="F373" s="179">
        <f>VLOOKUP(B373,Tot_res!C:V,5,FALSE)</f>
        <v>557.78055595490628</v>
      </c>
      <c r="G373" s="179">
        <f>VLOOKUP(B373,Tot_res!C:V,6,FALSE)</f>
        <v>990.78246757715897</v>
      </c>
      <c r="H373" s="179">
        <f>VLOOKUP(B373,Tot_res!C:V,7,FALSE)</f>
        <v>1209.1761397599494</v>
      </c>
      <c r="I373" s="179">
        <f>VLOOKUP(B373,Tot_res!C:V,8,FALSE)</f>
        <v>316.38797486141948</v>
      </c>
      <c r="J373" s="179">
        <f>VLOOKUP(B373,Tot_res!C:V,9,FALSE)</f>
        <v>3915.2136734833366</v>
      </c>
      <c r="K373" s="179">
        <f>VLOOKUP(B373,Tot_res!C:V,10,FALSE)</f>
        <v>1034.4191931517462</v>
      </c>
      <c r="L373" s="179">
        <f>VLOOKUP(B373,Tot_res!C:V,11,FALSE)</f>
        <v>4606.8433889093249</v>
      </c>
      <c r="M373" s="179">
        <f>VLOOKUP(B373,Tot_res!C:V,12,FALSE)</f>
        <v>2636.980653080203</v>
      </c>
      <c r="N373" s="179">
        <f>VLOOKUP(B373,Tot_res!C:V,13,FALSE)</f>
        <v>910.36649743154817</v>
      </c>
      <c r="O373" s="179">
        <f>VLOOKUP(B373,Tot_res!C:V,14,FALSE)</f>
        <v>1453.6025813305719</v>
      </c>
      <c r="P373" s="179">
        <f>VLOOKUP(B373,Tot_res!C:V,15,FALSE)</f>
        <v>79501.856337547593</v>
      </c>
      <c r="Q373" s="179">
        <f>VLOOKUP(B373,Tot_res!C:V,16,FALSE)</f>
        <v>749.29868926052586</v>
      </c>
      <c r="R373" s="179">
        <f>VLOOKUP(B373,Tot_res!C:V,17,FALSE)</f>
        <v>406.24110282766981</v>
      </c>
      <c r="S373" s="179">
        <f>VLOOKUP(B373,Tot_res!C:V,18,FALSE)</f>
        <v>1425.8149231820939</v>
      </c>
      <c r="T373" s="179">
        <f>VLOOKUP(B373,Tot_res!C:V,19,FALSE)</f>
        <v>186.23747045964424</v>
      </c>
      <c r="U373" s="179">
        <f>VLOOKUP(B373,Tot_res!C:V,20,FALSE)</f>
        <v>85.094319251965288</v>
      </c>
      <c r="V373" s="122">
        <f t="shared" si="75"/>
        <v>105076.31520000003</v>
      </c>
    </row>
    <row r="374" spans="1:22">
      <c r="A374" s="351" t="str">
        <f>IF(B374="","",(IF(ISERROR(MATCH(B374,Tot_res!C:C,0)),"Eliminar!!!","")))</f>
        <v/>
      </c>
      <c r="B374" s="119" t="s">
        <v>354</v>
      </c>
      <c r="C374" s="330" t="str">
        <f>VLOOKUP(B374,Tot_res!C:D,2,FALSE)</f>
        <v>Conservación y restauración de bienes culturales + AF17/1</v>
      </c>
      <c r="D374" s="179">
        <f>VLOOKUP(B374,Tot_res!C:V,3,FALSE)</f>
        <v>1594.9022661918757</v>
      </c>
      <c r="E374" s="179">
        <f>VLOOKUP(B374,Tot_res!C:V,4,FALSE)</f>
        <v>1178.1007027036419</v>
      </c>
      <c r="F374" s="179">
        <f>VLOOKUP(B374,Tot_res!C:V,5,FALSE)</f>
        <v>424.77624193416386</v>
      </c>
      <c r="G374" s="179">
        <f>VLOOKUP(B374,Tot_res!C:V,6,FALSE)</f>
        <v>308.06313752972744</v>
      </c>
      <c r="H374" s="179">
        <f>VLOOKUP(B374,Tot_res!C:V,7,FALSE)</f>
        <v>995.09518811728537</v>
      </c>
      <c r="I374" s="179">
        <f>VLOOKUP(B374,Tot_res!C:V,8,FALSE)</f>
        <v>410.20630632800862</v>
      </c>
      <c r="J374" s="179">
        <f>VLOOKUP(B374,Tot_res!C:V,9,FALSE)</f>
        <v>1466.1689465250429</v>
      </c>
      <c r="K374" s="179">
        <f>VLOOKUP(B374,Tot_res!C:V,10,FALSE)</f>
        <v>3737.2387160384687</v>
      </c>
      <c r="L374" s="179">
        <f>VLOOKUP(B374,Tot_res!C:V,11,FALSE)</f>
        <v>1832.9586092607044</v>
      </c>
      <c r="M374" s="179">
        <f>VLOOKUP(B374,Tot_res!C:V,12,FALSE)</f>
        <v>1034.7577315872281</v>
      </c>
      <c r="N374" s="179">
        <f>VLOOKUP(B374,Tot_res!C:V,13,FALSE)</f>
        <v>197.1243414506346</v>
      </c>
      <c r="O374" s="179">
        <f>VLOOKUP(B374,Tot_res!C:V,14,FALSE)</f>
        <v>4808.3343605163709</v>
      </c>
      <c r="P374" s="179">
        <f>VLOOKUP(B374,Tot_res!C:V,15,FALSE)</f>
        <v>2893.3468648225994</v>
      </c>
      <c r="Q374" s="179">
        <f>VLOOKUP(B374,Tot_res!C:V,16,FALSE)</f>
        <v>636.65896628302755</v>
      </c>
      <c r="R374" s="179">
        <f>VLOOKUP(B374,Tot_res!C:V,17,FALSE)</f>
        <v>326.59296953963678</v>
      </c>
      <c r="S374" s="179">
        <f>VLOOKUP(B374,Tot_res!C:V,18,FALSE)</f>
        <v>751.75774285279556</v>
      </c>
      <c r="T374" s="179">
        <f>VLOOKUP(B374,Tot_res!C:V,19,FALSE)</f>
        <v>71.024088074670743</v>
      </c>
      <c r="U374" s="179">
        <f>VLOOKUP(B374,Tot_res!C:V,20,FALSE)</f>
        <v>44.34712151082266</v>
      </c>
      <c r="V374" s="122">
        <f t="shared" si="75"/>
        <v>22711.454301266705</v>
      </c>
    </row>
    <row r="375" spans="1:22">
      <c r="A375" s="351" t="str">
        <f>IF(B375="","",(IF(ISERROR(MATCH(B375,Tot_res!C:C,0)),"Eliminar!!!","")))</f>
        <v/>
      </c>
      <c r="B375" s="115" t="s">
        <v>356</v>
      </c>
      <c r="C375" s="330" t="str">
        <f>VLOOKUP(B375,Tot_res!C:D,2,FALSE)</f>
        <v>Protección del patrimonio histórico + AF17/2</v>
      </c>
      <c r="D375" s="179">
        <f>VLOOKUP(B375,Tot_res!C:V,3,FALSE)</f>
        <v>593.4388998376802</v>
      </c>
      <c r="E375" s="179">
        <f>VLOOKUP(B375,Tot_res!C:V,4,FALSE)</f>
        <v>180.22600779169375</v>
      </c>
      <c r="F375" s="179">
        <f>VLOOKUP(B375,Tot_res!C:V,5,FALSE)</f>
        <v>122.21237282800735</v>
      </c>
      <c r="G375" s="179">
        <f>VLOOKUP(B375,Tot_res!C:V,6,FALSE)</f>
        <v>68.122760897484753</v>
      </c>
      <c r="H375" s="179">
        <f>VLOOKUP(B375,Tot_res!C:V,7,FALSE)</f>
        <v>120.47521253805249</v>
      </c>
      <c r="I375" s="179">
        <f>VLOOKUP(B375,Tot_res!C:V,8,FALSE)</f>
        <v>102.33591937121901</v>
      </c>
      <c r="J375" s="179">
        <f>VLOOKUP(B375,Tot_res!C:V,9,FALSE)</f>
        <v>1218.7947264231898</v>
      </c>
      <c r="K375" s="179">
        <f>VLOOKUP(B375,Tot_res!C:V,10,FALSE)</f>
        <v>192.48213646197735</v>
      </c>
      <c r="L375" s="179">
        <f>VLOOKUP(B375,Tot_res!C:V,11,FALSE)</f>
        <v>569.57077460967116</v>
      </c>
      <c r="M375" s="179">
        <f>VLOOKUP(B375,Tot_res!C:V,12,FALSE)</f>
        <v>452.42351291622481</v>
      </c>
      <c r="N375" s="179">
        <f>VLOOKUP(B375,Tot_res!C:V,13,FALSE)</f>
        <v>126.4225195418863</v>
      </c>
      <c r="O375" s="179">
        <f>VLOOKUP(B375,Tot_res!C:V,14,FALSE)</f>
        <v>248.95058342386687</v>
      </c>
      <c r="P375" s="179">
        <f>VLOOKUP(B375,Tot_res!C:V,15,FALSE)</f>
        <v>2773.125569134254</v>
      </c>
      <c r="Q375" s="179">
        <f>VLOOKUP(B375,Tot_res!C:V,16,FALSE)</f>
        <v>197.23522906551108</v>
      </c>
      <c r="R375" s="179">
        <f>VLOOKUP(B375,Tot_res!C:V,17,FALSE)</f>
        <v>105.79256144104652</v>
      </c>
      <c r="S375" s="179">
        <f>VLOOKUP(B375,Tot_res!C:V,18,FALSE)</f>
        <v>364.18326643010334</v>
      </c>
      <c r="T375" s="179">
        <f>VLOOKUP(B375,Tot_res!C:V,19,FALSE)</f>
        <v>28.498561451111804</v>
      </c>
      <c r="U375" s="179">
        <f>VLOOKUP(B375,Tot_res!C:V,20,FALSE)</f>
        <v>9.4886897081942294</v>
      </c>
      <c r="V375" s="122">
        <f t="shared" si="75"/>
        <v>7473.7793038711752</v>
      </c>
    </row>
    <row r="376" spans="1:22">
      <c r="A376" s="351" t="str">
        <f>IF(B376="","",(IF(ISERROR(MATCH(B376,Tot_res!C:C,0)),"Eliminar!!!","")))</f>
        <v/>
      </c>
      <c r="B376" s="115" t="s">
        <v>834</v>
      </c>
      <c r="C376" s="330" t="str">
        <f>VLOOKUP(B376,Tot_res!C:D,2,FALSE)</f>
        <v>Dirección y Servicios Generales de Economía y Hacienda, transferencias a RTVE</v>
      </c>
      <c r="D376" s="179">
        <f>VLOOKUP(B376,Tot_res!C:V,3,FALSE)</f>
        <v>58237.549304688393</v>
      </c>
      <c r="E376" s="179">
        <f>VLOOKUP(B376,Tot_res!C:V,4,FALSE)</f>
        <v>9162.0835378048305</v>
      </c>
      <c r="F376" s="179">
        <f>VLOOKUP(B376,Tot_res!C:V,5,FALSE)</f>
        <v>7324.1187622306861</v>
      </c>
      <c r="G376" s="179">
        <f>VLOOKUP(B376,Tot_res!C:V,6,FALSE)</f>
        <v>7653.1899760874485</v>
      </c>
      <c r="H376" s="179">
        <f>VLOOKUP(B376,Tot_res!C:V,7,FALSE)</f>
        <v>14575.969831092158</v>
      </c>
      <c r="I376" s="179">
        <f>VLOOKUP(B376,Tot_res!C:V,8,FALSE)</f>
        <v>4068.7969612955403</v>
      </c>
      <c r="J376" s="179">
        <f>VLOOKUP(B376,Tot_res!C:V,9,FALSE)</f>
        <v>17216.279661822202</v>
      </c>
      <c r="K376" s="179">
        <f>VLOOKUP(B376,Tot_res!C:V,10,FALSE)</f>
        <v>14342.625840976465</v>
      </c>
      <c r="L376" s="179">
        <f>VLOOKUP(B376,Tot_res!C:V,11,FALSE)</f>
        <v>52087.25975674668</v>
      </c>
      <c r="M376" s="179">
        <f>VLOOKUP(B376,Tot_res!C:V,12,FALSE)</f>
        <v>34612.280539697946</v>
      </c>
      <c r="N376" s="179">
        <f>VLOOKUP(B376,Tot_res!C:V,13,FALSE)</f>
        <v>7600.1841932200678</v>
      </c>
      <c r="O376" s="179">
        <f>VLOOKUP(B376,Tot_res!C:V,14,FALSE)</f>
        <v>18998.6216413152</v>
      </c>
      <c r="P376" s="179">
        <f>VLOOKUP(B376,Tot_res!C:V,15,FALSE)</f>
        <v>44684.845505148456</v>
      </c>
      <c r="Q376" s="179">
        <f>VLOOKUP(B376,Tot_res!C:V,16,FALSE)</f>
        <v>10170.323407394577</v>
      </c>
      <c r="R376" s="179">
        <f>VLOOKUP(B376,Tot_res!C:V,17,FALSE)</f>
        <v>4441.1788772794225</v>
      </c>
      <c r="S376" s="179">
        <f>VLOOKUP(B376,Tot_res!C:V,18,FALSE)</f>
        <v>15176.049227886806</v>
      </c>
      <c r="T376" s="179">
        <f>VLOOKUP(B376,Tot_res!C:V,19,FALSE)</f>
        <v>2204.7209797091027</v>
      </c>
      <c r="U376" s="179">
        <f>VLOOKUP(B376,Tot_res!C:V,20,FALSE)</f>
        <v>1176.1619956040172</v>
      </c>
      <c r="V376" s="122">
        <f t="shared" si="75"/>
        <v>323732.24</v>
      </c>
    </row>
    <row r="377" spans="1:22">
      <c r="A377" s="351" t="str">
        <f>IF(B377="","",(IF(ISERROR(MATCH(B377,Tot_res!C:C,0)),"Eliminar!!!","")))</f>
        <v/>
      </c>
      <c r="B377" s="115" t="s">
        <v>358</v>
      </c>
      <c r="C377" s="330" t="str">
        <f>VLOOKUP(B377,Tot_res!C:D,2,FALSE)</f>
        <v>Normalización lingüística + AF08</v>
      </c>
      <c r="D377" s="179">
        <f>VLOOKUP(B377,Tot_res!C:V,3,FALSE)</f>
        <v>0</v>
      </c>
      <c r="E377" s="179">
        <f>VLOOKUP(B377,Tot_res!C:V,4,FALSE)</f>
        <v>0</v>
      </c>
      <c r="F377" s="179">
        <f>VLOOKUP(B377,Tot_res!C:V,5,FALSE)</f>
        <v>0</v>
      </c>
      <c r="G377" s="179">
        <f>VLOOKUP(B377,Tot_res!C:V,6,FALSE)</f>
        <v>20015.406417514638</v>
      </c>
      <c r="H377" s="179">
        <f>VLOOKUP(B377,Tot_res!C:V,7,FALSE)</f>
        <v>0</v>
      </c>
      <c r="I377" s="179">
        <f>VLOOKUP(B377,Tot_res!C:V,8,FALSE)</f>
        <v>0</v>
      </c>
      <c r="J377" s="179">
        <f>VLOOKUP(B377,Tot_res!C:V,9,FALSE)</f>
        <v>0</v>
      </c>
      <c r="K377" s="179">
        <f>VLOOKUP(B377,Tot_res!C:V,10,FALSE)</f>
        <v>0</v>
      </c>
      <c r="L377" s="179">
        <f>VLOOKUP(B377,Tot_res!C:V,11,FALSE)</f>
        <v>64899.858014701611</v>
      </c>
      <c r="M377" s="179">
        <f>VLOOKUP(B377,Tot_res!C:V,12,FALSE)</f>
        <v>41470.362823351476</v>
      </c>
      <c r="N377" s="179">
        <f>VLOOKUP(B377,Tot_res!C:V,13,FALSE)</f>
        <v>0</v>
      </c>
      <c r="O377" s="179">
        <f>VLOOKUP(B377,Tot_res!C:V,14,FALSE)</f>
        <v>31354.233030881132</v>
      </c>
      <c r="P377" s="179">
        <f>VLOOKUP(B377,Tot_res!C:V,15,FALSE)</f>
        <v>0</v>
      </c>
      <c r="Q377" s="179">
        <f>VLOOKUP(B377,Tot_res!C:V,16,FALSE)</f>
        <v>0</v>
      </c>
      <c r="R377" s="179">
        <f>VLOOKUP(B377,Tot_res!C:V,17,FALSE)</f>
        <v>6180.3491866743489</v>
      </c>
      <c r="S377" s="179">
        <f>VLOOKUP(B377,Tot_res!C:V,18,FALSE)</f>
        <v>21119.006032910791</v>
      </c>
      <c r="T377" s="179">
        <f>VLOOKUP(B377,Tot_res!C:V,19,FALSE)</f>
        <v>0</v>
      </c>
      <c r="U377" s="179">
        <f>VLOOKUP(B377,Tot_res!C:V,20,FALSE)</f>
        <v>0</v>
      </c>
      <c r="V377" s="122">
        <f t="shared" si="75"/>
        <v>185039.21550603397</v>
      </c>
    </row>
    <row r="378" spans="1:22">
      <c r="A378" s="351" t="str">
        <f>IF(B378="","",(IF(ISERROR(MATCH(B378,Tot_res!C:C,0)),"Eliminar!!!","")))</f>
        <v/>
      </c>
      <c r="B378" s="115" t="s">
        <v>359</v>
      </c>
      <c r="C378" s="330" t="str">
        <f>VLOOKUP(B378,Tot_res!C:D,2,FALSE)</f>
        <v>Aportación a la Iglesia Católica ligadas a la casilla del IRPF</v>
      </c>
      <c r="D378" s="179">
        <f>VLOOKUP(B378,Tot_res!C:V,3,FALSE)</f>
        <v>44028.543547293048</v>
      </c>
      <c r="E378" s="179">
        <f>VLOOKUP(B378,Tot_res!C:V,4,FALSE)</f>
        <v>8001.7068321529323</v>
      </c>
      <c r="F378" s="179">
        <f>VLOOKUP(B378,Tot_res!C:V,5,FALSE)</f>
        <v>6435.7474138343259</v>
      </c>
      <c r="G378" s="179">
        <f>VLOOKUP(B378,Tot_res!C:V,6,FALSE)</f>
        <v>5663.3611209994351</v>
      </c>
      <c r="H378" s="179">
        <f>VLOOKUP(B378,Tot_res!C:V,7,FALSE)</f>
        <v>9481.7113801915912</v>
      </c>
      <c r="I378" s="179">
        <f>VLOOKUP(B378,Tot_res!C:V,8,FALSE)</f>
        <v>5326.4575489826248</v>
      </c>
      <c r="J378" s="179">
        <f>VLOOKUP(B378,Tot_res!C:V,9,FALSE)</f>
        <v>18547.480227189408</v>
      </c>
      <c r="K378" s="179">
        <f>VLOOKUP(B378,Tot_res!C:V,10,FALSE)</f>
        <v>13416.973436124674</v>
      </c>
      <c r="L378" s="179">
        <f>VLOOKUP(B378,Tot_res!C:V,11,FALSE)</f>
        <v>31712.29742189257</v>
      </c>
      <c r="M378" s="179">
        <f>VLOOKUP(B378,Tot_res!C:V,12,FALSE)</f>
        <v>25837.507079744759</v>
      </c>
      <c r="N378" s="179">
        <f>VLOOKUP(B378,Tot_res!C:V,13,FALSE)</f>
        <v>8017.1852953834223</v>
      </c>
      <c r="O378" s="179">
        <f>VLOOKUP(B378,Tot_res!C:V,14,FALSE)</f>
        <v>19500.3388147117</v>
      </c>
      <c r="P378" s="179">
        <f>VLOOKUP(B378,Tot_res!C:V,15,FALSE)</f>
        <v>26836.801056958517</v>
      </c>
      <c r="Q378" s="179">
        <f>VLOOKUP(B378,Tot_res!C:V,16,FALSE)</f>
        <v>9724.0975278009482</v>
      </c>
      <c r="R378" s="179">
        <f>VLOOKUP(B378,Tot_res!C:V,17,FALSE)</f>
        <v>3481.4466871753457</v>
      </c>
      <c r="S378" s="179">
        <f>VLOOKUP(B378,Tot_res!C:V,18,FALSE)</f>
        <v>10358.385191246089</v>
      </c>
      <c r="T378" s="179">
        <f>VLOOKUP(B378,Tot_res!C:V,19,FALSE)</f>
        <v>1231.9100310109643</v>
      </c>
      <c r="U378" s="179">
        <f>VLOOKUP(B378,Tot_res!C:V,20,FALSE)</f>
        <v>334.04938730764252</v>
      </c>
      <c r="V378" s="122">
        <f t="shared" si="75"/>
        <v>247935.99999999997</v>
      </c>
    </row>
    <row r="379" spans="1:22">
      <c r="A379" s="351" t="str">
        <f>IF(B379="","",(IF(ISERROR(MATCH(B379,Tot_res!C:C,0)),"Eliminar!!!","")))</f>
        <v/>
      </c>
      <c r="B379" s="115" t="s">
        <v>837</v>
      </c>
      <c r="C379" s="330" t="str">
        <f>VLOOKUP(B379,Tot_res!C:D,2,FALSE)</f>
        <v>Ordenación y fomento de la edificación, actuaciones relacionadas con el 1% cultural</v>
      </c>
      <c r="D379" s="179">
        <f>VLOOKUP(B379,Tot_res!C:V,3,FALSE)</f>
        <v>1685.5025000000001</v>
      </c>
      <c r="E379" s="179">
        <f>VLOOKUP(B379,Tot_res!C:V,4,FALSE)</f>
        <v>28.525970000000001</v>
      </c>
      <c r="F379" s="179">
        <f>VLOOKUP(B379,Tot_res!C:V,5,FALSE)</f>
        <v>0</v>
      </c>
      <c r="G379" s="179">
        <f>VLOOKUP(B379,Tot_res!C:V,6,FALSE)</f>
        <v>0</v>
      </c>
      <c r="H379" s="179">
        <f>VLOOKUP(B379,Tot_res!C:V,7,FALSE)</f>
        <v>0</v>
      </c>
      <c r="I379" s="179">
        <f>VLOOKUP(B379,Tot_res!C:V,8,FALSE)</f>
        <v>186.44728000000001</v>
      </c>
      <c r="J379" s="179">
        <f>VLOOKUP(B379,Tot_res!C:V,9,FALSE)</f>
        <v>210.54103000000001</v>
      </c>
      <c r="K379" s="179">
        <f>VLOOKUP(B379,Tot_res!C:V,10,FALSE)</f>
        <v>200</v>
      </c>
      <c r="L379" s="179">
        <f>VLOOKUP(B379,Tot_res!C:V,11,FALSE)</f>
        <v>953.84592999999995</v>
      </c>
      <c r="M379" s="179">
        <f>VLOOKUP(B379,Tot_res!C:V,12,FALSE)</f>
        <v>584.98004000000003</v>
      </c>
      <c r="N379" s="179">
        <f>VLOOKUP(B379,Tot_res!C:V,13,FALSE)</f>
        <v>0</v>
      </c>
      <c r="O379" s="179">
        <f>VLOOKUP(B379,Tot_res!C:V,14,FALSE)</f>
        <v>264.48714000000001</v>
      </c>
      <c r="P379" s="179">
        <f>VLOOKUP(B379,Tot_res!C:V,15,FALSE)</f>
        <v>0</v>
      </c>
      <c r="Q379" s="179">
        <f>VLOOKUP(B379,Tot_res!C:V,16,FALSE)</f>
        <v>0</v>
      </c>
      <c r="R379" s="179">
        <f>VLOOKUP(B379,Tot_res!C:V,17,FALSE)</f>
        <v>194.99692999999999</v>
      </c>
      <c r="S379" s="179">
        <f>VLOOKUP(B379,Tot_res!C:V,18,FALSE)</f>
        <v>0</v>
      </c>
      <c r="T379" s="179">
        <f>VLOOKUP(B379,Tot_res!C:V,19,FALSE)</f>
        <v>0</v>
      </c>
      <c r="U379" s="179">
        <f>VLOOKUP(B379,Tot_res!C:V,20,FALSE)</f>
        <v>137.95229999999998</v>
      </c>
      <c r="V379" s="122">
        <f t="shared" si="75"/>
        <v>4447.2791200000001</v>
      </c>
    </row>
    <row r="380" spans="1:22" s="104" customFormat="1">
      <c r="A380" s="352"/>
      <c r="B380" s="119"/>
      <c r="C380" s="132"/>
      <c r="D380" s="139"/>
      <c r="E380" s="139"/>
      <c r="F380" s="139"/>
      <c r="G380" s="139"/>
      <c r="H380" s="139"/>
      <c r="I380" s="139"/>
      <c r="J380" s="139"/>
      <c r="K380" s="139"/>
      <c r="L380" s="139"/>
      <c r="M380" s="139"/>
      <c r="N380" s="139"/>
      <c r="O380" s="139"/>
      <c r="P380" s="139"/>
      <c r="Q380" s="139"/>
      <c r="R380" s="139"/>
      <c r="S380" s="139"/>
      <c r="T380" s="139"/>
      <c r="U380" s="139"/>
      <c r="V380" s="122"/>
    </row>
    <row r="381" spans="1:22">
      <c r="A381" s="352"/>
      <c r="B381" s="115"/>
      <c r="C381" s="147" t="s">
        <v>68</v>
      </c>
      <c r="D381" s="111">
        <f t="shared" ref="D381:V381" si="76">D383+D402+D416</f>
        <v>26305730.024757903</v>
      </c>
      <c r="E381" s="111">
        <f t="shared" si="76"/>
        <v>5402765.6218221551</v>
      </c>
      <c r="F381" s="111">
        <f t="shared" si="76"/>
        <v>5693134.7563095316</v>
      </c>
      <c r="G381" s="111">
        <f t="shared" si="76"/>
        <v>3271219.618432139</v>
      </c>
      <c r="H381" s="111">
        <f t="shared" si="76"/>
        <v>5860907.2869332973</v>
      </c>
      <c r="I381" s="111">
        <f t="shared" si="76"/>
        <v>2457622.0809384286</v>
      </c>
      <c r="J381" s="111">
        <f t="shared" si="76"/>
        <v>10476591.714273999</v>
      </c>
      <c r="K381" s="111">
        <f t="shared" si="76"/>
        <v>6485902.3852052707</v>
      </c>
      <c r="L381" s="111">
        <f t="shared" si="76"/>
        <v>29412571.993138824</v>
      </c>
      <c r="M381" s="111">
        <f t="shared" si="76"/>
        <v>16375833.375108974</v>
      </c>
      <c r="N381" s="111">
        <f t="shared" si="76"/>
        <v>3646966.3981492436</v>
      </c>
      <c r="O381" s="111">
        <f t="shared" si="76"/>
        <v>11294136.978863107</v>
      </c>
      <c r="P381" s="111">
        <f t="shared" si="76"/>
        <v>24472841.346768651</v>
      </c>
      <c r="Q381" s="111">
        <f t="shared" si="76"/>
        <v>4417266.0882212138</v>
      </c>
      <c r="R381" s="111">
        <f t="shared" si="76"/>
        <v>2525936.4880091506</v>
      </c>
      <c r="S381" s="111">
        <f t="shared" si="76"/>
        <v>10412717.660542592</v>
      </c>
      <c r="T381" s="111">
        <f t="shared" si="76"/>
        <v>1158614.7270956202</v>
      </c>
      <c r="U381" s="111">
        <f t="shared" si="76"/>
        <v>432777.47872263379</v>
      </c>
      <c r="V381" s="125">
        <f t="shared" si="76"/>
        <v>170103536.02329278</v>
      </c>
    </row>
    <row r="382" spans="1:22">
      <c r="A382" s="352"/>
      <c r="B382" s="115"/>
      <c r="C382" s="102"/>
      <c r="D382" s="105"/>
      <c r="E382" s="105"/>
      <c r="F382" s="105"/>
      <c r="G382" s="105"/>
      <c r="H382" s="105"/>
      <c r="I382" s="105"/>
      <c r="J382" s="105"/>
      <c r="K382" s="105"/>
      <c r="L382" s="105"/>
      <c r="M382" s="105"/>
      <c r="N382" s="105"/>
      <c r="O382" s="105"/>
      <c r="P382" s="105"/>
      <c r="Q382" s="105"/>
      <c r="R382" s="105"/>
      <c r="S382" s="105"/>
      <c r="T382" s="105"/>
      <c r="U382" s="105"/>
      <c r="V382" s="122"/>
    </row>
    <row r="383" spans="1:22" ht="13.5">
      <c r="A383" s="352"/>
      <c r="B383" s="115"/>
      <c r="C383" s="117" t="s">
        <v>3</v>
      </c>
      <c r="D383" s="114">
        <f t="shared" ref="D383:V383" si="77">SUM(D384:D400)</f>
        <v>25626558.582269236</v>
      </c>
      <c r="E383" s="114">
        <f t="shared" si="77"/>
        <v>5291686.0400051726</v>
      </c>
      <c r="F383" s="114">
        <f t="shared" si="77"/>
        <v>5591784.5674581891</v>
      </c>
      <c r="G383" s="114">
        <f t="shared" si="77"/>
        <v>3190096.061281045</v>
      </c>
      <c r="H383" s="114">
        <f t="shared" si="77"/>
        <v>5733289.8067732546</v>
      </c>
      <c r="I383" s="114">
        <f t="shared" si="77"/>
        <v>2401809.346406694</v>
      </c>
      <c r="J383" s="114">
        <f t="shared" si="77"/>
        <v>10223761.311339304</v>
      </c>
      <c r="K383" s="114">
        <f t="shared" si="77"/>
        <v>6312901.5424806038</v>
      </c>
      <c r="L383" s="114">
        <f t="shared" si="77"/>
        <v>28797364.60035041</v>
      </c>
      <c r="M383" s="114">
        <f t="shared" si="77"/>
        <v>16038322.750728004</v>
      </c>
      <c r="N383" s="114">
        <f t="shared" si="77"/>
        <v>3548896.2626767908</v>
      </c>
      <c r="O383" s="114">
        <f t="shared" si="77"/>
        <v>11050010.109010372</v>
      </c>
      <c r="P383" s="114">
        <f t="shared" si="77"/>
        <v>23940099.776510611</v>
      </c>
      <c r="Q383" s="114">
        <f t="shared" si="77"/>
        <v>4283494.3870704602</v>
      </c>
      <c r="R383" s="114">
        <f t="shared" si="77"/>
        <v>2474207.6864310186</v>
      </c>
      <c r="S383" s="114">
        <f t="shared" si="77"/>
        <v>10210754.993890837</v>
      </c>
      <c r="T383" s="114">
        <f t="shared" si="77"/>
        <v>1127671.9417072788</v>
      </c>
      <c r="U383" s="114">
        <f t="shared" si="77"/>
        <v>402992.70634927083</v>
      </c>
      <c r="V383" s="126">
        <f t="shared" si="77"/>
        <v>166245702.47273859</v>
      </c>
    </row>
    <row r="384" spans="1:22">
      <c r="A384" s="351" t="str">
        <f>IF(B384="","",(IF(ISERROR(MATCH(B384,Tot_res!C:C,0)),"Eliminar!!!","")))</f>
        <v/>
      </c>
      <c r="B384" s="115" t="s">
        <v>360</v>
      </c>
      <c r="C384" s="330" t="str">
        <f>VLOOKUP(B384,Tot_res!C:D,2,FALSE)</f>
        <v>Pensiones de clases pasivas</v>
      </c>
      <c r="D384" s="179">
        <f>VLOOKUP(B384,Tot_res!C:V,3,FALSE)</f>
        <v>2466280.2996300003</v>
      </c>
      <c r="E384" s="179">
        <f>VLOOKUP(B384,Tot_res!C:V,4,FALSE)</f>
        <v>452847.39466000005</v>
      </c>
      <c r="F384" s="179">
        <f>VLOOKUP(B384,Tot_res!C:V,5,FALSE)</f>
        <v>333563.62261999998</v>
      </c>
      <c r="G384" s="179">
        <f>VLOOKUP(B384,Tot_res!C:V,6,FALSE)</f>
        <v>185830.83301</v>
      </c>
      <c r="H384" s="179">
        <f>VLOOKUP(B384,Tot_res!C:V,7,FALSE)</f>
        <v>502286.86819000001</v>
      </c>
      <c r="I384" s="179">
        <f>VLOOKUP(B384,Tot_res!C:V,8,FALSE)</f>
        <v>154321.42247999998</v>
      </c>
      <c r="J384" s="179">
        <f>VLOOKUP(B384,Tot_res!C:V,9,FALSE)</f>
        <v>1086183.9540599999</v>
      </c>
      <c r="K384" s="179">
        <f>VLOOKUP(B384,Tot_res!C:V,10,FALSE)</f>
        <v>517453.39374000003</v>
      </c>
      <c r="L384" s="179">
        <f>VLOOKUP(B384,Tot_res!C:V,11,FALSE)</f>
        <v>1089481.4915999998</v>
      </c>
      <c r="M384" s="179">
        <f>VLOOKUP(B384,Tot_res!C:V,12,FALSE)</f>
        <v>1037430.94016</v>
      </c>
      <c r="N384" s="179">
        <f>VLOOKUP(B384,Tot_res!C:V,13,FALSE)</f>
        <v>386154.47976000002</v>
      </c>
      <c r="O384" s="179">
        <f>VLOOKUP(B384,Tot_res!C:V,14,FALSE)</f>
        <v>894845.76170999999</v>
      </c>
      <c r="P384" s="179">
        <f>VLOOKUP(B384,Tot_res!C:V,15,FALSE)</f>
        <v>2237083.3551699966</v>
      </c>
      <c r="Q384" s="179">
        <f>VLOOKUP(B384,Tot_res!C:V,16,FALSE)</f>
        <v>433771.72217999998</v>
      </c>
      <c r="R384" s="179">
        <f>VLOOKUP(B384,Tot_res!C:V,17,FALSE)</f>
        <v>124267.36259</v>
      </c>
      <c r="S384" s="179">
        <f>VLOOKUP(B384,Tot_res!C:V,18,FALSE)</f>
        <v>313873.41362999997</v>
      </c>
      <c r="T384" s="179">
        <f>VLOOKUP(B384,Tot_res!C:V,19,FALSE)</f>
        <v>97611.862540000002</v>
      </c>
      <c r="U384" s="179">
        <f>VLOOKUP(B384,Tot_res!C:V,20,FALSE)</f>
        <v>89011.813670000003</v>
      </c>
      <c r="V384" s="122">
        <f t="shared" ref="V384:V400" si="78">SUM(D384:U384)</f>
        <v>12402299.991399994</v>
      </c>
    </row>
    <row r="385" spans="1:22">
      <c r="A385" s="351" t="str">
        <f>IF(B385="","",(IF(ISERROR(MATCH(B385,Tot_res!C:C,0)),"Eliminar!!!","")))</f>
        <v/>
      </c>
      <c r="B385" s="115" t="s">
        <v>361</v>
      </c>
      <c r="C385" s="330" t="str">
        <f>VLOOKUP(B385,Tot_res!C:D,2,FALSE)</f>
        <v>Otras pensiones y prestac. de clases pasivas</v>
      </c>
      <c r="D385" s="179">
        <f>VLOOKUP(B385,Tot_res!C:V,3,FALSE)</f>
        <v>3319.2225600000002</v>
      </c>
      <c r="E385" s="179">
        <f>VLOOKUP(B385,Tot_res!C:V,4,FALSE)</f>
        <v>394.99835999999999</v>
      </c>
      <c r="F385" s="179">
        <f>VLOOKUP(B385,Tot_res!C:V,5,FALSE)</f>
        <v>351.72564</v>
      </c>
      <c r="G385" s="179">
        <f>VLOOKUP(B385,Tot_res!C:V,6,FALSE)</f>
        <v>231.12765999999999</v>
      </c>
      <c r="H385" s="179">
        <f>VLOOKUP(B385,Tot_res!C:V,7,FALSE)</f>
        <v>9189.5657999999985</v>
      </c>
      <c r="I385" s="179">
        <f>VLOOKUP(B385,Tot_res!C:V,8,FALSE)</f>
        <v>217.22907999999998</v>
      </c>
      <c r="J385" s="179">
        <f>VLOOKUP(B385,Tot_res!C:V,9,FALSE)</f>
        <v>855.41757999999993</v>
      </c>
      <c r="K385" s="179">
        <f>VLOOKUP(B385,Tot_res!C:V,10,FALSE)</f>
        <v>724.11162999999999</v>
      </c>
      <c r="L385" s="179">
        <f>VLOOKUP(B385,Tot_res!C:V,11,FALSE)</f>
        <v>2094.5315799999998</v>
      </c>
      <c r="M385" s="179">
        <f>VLOOKUP(B385,Tot_res!C:V,12,FALSE)</f>
        <v>1508.3913500000001</v>
      </c>
      <c r="N385" s="179">
        <f>VLOOKUP(B385,Tot_res!C:V,13,FALSE)</f>
        <v>392.02140999999995</v>
      </c>
      <c r="O385" s="179">
        <f>VLOOKUP(B385,Tot_res!C:V,14,FALSE)</f>
        <v>888.42618999999991</v>
      </c>
      <c r="P385" s="179">
        <f>VLOOKUP(B385,Tot_res!C:V,15,FALSE)</f>
        <v>8326.905639999999</v>
      </c>
      <c r="Q385" s="179">
        <f>VLOOKUP(B385,Tot_res!C:V,16,FALSE)</f>
        <v>490.38441</v>
      </c>
      <c r="R385" s="179">
        <f>VLOOKUP(B385,Tot_res!C:V,17,FALSE)</f>
        <v>104.48063</v>
      </c>
      <c r="S385" s="179">
        <f>VLOOKUP(B385,Tot_res!C:V,18,FALSE)</f>
        <v>903.09343999999999</v>
      </c>
      <c r="T385" s="179">
        <f>VLOOKUP(B385,Tot_res!C:V,19,FALSE)</f>
        <v>94.902360000000002</v>
      </c>
      <c r="U385" s="179">
        <f>VLOOKUP(B385,Tot_res!C:V,20,FALSE)</f>
        <v>417.64502999999996</v>
      </c>
      <c r="V385" s="122">
        <f t="shared" si="78"/>
        <v>30504.180349999991</v>
      </c>
    </row>
    <row r="386" spans="1:22">
      <c r="A386" s="351" t="str">
        <f>IF(B386="","",(IF(ISERROR(MATCH(B386,Tot_res!C:C,0)),"Eliminar!!!","")))</f>
        <v/>
      </c>
      <c r="B386" s="115" t="s">
        <v>362</v>
      </c>
      <c r="C386" s="330" t="str">
        <f>VLOOKUP(B386,Tot_res!C:D,2,FALSE)</f>
        <v>Pensiones no contrib. y prestac. asistenciales</v>
      </c>
      <c r="D386" s="179">
        <f>VLOOKUP(B386,Tot_res!C:V,3,FALSE)</f>
        <v>6320.124807798692</v>
      </c>
      <c r="E386" s="179">
        <f>VLOOKUP(B386,Tot_res!C:V,4,FALSE)</f>
        <v>30.969212902153437</v>
      </c>
      <c r="F386" s="179">
        <f>VLOOKUP(B386,Tot_res!C:V,5,FALSE)</f>
        <v>23.903421608943674</v>
      </c>
      <c r="G386" s="179">
        <f>VLOOKUP(B386,Tot_res!C:V,6,FALSE)</f>
        <v>6.9154553082478554</v>
      </c>
      <c r="H386" s="179">
        <f>VLOOKUP(B386,Tot_res!C:V,7,FALSE)</f>
        <v>3460.4337018532419</v>
      </c>
      <c r="I386" s="179">
        <f>VLOOKUP(B386,Tot_res!C:V,8,FALSE)</f>
        <v>58.180026180259127</v>
      </c>
      <c r="J386" s="179">
        <f>VLOOKUP(B386,Tot_res!C:V,9,FALSE)</f>
        <v>98.019062195165247</v>
      </c>
      <c r="K386" s="179">
        <f>VLOOKUP(B386,Tot_res!C:V,10,FALSE)</f>
        <v>43.898107608877687</v>
      </c>
      <c r="L386" s="179">
        <f>VLOOKUP(B386,Tot_res!C:V,11,FALSE)</f>
        <v>50.813562917125545</v>
      </c>
      <c r="M386" s="179">
        <f>VLOOKUP(B386,Tot_res!C:V,12,FALSE)</f>
        <v>530.98458218368887</v>
      </c>
      <c r="N386" s="179">
        <f>VLOOKUP(B386,Tot_res!C:V,13,FALSE)</f>
        <v>125.75603135711366</v>
      </c>
      <c r="O386" s="179">
        <f>VLOOKUP(B386,Tot_res!C:V,14,FALSE)</f>
        <v>24.504765548791312</v>
      </c>
      <c r="P386" s="179">
        <f>VLOOKUP(B386,Tot_res!C:V,15,FALSE)</f>
        <v>1053.2536999761392</v>
      </c>
      <c r="Q386" s="179">
        <f>VLOOKUP(B386,Tot_res!C:V,16,FALSE)</f>
        <v>192.33279278713209</v>
      </c>
      <c r="R386" s="179">
        <f>VLOOKUP(B386,Tot_res!C:V,17,FALSE)</f>
        <v>2.2550397744286483</v>
      </c>
      <c r="S386" s="179">
        <f>VLOOKUP(B386,Tot_res!C:V,18,FALSE)</f>
        <v>0</v>
      </c>
      <c r="T386" s="179">
        <f>VLOOKUP(B386,Tot_res!C:V,19,FALSE)</f>
        <v>0</v>
      </c>
      <c r="U386" s="179">
        <f>VLOOKUP(B386,Tot_res!C:V,20,FALSE)</f>
        <v>0</v>
      </c>
      <c r="V386" s="122">
        <f t="shared" si="78"/>
        <v>12022.344270000001</v>
      </c>
    </row>
    <row r="387" spans="1:22">
      <c r="A387" s="351" t="str">
        <f>IF(B387="","",(IF(ISERROR(MATCH(B387,Tot_res!C:C,0)),"Eliminar!!!","")))</f>
        <v/>
      </c>
      <c r="B387" s="115" t="s">
        <v>363</v>
      </c>
      <c r="C387" s="330" t="str">
        <f>VLOOKUP(B387,Tot_res!C:D,2,FALSE)</f>
        <v>Pensiones de guerra</v>
      </c>
      <c r="D387" s="179">
        <f>VLOOKUP(B387,Tot_res!C:V,3,FALSE)</f>
        <v>22840.127420000001</v>
      </c>
      <c r="E387" s="179">
        <f>VLOOKUP(B387,Tot_res!C:V,4,FALSE)</f>
        <v>8255.5582300000005</v>
      </c>
      <c r="F387" s="179">
        <f>VLOOKUP(B387,Tot_res!C:V,5,FALSE)</f>
        <v>8651.4826599999997</v>
      </c>
      <c r="G387" s="179">
        <f>VLOOKUP(B387,Tot_res!C:V,6,FALSE)</f>
        <v>2142.9218300000002</v>
      </c>
      <c r="H387" s="179">
        <f>VLOOKUP(B387,Tot_res!C:V,7,FALSE)</f>
        <v>641.42270999999994</v>
      </c>
      <c r="I387" s="179">
        <f>VLOOKUP(B387,Tot_res!C:V,8,FALSE)</f>
        <v>3872.5064900000002</v>
      </c>
      <c r="J387" s="179">
        <f>VLOOKUP(B387,Tot_res!C:V,9,FALSE)</f>
        <v>6131.89671</v>
      </c>
      <c r="K387" s="179">
        <f>VLOOKUP(B387,Tot_res!C:V,10,FALSE)</f>
        <v>11177.024359999999</v>
      </c>
      <c r="L387" s="179">
        <f>VLOOKUP(B387,Tot_res!C:V,11,FALSE)</f>
        <v>52748.297930000001</v>
      </c>
      <c r="M387" s="179">
        <f>VLOOKUP(B387,Tot_res!C:V,12,FALSE)</f>
        <v>37655.757429999998</v>
      </c>
      <c r="N387" s="179">
        <f>VLOOKUP(B387,Tot_res!C:V,13,FALSE)</f>
        <v>3698.94832</v>
      </c>
      <c r="O387" s="179">
        <f>VLOOKUP(B387,Tot_res!C:V,14,FALSE)</f>
        <v>3195.5693900000001</v>
      </c>
      <c r="P387" s="179">
        <f>VLOOKUP(B387,Tot_res!C:V,15,FALSE)</f>
        <v>62599.819210000001</v>
      </c>
      <c r="Q387" s="179">
        <f>VLOOKUP(B387,Tot_res!C:V,16,FALSE)</f>
        <v>7841.9464200000002</v>
      </c>
      <c r="R387" s="179">
        <f>VLOOKUP(B387,Tot_res!C:V,17,FALSE)</f>
        <v>1220.9141499999998</v>
      </c>
      <c r="S387" s="179">
        <f>VLOOKUP(B387,Tot_res!C:V,18,FALSE)</f>
        <v>10327.722380000001</v>
      </c>
      <c r="T387" s="179">
        <f>VLOOKUP(B387,Tot_res!C:V,19,FALSE)</f>
        <v>575.25284999999997</v>
      </c>
      <c r="U387" s="179">
        <f>VLOOKUP(B387,Tot_res!C:V,20,FALSE)</f>
        <v>139.41401999999999</v>
      </c>
      <c r="V387" s="122">
        <f t="shared" si="78"/>
        <v>243716.58250999992</v>
      </c>
    </row>
    <row r="388" spans="1:22" ht="18" customHeight="1">
      <c r="A388" s="351" t="str">
        <f>IF(B388="","",(IF(ISERROR(MATCH(B388,Tot_res!C:C,0)),"Eliminar!!!","")))</f>
        <v/>
      </c>
      <c r="B388" s="115" t="s">
        <v>364</v>
      </c>
      <c r="C388" s="330" t="str">
        <f>VLOOKUP(B388,Tot_res!C:D,2,FALSE)</f>
        <v>Gestión de pensiones de clases pasivas</v>
      </c>
      <c r="D388" s="179">
        <f>VLOOKUP(B388,Tot_res!C:V,3,FALSE)</f>
        <v>1261.7643043868748</v>
      </c>
      <c r="E388" s="179">
        <f>VLOOKUP(B388,Tot_res!C:V,4,FALSE)</f>
        <v>233.62717790420271</v>
      </c>
      <c r="F388" s="179">
        <f>VLOOKUP(B388,Tot_res!C:V,5,FALSE)</f>
        <v>173.4198856888766</v>
      </c>
      <c r="G388" s="179">
        <f>VLOOKUP(B388,Tot_res!C:V,6,FALSE)</f>
        <v>95.276209671509477</v>
      </c>
      <c r="H388" s="179">
        <f>VLOOKUP(B388,Tot_res!C:V,7,FALSE)</f>
        <v>259.25282938115726</v>
      </c>
      <c r="I388" s="179">
        <f>VLOOKUP(B388,Tot_res!C:V,8,FALSE)</f>
        <v>80.193534345095557</v>
      </c>
      <c r="J388" s="179">
        <f>VLOOKUP(B388,Tot_res!C:V,9,FALSE)</f>
        <v>553.40336332764662</v>
      </c>
      <c r="K388" s="179">
        <f>VLOOKUP(B388,Tot_res!C:V,10,FALSE)</f>
        <v>267.97866503340464</v>
      </c>
      <c r="L388" s="179">
        <f>VLOOKUP(B388,Tot_res!C:V,11,FALSE)</f>
        <v>579.29891351402148</v>
      </c>
      <c r="M388" s="179">
        <f>VLOOKUP(B388,Tot_res!C:V,12,FALSE)</f>
        <v>545.01189375448246</v>
      </c>
      <c r="N388" s="179">
        <f>VLOOKUP(B388,Tot_res!C:V,13,FALSE)</f>
        <v>197.55654994211801</v>
      </c>
      <c r="O388" s="179">
        <f>VLOOKUP(B388,Tot_res!C:V,14,FALSE)</f>
        <v>455.07119102248134</v>
      </c>
      <c r="P388" s="179">
        <f>VLOOKUP(B388,Tot_res!C:V,15,FALSE)</f>
        <v>1168.3992964844711</v>
      </c>
      <c r="Q388" s="179">
        <f>VLOOKUP(B388,Tot_res!C:V,16,FALSE)</f>
        <v>223.80927578329377</v>
      </c>
      <c r="R388" s="179">
        <f>VLOOKUP(B388,Tot_res!C:V,17,FALSE)</f>
        <v>63.579657049583382</v>
      </c>
      <c r="S388" s="179">
        <f>VLOOKUP(B388,Tot_res!C:V,18,FALSE)</f>
        <v>164.57967677949441</v>
      </c>
      <c r="T388" s="179">
        <f>VLOOKUP(B388,Tot_res!C:V,19,FALSE)</f>
        <v>49.753959651328472</v>
      </c>
      <c r="U388" s="179">
        <f>VLOOKUP(B388,Tot_res!C:V,20,FALSE)</f>
        <v>45.343046279957512</v>
      </c>
      <c r="V388" s="122">
        <f t="shared" si="78"/>
        <v>6417.3194300000005</v>
      </c>
    </row>
    <row r="389" spans="1:22">
      <c r="A389" s="351" t="str">
        <f>IF(B389="","",(IF(ISERROR(MATCH(B389,Tot_res!C:C,0)),"Eliminar!!!","")))</f>
        <v/>
      </c>
      <c r="B389" s="115" t="s">
        <v>365</v>
      </c>
      <c r="C389" s="330" t="str">
        <f>VLOOKUP(B389,Tot_res!C:D,2,FALSE)</f>
        <v>Prestaciones económicas del mutualismo administrativo</v>
      </c>
      <c r="D389" s="179">
        <f>VLOOKUP(B389,Tot_res!C:V,3,FALSE)</f>
        <v>63933.352747015968</v>
      </c>
      <c r="E389" s="179">
        <f>VLOOKUP(B389,Tot_res!C:V,4,FALSE)</f>
        <v>11125.311612866097</v>
      </c>
      <c r="F389" s="179">
        <f>VLOOKUP(B389,Tot_res!C:V,5,FALSE)</f>
        <v>9654.0437002495528</v>
      </c>
      <c r="G389" s="179">
        <f>VLOOKUP(B389,Tot_res!C:V,6,FALSE)</f>
        <v>6559.2897235150886</v>
      </c>
      <c r="H389" s="179">
        <f>VLOOKUP(B389,Tot_res!C:V,7,FALSE)</f>
        <v>14581.188956270449</v>
      </c>
      <c r="I389" s="179">
        <f>VLOOKUP(B389,Tot_res!C:V,8,FALSE)</f>
        <v>4952.0999288533376</v>
      </c>
      <c r="J389" s="179">
        <f>VLOOKUP(B389,Tot_res!C:V,9,FALSE)</f>
        <v>23365.036799446381</v>
      </c>
      <c r="K389" s="179">
        <f>VLOOKUP(B389,Tot_res!C:V,10,FALSE)</f>
        <v>12426.259688898443</v>
      </c>
      <c r="L389" s="179">
        <f>VLOOKUP(B389,Tot_res!C:V,11,FALSE)</f>
        <v>41686.753659296657</v>
      </c>
      <c r="M389" s="179">
        <f>VLOOKUP(B389,Tot_res!C:V,12,FALSE)</f>
        <v>34407.892231178157</v>
      </c>
      <c r="N389" s="179">
        <f>VLOOKUP(B389,Tot_res!C:V,13,FALSE)</f>
        <v>7852.6803508076018</v>
      </c>
      <c r="O389" s="179">
        <f>VLOOKUP(B389,Tot_res!C:V,14,FALSE)</f>
        <v>23058.820473363903</v>
      </c>
      <c r="P389" s="179">
        <f>VLOOKUP(B389,Tot_res!C:V,15,FALSE)</f>
        <v>58376.371439774353</v>
      </c>
      <c r="Q389" s="179">
        <f>VLOOKUP(B389,Tot_res!C:V,16,FALSE)</f>
        <v>10741.854946571759</v>
      </c>
      <c r="R389" s="179">
        <f>VLOOKUP(B389,Tot_res!C:V,17,FALSE)</f>
        <v>3596.5678862709065</v>
      </c>
      <c r="S389" s="179">
        <f>VLOOKUP(B389,Tot_res!C:V,18,FALSE)</f>
        <v>12060.616013881321</v>
      </c>
      <c r="T389" s="179">
        <f>VLOOKUP(B389,Tot_res!C:V,19,FALSE)</f>
        <v>2253.8056139512046</v>
      </c>
      <c r="U389" s="179">
        <f>VLOOKUP(B389,Tot_res!C:V,20,FALSE)</f>
        <v>2317.2922777887229</v>
      </c>
      <c r="V389" s="122">
        <f t="shared" si="78"/>
        <v>342949.23805000004</v>
      </c>
    </row>
    <row r="390" spans="1:22">
      <c r="A390" s="351" t="str">
        <f>IF(B390="","",(IF(ISERROR(MATCH(B390,Tot_res!C:C,0)),"Eliminar!!!","")))</f>
        <v/>
      </c>
      <c r="B390" s="115" t="s">
        <v>367</v>
      </c>
      <c r="C390" s="330" t="str">
        <f>VLOOKUP(B390,Tot_res!C:D,2,FALSE)</f>
        <v>Prestaciones de garantía salarial</v>
      </c>
      <c r="D390" s="179">
        <f>VLOOKUP(B390,Tot_res!C:V,3,FALSE)</f>
        <v>258132.92220714086</v>
      </c>
      <c r="E390" s="179">
        <f>VLOOKUP(B390,Tot_res!C:V,4,FALSE)</f>
        <v>68787.558189010975</v>
      </c>
      <c r="F390" s="179">
        <f>VLOOKUP(B390,Tot_res!C:V,5,FALSE)</f>
        <v>56399.73565969801</v>
      </c>
      <c r="G390" s="179">
        <f>VLOOKUP(B390,Tot_res!C:V,6,FALSE)</f>
        <v>56114.033295978297</v>
      </c>
      <c r="H390" s="179">
        <f>VLOOKUP(B390,Tot_res!C:V,7,FALSE)</f>
        <v>85344.440066768017</v>
      </c>
      <c r="I390" s="179">
        <f>VLOOKUP(B390,Tot_res!C:V,8,FALSE)</f>
        <v>28332.016205964232</v>
      </c>
      <c r="J390" s="179">
        <f>VLOOKUP(B390,Tot_res!C:V,9,FALSE)</f>
        <v>92211.453488577958</v>
      </c>
      <c r="K390" s="179">
        <f>VLOOKUP(B390,Tot_res!C:V,10,FALSE)</f>
        <v>68656.878865555656</v>
      </c>
      <c r="L390" s="179">
        <f>VLOOKUP(B390,Tot_res!C:V,11,FALSE)</f>
        <v>509255.11848698807</v>
      </c>
      <c r="M390" s="179">
        <f>VLOOKUP(B390,Tot_res!C:V,12,FALSE)</f>
        <v>390670.81307406537</v>
      </c>
      <c r="N390" s="179">
        <f>VLOOKUP(B390,Tot_res!C:V,13,FALSE)</f>
        <v>34517.37053710741</v>
      </c>
      <c r="O390" s="179">
        <f>VLOOKUP(B390,Tot_res!C:V,14,FALSE)</f>
        <v>136679.84865489078</v>
      </c>
      <c r="P390" s="179">
        <f>VLOOKUP(B390,Tot_res!C:V,15,FALSE)</f>
        <v>316677.85647552734</v>
      </c>
      <c r="Q390" s="179">
        <f>VLOOKUP(B390,Tot_res!C:V,16,FALSE)</f>
        <v>83331.643691407473</v>
      </c>
      <c r="R390" s="179">
        <f>VLOOKUP(B390,Tot_res!C:V,17,FALSE)</f>
        <v>25929.982188525042</v>
      </c>
      <c r="S390" s="179">
        <f>VLOOKUP(B390,Tot_res!C:V,18,FALSE)</f>
        <v>87596.163786128236</v>
      </c>
      <c r="T390" s="179">
        <f>VLOOKUP(B390,Tot_res!C:V,19,FALSE)</f>
        <v>12425.579557407502</v>
      </c>
      <c r="U390" s="179">
        <f>VLOOKUP(B390,Tot_res!C:V,20,FALSE)</f>
        <v>641.0972292588184</v>
      </c>
      <c r="V390" s="122">
        <f t="shared" si="78"/>
        <v>2311704.5116599998</v>
      </c>
    </row>
    <row r="391" spans="1:22">
      <c r="A391" s="351" t="str">
        <f>IF(B391="","",(IF(ISERROR(MATCH(B391,Tot_res!C:C,0)),"Eliminar!!!","")))</f>
        <v/>
      </c>
      <c r="B391" s="119" t="s">
        <v>368</v>
      </c>
      <c r="C391" s="330" t="str">
        <f>VLOOKUP(B391,Tot_res!C:D,2,FALSE)</f>
        <v>Prestaciones económicas por cese de actividad</v>
      </c>
      <c r="D391" s="179">
        <f>VLOOKUP(B391,Tot_res!C:V,3,FALSE)</f>
        <v>190.97905000000003</v>
      </c>
      <c r="E391" s="179">
        <f>VLOOKUP(B391,Tot_res!C:V,4,FALSE)</f>
        <v>66.080920000000006</v>
      </c>
      <c r="F391" s="179">
        <f>VLOOKUP(B391,Tot_res!C:V,5,FALSE)</f>
        <v>45.303339999999999</v>
      </c>
      <c r="G391" s="179">
        <f>VLOOKUP(B391,Tot_res!C:V,6,FALSE)</f>
        <v>21.047800000000002</v>
      </c>
      <c r="H391" s="179">
        <f>VLOOKUP(B391,Tot_res!C:V,7,FALSE)</f>
        <v>16.857380000000003</v>
      </c>
      <c r="I391" s="179">
        <f>VLOOKUP(B391,Tot_res!C:V,8,FALSE)</f>
        <v>30.759349999999998</v>
      </c>
      <c r="J391" s="179">
        <f>VLOOKUP(B391,Tot_res!C:V,9,FALSE)</f>
        <v>89.334869999999995</v>
      </c>
      <c r="K391" s="179">
        <f>VLOOKUP(B391,Tot_res!C:V,10,FALSE)</f>
        <v>59.008250000000004</v>
      </c>
      <c r="L391" s="179">
        <f>VLOOKUP(B391,Tot_res!C:V,11,FALSE)</f>
        <v>226.79679000000002</v>
      </c>
      <c r="M391" s="179">
        <f>VLOOKUP(B391,Tot_res!C:V,12,FALSE)</f>
        <v>147.83314000000001</v>
      </c>
      <c r="N391" s="179">
        <f>VLOOKUP(B391,Tot_res!C:V,13,FALSE)</f>
        <v>4.2779999999999996</v>
      </c>
      <c r="O391" s="179">
        <f>VLOOKUP(B391,Tot_res!C:V,14,FALSE)</f>
        <v>626.64411999999993</v>
      </c>
      <c r="P391" s="179">
        <f>VLOOKUP(B391,Tot_res!C:V,15,FALSE)</f>
        <v>234.13477</v>
      </c>
      <c r="Q391" s="179">
        <f>VLOOKUP(B391,Tot_res!C:V,16,FALSE)</f>
        <v>70.542429999999996</v>
      </c>
      <c r="R391" s="179">
        <f>VLOOKUP(B391,Tot_res!C:V,17,FALSE)</f>
        <v>27.582989999999999</v>
      </c>
      <c r="S391" s="179">
        <f>VLOOKUP(B391,Tot_res!C:V,18,FALSE)</f>
        <v>64.031859999999995</v>
      </c>
      <c r="T391" s="179">
        <f>VLOOKUP(B391,Tot_res!C:V,19,FALSE)</f>
        <v>13.570449999999997</v>
      </c>
      <c r="U391" s="179">
        <f>VLOOKUP(B391,Tot_res!C:V,20,FALSE)</f>
        <v>0</v>
      </c>
      <c r="V391" s="122">
        <f t="shared" si="78"/>
        <v>1934.7855100000002</v>
      </c>
    </row>
    <row r="392" spans="1:22">
      <c r="A392" s="351" t="str">
        <f>IF(B392="","",(IF(ISERROR(MATCH(B392,Tot_res!C:C,0)),"Eliminar!!!","")))</f>
        <v/>
      </c>
      <c r="B392" s="119" t="s">
        <v>844</v>
      </c>
      <c r="C392" s="330" t="str">
        <f>VLOOKUP(B392,Tot_res!C:D,2,FALSE)</f>
        <v>Prestaciones a los desempleados, neto de renta y subsidio agrarios</v>
      </c>
      <c r="D392" s="179">
        <f>VLOOKUP(B392,Tot_res!C:V,3,FALSE)</f>
        <v>4125912.2051893533</v>
      </c>
      <c r="E392" s="179">
        <f>VLOOKUP(B392,Tot_res!C:V,4,FALSE)</f>
        <v>658163.92448705691</v>
      </c>
      <c r="F392" s="179">
        <f>VLOOKUP(B392,Tot_res!C:V,5,FALSE)</f>
        <v>541246.25377430883</v>
      </c>
      <c r="G392" s="179">
        <f>VLOOKUP(B392,Tot_res!C:V,6,FALSE)</f>
        <v>657387.75916056475</v>
      </c>
      <c r="H392" s="179">
        <f>VLOOKUP(B392,Tot_res!C:V,7,FALSE)</f>
        <v>1187179.8069511689</v>
      </c>
      <c r="I392" s="179">
        <f>VLOOKUP(B392,Tot_res!C:V,8,FALSE)</f>
        <v>294416.90527459519</v>
      </c>
      <c r="J392" s="179">
        <f>VLOOKUP(B392,Tot_res!C:V,9,FALSE)</f>
        <v>1159781.1719387593</v>
      </c>
      <c r="K392" s="179">
        <f>VLOOKUP(B392,Tot_res!C:V,10,FALSE)</f>
        <v>1108092.7943778152</v>
      </c>
      <c r="L392" s="179">
        <f>VLOOKUP(B392,Tot_res!C:V,11,FALSE)</f>
        <v>4030579.4155062069</v>
      </c>
      <c r="M392" s="179">
        <f>VLOOKUP(B392,Tot_res!C:V,12,FALSE)</f>
        <v>2625392.9615076371</v>
      </c>
      <c r="N392" s="179">
        <f>VLOOKUP(B392,Tot_res!C:V,13,FALSE)</f>
        <v>565250.13616919087</v>
      </c>
      <c r="O392" s="179">
        <f>VLOOKUP(B392,Tot_res!C:V,14,FALSE)</f>
        <v>1368426.3555368928</v>
      </c>
      <c r="P392" s="179">
        <f>VLOOKUP(B392,Tot_res!C:V,15,FALSE)</f>
        <v>3388796.4327052683</v>
      </c>
      <c r="Q392" s="179">
        <f>VLOOKUP(B392,Tot_res!C:V,16,FALSE)</f>
        <v>722924.75641689019</v>
      </c>
      <c r="R392" s="179">
        <f>VLOOKUP(B392,Tot_res!C:V,17,FALSE)</f>
        <v>337067.91261075978</v>
      </c>
      <c r="S392" s="179">
        <f>VLOOKUP(B392,Tot_res!C:V,18,FALSE)</f>
        <v>1058274.1101801347</v>
      </c>
      <c r="T392" s="179">
        <f>VLOOKUP(B392,Tot_res!C:V,19,FALSE)</f>
        <v>160872.13321247615</v>
      </c>
      <c r="U392" s="179">
        <f>VLOOKUP(B392,Tot_res!C:V,20,FALSE)</f>
        <v>62880.714772288433</v>
      </c>
      <c r="V392" s="122">
        <f t="shared" si="78"/>
        <v>24052645.749771368</v>
      </c>
    </row>
    <row r="393" spans="1:22">
      <c r="A393" s="351" t="str">
        <f>IF(B393="","",(IF(ISERROR(MATCH(B393,Tot_res!C:C,0)),"Eliminar!!!","")))</f>
        <v/>
      </c>
      <c r="B393" s="115" t="s">
        <v>370</v>
      </c>
      <c r="C393" s="330" t="str">
        <f>VLOOKUP(B393,Tot_res!C:D,2,FALSE)</f>
        <v>Becas y ayudas a estudiantes + AF03/1</v>
      </c>
      <c r="D393" s="179">
        <f>VLOOKUP(B393,Tot_res!C:V,3,FALSE)</f>
        <v>404247.74833382503</v>
      </c>
      <c r="E393" s="179">
        <f>VLOOKUP(B393,Tot_res!C:V,4,FALSE)</f>
        <v>28393.101349334804</v>
      </c>
      <c r="F393" s="179">
        <f>VLOOKUP(B393,Tot_res!C:V,5,FALSE)</f>
        <v>23382.388096465991</v>
      </c>
      <c r="G393" s="179">
        <f>VLOOKUP(B393,Tot_res!C:V,6,FALSE)</f>
        <v>16159.114401615481</v>
      </c>
      <c r="H393" s="179">
        <f>VLOOKUP(B393,Tot_res!C:V,7,FALSE)</f>
        <v>80559.126101535701</v>
      </c>
      <c r="I393" s="179">
        <f>VLOOKUP(B393,Tot_res!C:V,8,FALSE)</f>
        <v>13428.937707381059</v>
      </c>
      <c r="J393" s="179">
        <f>VLOOKUP(B393,Tot_res!C:V,9,FALSE)</f>
        <v>93294.121518186803</v>
      </c>
      <c r="K393" s="179">
        <f>VLOOKUP(B393,Tot_res!C:V,10,FALSE)</f>
        <v>58004.259026613712</v>
      </c>
      <c r="L393" s="179">
        <f>VLOOKUP(B393,Tot_res!C:V,11,FALSE)</f>
        <v>171609.53179165904</v>
      </c>
      <c r="M393" s="179">
        <f>VLOOKUP(B393,Tot_res!C:V,12,FALSE)</f>
        <v>190594.25458696077</v>
      </c>
      <c r="N393" s="179">
        <f>VLOOKUP(B393,Tot_res!C:V,13,FALSE)</f>
        <v>51496.45193668361</v>
      </c>
      <c r="O393" s="179">
        <f>VLOOKUP(B393,Tot_res!C:V,14,FALSE)</f>
        <v>100275.24174462656</v>
      </c>
      <c r="P393" s="179">
        <f>VLOOKUP(B393,Tot_res!C:V,15,FALSE)</f>
        <v>177648.26129173383</v>
      </c>
      <c r="Q393" s="179">
        <f>VLOOKUP(B393,Tot_res!C:V,16,FALSE)</f>
        <v>64857.26659129461</v>
      </c>
      <c r="R393" s="179">
        <f>VLOOKUP(B393,Tot_res!C:V,17,FALSE)</f>
        <v>21658.843790498344</v>
      </c>
      <c r="S393" s="179">
        <f>VLOOKUP(B393,Tot_res!C:V,18,FALSE)</f>
        <v>74012.565881376431</v>
      </c>
      <c r="T393" s="179">
        <f>VLOOKUP(B393,Tot_res!C:V,19,FALSE)</f>
        <v>5876.8723465607709</v>
      </c>
      <c r="U393" s="179">
        <f>VLOOKUP(B393,Tot_res!C:V,20,FALSE)</f>
        <v>3312.2512182282244</v>
      </c>
      <c r="V393" s="122">
        <f t="shared" si="78"/>
        <v>1578810.3377145806</v>
      </c>
    </row>
    <row r="394" spans="1:22">
      <c r="A394" s="351" t="str">
        <f>IF(B394="","",(IF(ISERROR(MATCH(B394,Tot_res!C:C,0)),"Eliminar!!!","")))</f>
        <v/>
      </c>
      <c r="B394" s="119" t="s">
        <v>847</v>
      </c>
      <c r="C394" s="330" t="str">
        <f>VLOOKUP(B394,Tot_res!C:D,2,FALSE)</f>
        <v xml:space="preserve"> Gestión de la Deuda y de la Tesorería del Estado, indemnizaciones síndrome tóxico</v>
      </c>
      <c r="D394" s="179">
        <f>VLOOKUP(B394,Tot_res!C:V,3,FALSE)</f>
        <v>4.791666666666667</v>
      </c>
      <c r="E394" s="179">
        <f>VLOOKUP(B394,Tot_res!C:V,4,FALSE)</f>
        <v>0.390625</v>
      </c>
      <c r="F394" s="179">
        <f>VLOOKUP(B394,Tot_res!C:V,5,FALSE)</f>
        <v>0.65104166666666663</v>
      </c>
      <c r="G394" s="179">
        <f>VLOOKUP(B394,Tot_res!C:V,6,FALSE)</f>
        <v>0.59895833333333337</v>
      </c>
      <c r="H394" s="179">
        <f>VLOOKUP(B394,Tot_res!C:V,7,FALSE)</f>
        <v>1.015625</v>
      </c>
      <c r="I394" s="179">
        <f>VLOOKUP(B394,Tot_res!C:V,8,FALSE)</f>
        <v>1.640625</v>
      </c>
      <c r="J394" s="179">
        <f>VLOOKUP(B394,Tot_res!C:V,9,FALSE)</f>
        <v>75</v>
      </c>
      <c r="K394" s="179">
        <f>VLOOKUP(B394,Tot_res!C:V,10,FALSE)</f>
        <v>16.145833333333332</v>
      </c>
      <c r="L394" s="179">
        <f>VLOOKUP(B394,Tot_res!C:V,11,FALSE)</f>
        <v>1.5104166666666667</v>
      </c>
      <c r="M394" s="179">
        <f>VLOOKUP(B394,Tot_res!C:V,12,FALSE)</f>
        <v>4.088541666666667</v>
      </c>
      <c r="N394" s="179">
        <f>VLOOKUP(B394,Tot_res!C:V,13,FALSE)</f>
        <v>3.046875</v>
      </c>
      <c r="O394" s="179">
        <f>VLOOKUP(B394,Tot_res!C:V,14,FALSE)</f>
        <v>1.25</v>
      </c>
      <c r="P394" s="179">
        <f>VLOOKUP(B394,Tot_res!C:V,15,FALSE)</f>
        <v>212.29166666666666</v>
      </c>
      <c r="Q394" s="179">
        <f>VLOOKUP(B394,Tot_res!C:V,16,FALSE)</f>
        <v>1.171875</v>
      </c>
      <c r="R394" s="179">
        <f>VLOOKUP(B394,Tot_res!C:V,17,FALSE)</f>
        <v>0.36458333333333331</v>
      </c>
      <c r="S394" s="179">
        <f>VLOOKUP(B394,Tot_res!C:V,18,FALSE)</f>
        <v>0.80729166666666663</v>
      </c>
      <c r="T394" s="179">
        <f>VLOOKUP(B394,Tot_res!C:V,19,FALSE)</f>
        <v>0.20833333333333334</v>
      </c>
      <c r="U394" s="179">
        <f>VLOOKUP(B394,Tot_res!C:V,20,FALSE)</f>
        <v>2.6041666666666668E-2</v>
      </c>
      <c r="V394" s="122">
        <f t="shared" si="78"/>
        <v>325</v>
      </c>
    </row>
    <row r="395" spans="1:22">
      <c r="A395" s="351" t="str">
        <f>IF(B395="","",(IF(ISERROR(MATCH(B395,Tot_res!C:C,0)),"Eliminar!!!","")))</f>
        <v/>
      </c>
      <c r="B395" s="115" t="s">
        <v>849</v>
      </c>
      <c r="C395" s="330" t="str">
        <f>VLOOKUP(B395,Tot_res!C:D,2,FALSE)</f>
        <v>Pensiones contributivas de la Seguridad Social</v>
      </c>
      <c r="D395" s="179">
        <f>VLOOKUP(B395,Tot_res!C:V,3,FALSE)</f>
        <v>16244521.961714759</v>
      </c>
      <c r="E395" s="179">
        <f>VLOOKUP(B395,Tot_res!C:V,4,FALSE)</f>
        <v>3727408.8889175858</v>
      </c>
      <c r="F395" s="179">
        <f>VLOOKUP(B395,Tot_res!C:V,5,FALSE)</f>
        <v>4306787.3474669531</v>
      </c>
      <c r="G395" s="179">
        <f>VLOOKUP(B395,Tot_res!C:V,6,FALSE)</f>
        <v>2002647.151204665</v>
      </c>
      <c r="H395" s="179">
        <f>VLOOKUP(B395,Tot_res!C:V,7,FALSE)</f>
        <v>3236616.8597779297</v>
      </c>
      <c r="I395" s="179">
        <f>VLOOKUP(B395,Tot_res!C:V,8,FALSE)</f>
        <v>1725151.3134124319</v>
      </c>
      <c r="J395" s="179">
        <f>VLOOKUP(B395,Tot_res!C:V,9,FALSE)</f>
        <v>7146215.2904758733</v>
      </c>
      <c r="K395" s="179">
        <f>VLOOKUP(B395,Tot_res!C:V,10,FALSE)</f>
        <v>4048017.7112181243</v>
      </c>
      <c r="L395" s="179">
        <f>VLOOKUP(B395,Tot_res!C:V,11,FALSE)</f>
        <v>20876602.309113782</v>
      </c>
      <c r="M395" s="179">
        <f>VLOOKUP(B395,Tot_res!C:V,12,FALSE)</f>
        <v>10548657.315551957</v>
      </c>
      <c r="N395" s="179">
        <f>VLOOKUP(B395,Tot_res!C:V,13,FALSE)</f>
        <v>2218503.0812357855</v>
      </c>
      <c r="O395" s="179">
        <f>VLOOKUP(B395,Tot_res!C:V,14,FALSE)</f>
        <v>7668508.9789524535</v>
      </c>
      <c r="P395" s="179">
        <f>VLOOKUP(B395,Tot_res!C:V,15,FALSE)</f>
        <v>15388751.691909786</v>
      </c>
      <c r="Q395" s="179">
        <f>VLOOKUP(B395,Tot_res!C:V,16,FALSE)</f>
        <v>2543548.2896266896</v>
      </c>
      <c r="R395" s="179">
        <f>VLOOKUP(B395,Tot_res!C:V,17,FALSE)</f>
        <v>1771812.5749852215</v>
      </c>
      <c r="S395" s="179">
        <f>VLOOKUP(B395,Tot_res!C:V,18,FALSE)</f>
        <v>7898370.6182791423</v>
      </c>
      <c r="T395" s="179">
        <f>VLOOKUP(B395,Tot_res!C:V,19,FALSE)</f>
        <v>779759.66881073208</v>
      </c>
      <c r="U395" s="179">
        <f>VLOOKUP(B395,Tot_res!C:V,20,FALSE)</f>
        <v>188939.65011613211</v>
      </c>
      <c r="V395" s="122">
        <f t="shared" si="78"/>
        <v>112320820.70276999</v>
      </c>
    </row>
    <row r="396" spans="1:22">
      <c r="A396" s="351" t="str">
        <f>IF(B396="","",(IF(ISERROR(MATCH(B396,Tot_res!C:C,0)),"Eliminar!!!","")))</f>
        <v/>
      </c>
      <c r="B396" s="115" t="s">
        <v>850</v>
      </c>
      <c r="C396" s="330" t="str">
        <f>VLOOKUP(B396,Tot_res!C:D,2,FALSE)</f>
        <v>Otras prestaciones contributivas de la Seguridad Social + AF03/2</v>
      </c>
      <c r="D396" s="179">
        <f>VLOOKUP(B396,Tot_res!C:V,3,FALSE)</f>
        <v>644806.55292774912</v>
      </c>
      <c r="E396" s="179">
        <f>VLOOKUP(B396,Tot_res!C:V,4,FALSE)</f>
        <v>116049.89586929599</v>
      </c>
      <c r="F396" s="179">
        <f>VLOOKUP(B396,Tot_res!C:V,5,FALSE)</f>
        <v>113674.15094471672</v>
      </c>
      <c r="G396" s="179">
        <f>VLOOKUP(B396,Tot_res!C:V,6,FALSE)</f>
        <v>80487.124305360368</v>
      </c>
      <c r="H396" s="179">
        <f>VLOOKUP(B396,Tot_res!C:V,7,FALSE)</f>
        <v>145941.92958535609</v>
      </c>
      <c r="I396" s="179">
        <f>VLOOKUP(B396,Tot_res!C:V,8,FALSE)</f>
        <v>55608.054031301508</v>
      </c>
      <c r="J396" s="179">
        <f>VLOOKUP(B396,Tot_res!C:V,9,FALSE)</f>
        <v>182390.59034741952</v>
      </c>
      <c r="K396" s="179">
        <f>VLOOKUP(B396,Tot_res!C:V,10,FALSE)</f>
        <v>132285.36908313411</v>
      </c>
      <c r="L396" s="179">
        <f>VLOOKUP(B396,Tot_res!C:V,11,FALSE)</f>
        <v>725136.90783632791</v>
      </c>
      <c r="M396" s="179">
        <f>VLOOKUP(B396,Tot_res!C:V,12,FALSE)</f>
        <v>349754.55345770612</v>
      </c>
      <c r="N396" s="179">
        <f>VLOOKUP(B396,Tot_res!C:V,13,FALSE)</f>
        <v>87730.592544231899</v>
      </c>
      <c r="O396" s="179">
        <f>VLOOKUP(B396,Tot_res!C:V,14,FALSE)</f>
        <v>270483.20095198549</v>
      </c>
      <c r="P396" s="179">
        <f>VLOOKUP(B396,Tot_res!C:V,15,FALSE)</f>
        <v>656305.25396743487</v>
      </c>
      <c r="Q396" s="179">
        <f>VLOOKUP(B396,Tot_res!C:V,16,FALSE)</f>
        <v>139856.37366964109</v>
      </c>
      <c r="R396" s="179">
        <f>VLOOKUP(B396,Tot_res!C:V,17,FALSE)</f>
        <v>77364.637206558793</v>
      </c>
      <c r="S396" s="179">
        <f>VLOOKUP(B396,Tot_res!C:V,18,FALSE)</f>
        <v>361207.98129550979</v>
      </c>
      <c r="T396" s="179">
        <f>VLOOKUP(B396,Tot_res!C:V,19,FALSE)</f>
        <v>20551.161973060858</v>
      </c>
      <c r="U396" s="179">
        <f>VLOOKUP(B396,Tot_res!C:V,20,FALSE)</f>
        <v>11738.183586946199</v>
      </c>
      <c r="V396" s="122">
        <f t="shared" si="78"/>
        <v>4171372.513583737</v>
      </c>
    </row>
    <row r="397" spans="1:22">
      <c r="A397" s="351" t="str">
        <f>IF(B397="","",(IF(ISERROR(MATCH(B397,Tot_res!C:C,0)),"Eliminar!!!","")))</f>
        <v/>
      </c>
      <c r="B397" s="115" t="s">
        <v>852</v>
      </c>
      <c r="C397" s="330" t="str">
        <f>VLOOKUP(B397,Tot_res!C:D,2,FALSE)</f>
        <v>Prestaciones económicas contributivas, Mutuas</v>
      </c>
      <c r="D397" s="179">
        <f>VLOOKUP(B397,Tot_res!C:V,3,FALSE)</f>
        <v>442968.94433814415</v>
      </c>
      <c r="E397" s="179">
        <f>VLOOKUP(B397,Tot_res!C:V,4,FALSE)</f>
        <v>124312.26993952383</v>
      </c>
      <c r="F397" s="179">
        <f>VLOOKUP(B397,Tot_res!C:V,5,FALSE)</f>
        <v>86478.96001553403</v>
      </c>
      <c r="G397" s="179">
        <f>VLOOKUP(B397,Tot_res!C:V,6,FALSE)</f>
        <v>107738.93227105416</v>
      </c>
      <c r="H397" s="179">
        <f>VLOOKUP(B397,Tot_res!C:V,7,FALSE)</f>
        <v>139007.22078504885</v>
      </c>
      <c r="I397" s="179">
        <f>VLOOKUP(B397,Tot_res!C:V,8,FALSE)</f>
        <v>58543.312448209464</v>
      </c>
      <c r="J397" s="179">
        <f>VLOOKUP(B397,Tot_res!C:V,9,FALSE)</f>
        <v>179668.51904391948</v>
      </c>
      <c r="K397" s="179">
        <f>VLOOKUP(B397,Tot_res!C:V,10,FALSE)</f>
        <v>158859.50591133203</v>
      </c>
      <c r="L397" s="179">
        <f>VLOOKUP(B397,Tot_res!C:V,11,FALSE)</f>
        <v>717404.21073287493</v>
      </c>
      <c r="M397" s="179">
        <f>VLOOKUP(B397,Tot_res!C:V,12,FALSE)</f>
        <v>360964.95664248883</v>
      </c>
      <c r="N397" s="179">
        <f>VLOOKUP(B397,Tot_res!C:V,13,FALSE)</f>
        <v>54101.926272459765</v>
      </c>
      <c r="O397" s="179">
        <f>VLOOKUP(B397,Tot_res!C:V,14,FALSE)</f>
        <v>218448.43346732936</v>
      </c>
      <c r="P397" s="179">
        <f>VLOOKUP(B397,Tot_res!C:V,15,FALSE)</f>
        <v>1227276.9673847589</v>
      </c>
      <c r="Q397" s="179">
        <f>VLOOKUP(B397,Tot_res!C:V,16,FALSE)</f>
        <v>117779.57968358746</v>
      </c>
      <c r="R397" s="179">
        <f>VLOOKUP(B397,Tot_res!C:V,17,FALSE)</f>
        <v>71529.928568776304</v>
      </c>
      <c r="S397" s="179">
        <f>VLOOKUP(B397,Tot_res!C:V,18,FALSE)</f>
        <v>242422.13246460623</v>
      </c>
      <c r="T397" s="179">
        <f>VLOOKUP(B397,Tot_res!C:V,19,FALSE)</f>
        <v>24012.06747341236</v>
      </c>
      <c r="U397" s="179">
        <f>VLOOKUP(B397,Tot_res!C:V,20,FALSE)</f>
        <v>6449.212505809809</v>
      </c>
      <c r="V397" s="122">
        <f t="shared" si="78"/>
        <v>4337967.0799488705</v>
      </c>
    </row>
    <row r="398" spans="1:22">
      <c r="A398" s="351" t="str">
        <f>IF(B398="","",(IF(ISERROR(MATCH(B398,Tot_res!C:C,0)),"Eliminar!!!","")))</f>
        <v/>
      </c>
      <c r="B398" s="115" t="s">
        <v>854</v>
      </c>
      <c r="C398" s="330" t="str">
        <f>VLOOKUP(B398,Tot_res!C:D,2,FALSE)</f>
        <v>Pensiones no contributivas de la Seg Soc + AF03/3</v>
      </c>
      <c r="D398" s="179">
        <f>VLOOKUP(B398,Tot_res!C:V,3,FALSE)</f>
        <v>523158.1713903299</v>
      </c>
      <c r="E398" s="179">
        <f>VLOOKUP(B398,Tot_res!C:V,4,FALSE)</f>
        <v>38731.899114694948</v>
      </c>
      <c r="F398" s="179">
        <f>VLOOKUP(B398,Tot_res!C:V,5,FALSE)</f>
        <v>47267.053924649008</v>
      </c>
      <c r="G398" s="179">
        <f>VLOOKUP(B398,Tot_res!C:V,6,FALSE)</f>
        <v>39774.280537596962</v>
      </c>
      <c r="H398" s="179">
        <f>VLOOKUP(B398,Tot_res!C:V,7,FALSE)</f>
        <v>221604.56447819329</v>
      </c>
      <c r="I398" s="179">
        <f>VLOOKUP(B398,Tot_res!C:V,8,FALSE)</f>
        <v>33885.538915803343</v>
      </c>
      <c r="J398" s="179">
        <f>VLOOKUP(B398,Tot_res!C:V,9,FALSE)</f>
        <v>114509.4223385658</v>
      </c>
      <c r="K398" s="179">
        <f>VLOOKUP(B398,Tot_res!C:V,10,FALSE)</f>
        <v>102724.27320334838</v>
      </c>
      <c r="L398" s="179">
        <f>VLOOKUP(B398,Tot_res!C:V,11,FALSE)</f>
        <v>297260.19883601961</v>
      </c>
      <c r="M398" s="179">
        <f>VLOOKUP(B398,Tot_res!C:V,12,FALSE)</f>
        <v>237180.25634437922</v>
      </c>
      <c r="N398" s="179">
        <f>VLOOKUP(B398,Tot_res!C:V,13,FALSE)</f>
        <v>73487.857561167635</v>
      </c>
      <c r="O398" s="179">
        <f>VLOOKUP(B398,Tot_res!C:V,14,FALSE)</f>
        <v>217676.20865596755</v>
      </c>
      <c r="P398" s="179">
        <f>VLOOKUP(B398,Tot_res!C:V,15,FALSE)</f>
        <v>185962.34931494039</v>
      </c>
      <c r="Q398" s="179">
        <f>VLOOKUP(B398,Tot_res!C:V,16,FALSE)</f>
        <v>76331.15038723516</v>
      </c>
      <c r="R398" s="179">
        <f>VLOOKUP(B398,Tot_res!C:V,17,FALSE)</f>
        <v>13610.004550000001</v>
      </c>
      <c r="S398" s="179">
        <f>VLOOKUP(B398,Tot_res!C:V,18,FALSE)</f>
        <v>56126.931020000004</v>
      </c>
      <c r="T398" s="179">
        <f>VLOOKUP(B398,Tot_res!C:V,19,FALSE)</f>
        <v>9414.4612199335606</v>
      </c>
      <c r="U398" s="179">
        <f>VLOOKUP(B398,Tot_res!C:V,20,FALSE)</f>
        <v>23800.445567175419</v>
      </c>
      <c r="V398" s="122">
        <f t="shared" si="78"/>
        <v>2312505.0673599998</v>
      </c>
    </row>
    <row r="399" spans="1:22">
      <c r="A399" s="351" t="str">
        <f>IF(B399="","",(IF(ISERROR(MATCH(B399,Tot_res!C:C,0)),"Eliminar!!!","")))</f>
        <v/>
      </c>
      <c r="B399" s="115" t="s">
        <v>856</v>
      </c>
      <c r="C399" s="330" t="str">
        <f>VLOOKUP(B399,Tot_res!C:D,2,FALSE)</f>
        <v>Protección familiar y otras prestaciones no contributivas de la Seg Social</v>
      </c>
      <c r="D399" s="179">
        <f>VLOOKUP(B399,Tot_res!C:V,3,FALSE)</f>
        <v>354671.44111331878</v>
      </c>
      <c r="E399" s="179">
        <f>VLOOKUP(B399,Tot_res!C:V,4,FALSE)</f>
        <v>44588.35996193844</v>
      </c>
      <c r="F399" s="179">
        <f>VLOOKUP(B399,Tot_res!C:V,5,FALSE)</f>
        <v>51388.364164729268</v>
      </c>
      <c r="G399" s="179">
        <f>VLOOKUP(B399,Tot_res!C:V,6,FALSE)</f>
        <v>28414.407656231615</v>
      </c>
      <c r="H399" s="179">
        <f>VLOOKUP(B399,Tot_res!C:V,7,FALSE)</f>
        <v>94284.080767383886</v>
      </c>
      <c r="I399" s="179">
        <f>VLOOKUP(B399,Tot_res!C:V,8,FALSE)</f>
        <v>24139.089184257267</v>
      </c>
      <c r="J399" s="179">
        <f>VLOOKUP(B399,Tot_res!C:V,9,FALSE)</f>
        <v>111007.79436638561</v>
      </c>
      <c r="K399" s="179">
        <f>VLOOKUP(B399,Tot_res!C:V,10,FALSE)</f>
        <v>77716.466713158356</v>
      </c>
      <c r="L399" s="179">
        <f>VLOOKUP(B399,Tot_res!C:V,11,FALSE)</f>
        <v>236401.09726527796</v>
      </c>
      <c r="M399" s="179">
        <f>VLOOKUP(B399,Tot_res!C:V,12,FALSE)</f>
        <v>191601.28328243387</v>
      </c>
      <c r="N399" s="179">
        <f>VLOOKUP(B399,Tot_res!C:V,13,FALSE)</f>
        <v>56902.487017251522</v>
      </c>
      <c r="O399" s="179">
        <f>VLOOKUP(B399,Tot_res!C:V,14,FALSE)</f>
        <v>119962.9734917178</v>
      </c>
      <c r="P399" s="179">
        <f>VLOOKUP(B399,Tot_res!C:V,15,FALSE)</f>
        <v>192497.88815630128</v>
      </c>
      <c r="Q399" s="179">
        <f>VLOOKUP(B399,Tot_res!C:V,16,FALSE)</f>
        <v>72785.397235126817</v>
      </c>
      <c r="R399" s="179">
        <f>VLOOKUP(B399,Tot_res!C:V,17,FALSE)</f>
        <v>21599.808263178333</v>
      </c>
      <c r="S399" s="179">
        <f>VLOOKUP(B399,Tot_res!C:V,18,FALSE)</f>
        <v>76529.038232408973</v>
      </c>
      <c r="T399" s="179">
        <f>VLOOKUP(B399,Tot_res!C:V,19,FALSE)</f>
        <v>10521.882774129353</v>
      </c>
      <c r="U399" s="179">
        <f>VLOOKUP(B399,Tot_res!C:V,20,FALSE)</f>
        <v>11159.972014771127</v>
      </c>
      <c r="V399" s="122">
        <f t="shared" si="78"/>
        <v>1776171.8316600006</v>
      </c>
    </row>
    <row r="400" spans="1:22" ht="13.5" customHeight="1">
      <c r="A400" s="351" t="str">
        <f>IF(B400="","",(IF(ISERROR(MATCH(B400,Tot_res!C:C,0)),"Eliminar!!!","")))</f>
        <v/>
      </c>
      <c r="B400" s="115" t="s">
        <v>373</v>
      </c>
      <c r="C400" s="330" t="str">
        <f>VLOOKUP(B400,Tot_res!C:D,2,FALSE)</f>
        <v xml:space="preserve"> Admón. y Servicios Generales prestaciones economicas</v>
      </c>
      <c r="D400" s="179">
        <f>VLOOKUP(B400,Tot_res!C:V,3,FALSE)</f>
        <v>63987.972868752091</v>
      </c>
      <c r="E400" s="179">
        <f>VLOOKUP(B400,Tot_res!C:V,4,FALSE)</f>
        <v>12295.811378058115</v>
      </c>
      <c r="F400" s="179">
        <f>VLOOKUP(B400,Tot_res!C:V,5,FALSE)</f>
        <v>12696.161101919462</v>
      </c>
      <c r="G400" s="179">
        <f>VLOOKUP(B400,Tot_res!C:V,6,FALSE)</f>
        <v>6485.2478011502599</v>
      </c>
      <c r="H400" s="179">
        <f>VLOOKUP(B400,Tot_res!C:V,7,FALSE)</f>
        <v>12315.173067364853</v>
      </c>
      <c r="I400" s="179">
        <f>VLOOKUP(B400,Tot_res!C:V,8,FALSE)</f>
        <v>4770.147712371745</v>
      </c>
      <c r="J400" s="179">
        <f>VLOOKUP(B400,Tot_res!C:V,9,FALSE)</f>
        <v>27330.885376646347</v>
      </c>
      <c r="K400" s="179">
        <f>VLOOKUP(B400,Tot_res!C:V,10,FALSE)</f>
        <v>16376.463806648002</v>
      </c>
      <c r="L400" s="179">
        <f>VLOOKUP(B400,Tot_res!C:V,11,FALSE)</f>
        <v>46246.316328877932</v>
      </c>
      <c r="M400" s="179">
        <f>VLOOKUP(B400,Tot_res!C:V,12,FALSE)</f>
        <v>31275.456951592958</v>
      </c>
      <c r="N400" s="179">
        <f>VLOOKUP(B400,Tot_res!C:V,13,FALSE)</f>
        <v>8477.5921058053682</v>
      </c>
      <c r="O400" s="179">
        <f>VLOOKUP(B400,Tot_res!C:V,14,FALSE)</f>
        <v>26452.819714573096</v>
      </c>
      <c r="P400" s="179">
        <f>VLOOKUP(B400,Tot_res!C:V,15,FALSE)</f>
        <v>37128.544411961375</v>
      </c>
      <c r="Q400" s="179">
        <f>VLOOKUP(B400,Tot_res!C:V,16,FALSE)</f>
        <v>8746.1654384450212</v>
      </c>
      <c r="R400" s="179">
        <f>VLOOKUP(B400,Tot_res!C:V,17,FALSE)</f>
        <v>4350.8867410724797</v>
      </c>
      <c r="S400" s="179">
        <f>VLOOKUP(B400,Tot_res!C:V,18,FALSE)</f>
        <v>18821.188459204946</v>
      </c>
      <c r="T400" s="179">
        <f>VLOOKUP(B400,Tot_res!C:V,19,FALSE)</f>
        <v>3638.7582326305555</v>
      </c>
      <c r="U400" s="179">
        <f>VLOOKUP(B400,Tot_res!C:V,20,FALSE)</f>
        <v>2139.6452529253925</v>
      </c>
      <c r="V400" s="122">
        <f t="shared" si="78"/>
        <v>343535.23674999998</v>
      </c>
    </row>
    <row r="401" spans="1:22">
      <c r="A401" s="352"/>
      <c r="B401" s="115"/>
      <c r="C401" s="146"/>
      <c r="D401" s="105"/>
      <c r="E401" s="105"/>
      <c r="F401" s="105"/>
      <c r="G401" s="105"/>
      <c r="H401" s="105"/>
      <c r="I401" s="105"/>
      <c r="J401" s="105"/>
      <c r="K401" s="105"/>
      <c r="L401" s="105"/>
      <c r="M401" s="105"/>
      <c r="N401" s="105"/>
      <c r="O401" s="105"/>
      <c r="P401" s="105"/>
      <c r="Q401" s="105"/>
      <c r="R401" s="105"/>
      <c r="S401" s="105"/>
      <c r="T401" s="105"/>
      <c r="U401" s="105"/>
      <c r="V401" s="122"/>
    </row>
    <row r="402" spans="1:22" ht="13.5">
      <c r="A402" s="352"/>
      <c r="B402" s="115"/>
      <c r="C402" s="112" t="s">
        <v>4</v>
      </c>
      <c r="D402" s="114">
        <f>SUM(D403:D414)</f>
        <v>392910.87812450906</v>
      </c>
      <c r="E402" s="114">
        <f t="shared" ref="E402:U402" si="79">SUM(E403:E414)</f>
        <v>50121.211287477112</v>
      </c>
      <c r="F402" s="114">
        <f t="shared" si="79"/>
        <v>44207.632690045924</v>
      </c>
      <c r="G402" s="114">
        <f t="shared" si="79"/>
        <v>35244.418323276899</v>
      </c>
      <c r="H402" s="114">
        <f t="shared" si="79"/>
        <v>55163.314747445183</v>
      </c>
      <c r="I402" s="114">
        <f t="shared" si="79"/>
        <v>28506.571130282609</v>
      </c>
      <c r="J402" s="114">
        <f t="shared" si="79"/>
        <v>140757.4796878387</v>
      </c>
      <c r="K402" s="114">
        <f t="shared" si="79"/>
        <v>97610.601746306376</v>
      </c>
      <c r="L402" s="114">
        <f t="shared" si="79"/>
        <v>291719.56611642067</v>
      </c>
      <c r="M402" s="114">
        <f t="shared" si="79"/>
        <v>132365.93905758235</v>
      </c>
      <c r="N402" s="114">
        <f t="shared" si="79"/>
        <v>59644.952674708424</v>
      </c>
      <c r="O402" s="114">
        <f t="shared" si="79"/>
        <v>114020.09788456293</v>
      </c>
      <c r="P402" s="114">
        <f t="shared" si="79"/>
        <v>246760.79017929168</v>
      </c>
      <c r="Q402" s="114">
        <f t="shared" si="79"/>
        <v>82797.798628040968</v>
      </c>
      <c r="R402" s="114">
        <f t="shared" si="79"/>
        <v>23628.015010062449</v>
      </c>
      <c r="S402" s="114">
        <f t="shared" si="79"/>
        <v>88834.950596395647</v>
      </c>
      <c r="T402" s="114">
        <f t="shared" si="79"/>
        <v>17638.757998802048</v>
      </c>
      <c r="U402" s="114">
        <f t="shared" si="79"/>
        <v>21879.087336606528</v>
      </c>
      <c r="V402" s="126">
        <f>SUM(V403:V414)</f>
        <v>1923812.0632196558</v>
      </c>
    </row>
    <row r="403" spans="1:22">
      <c r="A403" s="351" t="str">
        <f>IF(B403="","",(IF(ISERROR(MATCH(B403,Tot_res!C:C,0)),"Eliminar!!!","")))</f>
        <v/>
      </c>
      <c r="B403" s="119" t="s">
        <v>374</v>
      </c>
      <c r="C403" s="330" t="str">
        <f>VLOOKUP(B403,Tot_res!C:D,2,FALSE)</f>
        <v xml:space="preserve">Acciones en favor de los emigrantes </v>
      </c>
      <c r="D403" s="179">
        <f>VLOOKUP(B403,Tot_res!C:V,3,FALSE)</f>
        <v>12111.82623665607</v>
      </c>
      <c r="E403" s="179">
        <f>VLOOKUP(B403,Tot_res!C:V,4,FALSE)</f>
        <v>1905.4641738965765</v>
      </c>
      <c r="F403" s="179">
        <f>VLOOKUP(B403,Tot_res!C:V,5,FALSE)</f>
        <v>1523.2174918739095</v>
      </c>
      <c r="G403" s="179">
        <f>VLOOKUP(B403,Tot_res!C:V,6,FALSE)</f>
        <v>1591.6553538599346</v>
      </c>
      <c r="H403" s="179">
        <f>VLOOKUP(B403,Tot_res!C:V,7,FALSE)</f>
        <v>3031.4052691553916</v>
      </c>
      <c r="I403" s="179">
        <f>VLOOKUP(B403,Tot_res!C:V,8,FALSE)</f>
        <v>846.19909964993144</v>
      </c>
      <c r="J403" s="179">
        <f>VLOOKUP(B403,Tot_res!C:V,9,FALSE)</f>
        <v>3580.517899452193</v>
      </c>
      <c r="K403" s="179">
        <f>VLOOKUP(B403,Tot_res!C:V,10,FALSE)</f>
        <v>2982.8760659970831</v>
      </c>
      <c r="L403" s="179">
        <f>VLOOKUP(B403,Tot_res!C:V,11,FALSE)</f>
        <v>10832.73329405872</v>
      </c>
      <c r="M403" s="179">
        <f>VLOOKUP(B403,Tot_res!C:V,12,FALSE)</f>
        <v>7198.4129235579776</v>
      </c>
      <c r="N403" s="179">
        <f>VLOOKUP(B403,Tot_res!C:V,13,FALSE)</f>
        <v>1580.6315927420205</v>
      </c>
      <c r="O403" s="179">
        <f>VLOOKUP(B403,Tot_res!C:V,14,FALSE)</f>
        <v>3951.1965527893271</v>
      </c>
      <c r="P403" s="179">
        <f>VLOOKUP(B403,Tot_res!C:V,15,FALSE)</f>
        <v>9293.2324699763722</v>
      </c>
      <c r="Q403" s="179">
        <f>VLOOKUP(B403,Tot_res!C:V,16,FALSE)</f>
        <v>2115.1506433846853</v>
      </c>
      <c r="R403" s="179">
        <f>VLOOKUP(B403,Tot_res!C:V,17,FALSE)</f>
        <v>923.64440965899735</v>
      </c>
      <c r="S403" s="179">
        <f>VLOOKUP(B403,Tot_res!C:V,18,FALSE)</f>
        <v>3156.2054619682626</v>
      </c>
      <c r="T403" s="179">
        <f>VLOOKUP(B403,Tot_res!C:V,19,FALSE)</f>
        <v>458.52199698240139</v>
      </c>
      <c r="U403" s="179">
        <f>VLOOKUP(B403,Tot_res!C:V,20,FALSE)</f>
        <v>244.60970434014584</v>
      </c>
      <c r="V403" s="122">
        <f t="shared" ref="V403:V414" si="80">SUM(D403:U403)</f>
        <v>67327.500639999984</v>
      </c>
    </row>
    <row r="404" spans="1:22">
      <c r="A404" s="351" t="str">
        <f>IF(B404="","",(IF(ISERROR(MATCH(B404,Tot_res!C:C,0)),"Eliminar!!!","")))</f>
        <v/>
      </c>
      <c r="B404" s="119" t="s">
        <v>375</v>
      </c>
      <c r="C404" s="330" t="str">
        <f>VLOOKUP(B404,Tot_res!C:D,2,FALSE)</f>
        <v>Otros servicios sociales del estado + AF19/1</v>
      </c>
      <c r="D404" s="179">
        <f>VLOOKUP(B404,Tot_res!C:V,3,FALSE)</f>
        <v>49263.388948796608</v>
      </c>
      <c r="E404" s="179">
        <f>VLOOKUP(B404,Tot_res!C:V,4,FALSE)</f>
        <v>8478.52852499656</v>
      </c>
      <c r="F404" s="179">
        <f>VLOOKUP(B404,Tot_res!C:V,5,FALSE)</f>
        <v>7194.9422042080578</v>
      </c>
      <c r="G404" s="179">
        <f>VLOOKUP(B404,Tot_res!C:V,6,FALSE)</f>
        <v>7113.6630667005293</v>
      </c>
      <c r="H404" s="179">
        <f>VLOOKUP(B404,Tot_res!C:V,7,FALSE)</f>
        <v>13178.728496080788</v>
      </c>
      <c r="I404" s="179">
        <f>VLOOKUP(B404,Tot_res!C:V,8,FALSE)</f>
        <v>4157.0111455734077</v>
      </c>
      <c r="J404" s="179">
        <f>VLOOKUP(B404,Tot_res!C:V,9,FALSE)</f>
        <v>15565.199571651481</v>
      </c>
      <c r="K404" s="179">
        <f>VLOOKUP(B404,Tot_res!C:V,10,FALSE)</f>
        <v>13243.61335754808</v>
      </c>
      <c r="L404" s="179">
        <f>VLOOKUP(B404,Tot_res!C:V,11,FALSE)</f>
        <v>42289.9309319569</v>
      </c>
      <c r="M404" s="179">
        <f>VLOOKUP(B404,Tot_res!C:V,12,FALSE)</f>
        <v>28906.096808046688</v>
      </c>
      <c r="N404" s="179">
        <f>VLOOKUP(B404,Tot_res!C:V,13,FALSE)</f>
        <v>7986.7408053743147</v>
      </c>
      <c r="O404" s="179">
        <f>VLOOKUP(B404,Tot_res!C:V,14,FALSE)</f>
        <v>17083.747369322249</v>
      </c>
      <c r="P404" s="179">
        <f>VLOOKUP(B404,Tot_res!C:V,15,FALSE)</f>
        <v>36157.286082120329</v>
      </c>
      <c r="Q404" s="179">
        <f>VLOOKUP(B404,Tot_res!C:V,16,FALSE)</f>
        <v>9625.8984540199199</v>
      </c>
      <c r="R404" s="179">
        <f>VLOOKUP(B404,Tot_res!C:V,17,FALSE)</f>
        <v>3979.7165421322843</v>
      </c>
      <c r="S404" s="179">
        <f>VLOOKUP(B404,Tot_res!C:V,18,FALSE)</f>
        <v>13599.176215444986</v>
      </c>
      <c r="T404" s="179">
        <f>VLOOKUP(B404,Tot_res!C:V,19,FALSE)</f>
        <v>2914.1681502824467</v>
      </c>
      <c r="U404" s="179">
        <f>VLOOKUP(B404,Tot_res!C:V,20,FALSE)</f>
        <v>9356.8850989785333</v>
      </c>
      <c r="V404" s="122">
        <f t="shared" si="80"/>
        <v>290094.72177323414</v>
      </c>
    </row>
    <row r="405" spans="1:22">
      <c r="A405" s="351" t="str">
        <f>IF(B405="","",(IF(ISERROR(MATCH(B405,Tot_res!C:C,0)),"Eliminar!!!","")))</f>
        <v/>
      </c>
      <c r="B405" s="119" t="s">
        <v>376</v>
      </c>
      <c r="C405" s="330" t="str">
        <f>VLOOKUP(B405,Tot_res!C:D,2,FALSE)</f>
        <v>Atención a la infancia y a las familias</v>
      </c>
      <c r="D405" s="179">
        <f>VLOOKUP(B405,Tot_res!C:V,3,FALSE)</f>
        <v>674.07062742225492</v>
      </c>
      <c r="E405" s="179">
        <f>VLOOKUP(B405,Tot_res!C:V,4,FALSE)</f>
        <v>106.04655368501275</v>
      </c>
      <c r="F405" s="179">
        <f>VLOOKUP(B405,Tot_res!C:V,5,FALSE)</f>
        <v>84.773026824027042</v>
      </c>
      <c r="G405" s="179">
        <f>VLOOKUP(B405,Tot_res!C:V,6,FALSE)</f>
        <v>88.581862227291069</v>
      </c>
      <c r="H405" s="179">
        <f>VLOOKUP(B405,Tot_res!C:V,7,FALSE)</f>
        <v>168.70959109093508</v>
      </c>
      <c r="I405" s="179">
        <f>VLOOKUP(B405,Tot_res!C:V,8,FALSE)</f>
        <v>47.094298322979945</v>
      </c>
      <c r="J405" s="179">
        <f>VLOOKUP(B405,Tot_res!C:V,9,FALSE)</f>
        <v>199.26986234956908</v>
      </c>
      <c r="K405" s="179">
        <f>VLOOKUP(B405,Tot_res!C:V,10,FALSE)</f>
        <v>166.00875062459636</v>
      </c>
      <c r="L405" s="179">
        <f>VLOOKUP(B405,Tot_res!C:V,11,FALSE)</f>
        <v>602.88408911653232</v>
      </c>
      <c r="M405" s="179">
        <f>VLOOKUP(B405,Tot_res!C:V,12,FALSE)</f>
        <v>400.61990826305311</v>
      </c>
      <c r="N405" s="179">
        <f>VLOOKUP(B405,Tot_res!C:V,13,FALSE)</f>
        <v>87.968346690648346</v>
      </c>
      <c r="O405" s="179">
        <f>VLOOKUP(B405,Tot_res!C:V,14,FALSE)</f>
        <v>219.89958304939165</v>
      </c>
      <c r="P405" s="179">
        <f>VLOOKUP(B405,Tot_res!C:V,15,FALSE)</f>
        <v>517.20483099890816</v>
      </c>
      <c r="Q405" s="179">
        <f>VLOOKUP(B405,Tot_res!C:V,16,FALSE)</f>
        <v>117.71642801181207</v>
      </c>
      <c r="R405" s="179">
        <f>VLOOKUP(B405,Tot_res!C:V,17,FALSE)</f>
        <v>51.404433532047712</v>
      </c>
      <c r="S405" s="179">
        <f>VLOOKUP(B405,Tot_res!C:V,18,FALSE)</f>
        <v>175.65521123343603</v>
      </c>
      <c r="T405" s="179">
        <f>VLOOKUP(B405,Tot_res!C:V,19,FALSE)</f>
        <v>25.518547257342824</v>
      </c>
      <c r="U405" s="179">
        <f>VLOOKUP(B405,Tot_res!C:V,20,FALSE)</f>
        <v>13.613489300161635</v>
      </c>
      <c r="V405" s="122">
        <f t="shared" si="80"/>
        <v>3747.0394400000014</v>
      </c>
    </row>
    <row r="406" spans="1:22">
      <c r="A406" s="351" t="str">
        <f>IF(B406="","",(IF(ISERROR(MATCH(B406,Tot_res!C:C,0)),"Eliminar!!!","")))</f>
        <v/>
      </c>
      <c r="B406" s="119" t="s">
        <v>377</v>
      </c>
      <c r="C406" s="330" t="str">
        <f>VLOOKUP(B406,Tot_res!C:D,2,FALSE)</f>
        <v>Acciones en favor de los inmigrantes</v>
      </c>
      <c r="D406" s="179">
        <f>VLOOKUP(B406,Tot_res!C:V,3,FALSE)</f>
        <v>22617.254992627164</v>
      </c>
      <c r="E406" s="179">
        <f>VLOOKUP(B406,Tot_res!C:V,4,FALSE)</f>
        <v>1845.4307078471165</v>
      </c>
      <c r="F406" s="179">
        <f>VLOOKUP(B406,Tot_res!C:V,5,FALSE)</f>
        <v>843.94719309051584</v>
      </c>
      <c r="G406" s="179">
        <f>VLOOKUP(B406,Tot_res!C:V,6,FALSE)</f>
        <v>1311.7228221107916</v>
      </c>
      <c r="H406" s="179">
        <f>VLOOKUP(B406,Tot_res!C:V,7,FALSE)</f>
        <v>2683.277602950945</v>
      </c>
      <c r="I406" s="179">
        <f>VLOOKUP(B406,Tot_res!C:V,8,FALSE)</f>
        <v>425.92357202763748</v>
      </c>
      <c r="J406" s="179">
        <f>VLOOKUP(B406,Tot_res!C:V,9,FALSE)</f>
        <v>3544.9569695123059</v>
      </c>
      <c r="K406" s="179">
        <f>VLOOKUP(B406,Tot_res!C:V,10,FALSE)</f>
        <v>2570.4597807694558</v>
      </c>
      <c r="L406" s="179">
        <f>VLOOKUP(B406,Tot_res!C:V,11,FALSE)</f>
        <v>11648.285932354489</v>
      </c>
      <c r="M406" s="179">
        <f>VLOOKUP(B406,Tot_res!C:V,12,FALSE)</f>
        <v>6118.8308076884259</v>
      </c>
      <c r="N406" s="179">
        <f>VLOOKUP(B406,Tot_res!C:V,13,FALSE)</f>
        <v>796.91092723130669</v>
      </c>
      <c r="O406" s="179">
        <f>VLOOKUP(B406,Tot_res!C:V,14,FALSE)</f>
        <v>2124.7288789446047</v>
      </c>
      <c r="P406" s="179">
        <f>VLOOKUP(B406,Tot_res!C:V,15,FALSE)</f>
        <v>11195.05205286174</v>
      </c>
      <c r="Q406" s="179">
        <f>VLOOKUP(B406,Tot_res!C:V,16,FALSE)</f>
        <v>5542.4475391873602</v>
      </c>
      <c r="R406" s="179">
        <f>VLOOKUP(B406,Tot_res!C:V,17,FALSE)</f>
        <v>655.14507494302279</v>
      </c>
      <c r="S406" s="179">
        <f>VLOOKUP(B406,Tot_res!C:V,18,FALSE)</f>
        <v>2406.439094479204</v>
      </c>
      <c r="T406" s="179">
        <f>VLOOKUP(B406,Tot_res!C:V,19,FALSE)</f>
        <v>290.47750896622392</v>
      </c>
      <c r="U406" s="179">
        <f>VLOOKUP(B406,Tot_res!C:V,20,FALSE)</f>
        <v>5131.3501924076882</v>
      </c>
      <c r="V406" s="122">
        <f t="shared" si="80"/>
        <v>81752.641650000005</v>
      </c>
    </row>
    <row r="407" spans="1:22">
      <c r="A407" s="351" t="str">
        <f>IF(B407="","",(IF(ISERROR(MATCH(B407,Tot_res!C:C,0)),"Eliminar!!!","")))</f>
        <v/>
      </c>
      <c r="B407" s="119" t="s">
        <v>378</v>
      </c>
      <c r="C407" s="330" t="str">
        <f>VLOOKUP(B407,Tot_res!C:D,2,FALSE)</f>
        <v>Promoción y servicios a la juventud</v>
      </c>
      <c r="D407" s="179">
        <f>VLOOKUP(B407,Tot_res!C:V,3,FALSE)</f>
        <v>3474.2228804008628</v>
      </c>
      <c r="E407" s="179">
        <f>VLOOKUP(B407,Tot_res!C:V,4,FALSE)</f>
        <v>625.04805942961502</v>
      </c>
      <c r="F407" s="179">
        <f>VLOOKUP(B407,Tot_res!C:V,5,FALSE)</f>
        <v>556.28448236005943</v>
      </c>
      <c r="G407" s="179">
        <f>VLOOKUP(B407,Tot_res!C:V,6,FALSE)</f>
        <v>154.62732987862677</v>
      </c>
      <c r="H407" s="179">
        <f>VLOOKUP(B407,Tot_res!C:V,7,FALSE)</f>
        <v>1027.4678251695982</v>
      </c>
      <c r="I407" s="179">
        <f>VLOOKUP(B407,Tot_res!C:V,8,FALSE)</f>
        <v>304.39484159274434</v>
      </c>
      <c r="J407" s="179">
        <f>VLOOKUP(B407,Tot_res!C:V,9,FALSE)</f>
        <v>1403.9100893898358</v>
      </c>
      <c r="K407" s="179">
        <f>VLOOKUP(B407,Tot_res!C:V,10,FALSE)</f>
        <v>873.08376226604832</v>
      </c>
      <c r="L407" s="179">
        <f>VLOOKUP(B407,Tot_res!C:V,11,FALSE)</f>
        <v>3038.4039957556979</v>
      </c>
      <c r="M407" s="179">
        <f>VLOOKUP(B407,Tot_res!C:V,12,FALSE)</f>
        <v>2391.0856199516525</v>
      </c>
      <c r="N407" s="179">
        <f>VLOOKUP(B407,Tot_res!C:V,13,FALSE)</f>
        <v>517.52207232175215</v>
      </c>
      <c r="O407" s="179">
        <f>VLOOKUP(B407,Tot_res!C:V,14,FALSE)</f>
        <v>1667.7963341895568</v>
      </c>
      <c r="P407" s="179">
        <f>VLOOKUP(B407,Tot_res!C:V,15,FALSE)</f>
        <v>4263.9681112977341</v>
      </c>
      <c r="Q407" s="179">
        <f>VLOOKUP(B407,Tot_res!C:V,16,FALSE)</f>
        <v>1023.2220880495737</v>
      </c>
      <c r="R407" s="179">
        <f>VLOOKUP(B407,Tot_res!C:V,17,FALSE)</f>
        <v>333.41673487743287</v>
      </c>
      <c r="S407" s="179">
        <f>VLOOKUP(B407,Tot_res!C:V,18,FALSE)</f>
        <v>682.66238128387624</v>
      </c>
      <c r="T407" s="179">
        <f>VLOOKUP(B407,Tot_res!C:V,19,FALSE)</f>
        <v>203.5394543344143</v>
      </c>
      <c r="U407" s="179">
        <f>VLOOKUP(B407,Tot_res!C:V,20,FALSE)</f>
        <v>44.907257450919303</v>
      </c>
      <c r="V407" s="122">
        <f t="shared" si="80"/>
        <v>22585.563320000001</v>
      </c>
    </row>
    <row r="408" spans="1:22">
      <c r="A408" s="351" t="str">
        <f>IF(B408="","",(IF(ISERROR(MATCH(B408,Tot_res!C:C,0)),"Eliminar!!!","")))</f>
        <v/>
      </c>
      <c r="B408" s="115" t="s">
        <v>379</v>
      </c>
      <c r="C408" s="330" t="str">
        <f>VLOOKUP(B408,Tot_res!C:D,2,FALSE)</f>
        <v>Igualdad oportunidades entre mujeres y hombres</v>
      </c>
      <c r="D408" s="179">
        <f>VLOOKUP(B408,Tot_res!C:V,3,FALSE)</f>
        <v>2446.2411468559985</v>
      </c>
      <c r="E408" s="179">
        <f>VLOOKUP(B408,Tot_res!C:V,4,FALSE)</f>
        <v>579.18628026809586</v>
      </c>
      <c r="F408" s="179">
        <f>VLOOKUP(B408,Tot_res!C:V,5,FALSE)</f>
        <v>283.63742269096178</v>
      </c>
      <c r="G408" s="179">
        <f>VLOOKUP(B408,Tot_res!C:V,6,FALSE)</f>
        <v>124.27338024614743</v>
      </c>
      <c r="H408" s="179">
        <f>VLOOKUP(B408,Tot_res!C:V,7,FALSE)</f>
        <v>417.35443635693252</v>
      </c>
      <c r="I408" s="179">
        <f>VLOOKUP(B408,Tot_res!C:V,8,FALSE)</f>
        <v>498.19662618213408</v>
      </c>
      <c r="J408" s="179">
        <f>VLOOKUP(B408,Tot_res!C:V,9,FALSE)</f>
        <v>1125.5860896992376</v>
      </c>
      <c r="K408" s="179">
        <f>VLOOKUP(B408,Tot_res!C:V,10,FALSE)</f>
        <v>1196.4875453170785</v>
      </c>
      <c r="L408" s="179">
        <f>VLOOKUP(B408,Tot_res!C:V,11,FALSE)</f>
        <v>2219.7095223603874</v>
      </c>
      <c r="M408" s="179">
        <f>VLOOKUP(B408,Tot_res!C:V,12,FALSE)</f>
        <v>1819.0737038481348</v>
      </c>
      <c r="N408" s="179">
        <f>VLOOKUP(B408,Tot_res!C:V,13,FALSE)</f>
        <v>643.31925154832152</v>
      </c>
      <c r="O408" s="179">
        <f>VLOOKUP(B408,Tot_res!C:V,14,FALSE)</f>
        <v>990.93354880652123</v>
      </c>
      <c r="P408" s="179">
        <f>VLOOKUP(B408,Tot_res!C:V,15,FALSE)</f>
        <v>3672.1335379268344</v>
      </c>
      <c r="Q408" s="179">
        <f>VLOOKUP(B408,Tot_res!C:V,16,FALSE)</f>
        <v>700.0449511165225</v>
      </c>
      <c r="R408" s="179">
        <f>VLOOKUP(B408,Tot_res!C:V,17,FALSE)</f>
        <v>193.69644698166263</v>
      </c>
      <c r="S408" s="179">
        <f>VLOOKUP(B408,Tot_res!C:V,18,FALSE)</f>
        <v>429.54138764644296</v>
      </c>
      <c r="T408" s="179">
        <f>VLOOKUP(B408,Tot_res!C:V,19,FALSE)</f>
        <v>52.82325002473646</v>
      </c>
      <c r="U408" s="179">
        <f>VLOOKUP(B408,Tot_res!C:V,20,FALSE)</f>
        <v>318.27776212384993</v>
      </c>
      <c r="V408" s="122">
        <f t="shared" si="80"/>
        <v>17710.51629</v>
      </c>
    </row>
    <row r="409" spans="1:22">
      <c r="A409" s="351" t="str">
        <f>IF(B409="","",(IF(ISERROR(MATCH(B409,Tot_res!C:C,0)),"Eliminar!!!","")))</f>
        <v/>
      </c>
      <c r="B409" s="119" t="s">
        <v>380</v>
      </c>
      <c r="C409" s="330" t="str">
        <f>VLOOKUP(B409,Tot_res!C:D,2,FALSE)</f>
        <v>Actuaciones para la prevención integral de la violencia de género + AF19/2</v>
      </c>
      <c r="D409" s="179">
        <f>VLOOKUP(B409,Tot_res!C:V,3,FALSE)</f>
        <v>3443.4400808027749</v>
      </c>
      <c r="E409" s="179">
        <f>VLOOKUP(B409,Tot_res!C:V,4,FALSE)</f>
        <v>907.95804671735254</v>
      </c>
      <c r="F409" s="179">
        <f>VLOOKUP(B409,Tot_res!C:V,5,FALSE)</f>
        <v>450.90680790255954</v>
      </c>
      <c r="G409" s="179">
        <f>VLOOKUP(B409,Tot_res!C:V,6,FALSE)</f>
        <v>829.3745303884873</v>
      </c>
      <c r="H409" s="179">
        <f>VLOOKUP(B409,Tot_res!C:V,7,FALSE)</f>
        <v>1506.7625185229479</v>
      </c>
      <c r="I409" s="179">
        <f>VLOOKUP(B409,Tot_res!C:V,8,FALSE)</f>
        <v>397.51519774399299</v>
      </c>
      <c r="J409" s="179">
        <f>VLOOKUP(B409,Tot_res!C:V,9,FALSE)</f>
        <v>891.39590787690531</v>
      </c>
      <c r="K409" s="179">
        <f>VLOOKUP(B409,Tot_res!C:V,10,FALSE)</f>
        <v>790.53960205340388</v>
      </c>
      <c r="L409" s="179">
        <f>VLOOKUP(B409,Tot_res!C:V,11,FALSE)</f>
        <v>1935.5198113236854</v>
      </c>
      <c r="M409" s="179">
        <f>VLOOKUP(B409,Tot_res!C:V,12,FALSE)</f>
        <v>2290.939736768089</v>
      </c>
      <c r="N409" s="179">
        <f>VLOOKUP(B409,Tot_res!C:V,13,FALSE)</f>
        <v>1092.9767260186259</v>
      </c>
      <c r="O409" s="179">
        <f>VLOOKUP(B409,Tot_res!C:V,14,FALSE)</f>
        <v>1642.6270308195951</v>
      </c>
      <c r="P409" s="179">
        <f>VLOOKUP(B409,Tot_res!C:V,15,FALSE)</f>
        <v>1787.898532296502</v>
      </c>
      <c r="Q409" s="179">
        <f>VLOOKUP(B409,Tot_res!C:V,16,FALSE)</f>
        <v>734.61261453196494</v>
      </c>
      <c r="R409" s="179">
        <f>VLOOKUP(B409,Tot_res!C:V,17,FALSE)</f>
        <v>282.33826508817577</v>
      </c>
      <c r="S409" s="179">
        <f>VLOOKUP(B409,Tot_res!C:V,18,FALSE)</f>
        <v>964.78424497035348</v>
      </c>
      <c r="T409" s="179">
        <f>VLOOKUP(B409,Tot_res!C:V,19,FALSE)</f>
        <v>301.0041249335469</v>
      </c>
      <c r="U409" s="179">
        <f>VLOOKUP(B409,Tot_res!C:V,20,FALSE)</f>
        <v>329.97762364758921</v>
      </c>
      <c r="V409" s="122">
        <f t="shared" si="80"/>
        <v>20580.571402406553</v>
      </c>
    </row>
    <row r="410" spans="1:22">
      <c r="A410" s="351" t="str">
        <f>IF(B410="","",(IF(ISERROR(MATCH(B410,Tot_res!C:C,0)),"Eliminar!!!","")))</f>
        <v/>
      </c>
      <c r="B410" s="115" t="s">
        <v>865</v>
      </c>
      <c r="C410" s="330" t="str">
        <f>VLOOKUP(B410,Tot_res!C:D,2,FALSE)</f>
        <v>Servicios Sociales Generales, neto de gasto directo del Estado en Ceuta y Melilla + AF19/3</v>
      </c>
      <c r="D410" s="179">
        <f>VLOOKUP(B410,Tot_res!C:V,3,FALSE)</f>
        <v>288746.00191424455</v>
      </c>
      <c r="E410" s="179">
        <f>VLOOKUP(B410,Tot_res!C:V,4,FALSE)</f>
        <v>33944.239957970982</v>
      </c>
      <c r="F410" s="179">
        <f>VLOOKUP(B410,Tot_res!C:V,5,FALSE)</f>
        <v>30938.577404196971</v>
      </c>
      <c r="G410" s="179">
        <f>VLOOKUP(B410,Tot_res!C:V,6,FALSE)</f>
        <v>22453.267297430291</v>
      </c>
      <c r="H410" s="179">
        <f>VLOOKUP(B410,Tot_res!C:V,7,FALSE)</f>
        <v>30679.30457785894</v>
      </c>
      <c r="I410" s="179">
        <f>VLOOKUP(B410,Tot_res!C:V,8,FALSE)</f>
        <v>20625.363367063495</v>
      </c>
      <c r="J410" s="179">
        <f>VLOOKUP(B410,Tot_res!C:V,9,FALSE)</f>
        <v>111627.6039120245</v>
      </c>
      <c r="K410" s="179">
        <f>VLOOKUP(B410,Tot_res!C:V,10,FALSE)</f>
        <v>73897.547628589484</v>
      </c>
      <c r="L410" s="179">
        <f>VLOOKUP(B410,Tot_res!C:V,11,FALSE)</f>
        <v>211386.69470868446</v>
      </c>
      <c r="M410" s="179">
        <f>VLOOKUP(B410,Tot_res!C:V,12,FALSE)</f>
        <v>78758.276570925416</v>
      </c>
      <c r="N410" s="179">
        <f>VLOOKUP(B410,Tot_res!C:V,13,FALSE)</f>
        <v>45678.694898186724</v>
      </c>
      <c r="O410" s="179">
        <f>VLOOKUP(B410,Tot_res!C:V,14,FALSE)</f>
        <v>82990.205847316363</v>
      </c>
      <c r="P410" s="179">
        <f>VLOOKUP(B410,Tot_res!C:V,15,FALSE)</f>
        <v>173507.21738854534</v>
      </c>
      <c r="Q410" s="179">
        <f>VLOOKUP(B410,Tot_res!C:V,16,FALSE)</f>
        <v>60734.123230554978</v>
      </c>
      <c r="R410" s="179">
        <f>VLOOKUP(B410,Tot_res!C:V,17,FALSE)</f>
        <v>16486.598715285945</v>
      </c>
      <c r="S410" s="179">
        <f>VLOOKUP(B410,Tot_res!C:V,18,FALSE)</f>
        <v>64042.084269075691</v>
      </c>
      <c r="T410" s="179">
        <f>VLOOKUP(B410,Tot_res!C:V,19,FALSE)</f>
        <v>13075.628976527532</v>
      </c>
      <c r="U410" s="179">
        <f>VLOOKUP(B410,Tot_res!C:V,20,FALSE)</f>
        <v>5726.1420140285327</v>
      </c>
      <c r="V410" s="122">
        <f t="shared" si="80"/>
        <v>1365297.5726785103</v>
      </c>
    </row>
    <row r="411" spans="1:22">
      <c r="A411" s="351" t="str">
        <f>IF(B411="","",(IF(ISERROR(MATCH(B411,Tot_res!C:C,0)),"Eliminar!!!","")))</f>
        <v/>
      </c>
      <c r="B411" s="115" t="s">
        <v>867</v>
      </c>
      <c r="C411" s="330" t="str">
        <f>VLOOKUP(B411,Tot_res!C:D,2,FALSE)</f>
        <v>Otros Servicios Sociales, ISM</v>
      </c>
      <c r="D411" s="179">
        <f>VLOOKUP(B411,Tot_res!C:V,3,FALSE)</f>
        <v>3.3911436268279092</v>
      </c>
      <c r="E411" s="179">
        <f>VLOOKUP(B411,Tot_res!C:V,4,FALSE)</f>
        <v>0</v>
      </c>
      <c r="F411" s="179">
        <f>VLOOKUP(B411,Tot_res!C:V,5,FALSE)</f>
        <v>2.7964771288416896</v>
      </c>
      <c r="G411" s="179">
        <f>VLOOKUP(B411,Tot_res!C:V,6,FALSE)</f>
        <v>0</v>
      </c>
      <c r="H411" s="179">
        <f>VLOOKUP(B411,Tot_res!C:V,7,FALSE)</f>
        <v>0</v>
      </c>
      <c r="I411" s="179">
        <f>VLOOKUP(B411,Tot_res!C:V,8,FALSE)</f>
        <v>0.93215904294722995</v>
      </c>
      <c r="J411" s="179">
        <f>VLOOKUP(B411,Tot_res!C:V,9,FALSE)</f>
        <v>0</v>
      </c>
      <c r="K411" s="179">
        <f>VLOOKUP(B411,Tot_res!C:V,10,FALSE)</f>
        <v>0</v>
      </c>
      <c r="L411" s="179">
        <f>VLOOKUP(B411,Tot_res!C:V,11,FALSE)</f>
        <v>2.4126469346869479</v>
      </c>
      <c r="M411" s="179">
        <f>VLOOKUP(B411,Tot_res!C:V,12,FALSE)</f>
        <v>0.93215904294722995</v>
      </c>
      <c r="N411" s="179">
        <f>VLOOKUP(B411,Tot_res!C:V,13,FALSE)</f>
        <v>0</v>
      </c>
      <c r="O411" s="179">
        <f>VLOOKUP(B411,Tot_res!C:V,14,FALSE)</f>
        <v>40.123945490193407</v>
      </c>
      <c r="P411" s="179">
        <f>VLOOKUP(B411,Tot_res!C:V,15,FALSE)</f>
        <v>64.54005603628984</v>
      </c>
      <c r="Q411" s="179">
        <f>VLOOKUP(B411,Tot_res!C:V,16,FALSE)</f>
        <v>0</v>
      </c>
      <c r="R411" s="179">
        <f>VLOOKUP(B411,Tot_res!C:V,17,FALSE)</f>
        <v>0</v>
      </c>
      <c r="S411" s="179">
        <f>VLOOKUP(B411,Tot_res!C:V,18,FALSE)</f>
        <v>1.2428787239296399</v>
      </c>
      <c r="T411" s="179">
        <f>VLOOKUP(B411,Tot_res!C:V,19,FALSE)</f>
        <v>0</v>
      </c>
      <c r="U411" s="179">
        <f>VLOOKUP(B411,Tot_res!C:V,20,FALSE)</f>
        <v>526.15733397333611</v>
      </c>
      <c r="V411" s="122">
        <f t="shared" si="80"/>
        <v>642.52880000000005</v>
      </c>
    </row>
    <row r="412" spans="1:22">
      <c r="A412" s="351" t="str">
        <f>IF(B412="","",(IF(ISERROR(MATCH(B412,Tot_res!C:C,0)),"Eliminar!!!","")))</f>
        <v/>
      </c>
      <c r="B412" s="115" t="s">
        <v>868</v>
      </c>
      <c r="C412" s="330" t="str">
        <f>VLOOKUP(B412,Tot_res!C:D,2,FALSE)</f>
        <v>Otros Servicios Sociales, Mutuas</v>
      </c>
      <c r="D412" s="179">
        <f>VLOOKUP(B412,Tot_res!C:V,3,FALSE)</f>
        <v>3389.1168811644848</v>
      </c>
      <c r="E412" s="179">
        <f>VLOOKUP(B412,Tot_res!C:V,4,FALSE)</f>
        <v>1268.7260997782637</v>
      </c>
      <c r="F412" s="179">
        <f>VLOOKUP(B412,Tot_res!C:V,5,FALSE)</f>
        <v>668.96654253946156</v>
      </c>
      <c r="G412" s="179">
        <f>VLOOKUP(B412,Tot_res!C:V,6,FALSE)</f>
        <v>565.86195968337063</v>
      </c>
      <c r="H412" s="179">
        <f>VLOOKUP(B412,Tot_res!C:V,7,FALSE)</f>
        <v>871.46286824788615</v>
      </c>
      <c r="I412" s="179">
        <f>VLOOKUP(B412,Tot_res!C:V,8,FALSE)</f>
        <v>185.63176129251698</v>
      </c>
      <c r="J412" s="179">
        <f>VLOOKUP(B412,Tot_res!C:V,9,FALSE)</f>
        <v>1385.9026671864538</v>
      </c>
      <c r="K412" s="179">
        <f>VLOOKUP(B412,Tot_res!C:V,10,FALSE)</f>
        <v>770.64968499433257</v>
      </c>
      <c r="L412" s="179">
        <f>VLOOKUP(B412,Tot_res!C:V,11,FALSE)</f>
        <v>4539.4565328892604</v>
      </c>
      <c r="M412" s="179">
        <f>VLOOKUP(B412,Tot_res!C:V,12,FALSE)</f>
        <v>2479.4197070596156</v>
      </c>
      <c r="N412" s="179">
        <f>VLOOKUP(B412,Tot_res!C:V,13,FALSE)</f>
        <v>504.97355124004758</v>
      </c>
      <c r="O412" s="179">
        <f>VLOOKUP(B412,Tot_res!C:V,14,FALSE)</f>
        <v>1403.374280359548</v>
      </c>
      <c r="P412" s="179">
        <f>VLOOKUP(B412,Tot_res!C:V,15,FALSE)</f>
        <v>4024.1293650531366</v>
      </c>
      <c r="Q412" s="179">
        <f>VLOOKUP(B412,Tot_res!C:V,16,FALSE)</f>
        <v>465.12233038333892</v>
      </c>
      <c r="R412" s="179">
        <f>VLOOKUP(B412,Tot_res!C:V,17,FALSE)</f>
        <v>395.58088851768673</v>
      </c>
      <c r="S412" s="179">
        <f>VLOOKUP(B412,Tot_res!C:V,18,FALSE)</f>
        <v>1407.5837488363991</v>
      </c>
      <c r="T412" s="179">
        <f>VLOOKUP(B412,Tot_res!C:V,19,FALSE)</f>
        <v>174.54570773572979</v>
      </c>
      <c r="U412" s="179">
        <f>VLOOKUP(B412,Tot_res!C:V,20,FALSE)</f>
        <v>4.2984438466683574E-2</v>
      </c>
      <c r="V412" s="122">
        <f t="shared" si="80"/>
        <v>24500.547561400002</v>
      </c>
    </row>
    <row r="413" spans="1:22">
      <c r="A413" s="351" t="str">
        <f>IF(B413="","",(IF(ISERROR(MATCH(B413,Tot_res!C:C,0)),"Eliminar!!!","")))</f>
        <v/>
      </c>
      <c r="B413" s="115" t="s">
        <v>870</v>
      </c>
      <c r="C413" s="330" t="str">
        <f>VLOOKUP(B413,Tot_res!C:D,2,FALSE)</f>
        <v>Admón.y Serv.Generales de Servicios Sociales, IMSERSO + AF19/4</v>
      </c>
      <c r="D413" s="179">
        <f>VLOOKUP(B413,Tot_res!C:V,3,FALSE)</f>
        <v>5145.4186964327037</v>
      </c>
      <c r="E413" s="179">
        <f>VLOOKUP(B413,Tot_res!C:V,4,FALSE)</f>
        <v>460.58288288753118</v>
      </c>
      <c r="F413" s="179">
        <f>VLOOKUP(B413,Tot_res!C:V,5,FALSE)</f>
        <v>495.62587659567583</v>
      </c>
      <c r="G413" s="179">
        <f>VLOOKUP(B413,Tot_res!C:V,6,FALSE)</f>
        <v>394.36524480506154</v>
      </c>
      <c r="H413" s="179">
        <f>VLOOKUP(B413,Tot_res!C:V,7,FALSE)</f>
        <v>1598.8415620108224</v>
      </c>
      <c r="I413" s="179">
        <f>VLOOKUP(B413,Tot_res!C:V,8,FALSE)</f>
        <v>345.4612317412741</v>
      </c>
      <c r="J413" s="179">
        <f>VLOOKUP(B413,Tot_res!C:V,9,FALSE)</f>
        <v>1433.1367186962143</v>
      </c>
      <c r="K413" s="179">
        <f>VLOOKUP(B413,Tot_res!C:V,10,FALSE)</f>
        <v>1119.3355681468079</v>
      </c>
      <c r="L413" s="179">
        <f>VLOOKUP(B413,Tot_res!C:V,11,FALSE)</f>
        <v>3223.5346509858732</v>
      </c>
      <c r="M413" s="179">
        <f>VLOOKUP(B413,Tot_res!C:V,12,FALSE)</f>
        <v>2002.2511124303496</v>
      </c>
      <c r="N413" s="179">
        <f>VLOOKUP(B413,Tot_res!C:V,13,FALSE)</f>
        <v>755.21450335466056</v>
      </c>
      <c r="O413" s="179">
        <f>VLOOKUP(B413,Tot_res!C:V,14,FALSE)</f>
        <v>1905.4645134755654</v>
      </c>
      <c r="P413" s="179">
        <f>VLOOKUP(B413,Tot_res!C:V,15,FALSE)</f>
        <v>2278.1277521784814</v>
      </c>
      <c r="Q413" s="179">
        <f>VLOOKUP(B413,Tot_res!C:V,16,FALSE)</f>
        <v>868.64711956601047</v>
      </c>
      <c r="R413" s="179">
        <f>VLOOKUP(B413,Tot_res!C:V,17,FALSE)</f>
        <v>326.47349904519081</v>
      </c>
      <c r="S413" s="179">
        <f>VLOOKUP(B413,Tot_res!C:V,18,FALSE)</f>
        <v>1115.5997157550532</v>
      </c>
      <c r="T413" s="179">
        <f>VLOOKUP(B413,Tot_res!C:V,19,FALSE)</f>
        <v>142.53028175766954</v>
      </c>
      <c r="U413" s="179">
        <f>VLOOKUP(B413,Tot_res!C:V,20,FALSE)</f>
        <v>187.12387591730155</v>
      </c>
      <c r="V413" s="122">
        <f t="shared" si="80"/>
        <v>23797.734805782249</v>
      </c>
    </row>
    <row r="414" spans="1:22">
      <c r="A414" s="351" t="str">
        <f>IF(B414="","",(IF(ISERROR(MATCH(B414,Tot_res!C:C,0)),"Eliminar!!!","")))</f>
        <v/>
      </c>
      <c r="B414" s="115" t="s">
        <v>872</v>
      </c>
      <c r="C414" s="330" t="str">
        <f>VLOOKUP(B414,Tot_res!C:D,2,FALSE)</f>
        <v>ISM formación y servicios sociales + AF19/5</v>
      </c>
      <c r="D414" s="179">
        <f>VLOOKUP(B414,Tot_res!C:V,3,FALSE)</f>
        <v>1596.5045754787286</v>
      </c>
      <c r="E414" s="179">
        <f>VLOOKUP(B414,Tot_res!C:V,4,FALSE)</f>
        <v>0</v>
      </c>
      <c r="F414" s="179">
        <f>VLOOKUP(B414,Tot_res!C:V,5,FALSE)</f>
        <v>1163.9577606348901</v>
      </c>
      <c r="G414" s="179">
        <f>VLOOKUP(B414,Tot_res!C:V,6,FALSE)</f>
        <v>617.02547594636758</v>
      </c>
      <c r="H414" s="179">
        <f>VLOOKUP(B414,Tot_res!C:V,7,FALSE)</f>
        <v>0</v>
      </c>
      <c r="I414" s="179">
        <f>VLOOKUP(B414,Tot_res!C:V,8,FALSE)</f>
        <v>672.84783004954647</v>
      </c>
      <c r="J414" s="179">
        <f>VLOOKUP(B414,Tot_res!C:V,9,FALSE)</f>
        <v>0</v>
      </c>
      <c r="K414" s="179">
        <f>VLOOKUP(B414,Tot_res!C:V,10,FALSE)</f>
        <v>0</v>
      </c>
      <c r="L414" s="179">
        <f>VLOOKUP(B414,Tot_res!C:V,11,FALSE)</f>
        <v>0</v>
      </c>
      <c r="M414" s="179">
        <f>VLOOKUP(B414,Tot_res!C:V,12,FALSE)</f>
        <v>0</v>
      </c>
      <c r="N414" s="179">
        <f>VLOOKUP(B414,Tot_res!C:V,13,FALSE)</f>
        <v>0</v>
      </c>
      <c r="O414" s="179">
        <f>VLOOKUP(B414,Tot_res!C:V,14,FALSE)</f>
        <v>0</v>
      </c>
      <c r="P414" s="179">
        <f>VLOOKUP(B414,Tot_res!C:V,15,FALSE)</f>
        <v>0</v>
      </c>
      <c r="Q414" s="179">
        <f>VLOOKUP(B414,Tot_res!C:V,16,FALSE)</f>
        <v>870.81322923480036</v>
      </c>
      <c r="R414" s="179">
        <f>VLOOKUP(B414,Tot_res!C:V,17,FALSE)</f>
        <v>0</v>
      </c>
      <c r="S414" s="179">
        <f>VLOOKUP(B414,Tot_res!C:V,18,FALSE)</f>
        <v>853.9759869779981</v>
      </c>
      <c r="T414" s="179">
        <f>VLOOKUP(B414,Tot_res!C:V,19,FALSE)</f>
        <v>0</v>
      </c>
      <c r="U414" s="179">
        <f>VLOOKUP(B414,Tot_res!C:V,20,FALSE)</f>
        <v>0</v>
      </c>
      <c r="V414" s="122">
        <f t="shared" si="80"/>
        <v>5775.1248583223305</v>
      </c>
    </row>
    <row r="415" spans="1:22">
      <c r="A415" s="358"/>
      <c r="B415" s="115"/>
      <c r="C415" s="142"/>
      <c r="D415" s="105"/>
      <c r="E415" s="105"/>
      <c r="F415" s="105"/>
      <c r="G415" s="105"/>
      <c r="H415" s="105"/>
      <c r="I415" s="105"/>
      <c r="J415" s="105"/>
      <c r="K415" s="105"/>
      <c r="L415" s="105"/>
      <c r="M415" s="105"/>
      <c r="N415" s="105"/>
      <c r="O415" s="105"/>
      <c r="P415" s="105"/>
      <c r="Q415" s="105"/>
      <c r="R415" s="105"/>
      <c r="S415" s="105"/>
      <c r="T415" s="105"/>
      <c r="U415" s="105"/>
      <c r="V415" s="122"/>
    </row>
    <row r="416" spans="1:22" ht="13.5">
      <c r="A416" s="358"/>
      <c r="B416" s="115"/>
      <c r="C416" s="117" t="s">
        <v>382</v>
      </c>
      <c r="D416" s="114">
        <f t="shared" ref="D416:V416" si="81">SUM(D417:D428)</f>
        <v>286260.56436415727</v>
      </c>
      <c r="E416" s="114">
        <f t="shared" si="81"/>
        <v>60958.370529505744</v>
      </c>
      <c r="F416" s="114">
        <f t="shared" si="81"/>
        <v>57142.556161296532</v>
      </c>
      <c r="G416" s="114">
        <f t="shared" si="81"/>
        <v>45879.138827817136</v>
      </c>
      <c r="H416" s="114">
        <f t="shared" si="81"/>
        <v>72454.165412597373</v>
      </c>
      <c r="I416" s="114">
        <f t="shared" si="81"/>
        <v>27306.163401451748</v>
      </c>
      <c r="J416" s="114">
        <f t="shared" si="81"/>
        <v>112072.92324685684</v>
      </c>
      <c r="K416" s="114">
        <f t="shared" si="81"/>
        <v>75390.240978360307</v>
      </c>
      <c r="L416" s="114">
        <f t="shared" si="81"/>
        <v>323487.82667199126</v>
      </c>
      <c r="M416" s="114">
        <f t="shared" si="81"/>
        <v>205144.68532338802</v>
      </c>
      <c r="N416" s="114">
        <f t="shared" si="81"/>
        <v>38425.18279774431</v>
      </c>
      <c r="O416" s="114">
        <f t="shared" si="81"/>
        <v>130106.77196817147</v>
      </c>
      <c r="P416" s="114">
        <f t="shared" si="81"/>
        <v>285980.78007875069</v>
      </c>
      <c r="Q416" s="114">
        <f t="shared" si="81"/>
        <v>50973.902522713324</v>
      </c>
      <c r="R416" s="114">
        <f t="shared" si="81"/>
        <v>28100.786568069405</v>
      </c>
      <c r="S416" s="114">
        <f t="shared" si="81"/>
        <v>113127.71605535975</v>
      </c>
      <c r="T416" s="114">
        <f t="shared" si="81"/>
        <v>13304.027389539453</v>
      </c>
      <c r="U416" s="114">
        <f t="shared" si="81"/>
        <v>7905.6850367564512</v>
      </c>
      <c r="V416" s="126">
        <f t="shared" si="81"/>
        <v>1934021.4873345273</v>
      </c>
    </row>
    <row r="417" spans="1:22">
      <c r="A417" s="351" t="str">
        <f>IF(B417="","",(IF(ISERROR(MATCH(B417,Tot_res!C:C,0)),"Eliminar!!!","")))</f>
        <v/>
      </c>
      <c r="B417" s="119" t="s">
        <v>383</v>
      </c>
      <c r="C417" s="330" t="str">
        <f>VLOOKUP(B417,Tot_res!C:D,2,FALSE)</f>
        <v>Inspección y control de seguridad y protección social</v>
      </c>
      <c r="D417" s="179">
        <f>VLOOKUP(B417,Tot_res!C:V,3,FALSE)</f>
        <v>22573.336125935144</v>
      </c>
      <c r="E417" s="179">
        <f>VLOOKUP(B417,Tot_res!C:V,4,FALSE)</f>
        <v>5131.6204013325778</v>
      </c>
      <c r="F417" s="179">
        <f>VLOOKUP(B417,Tot_res!C:V,5,FALSE)</f>
        <v>3449.1208099457585</v>
      </c>
      <c r="G417" s="179">
        <f>VLOOKUP(B417,Tot_res!C:V,6,FALSE)</f>
        <v>5092.8940558876529</v>
      </c>
      <c r="H417" s="179">
        <f>VLOOKUP(B417,Tot_res!C:V,7,FALSE)</f>
        <v>7115.557685501527</v>
      </c>
      <c r="I417" s="179">
        <f>VLOOKUP(B417,Tot_res!C:V,8,FALSE)</f>
        <v>1992.8798511877667</v>
      </c>
      <c r="J417" s="179">
        <f>VLOOKUP(B417,Tot_res!C:V,9,FALSE)</f>
        <v>11086.642264747528</v>
      </c>
      <c r="K417" s="179">
        <f>VLOOKUP(B417,Tot_res!C:V,10,FALSE)</f>
        <v>6211.836356016981</v>
      </c>
      <c r="L417" s="179">
        <f>VLOOKUP(B417,Tot_res!C:V,11,FALSE)</f>
        <v>379.31123206843404</v>
      </c>
      <c r="M417" s="179">
        <f>VLOOKUP(B417,Tot_res!C:V,12,FALSE)</f>
        <v>13731.760671967693</v>
      </c>
      <c r="N417" s="179">
        <f>VLOOKUP(B417,Tot_res!C:V,13,FALSE)</f>
        <v>3356.0320494104458</v>
      </c>
      <c r="O417" s="179">
        <f>VLOOKUP(B417,Tot_res!C:V,14,FALSE)</f>
        <v>8398.1575380327649</v>
      </c>
      <c r="P417" s="179">
        <f>VLOOKUP(B417,Tot_res!C:V,15,FALSE)</f>
        <v>19788.785570653137</v>
      </c>
      <c r="Q417" s="179">
        <f>VLOOKUP(B417,Tot_res!C:V,16,FALSE)</f>
        <v>3160.4890121801955</v>
      </c>
      <c r="R417" s="179">
        <f>VLOOKUP(B417,Tot_res!C:V,17,FALSE)</f>
        <v>1803.4520800580074</v>
      </c>
      <c r="S417" s="179">
        <f>VLOOKUP(B417,Tot_res!C:V,18,FALSE)</f>
        <v>4834.4850343200414</v>
      </c>
      <c r="T417" s="179">
        <f>VLOOKUP(B417,Tot_res!C:V,19,FALSE)</f>
        <v>928.54544525737617</v>
      </c>
      <c r="U417" s="179">
        <f>VLOOKUP(B417,Tot_res!C:V,20,FALSE)</f>
        <v>310.04480549695626</v>
      </c>
      <c r="V417" s="122">
        <f t="shared" ref="V417:V428" si="82">SUM(D417:U417)</f>
        <v>119344.95099000001</v>
      </c>
    </row>
    <row r="418" spans="1:22">
      <c r="A418" s="351" t="str">
        <f>IF(B418="","",(IF(ISERROR(MATCH(B418,Tot_res!C:C,0)),"Eliminar!!!","")))</f>
        <v/>
      </c>
      <c r="B418" s="119" t="s">
        <v>384</v>
      </c>
      <c r="C418" s="330" t="str">
        <f>VLOOKUP(B418,Tot_res!C:D,2,FALSE)</f>
        <v>Dirección y servicios generales de seguridad social y protección social</v>
      </c>
      <c r="D418" s="179">
        <f>VLOOKUP(B418,Tot_res!C:V,3,FALSE)</f>
        <v>22639.945632216895</v>
      </c>
      <c r="E418" s="179">
        <f>VLOOKUP(B418,Tot_res!C:V,4,FALSE)</f>
        <v>3982.0506705098087</v>
      </c>
      <c r="F418" s="179">
        <f>VLOOKUP(B418,Tot_res!C:V,5,FALSE)</f>
        <v>3745.660193103105</v>
      </c>
      <c r="G418" s="179">
        <f>VLOOKUP(B418,Tot_res!C:V,6,FALSE)</f>
        <v>2948.4247288460697</v>
      </c>
      <c r="H418" s="179">
        <f>VLOOKUP(B418,Tot_res!C:V,7,FALSE)</f>
        <v>5370.7855537757732</v>
      </c>
      <c r="I418" s="179">
        <f>VLOOKUP(B418,Tot_res!C:V,8,FALSE)</f>
        <v>1820.3462133216622</v>
      </c>
      <c r="J418" s="179">
        <f>VLOOKUP(B418,Tot_res!C:V,9,FALSE)</f>
        <v>7434.7907637440185</v>
      </c>
      <c r="K418" s="179">
        <f>VLOOKUP(B418,Tot_res!C:V,10,FALSE)</f>
        <v>5478.8164857637657</v>
      </c>
      <c r="L418" s="179">
        <f>VLOOKUP(B418,Tot_res!C:V,11,FALSE)</f>
        <v>22878.397905371683</v>
      </c>
      <c r="M418" s="179">
        <f>VLOOKUP(B418,Tot_res!C:V,12,FALSE)</f>
        <v>13702.759924030357</v>
      </c>
      <c r="N418" s="179">
        <f>VLOOKUP(B418,Tot_res!C:V,13,FALSE)</f>
        <v>2972.1786356079856</v>
      </c>
      <c r="O418" s="179">
        <f>VLOOKUP(B418,Tot_res!C:V,14,FALSE)</f>
        <v>8188.9888686512886</v>
      </c>
      <c r="P418" s="179">
        <f>VLOOKUP(B418,Tot_res!C:V,15,FALSE)</f>
        <v>18893.150951981399</v>
      </c>
      <c r="Q418" s="179">
        <f>VLOOKUP(B418,Tot_res!C:V,16,FALSE)</f>
        <v>3827.8054588533614</v>
      </c>
      <c r="R418" s="179">
        <f>VLOOKUP(B418,Tot_res!C:V,17,FALSE)</f>
        <v>1935.5734071426987</v>
      </c>
      <c r="S418" s="179">
        <f>VLOOKUP(B418,Tot_res!C:V,18,FALSE)</f>
        <v>7362.4068369238685</v>
      </c>
      <c r="T418" s="179">
        <f>VLOOKUP(B418,Tot_res!C:V,19,FALSE)</f>
        <v>907.2439319838744</v>
      </c>
      <c r="U418" s="179">
        <f>VLOOKUP(B418,Tot_res!C:V,20,FALSE)</f>
        <v>523.03110817237678</v>
      </c>
      <c r="V418" s="122">
        <f t="shared" si="82"/>
        <v>134612.35727000001</v>
      </c>
    </row>
    <row r="419" spans="1:22">
      <c r="A419" s="351" t="str">
        <f>IF(B419="","",(IF(ISERROR(MATCH(B419,Tot_res!C:C,0)),"Eliminar!!!","")))</f>
        <v/>
      </c>
      <c r="B419" s="115" t="s">
        <v>624</v>
      </c>
      <c r="C419" s="330" t="str">
        <f>VLOOKUP(B419,Tot_res!C:D,2,FALSE)</f>
        <v>Gestión de Cotización y Recaudación</v>
      </c>
      <c r="D419" s="179">
        <f>VLOOKUP(B419,Tot_res!C:V,3,FALSE)</f>
        <v>67076.214766037359</v>
      </c>
      <c r="E419" s="179">
        <f>VLOOKUP(B419,Tot_res!C:V,4,FALSE)</f>
        <v>13640.221156898771</v>
      </c>
      <c r="F419" s="179">
        <f>VLOOKUP(B419,Tot_res!C:V,5,FALSE)</f>
        <v>13880.7290738256</v>
      </c>
      <c r="G419" s="179">
        <f>VLOOKUP(B419,Tot_res!C:V,6,FALSE)</f>
        <v>8880.3746630419755</v>
      </c>
      <c r="H419" s="179">
        <f>VLOOKUP(B419,Tot_res!C:V,7,FALSE)</f>
        <v>15068.229568513516</v>
      </c>
      <c r="I419" s="179">
        <f>VLOOKUP(B419,Tot_res!C:V,8,FALSE)</f>
        <v>6194.4352464808517</v>
      </c>
      <c r="J419" s="179">
        <f>VLOOKUP(B419,Tot_res!C:V,9,FALSE)</f>
        <v>25405.509621500954</v>
      </c>
      <c r="K419" s="179">
        <f>VLOOKUP(B419,Tot_res!C:V,10,FALSE)</f>
        <v>16893.695081191472</v>
      </c>
      <c r="L419" s="179">
        <f>VLOOKUP(B419,Tot_res!C:V,11,FALSE)</f>
        <v>77364.112070785573</v>
      </c>
      <c r="M419" s="179">
        <f>VLOOKUP(B419,Tot_res!C:V,12,FALSE)</f>
        <v>42595.189646495339</v>
      </c>
      <c r="N419" s="179">
        <f>VLOOKUP(B419,Tot_res!C:V,13,FALSE)</f>
        <v>9036.913398646484</v>
      </c>
      <c r="O419" s="179">
        <f>VLOOKUP(B419,Tot_res!C:V,14,FALSE)</f>
        <v>27836.399764292484</v>
      </c>
      <c r="P419" s="179">
        <f>VLOOKUP(B419,Tot_res!C:V,15,FALSE)</f>
        <v>62387.140517975749</v>
      </c>
      <c r="Q419" s="179">
        <f>VLOOKUP(B419,Tot_res!C:V,16,FALSE)</f>
        <v>11342.52430739523</v>
      </c>
      <c r="R419" s="179">
        <f>VLOOKUP(B419,Tot_res!C:V,17,FALSE)</f>
        <v>6688.58288147039</v>
      </c>
      <c r="S419" s="179">
        <f>VLOOKUP(B419,Tot_res!C:V,18,FALSE)</f>
        <v>27097.947335091783</v>
      </c>
      <c r="T419" s="179">
        <f>VLOOKUP(B419,Tot_res!C:V,19,FALSE)</f>
        <v>2982.8599147490741</v>
      </c>
      <c r="U419" s="179">
        <f>VLOOKUP(B419,Tot_res!C:V,20,FALSE)</f>
        <v>1136.7598256073052</v>
      </c>
      <c r="V419" s="122">
        <f t="shared" si="82"/>
        <v>435507.83883999981</v>
      </c>
    </row>
    <row r="420" spans="1:22">
      <c r="A420" s="351" t="str">
        <f>IF(B420="","",(IF(ISERROR(MATCH(B420,Tot_res!C:C,0)),"Eliminar!!!","")))</f>
        <v/>
      </c>
      <c r="B420" s="115" t="s">
        <v>974</v>
      </c>
      <c r="C420" s="330" t="str">
        <f>VLOOKUP(B420,Tot_res!C:D,2,FALSE)</f>
        <v>Gestión Financiera, neta de aportación al Fondo de Reserva</v>
      </c>
      <c r="D420" s="179">
        <f>VLOOKUP(B420,Tot_res!C:V,3,FALSE)</f>
        <v>15504.400863546161</v>
      </c>
      <c r="E420" s="179">
        <f>VLOOKUP(B420,Tot_res!C:V,4,FALSE)</f>
        <v>3103.1823642439567</v>
      </c>
      <c r="F420" s="179">
        <f>VLOOKUP(B420,Tot_res!C:V,5,FALSE)</f>
        <v>3490.7058289509041</v>
      </c>
      <c r="G420" s="179">
        <f>VLOOKUP(B420,Tot_res!C:V,6,FALSE)</f>
        <v>1931.0011336122977</v>
      </c>
      <c r="H420" s="179">
        <f>VLOOKUP(B420,Tot_res!C:V,7,FALSE)</f>
        <v>3315.5059878968682</v>
      </c>
      <c r="I420" s="179">
        <f>VLOOKUP(B420,Tot_res!C:V,8,FALSE)</f>
        <v>1472.4487546013459</v>
      </c>
      <c r="J420" s="179">
        <f>VLOOKUP(B420,Tot_res!C:V,9,FALSE)</f>
        <v>5840.2242455846181</v>
      </c>
      <c r="K420" s="179">
        <f>VLOOKUP(B420,Tot_res!C:V,10,FALSE)</f>
        <v>3603.6917120939274</v>
      </c>
      <c r="L420" s="179">
        <f>VLOOKUP(B420,Tot_res!C:V,11,FALSE)</f>
        <v>18025.213090103687</v>
      </c>
      <c r="M420" s="179">
        <f>VLOOKUP(B420,Tot_res!C:V,12,FALSE)</f>
        <v>9387.7968954850694</v>
      </c>
      <c r="N420" s="179">
        <f>VLOOKUP(B420,Tot_res!C:V,13,FALSE)</f>
        <v>2056.8078294747411</v>
      </c>
      <c r="O420" s="179">
        <f>VLOOKUP(B420,Tot_res!C:V,14,FALSE)</f>
        <v>6372.1697380143733</v>
      </c>
      <c r="P420" s="179">
        <f>VLOOKUP(B420,Tot_res!C:V,15,FALSE)</f>
        <v>13836.982896229962</v>
      </c>
      <c r="Q420" s="179">
        <f>VLOOKUP(B420,Tot_res!C:V,16,FALSE)</f>
        <v>2426.2603552708056</v>
      </c>
      <c r="R420" s="179">
        <f>VLOOKUP(B420,Tot_res!C:V,17,FALSE)</f>
        <v>1515.2223266780466</v>
      </c>
      <c r="S420" s="179">
        <f>VLOOKUP(B420,Tot_res!C:V,18,FALSE)</f>
        <v>6496.3318778919838</v>
      </c>
      <c r="T420" s="179">
        <f>VLOOKUP(B420,Tot_res!C:V,19,FALSE)</f>
        <v>664.18833124902574</v>
      </c>
      <c r="U420" s="179">
        <f>VLOOKUP(B420,Tot_res!C:V,20,FALSE)</f>
        <v>428.92404907220413</v>
      </c>
      <c r="V420" s="122">
        <f t="shared" si="82"/>
        <v>99471.058279999968</v>
      </c>
    </row>
    <row r="421" spans="1:22">
      <c r="A421" s="351" t="str">
        <f>IF(B421="","",(IF(ISERROR(MATCH(B421,Tot_res!C:C,0)),"Eliminar!!!","")))</f>
        <v/>
      </c>
      <c r="B421" s="115" t="s">
        <v>975</v>
      </c>
      <c r="C421" s="330" t="str">
        <f>VLOOKUP(B421,Tot_res!C:D,2,FALSE)</f>
        <v>Gestión del Patrimonio, TGSS</v>
      </c>
      <c r="D421" s="179">
        <f>VLOOKUP(B421,Tot_res!C:V,3,FALSE)</f>
        <v>1309.0255359093417</v>
      </c>
      <c r="E421" s="179">
        <f>VLOOKUP(B421,Tot_res!C:V,4,FALSE)</f>
        <v>286.89679280395882</v>
      </c>
      <c r="F421" s="179">
        <f>VLOOKUP(B421,Tot_res!C:V,5,FALSE)</f>
        <v>329.530669367916</v>
      </c>
      <c r="G421" s="179">
        <f>VLOOKUP(B421,Tot_res!C:V,6,FALSE)</f>
        <v>157.5005199194558</v>
      </c>
      <c r="H421" s="179">
        <f>VLOOKUP(B421,Tot_res!C:V,7,FALSE)</f>
        <v>270.81662700632319</v>
      </c>
      <c r="I421" s="179">
        <f>VLOOKUP(B421,Tot_res!C:V,8,FALSE)</f>
        <v>134.97181591011756</v>
      </c>
      <c r="J421" s="179">
        <f>VLOOKUP(B421,Tot_res!C:V,9,FALSE)</f>
        <v>555.566741853905</v>
      </c>
      <c r="K421" s="179">
        <f>VLOOKUP(B421,Tot_res!C:V,10,FALSE)</f>
        <v>321.46308577360395</v>
      </c>
      <c r="L421" s="179">
        <f>VLOOKUP(B421,Tot_res!C:V,11,FALSE)</f>
        <v>1617.1288314915839</v>
      </c>
      <c r="M421" s="179">
        <f>VLOOKUP(B421,Tot_res!C:V,12,FALSE)</f>
        <v>826.03616496186578</v>
      </c>
      <c r="N421" s="179">
        <f>VLOOKUP(B421,Tot_res!C:V,13,FALSE)</f>
        <v>179.89927068419132</v>
      </c>
      <c r="O421" s="179">
        <f>VLOOKUP(B421,Tot_res!C:V,14,FALSE)</f>
        <v>606.24613728341944</v>
      </c>
      <c r="P421" s="179">
        <f>VLOOKUP(B421,Tot_res!C:V,15,FALSE)</f>
        <v>1201.3337216857321</v>
      </c>
      <c r="Q421" s="179">
        <f>VLOOKUP(B421,Tot_res!C:V,16,FALSE)</f>
        <v>209.64213628635414</v>
      </c>
      <c r="R421" s="179">
        <f>VLOOKUP(B421,Tot_res!C:V,17,FALSE)</f>
        <v>136.26929668645852</v>
      </c>
      <c r="S421" s="179">
        <f>VLOOKUP(B421,Tot_res!C:V,18,FALSE)</f>
        <v>607.01940227031707</v>
      </c>
      <c r="T421" s="179">
        <f>VLOOKUP(B421,Tot_res!C:V,19,FALSE)</f>
        <v>60.441789469067864</v>
      </c>
      <c r="U421" s="179">
        <f>VLOOKUP(B421,Tot_res!C:V,20,FALSE)</f>
        <v>35.074940636388305</v>
      </c>
      <c r="V421" s="122">
        <f t="shared" si="82"/>
        <v>8844.86348</v>
      </c>
    </row>
    <row r="422" spans="1:22">
      <c r="A422" s="351" t="str">
        <f>IF(B422="","",(IF(ISERROR(MATCH(B422,Tot_res!C:C,0)),"Eliminar!!!","")))</f>
        <v/>
      </c>
      <c r="B422" s="115" t="s">
        <v>386</v>
      </c>
      <c r="C422" s="330" t="str">
        <f>VLOOKUP(B422,Tot_res!C:D,2,FALSE)</f>
        <v xml:space="preserve"> Sistema Integrado de Informática de la Seguridad Social</v>
      </c>
      <c r="D422" s="179">
        <f>VLOOKUP(B422,Tot_res!C:V,3,FALSE)</f>
        <v>34847.265933301765</v>
      </c>
      <c r="E422" s="179">
        <f>VLOOKUP(B422,Tot_res!C:V,4,FALSE)</f>
        <v>7637.4131443554388</v>
      </c>
      <c r="F422" s="179">
        <f>VLOOKUP(B422,Tot_res!C:V,5,FALSE)</f>
        <v>8772.3597085259571</v>
      </c>
      <c r="G422" s="179">
        <f>VLOOKUP(B422,Tot_res!C:V,6,FALSE)</f>
        <v>4192.7849012157694</v>
      </c>
      <c r="H422" s="179">
        <f>VLOOKUP(B422,Tot_res!C:V,7,FALSE)</f>
        <v>7209.3467709882207</v>
      </c>
      <c r="I422" s="179">
        <f>VLOOKUP(B422,Tot_res!C:V,8,FALSE)</f>
        <v>3593.0534840584328</v>
      </c>
      <c r="J422" s="179">
        <f>VLOOKUP(B422,Tot_res!C:V,9,FALSE)</f>
        <v>14789.613698125626</v>
      </c>
      <c r="K422" s="179">
        <f>VLOOKUP(B422,Tot_res!C:V,10,FALSE)</f>
        <v>8557.594432190197</v>
      </c>
      <c r="L422" s="179">
        <f>VLOOKUP(B422,Tot_res!C:V,11,FALSE)</f>
        <v>43049.21248174912</v>
      </c>
      <c r="M422" s="179">
        <f>VLOOKUP(B422,Tot_res!C:V,12,FALSE)</f>
        <v>21989.717634465163</v>
      </c>
      <c r="N422" s="179">
        <f>VLOOKUP(B422,Tot_res!C:V,13,FALSE)</f>
        <v>4789.0568631147171</v>
      </c>
      <c r="O422" s="179">
        <f>VLOOKUP(B422,Tot_res!C:V,14,FALSE)</f>
        <v>16138.738158592651</v>
      </c>
      <c r="P422" s="179">
        <f>VLOOKUP(B422,Tot_res!C:V,15,FALSE)</f>
        <v>31980.42706259714</v>
      </c>
      <c r="Q422" s="179">
        <f>VLOOKUP(B422,Tot_res!C:V,16,FALSE)</f>
        <v>5580.8348069552276</v>
      </c>
      <c r="R422" s="179">
        <f>VLOOKUP(B422,Tot_res!C:V,17,FALSE)</f>
        <v>3627.5934196182775</v>
      </c>
      <c r="S422" s="179">
        <f>VLOOKUP(B422,Tot_res!C:V,18,FALSE)</f>
        <v>16159.323066905088</v>
      </c>
      <c r="T422" s="179">
        <f>VLOOKUP(B422,Tot_res!C:V,19,FALSE)</f>
        <v>1609.0068935516288</v>
      </c>
      <c r="U422" s="179">
        <f>VLOOKUP(B422,Tot_res!C:V,20,FALSE)</f>
        <v>933.7218796896301</v>
      </c>
      <c r="V422" s="122">
        <f t="shared" si="82"/>
        <v>235457.06433999998</v>
      </c>
    </row>
    <row r="423" spans="1:22">
      <c r="A423" s="351" t="str">
        <f>IF(B423="","",(IF(ISERROR(MATCH(B423,Tot_res!C:C,0)),"Eliminar!!!","")))</f>
        <v/>
      </c>
      <c r="B423" s="115" t="s">
        <v>976</v>
      </c>
      <c r="C423" s="330" t="str">
        <f>VLOOKUP(B423,Tot_res!C:D,2,FALSE)</f>
        <v xml:space="preserve"> Admón. y Servic. Generales, TGSS e ISM</v>
      </c>
      <c r="D423" s="179">
        <f>VLOOKUP(B423,Tot_res!C:V,3,FALSE)</f>
        <v>39323.110086714769</v>
      </c>
      <c r="E423" s="179">
        <f>VLOOKUP(B423,Tot_res!C:V,4,FALSE)</f>
        <v>7639.5299061487749</v>
      </c>
      <c r="F423" s="179">
        <f>VLOOKUP(B423,Tot_res!C:V,5,FALSE)</f>
        <v>7494.856302012804</v>
      </c>
      <c r="G423" s="179">
        <f>VLOOKUP(B423,Tot_res!C:V,6,FALSE)</f>
        <v>5467.9698169440117</v>
      </c>
      <c r="H423" s="179">
        <f>VLOOKUP(B423,Tot_res!C:V,7,FALSE)</f>
        <v>8995.8522798134818</v>
      </c>
      <c r="I423" s="179">
        <f>VLOOKUP(B423,Tot_res!C:V,8,FALSE)</f>
        <v>4173.9056068259897</v>
      </c>
      <c r="J423" s="179">
        <f>VLOOKUP(B423,Tot_res!C:V,9,FALSE)</f>
        <v>13643.324094881713</v>
      </c>
      <c r="K423" s="179">
        <f>VLOOKUP(B423,Tot_res!C:V,10,FALSE)</f>
        <v>8388.3977551015068</v>
      </c>
      <c r="L423" s="179">
        <f>VLOOKUP(B423,Tot_res!C:V,11,FALSE)</f>
        <v>32779.559497621369</v>
      </c>
      <c r="M423" s="179">
        <f>VLOOKUP(B423,Tot_res!C:V,12,FALSE)</f>
        <v>22811.285481225579</v>
      </c>
      <c r="N423" s="179">
        <f>VLOOKUP(B423,Tot_res!C:V,13,FALSE)</f>
        <v>5202.0100214973836</v>
      </c>
      <c r="O423" s="179">
        <f>VLOOKUP(B423,Tot_res!C:V,14,FALSE)</f>
        <v>22129.687863214702</v>
      </c>
      <c r="P423" s="179">
        <f>VLOOKUP(B423,Tot_res!C:V,15,FALSE)</f>
        <v>22772.309408392342</v>
      </c>
      <c r="Q423" s="179">
        <f>VLOOKUP(B423,Tot_res!C:V,16,FALSE)</f>
        <v>5598.251947407105</v>
      </c>
      <c r="R423" s="179">
        <f>VLOOKUP(B423,Tot_res!C:V,17,FALSE)</f>
        <v>2681.5527628966715</v>
      </c>
      <c r="S423" s="179">
        <f>VLOOKUP(B423,Tot_res!C:V,18,FALSE)</f>
        <v>15931.796685116733</v>
      </c>
      <c r="T423" s="179">
        <f>VLOOKUP(B423,Tot_res!C:V,19,FALSE)</f>
        <v>1452.7808588741348</v>
      </c>
      <c r="U423" s="179">
        <f>VLOOKUP(B423,Tot_res!C:V,20,FALSE)</f>
        <v>2490.686175310921</v>
      </c>
      <c r="V423" s="122">
        <f t="shared" si="82"/>
        <v>228976.86655000004</v>
      </c>
    </row>
    <row r="424" spans="1:22">
      <c r="A424" s="351" t="str">
        <f>IF(B424="","",(IF(ISERROR(MATCH(B424,Tot_res!C:C,0)),"Eliminar!!!","")))</f>
        <v/>
      </c>
      <c r="B424" s="115" t="s">
        <v>977</v>
      </c>
      <c r="C424" s="330" t="str">
        <f>VLOOKUP(B424,Tot_res!C:D,2,FALSE)</f>
        <v>Admón. y Servic. Generales, Mutuas</v>
      </c>
      <c r="D424" s="179">
        <f>VLOOKUP(B424,Tot_res!C:V,3,FALSE)</f>
        <v>71815.040845656913</v>
      </c>
      <c r="E424" s="179">
        <f>VLOOKUP(B424,Tot_res!C:V,4,FALSE)</f>
        <v>17088.859552442718</v>
      </c>
      <c r="F424" s="179">
        <f>VLOOKUP(B424,Tot_res!C:V,5,FALSE)</f>
        <v>13167.126941811723</v>
      </c>
      <c r="G424" s="179">
        <f>VLOOKUP(B424,Tot_res!C:V,6,FALSE)</f>
        <v>15863.959174077272</v>
      </c>
      <c r="H424" s="179">
        <f>VLOOKUP(B424,Tot_res!C:V,7,FALSE)</f>
        <v>22796.714825324088</v>
      </c>
      <c r="I424" s="179">
        <f>VLOOKUP(B424,Tot_res!C:V,8,FALSE)</f>
        <v>6772.1697763053489</v>
      </c>
      <c r="J424" s="179">
        <f>VLOOKUP(B424,Tot_res!C:V,9,FALSE)</f>
        <v>28575.620552524426</v>
      </c>
      <c r="K424" s="179">
        <f>VLOOKUP(B424,Tot_res!C:V,10,FALSE)</f>
        <v>23191.134361929726</v>
      </c>
      <c r="L424" s="179">
        <f>VLOOKUP(B424,Tot_res!C:V,11,FALSE)</f>
        <v>96250.257239281636</v>
      </c>
      <c r="M424" s="179">
        <f>VLOOKUP(B424,Tot_res!C:V,12,FALSE)</f>
        <v>73050.114830565144</v>
      </c>
      <c r="N424" s="179">
        <f>VLOOKUP(B424,Tot_res!C:V,13,FALSE)</f>
        <v>9296.8868338522461</v>
      </c>
      <c r="O424" s="179">
        <f>VLOOKUP(B424,Tot_res!C:V,14,FALSE)</f>
        <v>35262.215935021093</v>
      </c>
      <c r="P424" s="179">
        <f>VLOOKUP(B424,Tot_res!C:V,15,FALSE)</f>
        <v>104867.54963925807</v>
      </c>
      <c r="Q424" s="179">
        <f>VLOOKUP(B424,Tot_res!C:V,16,FALSE)</f>
        <v>17038.848251680403</v>
      </c>
      <c r="R424" s="179">
        <f>VLOOKUP(B424,Tot_res!C:V,17,FALSE)</f>
        <v>8549.5140479870424</v>
      </c>
      <c r="S424" s="179">
        <f>VLOOKUP(B424,Tot_res!C:V,18,FALSE)</f>
        <v>29457.638217270247</v>
      </c>
      <c r="T424" s="179">
        <f>VLOOKUP(B424,Tot_res!C:V,19,FALSE)</f>
        <v>4183.1037898824179</v>
      </c>
      <c r="U424" s="179">
        <f>VLOOKUP(B424,Tot_res!C:V,20,FALSE)</f>
        <v>1748.0858972304725</v>
      </c>
      <c r="V424" s="122">
        <f t="shared" si="82"/>
        <v>578974.84071210108</v>
      </c>
    </row>
    <row r="425" spans="1:22">
      <c r="A425" s="351" t="str">
        <f>IF(B425="","",(IF(ISERROR(MATCH(B425,Tot_res!C:C,0)),"Eliminar!!!","")))</f>
        <v/>
      </c>
      <c r="B425" s="115" t="s">
        <v>387</v>
      </c>
      <c r="C425" s="330" t="str">
        <f>VLOOKUP(B425,Tot_res!C:D,2,FALSE)</f>
        <v xml:space="preserve"> Control Interno y Contabilidad</v>
      </c>
      <c r="D425" s="179">
        <f>VLOOKUP(B425,Tot_res!C:V,3,FALSE)</f>
        <v>10881.388300139695</v>
      </c>
      <c r="E425" s="179">
        <f>VLOOKUP(B425,Tot_res!C:V,4,FALSE)</f>
        <v>2384.8544729847094</v>
      </c>
      <c r="F425" s="179">
        <f>VLOOKUP(B425,Tot_res!C:V,5,FALSE)</f>
        <v>2739.2522695948228</v>
      </c>
      <c r="G425" s="179">
        <f>VLOOKUP(B425,Tot_res!C:V,6,FALSE)</f>
        <v>1309.2367319839502</v>
      </c>
      <c r="H425" s="179">
        <f>VLOOKUP(B425,Tot_res!C:V,7,FALSE)</f>
        <v>2251.1867001454661</v>
      </c>
      <c r="I425" s="179">
        <f>VLOOKUP(B425,Tot_res!C:V,8,FALSE)</f>
        <v>1121.9649259727487</v>
      </c>
      <c r="J425" s="179">
        <f>VLOOKUP(B425,Tot_res!C:V,9,FALSE)</f>
        <v>4618.196726434594</v>
      </c>
      <c r="K425" s="179">
        <f>VLOOKUP(B425,Tot_res!C:V,10,FALSE)</f>
        <v>2672.1897812587467</v>
      </c>
      <c r="L425" s="179">
        <f>VLOOKUP(B425,Tot_res!C:V,11,FALSE)</f>
        <v>13442.523666726833</v>
      </c>
      <c r="M425" s="179">
        <f>VLOOKUP(B425,Tot_res!C:V,12,FALSE)</f>
        <v>6866.4972640616343</v>
      </c>
      <c r="N425" s="179">
        <f>VLOOKUP(B425,Tot_res!C:V,13,FALSE)</f>
        <v>1495.4282903784365</v>
      </c>
      <c r="O425" s="179">
        <f>VLOOKUP(B425,Tot_res!C:V,14,FALSE)</f>
        <v>5039.473596409317</v>
      </c>
      <c r="P425" s="179">
        <f>VLOOKUP(B425,Tot_res!C:V,15,FALSE)</f>
        <v>9986.1907542036934</v>
      </c>
      <c r="Q425" s="179">
        <f>VLOOKUP(B425,Tot_res!C:V,16,FALSE)</f>
        <v>1742.6684403203367</v>
      </c>
      <c r="R425" s="179">
        <f>VLOOKUP(B425,Tot_res!C:V,17,FALSE)</f>
        <v>1132.7503474576893</v>
      </c>
      <c r="S425" s="179">
        <f>VLOOKUP(B425,Tot_res!C:V,18,FALSE)</f>
        <v>5045.9014286788306</v>
      </c>
      <c r="T425" s="179">
        <f>VLOOKUP(B425,Tot_res!C:V,19,FALSE)</f>
        <v>502.42761712921316</v>
      </c>
      <c r="U425" s="179">
        <f>VLOOKUP(B425,Tot_res!C:V,20,FALSE)</f>
        <v>291.5634861192828</v>
      </c>
      <c r="V425" s="122">
        <f t="shared" si="82"/>
        <v>73523.694799999997</v>
      </c>
    </row>
    <row r="426" spans="1:22">
      <c r="A426" s="351" t="str">
        <f>IF(B426="","",(IF(ISERROR(MATCH(B426,Tot_res!C:C,0)),"Eliminar!!!","")))</f>
        <v/>
      </c>
      <c r="B426" s="115" t="s">
        <v>388</v>
      </c>
      <c r="C426" s="330" t="str">
        <f>VLOOKUP(B426,Tot_res!C:D,2,FALSE)</f>
        <v xml:space="preserve"> Direcc. y Coord. Asist.Jurídica Admón. de la Seg.Soc.</v>
      </c>
      <c r="D426" s="179">
        <f>VLOOKUP(B426,Tot_res!C:V,3,FALSE)</f>
        <v>290.83627469923471</v>
      </c>
      <c r="E426" s="179">
        <f>VLOOKUP(B426,Tot_res!C:V,4,FALSE)</f>
        <v>63.74206778502473</v>
      </c>
      <c r="F426" s="179">
        <f>VLOOKUP(B426,Tot_res!C:V,5,FALSE)</f>
        <v>73.214364157940608</v>
      </c>
      <c r="G426" s="179">
        <f>VLOOKUP(B426,Tot_res!C:V,6,FALSE)</f>
        <v>34.993102288678003</v>
      </c>
      <c r="H426" s="179">
        <f>VLOOKUP(B426,Tot_res!C:V,7,FALSE)</f>
        <v>60.16941363211577</v>
      </c>
      <c r="I426" s="179">
        <f>VLOOKUP(B426,Tot_res!C:V,8,FALSE)</f>
        <v>29.987726787484249</v>
      </c>
      <c r="J426" s="179">
        <f>VLOOKUP(B426,Tot_res!C:V,9,FALSE)</f>
        <v>123.43453745945219</v>
      </c>
      <c r="K426" s="179">
        <f>VLOOKUP(B426,Tot_res!C:V,10,FALSE)</f>
        <v>71.421927040383196</v>
      </c>
      <c r="L426" s="179">
        <f>VLOOKUP(B426,Tot_res!C:V,11,FALSE)</f>
        <v>359.28995436519227</v>
      </c>
      <c r="M426" s="179">
        <f>VLOOKUP(B426,Tot_res!C:V,12,FALSE)</f>
        <v>183.52681013014995</v>
      </c>
      <c r="N426" s="179">
        <f>VLOOKUP(B426,Tot_res!C:V,13,FALSE)</f>
        <v>39.969605077683546</v>
      </c>
      <c r="O426" s="179">
        <f>VLOOKUP(B426,Tot_res!C:V,14,FALSE)</f>
        <v>134.69436865937632</v>
      </c>
      <c r="P426" s="179">
        <f>VLOOKUP(B426,Tot_res!C:V,15,FALSE)</f>
        <v>266.90955577343533</v>
      </c>
      <c r="Q426" s="179">
        <f>VLOOKUP(B426,Tot_res!C:V,16,FALSE)</f>
        <v>46.577806364302397</v>
      </c>
      <c r="R426" s="179">
        <f>VLOOKUP(B426,Tot_res!C:V,17,FALSE)</f>
        <v>30.275998074127052</v>
      </c>
      <c r="S426" s="179">
        <f>VLOOKUP(B426,Tot_res!C:V,18,FALSE)</f>
        <v>134.86617089086482</v>
      </c>
      <c r="T426" s="179">
        <f>VLOOKUP(B426,Tot_res!C:V,19,FALSE)</f>
        <v>13.428817393640644</v>
      </c>
      <c r="U426" s="179">
        <f>VLOOKUP(B426,Tot_res!C:V,20,FALSE)</f>
        <v>7.7928694209143883</v>
      </c>
      <c r="V426" s="122">
        <f t="shared" si="82"/>
        <v>1965.1313700000003</v>
      </c>
    </row>
    <row r="427" spans="1:22">
      <c r="A427" s="351" t="str">
        <f>IF(B427="","",(IF(ISERROR(MATCH(B427,Tot_res!C:C,0)),"Eliminar!!!","")))</f>
        <v/>
      </c>
      <c r="B427" s="115" t="s">
        <v>389</v>
      </c>
      <c r="C427" s="330" t="str">
        <f>VLOOKUP(B427,Tot_res!C:D,2,FALSE)</f>
        <v>Autorizaciones iniciales trabajo</v>
      </c>
      <c r="D427" s="179">
        <f>VLOOKUP(B427,Tot_res!C:V,3,FALSE)</f>
        <v>0</v>
      </c>
      <c r="E427" s="179">
        <f>VLOOKUP(B427,Tot_res!C:V,4,FALSE)</f>
        <v>0</v>
      </c>
      <c r="F427" s="179">
        <f>VLOOKUP(B427,Tot_res!C:V,5,FALSE)</f>
        <v>0</v>
      </c>
      <c r="G427" s="179">
        <f>VLOOKUP(B427,Tot_res!C:V,6,FALSE)</f>
        <v>0</v>
      </c>
      <c r="H427" s="179">
        <f>VLOOKUP(B427,Tot_res!C:V,7,FALSE)</f>
        <v>0</v>
      </c>
      <c r="I427" s="179">
        <f>VLOOKUP(B427,Tot_res!C:V,8,FALSE)</f>
        <v>0</v>
      </c>
      <c r="J427" s="179">
        <f>VLOOKUP(B427,Tot_res!C:V,9,FALSE)</f>
        <v>0</v>
      </c>
      <c r="K427" s="179">
        <f>VLOOKUP(B427,Tot_res!C:V,10,FALSE)</f>
        <v>0</v>
      </c>
      <c r="L427" s="179">
        <f>VLOOKUP(B427,Tot_res!C:V,11,FALSE)</f>
        <v>3499.9753291162156</v>
      </c>
      <c r="M427" s="179">
        <f>VLOOKUP(B427,Tot_res!C:V,12,FALSE)</f>
        <v>0</v>
      </c>
      <c r="N427" s="179">
        <f>VLOOKUP(B427,Tot_res!C:V,13,FALSE)</f>
        <v>0</v>
      </c>
      <c r="O427" s="179">
        <f>VLOOKUP(B427,Tot_res!C:V,14,FALSE)</f>
        <v>0</v>
      </c>
      <c r="P427" s="179">
        <f>VLOOKUP(B427,Tot_res!C:V,15,FALSE)</f>
        <v>0</v>
      </c>
      <c r="Q427" s="179">
        <f>VLOOKUP(B427,Tot_res!C:V,16,FALSE)</f>
        <v>0</v>
      </c>
      <c r="R427" s="179">
        <f>VLOOKUP(B427,Tot_res!C:V,17,FALSE)</f>
        <v>0</v>
      </c>
      <c r="S427" s="179">
        <f>VLOOKUP(B427,Tot_res!C:V,18,FALSE)</f>
        <v>0</v>
      </c>
      <c r="T427" s="179">
        <f>VLOOKUP(B427,Tot_res!C:V,19,FALSE)</f>
        <v>0</v>
      </c>
      <c r="U427" s="179">
        <f>VLOOKUP(B427,Tot_res!C:V,20,FALSE)</f>
        <v>0</v>
      </c>
      <c r="V427" s="122">
        <f t="shared" si="82"/>
        <v>3499.9753291162156</v>
      </c>
    </row>
    <row r="428" spans="1:22">
      <c r="A428" s="351" t="str">
        <f>IF(B428="","",(IF(ISERROR(MATCH(B428,Tot_res!C:C,0)),"Eliminar!!!","")))</f>
        <v/>
      </c>
      <c r="B428" s="115" t="s">
        <v>390</v>
      </c>
      <c r="C428" s="330" t="str">
        <f>VLOOKUP(B428,Tot_res!C:D,2,FALSE)</f>
        <v xml:space="preserve"> Inspección de trabajo</v>
      </c>
      <c r="D428" s="179">
        <f>VLOOKUP(B428,Tot_res!C:V,3,FALSE)</f>
        <v>0</v>
      </c>
      <c r="E428" s="179">
        <f>VLOOKUP(B428,Tot_res!C:V,4,FALSE)</f>
        <v>0</v>
      </c>
      <c r="F428" s="179">
        <f>VLOOKUP(B428,Tot_res!C:V,5,FALSE)</f>
        <v>0</v>
      </c>
      <c r="G428" s="179">
        <f>VLOOKUP(B428,Tot_res!C:V,6,FALSE)</f>
        <v>0</v>
      </c>
      <c r="H428" s="179">
        <f>VLOOKUP(B428,Tot_res!C:V,7,FALSE)</f>
        <v>0</v>
      </c>
      <c r="I428" s="179">
        <f>VLOOKUP(B428,Tot_res!C:V,8,FALSE)</f>
        <v>0</v>
      </c>
      <c r="J428" s="179">
        <f>VLOOKUP(B428,Tot_res!C:V,9,FALSE)</f>
        <v>0</v>
      </c>
      <c r="K428" s="179">
        <f>VLOOKUP(B428,Tot_res!C:V,10,FALSE)</f>
        <v>0</v>
      </c>
      <c r="L428" s="179">
        <f>VLOOKUP(B428,Tot_res!C:V,11,FALSE)</f>
        <v>13842.845373309938</v>
      </c>
      <c r="M428" s="179">
        <f>VLOOKUP(B428,Tot_res!C:V,12,FALSE)</f>
        <v>0</v>
      </c>
      <c r="N428" s="179">
        <f>VLOOKUP(B428,Tot_res!C:V,13,FALSE)</f>
        <v>0</v>
      </c>
      <c r="O428" s="179">
        <f>VLOOKUP(B428,Tot_res!C:V,14,FALSE)</f>
        <v>0</v>
      </c>
      <c r="P428" s="179">
        <f>VLOOKUP(B428,Tot_res!C:V,15,FALSE)</f>
        <v>0</v>
      </c>
      <c r="Q428" s="179">
        <f>VLOOKUP(B428,Tot_res!C:V,16,FALSE)</f>
        <v>0</v>
      </c>
      <c r="R428" s="179">
        <f>VLOOKUP(B428,Tot_res!C:V,17,FALSE)</f>
        <v>0</v>
      </c>
      <c r="S428" s="179">
        <f>VLOOKUP(B428,Tot_res!C:V,18,FALSE)</f>
        <v>0</v>
      </c>
      <c r="T428" s="179">
        <f>VLOOKUP(B428,Tot_res!C:V,19,FALSE)</f>
        <v>0</v>
      </c>
      <c r="U428" s="179">
        <f>VLOOKUP(B428,Tot_res!C:V,20,FALSE)</f>
        <v>0</v>
      </c>
      <c r="V428" s="122">
        <f t="shared" si="82"/>
        <v>13842.845373309938</v>
      </c>
    </row>
    <row r="429" spans="1:22">
      <c r="A429" s="352"/>
      <c r="B429" s="119"/>
      <c r="C429" s="102"/>
      <c r="D429" s="105"/>
      <c r="E429" s="105"/>
      <c r="F429" s="105"/>
      <c r="G429" s="105"/>
      <c r="H429" s="105"/>
      <c r="I429" s="105"/>
      <c r="J429" s="105"/>
      <c r="K429" s="105"/>
      <c r="L429" s="105"/>
      <c r="M429" s="105"/>
      <c r="N429" s="105"/>
      <c r="O429" s="105"/>
      <c r="P429" s="105"/>
      <c r="Q429" s="105"/>
      <c r="R429" s="105"/>
      <c r="S429" s="105"/>
      <c r="T429" s="105"/>
      <c r="U429" s="105"/>
      <c r="V429" s="122"/>
    </row>
    <row r="430" spans="1:22">
      <c r="A430" s="352"/>
      <c r="B430" s="115"/>
      <c r="C430" s="102"/>
      <c r="D430" s="105"/>
      <c r="E430" s="105"/>
      <c r="F430" s="105"/>
      <c r="G430" s="105"/>
      <c r="H430" s="105"/>
      <c r="I430" s="105"/>
      <c r="J430" s="105"/>
      <c r="K430" s="105"/>
      <c r="L430" s="105"/>
      <c r="M430" s="105"/>
      <c r="N430" s="105"/>
      <c r="O430" s="105"/>
      <c r="P430" s="105"/>
      <c r="Q430" s="105"/>
      <c r="R430" s="105"/>
      <c r="S430" s="105"/>
      <c r="T430" s="105"/>
      <c r="U430" s="105"/>
      <c r="V430" s="122"/>
    </row>
    <row r="431" spans="1:22">
      <c r="A431" s="352"/>
      <c r="B431" s="115"/>
      <c r="C431" s="134" t="s">
        <v>65</v>
      </c>
      <c r="D431" s="111">
        <f t="shared" ref="D431:V431" si="83">D433+D444+D455</f>
        <v>3995314.2222933378</v>
      </c>
      <c r="E431" s="111">
        <f t="shared" si="83"/>
        <v>767992.3058519453</v>
      </c>
      <c r="F431" s="111">
        <f t="shared" si="83"/>
        <v>300133.77194083901</v>
      </c>
      <c r="G431" s="111">
        <f t="shared" si="83"/>
        <v>196864.84376580419</v>
      </c>
      <c r="H431" s="111">
        <f t="shared" si="83"/>
        <v>539706.13465152658</v>
      </c>
      <c r="I431" s="111">
        <f t="shared" si="83"/>
        <v>187551.40437967156</v>
      </c>
      <c r="J431" s="111">
        <f t="shared" si="83"/>
        <v>1430466.5500026597</v>
      </c>
      <c r="K431" s="111">
        <f t="shared" si="83"/>
        <v>964225.7995253047</v>
      </c>
      <c r="L431" s="111">
        <f t="shared" si="83"/>
        <v>1626854.2461912087</v>
      </c>
      <c r="M431" s="111">
        <f t="shared" si="83"/>
        <v>986361.23981727986</v>
      </c>
      <c r="N431" s="111">
        <f t="shared" si="83"/>
        <v>871470.29498670297</v>
      </c>
      <c r="O431" s="111">
        <f t="shared" si="83"/>
        <v>817246.47380932211</v>
      </c>
      <c r="P431" s="111">
        <f t="shared" si="83"/>
        <v>1056615.7364770013</v>
      </c>
      <c r="Q431" s="111">
        <f t="shared" si="83"/>
        <v>361292.10599889816</v>
      </c>
      <c r="R431" s="111">
        <f t="shared" si="83"/>
        <v>255274.33742779496</v>
      </c>
      <c r="S431" s="111">
        <f t="shared" si="83"/>
        <v>558993.14752895862</v>
      </c>
      <c r="T431" s="111">
        <f t="shared" si="83"/>
        <v>98250.693385953142</v>
      </c>
      <c r="U431" s="111">
        <f t="shared" si="83"/>
        <v>92388.694250261775</v>
      </c>
      <c r="V431" s="125">
        <f t="shared" si="83"/>
        <v>15107002.002284469</v>
      </c>
    </row>
    <row r="432" spans="1:22">
      <c r="A432" s="352"/>
      <c r="B432" s="115"/>
      <c r="C432" s="134"/>
      <c r="D432" s="105"/>
      <c r="E432" s="105"/>
      <c r="F432" s="105"/>
      <c r="G432" s="105"/>
      <c r="H432" s="105"/>
      <c r="I432" s="105"/>
      <c r="J432" s="105"/>
      <c r="K432" s="105"/>
      <c r="L432" s="105"/>
      <c r="M432" s="105"/>
      <c r="N432" s="105"/>
      <c r="O432" s="105"/>
      <c r="P432" s="105"/>
      <c r="Q432" s="105"/>
      <c r="R432" s="105"/>
      <c r="S432" s="105"/>
      <c r="T432" s="105"/>
      <c r="U432" s="105"/>
      <c r="V432" s="122"/>
    </row>
    <row r="433" spans="1:22" ht="13.5">
      <c r="A433" s="352"/>
      <c r="B433" s="115"/>
      <c r="C433" s="128" t="s">
        <v>82</v>
      </c>
      <c r="D433" s="114">
        <f t="shared" ref="D433:V433" si="84">SUM(D434:D442)</f>
        <v>862178.30436678301</v>
      </c>
      <c r="E433" s="114">
        <f t="shared" si="84"/>
        <v>101157.70862880141</v>
      </c>
      <c r="F433" s="114">
        <f t="shared" si="84"/>
        <v>97923.878812492781</v>
      </c>
      <c r="G433" s="114">
        <f t="shared" si="84"/>
        <v>76451.135636551669</v>
      </c>
      <c r="H433" s="114">
        <f t="shared" si="84"/>
        <v>169469.11642454853</v>
      </c>
      <c r="I433" s="114">
        <f t="shared" si="84"/>
        <v>47758.401946183913</v>
      </c>
      <c r="J433" s="114">
        <f t="shared" si="84"/>
        <v>195093.45412763461</v>
      </c>
      <c r="K433" s="114">
        <f t="shared" si="84"/>
        <v>159716.22867375717</v>
      </c>
      <c r="L433" s="114">
        <f t="shared" si="84"/>
        <v>562012.60989118123</v>
      </c>
      <c r="M433" s="114">
        <f t="shared" si="84"/>
        <v>380566.86987448885</v>
      </c>
      <c r="N433" s="114">
        <f t="shared" si="84"/>
        <v>141066.50904941082</v>
      </c>
      <c r="O433" s="114">
        <f t="shared" si="84"/>
        <v>251998.52984767043</v>
      </c>
      <c r="P433" s="114">
        <f t="shared" si="84"/>
        <v>582434.93512535631</v>
      </c>
      <c r="Q433" s="114">
        <f t="shared" si="84"/>
        <v>116537.18579234363</v>
      </c>
      <c r="R433" s="114">
        <f t="shared" si="84"/>
        <v>59355.311529052153</v>
      </c>
      <c r="S433" s="114">
        <f t="shared" si="84"/>
        <v>230433.78279718044</v>
      </c>
      <c r="T433" s="114">
        <f t="shared" si="84"/>
        <v>22567.572897148235</v>
      </c>
      <c r="U433" s="114">
        <f t="shared" si="84"/>
        <v>85984.554923137141</v>
      </c>
      <c r="V433" s="126">
        <f t="shared" si="84"/>
        <v>4142706.0903437221</v>
      </c>
    </row>
    <row r="434" spans="1:22">
      <c r="A434" s="351" t="str">
        <f>IF(B434="","",(IF(ISERROR(MATCH(B434,Tot_res!C:C,0)),"Eliminar!!!","")))</f>
        <v/>
      </c>
      <c r="B434" s="119" t="s">
        <v>391</v>
      </c>
      <c r="C434" s="330" t="str">
        <f>VLOOKUP(B434,Tot_res!C:D,2,FALSE)</f>
        <v>Fomento de la inserción y estabilidad laboral+ AF20/1</v>
      </c>
      <c r="D434" s="179">
        <f>VLOOKUP(B434,Tot_res!C:V,3,FALSE)</f>
        <v>818907.92575178912</v>
      </c>
      <c r="E434" s="179">
        <f>VLOOKUP(B434,Tot_res!C:V,4,FALSE)</f>
        <v>95471.872487022672</v>
      </c>
      <c r="F434" s="179">
        <f>VLOOKUP(B434,Tot_res!C:V,5,FALSE)</f>
        <v>91068.743028017925</v>
      </c>
      <c r="G434" s="179">
        <f>VLOOKUP(B434,Tot_res!C:V,6,FALSE)</f>
        <v>70585.546098122475</v>
      </c>
      <c r="H434" s="179">
        <f>VLOOKUP(B434,Tot_res!C:V,7,FALSE)</f>
        <v>158084.05137207749</v>
      </c>
      <c r="I434" s="179">
        <f>VLOOKUP(B434,Tot_res!C:V,8,FALSE)</f>
        <v>44307.761458003253</v>
      </c>
      <c r="J434" s="179">
        <f>VLOOKUP(B434,Tot_res!C:V,9,FALSE)</f>
        <v>185307.53399325476</v>
      </c>
      <c r="K434" s="179">
        <f>VLOOKUP(B434,Tot_res!C:V,10,FALSE)</f>
        <v>153514.89593933814</v>
      </c>
      <c r="L434" s="179">
        <f>VLOOKUP(B434,Tot_res!C:V,11,FALSE)</f>
        <v>527449.3190503607</v>
      </c>
      <c r="M434" s="179">
        <f>VLOOKUP(B434,Tot_res!C:V,12,FALSE)</f>
        <v>360677.81196952501</v>
      </c>
      <c r="N434" s="179">
        <f>VLOOKUP(B434,Tot_res!C:V,13,FALSE)</f>
        <v>136981.46674655253</v>
      </c>
      <c r="O434" s="179">
        <f>VLOOKUP(B434,Tot_res!C:V,14,FALSE)</f>
        <v>221420.75117618125</v>
      </c>
      <c r="P434" s="179">
        <f>VLOOKUP(B434,Tot_res!C:V,15,FALSE)</f>
        <v>549483.9729579899</v>
      </c>
      <c r="Q434" s="179">
        <f>VLOOKUP(B434,Tot_res!C:V,16,FALSE)</f>
        <v>110642.74631152768</v>
      </c>
      <c r="R434" s="179">
        <f>VLOOKUP(B434,Tot_res!C:V,17,FALSE)</f>
        <v>56638.565787721498</v>
      </c>
      <c r="S434" s="179">
        <f>VLOOKUP(B434,Tot_res!C:V,18,FALSE)</f>
        <v>216423.79940888868</v>
      </c>
      <c r="T434" s="179">
        <f>VLOOKUP(B434,Tot_res!C:V,19,FALSE)</f>
        <v>21121.814700946259</v>
      </c>
      <c r="U434" s="179">
        <f>VLOOKUP(B434,Tot_res!C:V,20,FALSE)</f>
        <v>85455.108045502086</v>
      </c>
      <c r="V434" s="122">
        <f t="shared" ref="V434:V442" si="85">SUM(D434:U434)</f>
        <v>3903543.6862828205</v>
      </c>
    </row>
    <row r="435" spans="1:22">
      <c r="A435" s="351" t="str">
        <f>IF(B435="","",(IF(ISERROR(MATCH(B435,Tot_res!C:C,0)),"Eliminar!!!","")))</f>
        <v/>
      </c>
      <c r="B435" s="119" t="s">
        <v>392</v>
      </c>
      <c r="C435" s="330" t="str">
        <f>VLOOKUP(B435,Tot_res!C:D,2,FALSE)</f>
        <v>Desarrollo de la economía social y del Fondo Social Europeo + AF18</v>
      </c>
      <c r="D435" s="179">
        <f>VLOOKUP(B435,Tot_res!C:V,3,FALSE)</f>
        <v>6729.0718848053148</v>
      </c>
      <c r="E435" s="179">
        <f>VLOOKUP(B435,Tot_res!C:V,4,FALSE)</f>
        <v>793.35304885374785</v>
      </c>
      <c r="F435" s="179">
        <f>VLOOKUP(B435,Tot_res!C:V,5,FALSE)</f>
        <v>865.94243530931703</v>
      </c>
      <c r="G435" s="179">
        <f>VLOOKUP(B435,Tot_res!C:V,6,FALSE)</f>
        <v>509.16844526654688</v>
      </c>
      <c r="H435" s="179">
        <f>VLOOKUP(B435,Tot_res!C:V,7,FALSE)</f>
        <v>1545.6313319679743</v>
      </c>
      <c r="I435" s="179">
        <f>VLOOKUP(B435,Tot_res!C:V,8,FALSE)</f>
        <v>405.75680931197024</v>
      </c>
      <c r="J435" s="179">
        <f>VLOOKUP(B435,Tot_res!C:V,9,FALSE)</f>
        <v>1664.4140032205028</v>
      </c>
      <c r="K435" s="179">
        <f>VLOOKUP(B435,Tot_res!C:V,10,FALSE)</f>
        <v>1496.2910799219298</v>
      </c>
      <c r="L435" s="179">
        <f>VLOOKUP(B435,Tot_res!C:V,11,FALSE)</f>
        <v>4340.4299259554609</v>
      </c>
      <c r="M435" s="179">
        <f>VLOOKUP(B435,Tot_res!C:V,12,FALSE)</f>
        <v>3573.0347175052921</v>
      </c>
      <c r="N435" s="179">
        <f>VLOOKUP(B435,Tot_res!C:V,13,FALSE)</f>
        <v>1081.0977224001731</v>
      </c>
      <c r="O435" s="179">
        <f>VLOOKUP(B435,Tot_res!C:V,14,FALSE)</f>
        <v>2196.3301132672618</v>
      </c>
      <c r="P435" s="179">
        <f>VLOOKUP(B435,Tot_res!C:V,15,FALSE)</f>
        <v>4020.2171755782038</v>
      </c>
      <c r="Q435" s="179">
        <f>VLOOKUP(B435,Tot_res!C:V,16,FALSE)</f>
        <v>1054.712909370189</v>
      </c>
      <c r="R435" s="179">
        <f>VLOOKUP(B435,Tot_res!C:V,17,FALSE)</f>
        <v>539.66420365103693</v>
      </c>
      <c r="S435" s="179">
        <f>VLOOKUP(B435,Tot_res!C:V,18,FALSE)</f>
        <v>1909.2689918063684</v>
      </c>
      <c r="T435" s="179">
        <f>VLOOKUP(B435,Tot_res!C:V,19,FALSE)</f>
        <v>179.61701901336923</v>
      </c>
      <c r="U435" s="179">
        <f>VLOOKUP(B435,Tot_res!C:V,20,FALSE)</f>
        <v>11.644289819642676</v>
      </c>
      <c r="V435" s="122">
        <f t="shared" si="85"/>
        <v>32915.646107024295</v>
      </c>
    </row>
    <row r="436" spans="1:22">
      <c r="A436" s="351" t="str">
        <f>IF(B436="","",(IF(ISERROR(MATCH(B436,Tot_res!C:C,0)),"Eliminar!!!","")))</f>
        <v/>
      </c>
      <c r="B436" s="115" t="s">
        <v>393</v>
      </c>
      <c r="C436" s="330" t="str">
        <f>VLOOKUP(B436,Tot_res!C:D,2,FALSE)</f>
        <v>Regulación y protección de la propiedad industrial</v>
      </c>
      <c r="D436" s="179">
        <f>VLOOKUP(B436,Tot_res!C:V,3,FALSE)</f>
        <v>4743.8111707228245</v>
      </c>
      <c r="E436" s="179">
        <f>VLOOKUP(B436,Tot_res!C:V,4,FALSE)</f>
        <v>1120.2500092806363</v>
      </c>
      <c r="F436" s="179">
        <f>VLOOKUP(B436,Tot_res!C:V,5,FALSE)</f>
        <v>703.5657539490237</v>
      </c>
      <c r="G436" s="179">
        <f>VLOOKUP(B436,Tot_res!C:V,6,FALSE)</f>
        <v>898.6813919759179</v>
      </c>
      <c r="H436" s="179">
        <f>VLOOKUP(B436,Tot_res!C:V,7,FALSE)</f>
        <v>1359.8102934168544</v>
      </c>
      <c r="I436" s="179">
        <f>VLOOKUP(B436,Tot_res!C:V,8,FALSE)</f>
        <v>408.46083474402769</v>
      </c>
      <c r="J436" s="179">
        <f>VLOOKUP(B436,Tot_res!C:V,9,FALSE)</f>
        <v>1775.4723871097424</v>
      </c>
      <c r="K436" s="179">
        <f>VLOOKUP(B436,Tot_res!C:V,10,FALSE)</f>
        <v>1221.5584747289156</v>
      </c>
      <c r="L436" s="179">
        <f>VLOOKUP(B436,Tot_res!C:V,11,FALSE)</f>
        <v>6731.4195507792328</v>
      </c>
      <c r="M436" s="179">
        <f>VLOOKUP(B436,Tot_res!C:V,12,FALSE)</f>
        <v>3327.6724515259666</v>
      </c>
      <c r="N436" s="179">
        <f>VLOOKUP(B436,Tot_res!C:V,13,FALSE)</f>
        <v>569.81536799146943</v>
      </c>
      <c r="O436" s="179">
        <f>VLOOKUP(B436,Tot_res!C:V,14,FALSE)</f>
        <v>1843.205558019213</v>
      </c>
      <c r="P436" s="179">
        <f>VLOOKUP(B436,Tot_res!C:V,15,FALSE)</f>
        <v>7331.093106008997</v>
      </c>
      <c r="Q436" s="179">
        <f>VLOOKUP(B436,Tot_res!C:V,16,FALSE)</f>
        <v>908.84185865781785</v>
      </c>
      <c r="R436" s="179">
        <f>VLOOKUP(B436,Tot_res!C:V,17,FALSE)</f>
        <v>619.38999996607038</v>
      </c>
      <c r="S436" s="179">
        <f>VLOOKUP(B436,Tot_res!C:V,18,FALSE)</f>
        <v>2191.4740228035939</v>
      </c>
      <c r="T436" s="179">
        <f>VLOOKUP(B436,Tot_res!C:V,19,FALSE)</f>
        <v>261.28002984201476</v>
      </c>
      <c r="U436" s="179">
        <f>VLOOKUP(B436,Tot_res!C:V,20,FALSE)</f>
        <v>100.89461847768119</v>
      </c>
      <c r="V436" s="122">
        <f t="shared" si="85"/>
        <v>36116.696879999996</v>
      </c>
    </row>
    <row r="437" spans="1:22">
      <c r="A437" s="351" t="str">
        <f>IF(B437="","",(IF(ISERROR(MATCH(B437,Tot_res!C:C,0)),"Eliminar!!!","")))</f>
        <v/>
      </c>
      <c r="B437" s="115" t="s">
        <v>394</v>
      </c>
      <c r="C437" s="330" t="str">
        <f>VLOOKUP(B437,Tot_res!C:D,2,FALSE)</f>
        <v>Apoyo a la pequeña y mediana empresa</v>
      </c>
      <c r="D437" s="179">
        <f>VLOOKUP(B437,Tot_res!C:V,3,FALSE)</f>
        <v>8150.11009177909</v>
      </c>
      <c r="E437" s="179">
        <f>VLOOKUP(B437,Tot_res!C:V,4,FALSE)</f>
        <v>1591.5977727755408</v>
      </c>
      <c r="F437" s="179">
        <f>VLOOKUP(B437,Tot_res!C:V,5,FALSE)</f>
        <v>1044.9294447242191</v>
      </c>
      <c r="G437" s="179">
        <f>VLOOKUP(B437,Tot_res!C:V,6,FALSE)</f>
        <v>1184.3048599017402</v>
      </c>
      <c r="H437" s="179">
        <f>VLOOKUP(B437,Tot_res!C:V,7,FALSE)</f>
        <v>2415.7118228387817</v>
      </c>
      <c r="I437" s="179">
        <f>VLOOKUP(B437,Tot_res!C:V,8,FALSE)</f>
        <v>670.14876789254674</v>
      </c>
      <c r="J437" s="179">
        <f>VLOOKUP(B437,Tot_res!C:V,9,FALSE)</f>
        <v>2471.8088876597403</v>
      </c>
      <c r="K437" s="179">
        <f>VLOOKUP(B437,Tot_res!C:V,10,FALSE)</f>
        <v>1918.5330625902752</v>
      </c>
      <c r="L437" s="179">
        <f>VLOOKUP(B437,Tot_res!C:V,11,FALSE)</f>
        <v>9506.5333929842036</v>
      </c>
      <c r="M437" s="179">
        <f>VLOOKUP(B437,Tot_res!C:V,12,FALSE)</f>
        <v>5262.7799425539006</v>
      </c>
      <c r="N437" s="179">
        <f>VLOOKUP(B437,Tot_res!C:V,13,FALSE)</f>
        <v>1047.8135572648187</v>
      </c>
      <c r="O437" s="179">
        <f>VLOOKUP(B437,Tot_res!C:V,14,FALSE)</f>
        <v>2766.1063908586962</v>
      </c>
      <c r="P437" s="179">
        <f>VLOOKUP(B437,Tot_res!C:V,15,FALSE)</f>
        <v>9904.4098756139811</v>
      </c>
      <c r="Q437" s="179">
        <f>VLOOKUP(B437,Tot_res!C:V,16,FALSE)</f>
        <v>1644.067743386815</v>
      </c>
      <c r="R437" s="179">
        <f>VLOOKUP(B437,Tot_res!C:V,17,FALSE)</f>
        <v>846.04415149400427</v>
      </c>
      <c r="S437" s="179">
        <f>VLOOKUP(B437,Tot_res!C:V,18,FALSE)</f>
        <v>2807.5221025951514</v>
      </c>
      <c r="T437" s="179">
        <f>VLOOKUP(B437,Tot_res!C:V,19,FALSE)</f>
        <v>428.96723670507799</v>
      </c>
      <c r="U437" s="179">
        <f>VLOOKUP(B437,Tot_res!C:V,20,FALSE)</f>
        <v>168.37727638141851</v>
      </c>
      <c r="V437" s="122">
        <f t="shared" si="85"/>
        <v>53829.766379999994</v>
      </c>
    </row>
    <row r="438" spans="1:22">
      <c r="A438" s="351" t="str">
        <f>IF(B438="","",(IF(ISERROR(MATCH(B438,Tot_res!C:C,0)),"Eliminar!!!","")))</f>
        <v/>
      </c>
      <c r="B438" s="115" t="s">
        <v>395</v>
      </c>
      <c r="C438" s="330" t="str">
        <f>VLOOKUP(B438,Tot_res!C:D,2,FALSE)</f>
        <v>Administración de las relaciones laborales y condiciones de trabajo</v>
      </c>
      <c r="D438" s="179">
        <f>VLOOKUP(B438,Tot_res!C:V,3,FALSE)</f>
        <v>3795.7965215343697</v>
      </c>
      <c r="E438" s="179">
        <f>VLOOKUP(B438,Tot_res!C:V,4,FALSE)</f>
        <v>779.92211894469744</v>
      </c>
      <c r="F438" s="179">
        <f>VLOOKUP(B438,Tot_res!C:V,5,FALSE)</f>
        <v>1661.7988330396447</v>
      </c>
      <c r="G438" s="179">
        <f>VLOOKUP(B438,Tot_res!C:V,6,FALSE)</f>
        <v>659.52423741987786</v>
      </c>
      <c r="H438" s="179">
        <f>VLOOKUP(B438,Tot_res!C:V,7,FALSE)</f>
        <v>1046.3660030701835</v>
      </c>
      <c r="I438" s="179">
        <f>VLOOKUP(B438,Tot_res!C:V,8,FALSE)</f>
        <v>1005.4128265137701</v>
      </c>
      <c r="J438" s="179">
        <f>VLOOKUP(B438,Tot_res!C:V,9,FALSE)</f>
        <v>1908.5677972725148</v>
      </c>
      <c r="K438" s="179">
        <f>VLOOKUP(B438,Tot_res!C:V,10,FALSE)</f>
        <v>939.93295185274815</v>
      </c>
      <c r="L438" s="179">
        <f>VLOOKUP(B438,Tot_res!C:V,11,FALSE)</f>
        <v>5342.9676955043305</v>
      </c>
      <c r="M438" s="179">
        <f>VLOOKUP(B438,Tot_res!C:V,12,FALSE)</f>
        <v>2779.6616456511383</v>
      </c>
      <c r="N438" s="179">
        <f>VLOOKUP(B438,Tot_res!C:V,13,FALSE)</f>
        <v>473.73281235408115</v>
      </c>
      <c r="O438" s="179">
        <f>VLOOKUP(B438,Tot_res!C:V,14,FALSE)</f>
        <v>3608.8412537396998</v>
      </c>
      <c r="P438" s="179">
        <f>VLOOKUP(B438,Tot_res!C:V,15,FALSE)</f>
        <v>7956.4753616741245</v>
      </c>
      <c r="Q438" s="179">
        <f>VLOOKUP(B438,Tot_res!C:V,16,FALSE)</f>
        <v>767.46693608928354</v>
      </c>
      <c r="R438" s="179">
        <f>VLOOKUP(B438,Tot_res!C:V,17,FALSE)</f>
        <v>399.41624232776246</v>
      </c>
      <c r="S438" s="179">
        <f>VLOOKUP(B438,Tot_res!C:V,18,FALSE)</f>
        <v>2345.3681579580789</v>
      </c>
      <c r="T438" s="179">
        <f>VLOOKUP(B438,Tot_res!C:V,19,FALSE)</f>
        <v>181.41155116690726</v>
      </c>
      <c r="U438" s="179">
        <f>VLOOKUP(B438,Tot_res!C:V,20,FALSE)</f>
        <v>82.046153886785106</v>
      </c>
      <c r="V438" s="122">
        <f t="shared" si="85"/>
        <v>35734.7091</v>
      </c>
    </row>
    <row r="439" spans="1:22">
      <c r="A439" s="351" t="str">
        <f>IF(B439="","",(IF(ISERROR(MATCH(B439,Tot_res!C:C,0)),"Eliminar!!!","")))</f>
        <v/>
      </c>
      <c r="B439" s="115" t="s">
        <v>879</v>
      </c>
      <c r="C439" s="330" t="str">
        <f>VLOOKUP(B439,Tot_res!C:D,2,FALSE)</f>
        <v xml:space="preserve"> Previsión y política económica, subvenciones a préstamos ICO </v>
      </c>
      <c r="D439" s="179">
        <f>VLOOKUP(B439,Tot_res!C:V,3,FALSE)</f>
        <v>2427.1972828978883</v>
      </c>
      <c r="E439" s="179">
        <f>VLOOKUP(B439,Tot_res!C:V,4,FALSE)</f>
        <v>573.18212737333408</v>
      </c>
      <c r="F439" s="179">
        <f>VLOOKUP(B439,Tot_res!C:V,5,FALSE)</f>
        <v>359.983318236689</v>
      </c>
      <c r="G439" s="179">
        <f>VLOOKUP(B439,Tot_res!C:V,6,FALSE)</f>
        <v>459.81531605999288</v>
      </c>
      <c r="H439" s="179">
        <f>VLOOKUP(B439,Tot_res!C:V,7,FALSE)</f>
        <v>695.75447475812189</v>
      </c>
      <c r="I439" s="179">
        <f>VLOOKUP(B439,Tot_res!C:V,8,FALSE)</f>
        <v>208.99125040633595</v>
      </c>
      <c r="J439" s="179">
        <f>VLOOKUP(B439,Tot_res!C:V,9,FALSE)</f>
        <v>908.43028922594306</v>
      </c>
      <c r="K439" s="179">
        <f>VLOOKUP(B439,Tot_res!C:V,10,FALSE)</f>
        <v>625.0171653251399</v>
      </c>
      <c r="L439" s="179">
        <f>VLOOKUP(B439,Tot_res!C:V,11,FALSE)</f>
        <v>3444.1681288944624</v>
      </c>
      <c r="M439" s="179">
        <f>VLOOKUP(B439,Tot_res!C:V,12,FALSE)</f>
        <v>1702.6220568318458</v>
      </c>
      <c r="N439" s="179">
        <f>VLOOKUP(B439,Tot_res!C:V,13,FALSE)</f>
        <v>291.5491918139769</v>
      </c>
      <c r="O439" s="179">
        <f>VLOOKUP(B439,Tot_res!C:V,14,FALSE)</f>
        <v>943.08634160175359</v>
      </c>
      <c r="P439" s="179">
        <f>VLOOKUP(B439,Tot_res!C:V,15,FALSE)</f>
        <v>3420.5807559293976</v>
      </c>
      <c r="Q439" s="179">
        <f>VLOOKUP(B439,Tot_res!C:V,16,FALSE)</f>
        <v>465.01397516250609</v>
      </c>
      <c r="R439" s="179">
        <f>VLOOKUP(B439,Tot_res!C:V,17,FALSE)</f>
        <v>312.23114389178278</v>
      </c>
      <c r="S439" s="179">
        <f>VLOOKUP(B439,Tot_res!C:V,18,FALSE)</f>
        <v>1118.9208750567618</v>
      </c>
      <c r="T439" s="179">
        <f>VLOOKUP(B439,Tot_res!C:V,19,FALSE)</f>
        <v>133.68537567893674</v>
      </c>
      <c r="U439" s="179">
        <f>VLOOKUP(B439,Tot_res!C:V,20,FALSE)</f>
        <v>51.623290855131636</v>
      </c>
      <c r="V439" s="122">
        <f t="shared" si="85"/>
        <v>18141.852359999997</v>
      </c>
    </row>
    <row r="440" spans="1:22">
      <c r="A440" s="351" t="str">
        <f>IF(B440="","",(IF(ISERROR(MATCH(B440,Tot_res!C:C,0)),"Eliminar!!!","")))</f>
        <v/>
      </c>
      <c r="B440" s="115" t="s">
        <v>881</v>
      </c>
      <c r="C440" s="330" t="str">
        <f>VLOOKUP(B440,Tot_res!C:D,2,FALSE)</f>
        <v>Otros Servicios Sociales, formación y gestión del empleo y del desempleo, ISM</v>
      </c>
      <c r="D440" s="179">
        <f>VLOOKUP(B440,Tot_res!C:V,3,FALSE)</f>
        <v>2928.1141284284568</v>
      </c>
      <c r="E440" s="179">
        <f>VLOOKUP(B440,Tot_res!C:V,4,FALSE)</f>
        <v>0</v>
      </c>
      <c r="F440" s="179">
        <f>VLOOKUP(B440,Tot_res!C:V,5,FALSE)</f>
        <v>205.04891116601001</v>
      </c>
      <c r="G440" s="179">
        <f>VLOOKUP(B440,Tot_res!C:V,6,FALSE)</f>
        <v>259.23725458294723</v>
      </c>
      <c r="H440" s="179">
        <f>VLOOKUP(B440,Tot_res!C:V,7,FALSE)</f>
        <v>1817.5442133884694</v>
      </c>
      <c r="I440" s="179">
        <f>VLOOKUP(B440,Tot_res!C:V,8,FALSE)</f>
        <v>191.23669917448206</v>
      </c>
      <c r="J440" s="179">
        <f>VLOOKUP(B440,Tot_res!C:V,9,FALSE)</f>
        <v>0</v>
      </c>
      <c r="K440" s="179">
        <f>VLOOKUP(B440,Tot_res!C:V,10,FALSE)</f>
        <v>0</v>
      </c>
      <c r="L440" s="179">
        <f>VLOOKUP(B440,Tot_res!C:V,11,FALSE)</f>
        <v>324.20170829019281</v>
      </c>
      <c r="M440" s="179">
        <f>VLOOKUP(B440,Tot_res!C:V,12,FALSE)</f>
        <v>821.24994730865319</v>
      </c>
      <c r="N440" s="179">
        <f>VLOOKUP(B440,Tot_res!C:V,13,FALSE)</f>
        <v>0</v>
      </c>
      <c r="O440" s="179">
        <f>VLOOKUP(B440,Tot_res!C:V,14,FALSE)</f>
        <v>4241.7460524775015</v>
      </c>
      <c r="P440" s="179">
        <f>VLOOKUP(B440,Tot_res!C:V,15,FALSE)</f>
        <v>318.18589256176557</v>
      </c>
      <c r="Q440" s="179">
        <f>VLOOKUP(B440,Tot_res!C:V,16,FALSE)</f>
        <v>241.07177046791827</v>
      </c>
      <c r="R440" s="179">
        <f>VLOOKUP(B440,Tot_res!C:V,17,FALSE)</f>
        <v>0</v>
      </c>
      <c r="S440" s="179">
        <f>VLOOKUP(B440,Tot_res!C:V,18,FALSE)</f>
        <v>464.05704393920979</v>
      </c>
      <c r="T440" s="179">
        <f>VLOOKUP(B440,Tot_res!C:V,19,FALSE)</f>
        <v>0</v>
      </c>
      <c r="U440" s="179">
        <f>VLOOKUP(B440,Tot_res!C:V,20,FALSE)</f>
        <v>114.86124821439313</v>
      </c>
      <c r="V440" s="122">
        <f t="shared" si="85"/>
        <v>11926.55487</v>
      </c>
    </row>
    <row r="441" spans="1:22">
      <c r="A441" s="351" t="str">
        <f>IF(B441="","",(IF(ISERROR(MATCH(B441,Tot_res!C:C,0)),"Eliminar!!!","")))</f>
        <v/>
      </c>
      <c r="B441" s="115" t="s">
        <v>882</v>
      </c>
      <c r="C441" s="330" t="str">
        <f>VLOOKUP(B441,Tot_res!C:D,2,FALSE)</f>
        <v>ISM, formación  + AF20/2</v>
      </c>
      <c r="D441" s="179">
        <f>VLOOKUP(B441,Tot_res!C:V,3,FALSE)</f>
        <v>11973.729161370366</v>
      </c>
      <c r="E441" s="179">
        <f>VLOOKUP(B441,Tot_res!C:V,4,FALSE)</f>
        <v>0</v>
      </c>
      <c r="F441" s="179">
        <f>VLOOKUP(B441,Tot_res!C:V,5,FALSE)</f>
        <v>2013.8670880499615</v>
      </c>
      <c r="G441" s="179">
        <f>VLOOKUP(B441,Tot_res!C:V,6,FALSE)</f>
        <v>1268.6478518971876</v>
      </c>
      <c r="H441" s="179">
        <f>VLOOKUP(B441,Tot_res!C:V,7,FALSE)</f>
        <v>1465.0552962971906</v>
      </c>
      <c r="I441" s="179">
        <f>VLOOKUP(B441,Tot_res!C:V,8,FALSE)</f>
        <v>173.93568348902718</v>
      </c>
      <c r="J441" s="179">
        <f>VLOOKUP(B441,Tot_res!C:V,9,FALSE)</f>
        <v>0</v>
      </c>
      <c r="K441" s="179">
        <f>VLOOKUP(B441,Tot_res!C:V,10,FALSE)</f>
        <v>0</v>
      </c>
      <c r="L441" s="179">
        <f>VLOOKUP(B441,Tot_res!C:V,11,FALSE)</f>
        <v>2240.3121836532705</v>
      </c>
      <c r="M441" s="179">
        <f>VLOOKUP(B441,Tot_res!C:V,12,FALSE)</f>
        <v>2422.0371435870074</v>
      </c>
      <c r="N441" s="179">
        <f>VLOOKUP(B441,Tot_res!C:V,13,FALSE)</f>
        <v>0</v>
      </c>
      <c r="O441" s="179">
        <f>VLOOKUP(B441,Tot_res!C:V,14,FALSE)</f>
        <v>13765.244107868642</v>
      </c>
      <c r="P441" s="179">
        <f>VLOOKUP(B441,Tot_res!C:V,15,FALSE)</f>
        <v>0</v>
      </c>
      <c r="Q441" s="179">
        <f>VLOOKUP(B441,Tot_res!C:V,16,FALSE)</f>
        <v>105.79853952557507</v>
      </c>
      <c r="R441" s="179">
        <f>VLOOKUP(B441,Tot_res!C:V,17,FALSE)</f>
        <v>0</v>
      </c>
      <c r="S441" s="179">
        <f>VLOOKUP(B441,Tot_res!C:V,18,FALSE)</f>
        <v>2588.3188741620397</v>
      </c>
      <c r="T441" s="179">
        <f>VLOOKUP(B441,Tot_res!C:V,19,FALSE)</f>
        <v>0</v>
      </c>
      <c r="U441" s="179">
        <f>VLOOKUP(B441,Tot_res!C:V,20,FALSE)</f>
        <v>0</v>
      </c>
      <c r="V441" s="122">
        <f t="shared" si="85"/>
        <v>38016.94592990027</v>
      </c>
    </row>
    <row r="442" spans="1:22">
      <c r="A442" s="351" t="str">
        <f>IF(B442="","",(IF(ISERROR(MATCH(B442,Tot_res!C:C,0)),"Eliminar!!!","")))</f>
        <v/>
      </c>
      <c r="B442" s="115" t="s">
        <v>396</v>
      </c>
      <c r="C442" s="330" t="str">
        <f>VLOOKUP(B442,Tot_res!C:D,2,FALSE)</f>
        <v>Gestión de la formación continua + AF20/3</v>
      </c>
      <c r="D442" s="179">
        <f>VLOOKUP(B442,Tot_res!C:V,3,FALSE)</f>
        <v>2522.5483734556042</v>
      </c>
      <c r="E442" s="179">
        <f>VLOOKUP(B442,Tot_res!C:V,4,FALSE)</f>
        <v>827.53106455078523</v>
      </c>
      <c r="F442" s="179">
        <f>VLOOKUP(B442,Tot_res!C:V,5,FALSE)</f>
        <v>0</v>
      </c>
      <c r="G442" s="179">
        <f>VLOOKUP(B442,Tot_res!C:V,6,FALSE)</f>
        <v>626.21018132501183</v>
      </c>
      <c r="H442" s="179">
        <f>VLOOKUP(B442,Tot_res!C:V,7,FALSE)</f>
        <v>1039.1916167335146</v>
      </c>
      <c r="I442" s="179">
        <f>VLOOKUP(B442,Tot_res!C:V,8,FALSE)</f>
        <v>386.69761664849864</v>
      </c>
      <c r="J442" s="179">
        <f>VLOOKUP(B442,Tot_res!C:V,9,FALSE)</f>
        <v>1057.2267698913961</v>
      </c>
      <c r="K442" s="179">
        <f>VLOOKUP(B442,Tot_res!C:V,10,FALSE)</f>
        <v>0</v>
      </c>
      <c r="L442" s="179">
        <f>VLOOKUP(B442,Tot_res!C:V,11,FALSE)</f>
        <v>2633.2582547594639</v>
      </c>
      <c r="M442" s="179">
        <f>VLOOKUP(B442,Tot_res!C:V,12,FALSE)</f>
        <v>0</v>
      </c>
      <c r="N442" s="179">
        <f>VLOOKUP(B442,Tot_res!C:V,13,FALSE)</f>
        <v>621.0336510337271</v>
      </c>
      <c r="O442" s="179">
        <f>VLOOKUP(B442,Tot_res!C:V,14,FALSE)</f>
        <v>1213.2188536563683</v>
      </c>
      <c r="P442" s="179">
        <f>VLOOKUP(B442,Tot_res!C:V,15,FALSE)</f>
        <v>0</v>
      </c>
      <c r="Q442" s="179">
        <f>VLOOKUP(B442,Tot_res!C:V,16,FALSE)</f>
        <v>707.46574815584108</v>
      </c>
      <c r="R442" s="179">
        <f>VLOOKUP(B442,Tot_res!C:V,17,FALSE)</f>
        <v>0</v>
      </c>
      <c r="S442" s="179">
        <f>VLOOKUP(B442,Tot_res!C:V,18,FALSE)</f>
        <v>585.05331997052735</v>
      </c>
      <c r="T442" s="179">
        <f>VLOOKUP(B442,Tot_res!C:V,19,FALSE)</f>
        <v>260.79698379567014</v>
      </c>
      <c r="U442" s="179">
        <f>VLOOKUP(B442,Tot_res!C:V,20,FALSE)</f>
        <v>0</v>
      </c>
      <c r="V442" s="122">
        <f t="shared" si="85"/>
        <v>12480.232433976407</v>
      </c>
    </row>
    <row r="443" spans="1:22">
      <c r="A443" s="352"/>
      <c r="B443" s="115"/>
      <c r="C443" s="138"/>
      <c r="D443" s="122"/>
      <c r="E443" s="122"/>
      <c r="F443" s="122"/>
      <c r="G443" s="122"/>
      <c r="H443" s="122"/>
      <c r="I443" s="122"/>
      <c r="J443" s="122"/>
      <c r="K443" s="122"/>
      <c r="L443" s="122"/>
      <c r="M443" s="122"/>
      <c r="N443" s="122"/>
      <c r="O443" s="122"/>
      <c r="P443" s="122"/>
      <c r="Q443" s="122"/>
      <c r="R443" s="122"/>
      <c r="S443" s="122"/>
      <c r="T443" s="122"/>
      <c r="U443" s="122"/>
      <c r="V443" s="122"/>
    </row>
    <row r="444" spans="1:22" ht="13.5">
      <c r="A444" s="352"/>
      <c r="B444" s="115"/>
      <c r="C444" s="128" t="s">
        <v>75</v>
      </c>
      <c r="D444" s="114">
        <f t="shared" ref="D444:V444" si="86">SUM(D445:D453)</f>
        <v>2616844.3038915703</v>
      </c>
      <c r="E444" s="114">
        <f t="shared" si="86"/>
        <v>537274.03733192396</v>
      </c>
      <c r="F444" s="114">
        <f t="shared" si="86"/>
        <v>72982.310495566431</v>
      </c>
      <c r="G444" s="114">
        <f t="shared" si="86"/>
        <v>36481.797130867104</v>
      </c>
      <c r="H444" s="114">
        <f t="shared" si="86"/>
        <v>241269.22477744639</v>
      </c>
      <c r="I444" s="114">
        <f t="shared" si="86"/>
        <v>83629.472589322264</v>
      </c>
      <c r="J444" s="114">
        <f t="shared" si="86"/>
        <v>1059961.2507163049</v>
      </c>
      <c r="K444" s="114">
        <f t="shared" si="86"/>
        <v>663698.13585135783</v>
      </c>
      <c r="L444" s="114">
        <f t="shared" si="86"/>
        <v>398923.3710536994</v>
      </c>
      <c r="M444" s="114">
        <f t="shared" si="86"/>
        <v>245510.33749716339</v>
      </c>
      <c r="N444" s="114">
        <f t="shared" si="86"/>
        <v>673526.68033439666</v>
      </c>
      <c r="O444" s="114">
        <f t="shared" si="86"/>
        <v>275992.19782367308</v>
      </c>
      <c r="P444" s="114">
        <f t="shared" si="86"/>
        <v>38307.812034304363</v>
      </c>
      <c r="Q444" s="114">
        <f t="shared" si="86"/>
        <v>125153.16377798961</v>
      </c>
      <c r="R444" s="114">
        <f t="shared" si="86"/>
        <v>125469.67399722214</v>
      </c>
      <c r="S444" s="114">
        <f t="shared" si="86"/>
        <v>47870.53950371391</v>
      </c>
      <c r="T444" s="114">
        <f t="shared" si="86"/>
        <v>51595.266810820067</v>
      </c>
      <c r="U444" s="114">
        <f t="shared" si="86"/>
        <v>608.89664556185608</v>
      </c>
      <c r="V444" s="126">
        <f t="shared" si="86"/>
        <v>7295098.472262904</v>
      </c>
    </row>
    <row r="445" spans="1:22">
      <c r="A445" s="351" t="str">
        <f>IF(B445="","",(IF(ISERROR(MATCH(B445,Tot_res!C:C,0)),"Eliminar!!!","")))</f>
        <v/>
      </c>
      <c r="B445" s="115" t="s">
        <v>469</v>
      </c>
      <c r="C445" s="330" t="str">
        <f>VLOOKUP(B445,Tot_res!C:D,2,FALSE)</f>
        <v>Competitividad y calidad de la producción y los mercados agrarios + AF22/1</v>
      </c>
      <c r="D445" s="179">
        <f>VLOOKUP(B445,Tot_res!C:V,3,FALSE)</f>
        <v>5706.5854409185322</v>
      </c>
      <c r="E445" s="179">
        <f>VLOOKUP(B445,Tot_res!C:V,4,FALSE)</f>
        <v>2134.6227703025215</v>
      </c>
      <c r="F445" s="179">
        <f>VLOOKUP(B445,Tot_res!C:V,5,FALSE)</f>
        <v>418.24015905632007</v>
      </c>
      <c r="G445" s="179">
        <f>VLOOKUP(B445,Tot_res!C:V,6,FALSE)</f>
        <v>484.63745812757583</v>
      </c>
      <c r="H445" s="179">
        <f>VLOOKUP(B445,Tot_res!C:V,7,FALSE)</f>
        <v>476.40096357016648</v>
      </c>
      <c r="I445" s="179">
        <f>VLOOKUP(B445,Tot_res!C:V,8,FALSE)</f>
        <v>520.48268443949894</v>
      </c>
      <c r="J445" s="179">
        <f>VLOOKUP(B445,Tot_res!C:V,9,FALSE)</f>
        <v>2248.9227166294286</v>
      </c>
      <c r="K445" s="179">
        <f>VLOOKUP(B445,Tot_res!C:V,10,FALSE)</f>
        <v>2281.2175909298057</v>
      </c>
      <c r="L445" s="179">
        <f>VLOOKUP(B445,Tot_res!C:V,11,FALSE)</f>
        <v>2198.8574960311225</v>
      </c>
      <c r="M445" s="179">
        <f>VLOOKUP(B445,Tot_res!C:V,12,FALSE)</f>
        <v>2324.8971040892811</v>
      </c>
      <c r="N445" s="179">
        <f>VLOOKUP(B445,Tot_res!C:V,13,FALSE)</f>
        <v>1343.2924269123687</v>
      </c>
      <c r="O445" s="179">
        <f>VLOOKUP(B445,Tot_res!C:V,14,FALSE)</f>
        <v>1491.2236126154557</v>
      </c>
      <c r="P445" s="179">
        <f>VLOOKUP(B445,Tot_res!C:V,15,FALSE)</f>
        <v>688.10896891382049</v>
      </c>
      <c r="Q445" s="179">
        <f>VLOOKUP(B445,Tot_res!C:V,16,FALSE)</f>
        <v>1546.7208418797886</v>
      </c>
      <c r="R445" s="179">
        <f>VLOOKUP(B445,Tot_res!C:V,17,FALSE)</f>
        <v>354.02045469231575</v>
      </c>
      <c r="S445" s="179">
        <f>VLOOKUP(B445,Tot_res!C:V,18,FALSE)</f>
        <v>1209.7310188461993</v>
      </c>
      <c r="T445" s="179">
        <f>VLOOKUP(B445,Tot_res!C:V,19,FALSE)</f>
        <v>377.76194566461982</v>
      </c>
      <c r="U445" s="179">
        <f>VLOOKUP(B445,Tot_res!C:V,20,FALSE)</f>
        <v>0</v>
      </c>
      <c r="V445" s="122">
        <f t="shared" ref="V445:V453" si="87">SUM(D445:U445)</f>
        <v>25805.723653618825</v>
      </c>
    </row>
    <row r="446" spans="1:22">
      <c r="A446" s="351" t="str">
        <f>IF(B446="","",(IF(ISERROR(MATCH(B446,Tot_res!C:C,0)),"Eliminar!!!","")))</f>
        <v/>
      </c>
      <c r="B446" s="115" t="s">
        <v>471</v>
      </c>
      <c r="C446" s="330" t="str">
        <f>VLOOKUP(B446,Tot_res!C:D,2,FALSE)</f>
        <v>Competitividad y calidad de la sanidad agraria + AF22/2</v>
      </c>
      <c r="D446" s="179">
        <f>VLOOKUP(B446,Tot_res!C:V,3,FALSE)</f>
        <v>6415.508827930139</v>
      </c>
      <c r="E446" s="179">
        <f>VLOOKUP(B446,Tot_res!C:V,4,FALSE)</f>
        <v>4189.8298780721716</v>
      </c>
      <c r="F446" s="179">
        <f>VLOOKUP(B446,Tot_res!C:V,5,FALSE)</f>
        <v>1084.1133009391176</v>
      </c>
      <c r="G446" s="179">
        <f>VLOOKUP(B446,Tot_res!C:V,6,FALSE)</f>
        <v>418.46204757652396</v>
      </c>
      <c r="H446" s="179">
        <f>VLOOKUP(B446,Tot_res!C:V,7,FALSE)</f>
        <v>487.11561372777413</v>
      </c>
      <c r="I446" s="179">
        <f>VLOOKUP(B446,Tot_res!C:V,8,FALSE)</f>
        <v>989.70824886556784</v>
      </c>
      <c r="J446" s="179">
        <f>VLOOKUP(B446,Tot_res!C:V,9,FALSE)</f>
        <v>5771.6057023949752</v>
      </c>
      <c r="K446" s="179">
        <f>VLOOKUP(B446,Tot_res!C:V,10,FALSE)</f>
        <v>2220.9849887626406</v>
      </c>
      <c r="L446" s="179">
        <f>VLOOKUP(B446,Tot_res!C:V,11,FALSE)</f>
        <v>5504.0613328288237</v>
      </c>
      <c r="M446" s="179">
        <f>VLOOKUP(B446,Tot_res!C:V,12,FALSE)</f>
        <v>3029.6196671364692</v>
      </c>
      <c r="N446" s="179">
        <f>VLOOKUP(B446,Tot_res!C:V,13,FALSE)</f>
        <v>2849.1379579697364</v>
      </c>
      <c r="O446" s="179">
        <f>VLOOKUP(B446,Tot_res!C:V,14,FALSE)</f>
        <v>4463.6265829808408</v>
      </c>
      <c r="P446" s="179">
        <f>VLOOKUP(B446,Tot_res!C:V,15,FALSE)</f>
        <v>1352.7519073543363</v>
      </c>
      <c r="Q446" s="179">
        <f>VLOOKUP(B446,Tot_res!C:V,16,FALSE)</f>
        <v>1424.8417500744135</v>
      </c>
      <c r="R446" s="179">
        <f>VLOOKUP(B446,Tot_res!C:V,17,FALSE)</f>
        <v>595.50081229154046</v>
      </c>
      <c r="S446" s="179">
        <f>VLOOKUP(B446,Tot_res!C:V,18,FALSE)</f>
        <v>2034.8988168022399</v>
      </c>
      <c r="T446" s="179">
        <f>VLOOKUP(B446,Tot_res!C:V,19,FALSE)</f>
        <v>194.87702951324545</v>
      </c>
      <c r="U446" s="179">
        <f>VLOOKUP(B446,Tot_res!C:V,20,FALSE)</f>
        <v>381.38236999999998</v>
      </c>
      <c r="V446" s="122">
        <f t="shared" si="87"/>
        <v>43408.02683522056</v>
      </c>
    </row>
    <row r="447" spans="1:22">
      <c r="A447" s="351" t="str">
        <f>IF(B447="","",(IF(ISERROR(MATCH(B447,Tot_res!C:C,0)),"Eliminar!!!","")))</f>
        <v/>
      </c>
      <c r="B447" s="115" t="s">
        <v>397</v>
      </c>
      <c r="C447" s="330" t="str">
        <f>VLOOKUP(B447,Tot_res!C:D,2,FALSE)</f>
        <v>Regulación de los mercados agrarios</v>
      </c>
      <c r="D447" s="179">
        <f>VLOOKUP(B447,Tot_res!C:V,3,FALSE)</f>
        <v>2225461.2523229397</v>
      </c>
      <c r="E447" s="179">
        <f>VLOOKUP(B447,Tot_res!C:V,4,FALSE)</f>
        <v>440060.32297121896</v>
      </c>
      <c r="F447" s="179">
        <f>VLOOKUP(B447,Tot_res!C:V,5,FALSE)</f>
        <v>34588.094133394639</v>
      </c>
      <c r="G447" s="179">
        <f>VLOOKUP(B447,Tot_res!C:V,6,FALSE)</f>
        <v>25057.689951488093</v>
      </c>
      <c r="H447" s="179">
        <f>VLOOKUP(B447,Tot_res!C:V,7,FALSE)</f>
        <v>200481.20440468326</v>
      </c>
      <c r="I447" s="179">
        <f>VLOOKUP(B447,Tot_res!C:V,8,FALSE)</f>
        <v>39763.915282216243</v>
      </c>
      <c r="J447" s="179">
        <f>VLOOKUP(B447,Tot_res!C:V,9,FALSE)</f>
        <v>920786.03418210533</v>
      </c>
      <c r="K447" s="179">
        <f>VLOOKUP(B447,Tot_res!C:V,10,FALSE)</f>
        <v>473870.78171039606</v>
      </c>
      <c r="L447" s="179">
        <f>VLOOKUP(B447,Tot_res!C:V,11,FALSE)</f>
        <v>303431.02243407996</v>
      </c>
      <c r="M447" s="179">
        <f>VLOOKUP(B447,Tot_res!C:V,12,FALSE)</f>
        <v>153158.8591906449</v>
      </c>
      <c r="N447" s="179">
        <f>VLOOKUP(B447,Tot_res!C:V,13,FALSE)</f>
        <v>512905.54125264275</v>
      </c>
      <c r="O447" s="179">
        <f>VLOOKUP(B447,Tot_res!C:V,14,FALSE)</f>
        <v>127476.76086048596</v>
      </c>
      <c r="P447" s="179">
        <f>VLOOKUP(B447,Tot_res!C:V,15,FALSE)</f>
        <v>25513.260448050001</v>
      </c>
      <c r="Q447" s="179">
        <f>VLOOKUP(B447,Tot_res!C:V,16,FALSE)</f>
        <v>91595.031025787655</v>
      </c>
      <c r="R447" s="179">
        <f>VLOOKUP(B447,Tot_res!C:V,17,FALSE)</f>
        <v>106737.50673663965</v>
      </c>
      <c r="S447" s="179">
        <f>VLOOKUP(B447,Tot_res!C:V,18,FALSE)</f>
        <v>23675.760346925945</v>
      </c>
      <c r="T447" s="179">
        <f>VLOOKUP(B447,Tot_res!C:V,19,FALSE)</f>
        <v>31013.816296302663</v>
      </c>
      <c r="U447" s="179">
        <f>VLOOKUP(B447,Tot_res!C:V,20,FALSE)</f>
        <v>0</v>
      </c>
      <c r="V447" s="122">
        <f t="shared" si="87"/>
        <v>5735576.853550002</v>
      </c>
    </row>
    <row r="448" spans="1:22">
      <c r="A448" s="351" t="str">
        <f>IF(B448="","",(IF(ISERROR(MATCH(B448,Tot_res!C:C,0)),"Eliminar!!!","")))</f>
        <v/>
      </c>
      <c r="B448" s="115" t="s">
        <v>398</v>
      </c>
      <c r="C448" s="330" t="str">
        <f>VLOOKUP(B448,Tot_res!C:D,2,FALSE)</f>
        <v>Competitividad industria agroalimentaria y calidad alimentaria + AF22/3</v>
      </c>
      <c r="D448" s="179">
        <f>VLOOKUP(B448,Tot_res!C:V,3,FALSE)</f>
        <v>2558.9925694952026</v>
      </c>
      <c r="E448" s="179">
        <f>VLOOKUP(B448,Tot_res!C:V,4,FALSE)</f>
        <v>577.87497051565856</v>
      </c>
      <c r="F448" s="179">
        <f>VLOOKUP(B448,Tot_res!C:V,5,FALSE)</f>
        <v>299.13590408524425</v>
      </c>
      <c r="G448" s="179">
        <f>VLOOKUP(B448,Tot_res!C:V,6,FALSE)</f>
        <v>98.865849363553608</v>
      </c>
      <c r="H448" s="179">
        <f>VLOOKUP(B448,Tot_res!C:V,7,FALSE)</f>
        <v>296.61967057222262</v>
      </c>
      <c r="I448" s="179">
        <f>VLOOKUP(B448,Tot_res!C:V,8,FALSE)</f>
        <v>545.85613965835296</v>
      </c>
      <c r="J448" s="179">
        <f>VLOOKUP(B448,Tot_res!C:V,9,FALSE)</f>
        <v>1867.242369129483</v>
      </c>
      <c r="K448" s="179">
        <f>VLOOKUP(B448,Tot_res!C:V,10,FALSE)</f>
        <v>1088.0999578183389</v>
      </c>
      <c r="L448" s="179">
        <f>VLOOKUP(B448,Tot_res!C:V,11,FALSE)</f>
        <v>5290.1117040434247</v>
      </c>
      <c r="M448" s="179">
        <f>VLOOKUP(B448,Tot_res!C:V,12,FALSE)</f>
        <v>1700.457797617127</v>
      </c>
      <c r="N448" s="179">
        <f>VLOOKUP(B448,Tot_res!C:V,13,FALSE)</f>
        <v>755.95842195908415</v>
      </c>
      <c r="O448" s="179">
        <f>VLOOKUP(B448,Tot_res!C:V,14,FALSE)</f>
        <v>2089.9733454131529</v>
      </c>
      <c r="P448" s="179">
        <f>VLOOKUP(B448,Tot_res!C:V,15,FALSE)</f>
        <v>2507.9277535312885</v>
      </c>
      <c r="Q448" s="179">
        <f>VLOOKUP(B448,Tot_res!C:V,16,FALSE)</f>
        <v>715.63381515047308</v>
      </c>
      <c r="R448" s="179">
        <f>VLOOKUP(B448,Tot_res!C:V,17,FALSE)</f>
        <v>302.47600538174146</v>
      </c>
      <c r="S448" s="179">
        <f>VLOOKUP(B448,Tot_res!C:V,18,FALSE)</f>
        <v>1033.5973566414518</v>
      </c>
      <c r="T448" s="179">
        <f>VLOOKUP(B448,Tot_res!C:V,19,FALSE)</f>
        <v>319.65436933669548</v>
      </c>
      <c r="U448" s="179">
        <f>VLOOKUP(B448,Tot_res!C:V,20,FALSE)</f>
        <v>0</v>
      </c>
      <c r="V448" s="122">
        <f t="shared" si="87"/>
        <v>22048.477999712493</v>
      </c>
    </row>
    <row r="449" spans="1:22">
      <c r="A449" s="351" t="str">
        <f>IF(B449="","",(IF(ISERROR(MATCH(B449,Tot_res!C:C,0)),"Eliminar!!!","")))</f>
        <v/>
      </c>
      <c r="B449" s="115" t="s">
        <v>399</v>
      </c>
      <c r="C449" s="330" t="str">
        <f>VLOOKUP(B449,Tot_res!C:D,2,FALSE)</f>
        <v>Desarrollo del medio rural  + AF22/4</v>
      </c>
      <c r="D449" s="179">
        <f>VLOOKUP(B449,Tot_res!C:V,3,FALSE)</f>
        <v>295596.94343262975</v>
      </c>
      <c r="E449" s="179">
        <f>VLOOKUP(B449,Tot_res!C:V,4,FALSE)</f>
        <v>73408.637902162591</v>
      </c>
      <c r="F449" s="179">
        <f>VLOOKUP(B449,Tot_res!C:V,5,FALSE)</f>
        <v>31962.500381848524</v>
      </c>
      <c r="G449" s="179">
        <f>VLOOKUP(B449,Tot_res!C:V,6,FALSE)</f>
        <v>7897.8057987232114</v>
      </c>
      <c r="H449" s="179">
        <f>VLOOKUP(B449,Tot_res!C:V,7,FALSE)</f>
        <v>30782.372119238924</v>
      </c>
      <c r="I449" s="179">
        <f>VLOOKUP(B449,Tot_res!C:V,8,FALSE)</f>
        <v>38580.092880765565</v>
      </c>
      <c r="J449" s="179">
        <f>VLOOKUP(B449,Tot_res!C:V,9,FALSE)</f>
        <v>105414.2370937939</v>
      </c>
      <c r="K449" s="179">
        <f>VLOOKUP(B449,Tot_res!C:V,10,FALSE)</f>
        <v>162088.73922063419</v>
      </c>
      <c r="L449" s="179">
        <f>VLOOKUP(B449,Tot_res!C:V,11,FALSE)</f>
        <v>55685.570440741445</v>
      </c>
      <c r="M449" s="179">
        <f>VLOOKUP(B449,Tot_res!C:V,12,FALSE)</f>
        <v>59482.189931352128</v>
      </c>
      <c r="N449" s="179">
        <f>VLOOKUP(B449,Tot_res!C:V,13,FALSE)</f>
        <v>143116.61513066603</v>
      </c>
      <c r="O449" s="179">
        <f>VLOOKUP(B449,Tot_res!C:V,14,FALSE)</f>
        <v>95794.473176755215</v>
      </c>
      <c r="P449" s="179">
        <f>VLOOKUP(B449,Tot_res!C:V,15,FALSE)</f>
        <v>2166.6038167899901</v>
      </c>
      <c r="Q449" s="179">
        <f>VLOOKUP(B449,Tot_res!C:V,16,FALSE)</f>
        <v>18091.31144834623</v>
      </c>
      <c r="R449" s="179">
        <f>VLOOKUP(B449,Tot_res!C:V,17,FALSE)</f>
        <v>11573.736340332753</v>
      </c>
      <c r="S449" s="179">
        <f>VLOOKUP(B449,Tot_res!C:V,18,FALSE)</f>
        <v>11843.019316093028</v>
      </c>
      <c r="T449" s="179">
        <f>VLOOKUP(B449,Tot_res!C:V,19,FALSE)</f>
        <v>15584.658692400872</v>
      </c>
      <c r="U449" s="179">
        <f>VLOOKUP(B449,Tot_res!C:V,20,FALSE)</f>
        <v>0</v>
      </c>
      <c r="V449" s="122">
        <f t="shared" si="87"/>
        <v>1159069.5071232745</v>
      </c>
    </row>
    <row r="450" spans="1:22">
      <c r="A450" s="351" t="str">
        <f>IF(B450="","",(IF(ISERROR(MATCH(B450,Tot_res!C:C,0)),"Eliminar!!!","")))</f>
        <v/>
      </c>
      <c r="B450" s="115" t="s">
        <v>401</v>
      </c>
      <c r="C450" s="330" t="str">
        <f>VLOOKUP(B450,Tot_res!C:D,2,FALSE)</f>
        <v>Protección de los recursos pesqueros y desarrollo sostenible</v>
      </c>
      <c r="D450" s="179">
        <f>VLOOKUP(B450,Tot_res!C:V,3,FALSE)</f>
        <v>2610.3830765667803</v>
      </c>
      <c r="E450" s="179">
        <f>VLOOKUP(B450,Tot_res!C:V,4,FALSE)</f>
        <v>1.0182875074907864</v>
      </c>
      <c r="F450" s="179">
        <f>VLOOKUP(B450,Tot_res!C:V,5,FALSE)</f>
        <v>541.05009564677118</v>
      </c>
      <c r="G450" s="179">
        <f>VLOOKUP(B450,Tot_res!C:V,6,FALSE)</f>
        <v>302.34653243247271</v>
      </c>
      <c r="H450" s="179">
        <f>VLOOKUP(B450,Tot_res!C:V,7,FALSE)</f>
        <v>715.32382659740506</v>
      </c>
      <c r="I450" s="179">
        <f>VLOOKUP(B450,Tot_res!C:V,8,FALSE)</f>
        <v>461.36909818561708</v>
      </c>
      <c r="J450" s="179">
        <f>VLOOKUP(B450,Tot_res!C:V,9,FALSE)</f>
        <v>3.6488635685086512</v>
      </c>
      <c r="K450" s="179">
        <f>VLOOKUP(B450,Tot_res!C:V,10,FALSE)</f>
        <v>1.0182875074907864</v>
      </c>
      <c r="L450" s="179">
        <f>VLOOKUP(B450,Tot_res!C:V,11,FALSE)</f>
        <v>1268.7389315822579</v>
      </c>
      <c r="M450" s="179">
        <f>VLOOKUP(B450,Tot_res!C:V,12,FALSE)</f>
        <v>999.70739858043044</v>
      </c>
      <c r="N450" s="179">
        <f>VLOOKUP(B450,Tot_res!C:V,13,FALSE)</f>
        <v>1.9941463688361232</v>
      </c>
      <c r="O450" s="179">
        <f>VLOOKUP(B450,Tot_res!C:V,14,FALSE)</f>
        <v>7185.5457966087342</v>
      </c>
      <c r="P450" s="179">
        <f>VLOOKUP(B450,Tot_res!C:V,15,FALSE)</f>
        <v>114.12458682101224</v>
      </c>
      <c r="Q450" s="179">
        <f>VLOOKUP(B450,Tot_res!C:V,16,FALSE)</f>
        <v>279.15686360654831</v>
      </c>
      <c r="R450" s="179">
        <f>VLOOKUP(B450,Tot_res!C:V,17,FALSE)</f>
        <v>0.50914375374539322</v>
      </c>
      <c r="S450" s="179">
        <f>VLOOKUP(B450,Tot_res!C:V,18,FALSE)</f>
        <v>1260.9150956574665</v>
      </c>
      <c r="T450" s="179">
        <f>VLOOKUP(B450,Tot_res!C:V,19,FALSE)</f>
        <v>0</v>
      </c>
      <c r="U450" s="179">
        <f>VLOOKUP(B450,Tot_res!C:V,20,FALSE)</f>
        <v>35.13091900843213</v>
      </c>
      <c r="V450" s="122">
        <f t="shared" si="87"/>
        <v>15781.980949999997</v>
      </c>
    </row>
    <row r="451" spans="1:22">
      <c r="A451" s="351" t="str">
        <f>IF(B451="","",(IF(ISERROR(MATCH(B451,Tot_res!C:C,0)),"Eliminar!!!","")))</f>
        <v/>
      </c>
      <c r="B451" s="115" t="s">
        <v>402</v>
      </c>
      <c r="C451" s="330" t="str">
        <f>VLOOKUP(B451,Tot_res!C:D,2,FALSE)</f>
        <v>Mejora de estructuras y mercados pesqueros</v>
      </c>
      <c r="D451" s="179">
        <f>VLOOKUP(B451,Tot_res!C:V,3,FALSE)</f>
        <v>2870.094403878396</v>
      </c>
      <c r="E451" s="179">
        <f>VLOOKUP(B451,Tot_res!C:V,4,FALSE)</f>
        <v>67.684438877537403</v>
      </c>
      <c r="F451" s="179">
        <f>VLOOKUP(B451,Tot_res!C:V,5,FALSE)</f>
        <v>533.5629541846946</v>
      </c>
      <c r="G451" s="179">
        <f>VLOOKUP(B451,Tot_res!C:V,6,FALSE)</f>
        <v>296.22189126446204</v>
      </c>
      <c r="H451" s="179">
        <f>VLOOKUP(B451,Tot_res!C:V,7,FALSE)</f>
        <v>680.44424571409513</v>
      </c>
      <c r="I451" s="179">
        <f>VLOOKUP(B451,Tot_res!C:V,8,FALSE)</f>
        <v>512.16638765538937</v>
      </c>
      <c r="J451" s="179">
        <f>VLOOKUP(B451,Tot_res!C:V,9,FALSE)</f>
        <v>108.92240400724292</v>
      </c>
      <c r="K451" s="179">
        <f>VLOOKUP(B451,Tot_res!C:V,10,FALSE)</f>
        <v>41.630028756694941</v>
      </c>
      <c r="L451" s="179">
        <f>VLOOKUP(B451,Tot_res!C:V,11,FALSE)</f>
        <v>1360.8884914281903</v>
      </c>
      <c r="M451" s="179">
        <f>VLOOKUP(B451,Tot_res!C:V,12,FALSE)</f>
        <v>980.9574573321263</v>
      </c>
      <c r="N451" s="179">
        <f>VLOOKUP(B451,Tot_res!C:V,13,FALSE)</f>
        <v>19.95960282855237</v>
      </c>
      <c r="O451" s="179">
        <f>VLOOKUP(B451,Tot_res!C:V,14,FALSE)</f>
        <v>11162.126299093872</v>
      </c>
      <c r="P451" s="179">
        <f>VLOOKUP(B451,Tot_res!C:V,15,FALSE)</f>
        <v>110.39223725702848</v>
      </c>
      <c r="Q451" s="179">
        <f>VLOOKUP(B451,Tot_res!C:V,16,FALSE)</f>
        <v>395.69912607605079</v>
      </c>
      <c r="R451" s="179">
        <f>VLOOKUP(B451,Tot_res!C:V,17,FALSE)</f>
        <v>26.945463818545701</v>
      </c>
      <c r="S451" s="179">
        <f>VLOOKUP(B451,Tot_res!C:V,18,FALSE)</f>
        <v>941.23784195787664</v>
      </c>
      <c r="T451" s="179">
        <f>VLOOKUP(B451,Tot_res!C:V,19,FALSE)</f>
        <v>11.013423703611933</v>
      </c>
      <c r="U451" s="179">
        <f>VLOOKUP(B451,Tot_res!C:V,20,FALSE)</f>
        <v>30.402752165634229</v>
      </c>
      <c r="V451" s="122">
        <f t="shared" si="87"/>
        <v>20150.349450000002</v>
      </c>
    </row>
    <row r="452" spans="1:22">
      <c r="A452" s="351" t="str">
        <f>IF(B452="","",(IF(ISERROR(MATCH(B452,Tot_res!C:C,0)),"Eliminar!!!","")))</f>
        <v/>
      </c>
      <c r="B452" s="115" t="s">
        <v>404</v>
      </c>
      <c r="C452" s="330" t="str">
        <f>VLOOKUP(B452,Tot_res!C:D,2,FALSE)</f>
        <v>Previsión de riesgos en las producciones agrarias y pesqueras</v>
      </c>
      <c r="D452" s="179">
        <f>VLOOKUP(B452,Tot_res!C:V,3,FALSE)</f>
        <v>56808.395766237736</v>
      </c>
      <c r="E452" s="179">
        <f>VLOOKUP(B452,Tot_res!C:V,4,FALSE)</f>
        <v>13270.509576947003</v>
      </c>
      <c r="F452" s="179">
        <f>VLOOKUP(B452,Tot_res!C:V,5,FALSE)</f>
        <v>2419.6788706465709</v>
      </c>
      <c r="G452" s="179">
        <f>VLOOKUP(B452,Tot_res!C:V,6,FALSE)</f>
        <v>929.90289585074152</v>
      </c>
      <c r="H452" s="179">
        <f>VLOOKUP(B452,Tot_res!C:V,7,FALSE)</f>
        <v>4627.7652944038373</v>
      </c>
      <c r="I452" s="179">
        <f>VLOOKUP(B452,Tot_res!C:V,8,FALSE)</f>
        <v>1417.8430075878396</v>
      </c>
      <c r="J452" s="179">
        <f>VLOOKUP(B452,Tot_res!C:V,9,FALSE)</f>
        <v>16822.433044910977</v>
      </c>
      <c r="K452" s="179">
        <f>VLOOKUP(B452,Tot_res!C:V,10,FALSE)</f>
        <v>17379.291641920954</v>
      </c>
      <c r="L452" s="179">
        <f>VLOOKUP(B452,Tot_res!C:V,11,FALSE)</f>
        <v>16682.661277936953</v>
      </c>
      <c r="M452" s="179">
        <f>VLOOKUP(B452,Tot_res!C:V,12,FALSE)</f>
        <v>18942.935380353039</v>
      </c>
      <c r="N452" s="179">
        <f>VLOOKUP(B452,Tot_res!C:V,13,FALSE)</f>
        <v>8483.5381764459435</v>
      </c>
      <c r="O452" s="179">
        <f>VLOOKUP(B452,Tot_res!C:V,14,FALSE)</f>
        <v>22965.463529556222</v>
      </c>
      <c r="P452" s="179">
        <f>VLOOKUP(B452,Tot_res!C:V,15,FALSE)</f>
        <v>879.3477016782673</v>
      </c>
      <c r="Q452" s="179">
        <f>VLOOKUP(B452,Tot_res!C:V,16,FALSE)</f>
        <v>9413.0178355780008</v>
      </c>
      <c r="R452" s="179">
        <f>VLOOKUP(B452,Tot_res!C:V,17,FALSE)</f>
        <v>4800.0053639396838</v>
      </c>
      <c r="S452" s="179">
        <f>VLOOKUP(B452,Tot_res!C:V,18,FALSE)</f>
        <v>4014.1757021222356</v>
      </c>
      <c r="T452" s="179">
        <f>VLOOKUP(B452,Tot_res!C:V,19,FALSE)</f>
        <v>3609.2158996991575</v>
      </c>
      <c r="U452" s="179">
        <f>VLOOKUP(B452,Tot_res!C:V,20,FALSE)</f>
        <v>32.943364184831069</v>
      </c>
      <c r="V452" s="122">
        <f t="shared" si="87"/>
        <v>203499.12433000002</v>
      </c>
    </row>
    <row r="453" spans="1:22">
      <c r="A453" s="351" t="str">
        <f>IF(B453="","",(IF(ISERROR(MATCH(B453,Tot_res!C:C,0)),"Eliminar!!!","")))</f>
        <v/>
      </c>
      <c r="B453" s="115" t="s">
        <v>887</v>
      </c>
      <c r="C453" s="330" t="str">
        <f>VLOOKUP(B453,Tot_res!C:D,2,FALSE)</f>
        <v>Direc. y serv. grales. de agric., aliment. y medio amb., Medio Rural y Marino</v>
      </c>
      <c r="D453" s="179">
        <f>VLOOKUP(B453,Tot_res!C:V,3,FALSE)</f>
        <v>18816.148050974687</v>
      </c>
      <c r="E453" s="179">
        <f>VLOOKUP(B453,Tot_res!C:V,4,FALSE)</f>
        <v>3563.5365363200312</v>
      </c>
      <c r="F453" s="179">
        <f>VLOOKUP(B453,Tot_res!C:V,5,FALSE)</f>
        <v>1135.9346957645248</v>
      </c>
      <c r="G453" s="179">
        <f>VLOOKUP(B453,Tot_res!C:V,6,FALSE)</f>
        <v>995.86470604047327</v>
      </c>
      <c r="H453" s="179">
        <f>VLOOKUP(B453,Tot_res!C:V,7,FALSE)</f>
        <v>2721.9786389387505</v>
      </c>
      <c r="I453" s="179">
        <f>VLOOKUP(B453,Tot_res!C:V,8,FALSE)</f>
        <v>838.03885994817426</v>
      </c>
      <c r="J453" s="179">
        <f>VLOOKUP(B453,Tot_res!C:V,9,FALSE)</f>
        <v>6938.2043397649932</v>
      </c>
      <c r="K453" s="179">
        <f>VLOOKUP(B453,Tot_res!C:V,10,FALSE)</f>
        <v>4726.3724246316888</v>
      </c>
      <c r="L453" s="179">
        <f>VLOOKUP(B453,Tot_res!C:V,11,FALSE)</f>
        <v>7501.4589450272988</v>
      </c>
      <c r="M453" s="179">
        <f>VLOOKUP(B453,Tot_res!C:V,12,FALSE)</f>
        <v>4890.7135700579202</v>
      </c>
      <c r="N453" s="179">
        <f>VLOOKUP(B453,Tot_res!C:V,13,FALSE)</f>
        <v>4050.643218603363</v>
      </c>
      <c r="O453" s="179">
        <f>VLOOKUP(B453,Tot_res!C:V,14,FALSE)</f>
        <v>3363.0046201636219</v>
      </c>
      <c r="P453" s="179">
        <f>VLOOKUP(B453,Tot_res!C:V,15,FALSE)</f>
        <v>4975.2946139086107</v>
      </c>
      <c r="Q453" s="179">
        <f>VLOOKUP(B453,Tot_res!C:V,16,FALSE)</f>
        <v>1691.7510714904549</v>
      </c>
      <c r="R453" s="179">
        <f>VLOOKUP(B453,Tot_res!C:V,17,FALSE)</f>
        <v>1078.9736763721733</v>
      </c>
      <c r="S453" s="179">
        <f>VLOOKUP(B453,Tot_res!C:V,18,FALSE)</f>
        <v>1857.2040086674672</v>
      </c>
      <c r="T453" s="179">
        <f>VLOOKUP(B453,Tot_res!C:V,19,FALSE)</f>
        <v>484.26915419920385</v>
      </c>
      <c r="U453" s="179">
        <f>VLOOKUP(B453,Tot_res!C:V,20,FALSE)</f>
        <v>129.03724020295863</v>
      </c>
      <c r="V453" s="122">
        <f t="shared" si="87"/>
        <v>69758.428371076399</v>
      </c>
    </row>
    <row r="454" spans="1:22">
      <c r="A454" s="352"/>
      <c r="B454" s="115"/>
      <c r="C454" s="129"/>
      <c r="D454" s="105"/>
      <c r="E454" s="105"/>
      <c r="F454" s="105"/>
      <c r="G454" s="105"/>
      <c r="H454" s="105"/>
      <c r="I454" s="105"/>
      <c r="J454" s="105"/>
      <c r="K454" s="105"/>
      <c r="L454" s="105"/>
      <c r="M454" s="105"/>
      <c r="N454" s="105"/>
      <c r="O454" s="105"/>
      <c r="P454" s="105"/>
      <c r="Q454" s="105"/>
      <c r="R454" s="105"/>
      <c r="S454" s="105"/>
      <c r="T454" s="105"/>
      <c r="U454" s="105"/>
      <c r="V454" s="122"/>
    </row>
    <row r="455" spans="1:22" ht="13.5">
      <c r="A455" s="352"/>
      <c r="B455" s="115"/>
      <c r="C455" s="128" t="s">
        <v>113</v>
      </c>
      <c r="D455" s="114">
        <f t="shared" ref="D455:V455" si="88">SUM(D456:D473)</f>
        <v>516291.61403498438</v>
      </c>
      <c r="E455" s="114">
        <f t="shared" si="88"/>
        <v>129560.55989121993</v>
      </c>
      <c r="F455" s="114">
        <f t="shared" si="88"/>
        <v>129227.58263277977</v>
      </c>
      <c r="G455" s="114">
        <f t="shared" si="88"/>
        <v>83931.910998385429</v>
      </c>
      <c r="H455" s="114">
        <f t="shared" si="88"/>
        <v>128967.79344953169</v>
      </c>
      <c r="I455" s="114">
        <f t="shared" si="88"/>
        <v>56163.529844165372</v>
      </c>
      <c r="J455" s="114">
        <f t="shared" si="88"/>
        <v>175411.84515872013</v>
      </c>
      <c r="K455" s="114">
        <f t="shared" si="88"/>
        <v>140811.43500018967</v>
      </c>
      <c r="L455" s="114">
        <f t="shared" si="88"/>
        <v>665918.26524632808</v>
      </c>
      <c r="M455" s="114">
        <f t="shared" si="88"/>
        <v>360284.03244562767</v>
      </c>
      <c r="N455" s="114">
        <f t="shared" si="88"/>
        <v>56877.105602895499</v>
      </c>
      <c r="O455" s="114">
        <f t="shared" si="88"/>
        <v>289255.74613797857</v>
      </c>
      <c r="P455" s="114">
        <f t="shared" si="88"/>
        <v>435872.98931734072</v>
      </c>
      <c r="Q455" s="114">
        <f t="shared" si="88"/>
        <v>119601.75642856493</v>
      </c>
      <c r="R455" s="114">
        <f t="shared" si="88"/>
        <v>70449.351901520655</v>
      </c>
      <c r="S455" s="114">
        <f t="shared" si="88"/>
        <v>280688.82522806426</v>
      </c>
      <c r="T455" s="114">
        <f t="shared" si="88"/>
        <v>24087.853677984836</v>
      </c>
      <c r="U455" s="114">
        <f t="shared" si="88"/>
        <v>5795.2426815627823</v>
      </c>
      <c r="V455" s="126">
        <f t="shared" si="88"/>
        <v>3669197.4396778443</v>
      </c>
    </row>
    <row r="456" spans="1:22">
      <c r="A456" s="351" t="str">
        <f>IF(B456="","",(IF(ISERROR(MATCH(B456,Tot_res!C:C,0)),"Eliminar!!!","")))</f>
        <v/>
      </c>
      <c r="B456" s="115" t="s">
        <v>406</v>
      </c>
      <c r="C456" s="330" t="str">
        <f>VLOOKUP(B456,Tot_res!C:D,2,FALSE)</f>
        <v>Dirección y servicios generales de industria y energía</v>
      </c>
      <c r="D456" s="179">
        <f>VLOOKUP(B456,Tot_res!C:V,3,FALSE)</f>
        <v>5406.2090470550238</v>
      </c>
      <c r="E456" s="179">
        <f>VLOOKUP(B456,Tot_res!C:V,4,FALSE)</f>
        <v>1707.8260530133575</v>
      </c>
      <c r="F456" s="179">
        <f>VLOOKUP(B456,Tot_res!C:V,5,FALSE)</f>
        <v>1218.2836719304182</v>
      </c>
      <c r="G456" s="179">
        <f>VLOOKUP(B456,Tot_res!C:V,6,FALSE)</f>
        <v>779.2933565801028</v>
      </c>
      <c r="H456" s="179">
        <f>VLOOKUP(B456,Tot_res!C:V,7,FALSE)</f>
        <v>5217.2967801753402</v>
      </c>
      <c r="I456" s="179">
        <f>VLOOKUP(B456,Tot_res!C:V,8,FALSE)</f>
        <v>657.60808503456383</v>
      </c>
      <c r="J456" s="179">
        <f>VLOOKUP(B456,Tot_res!C:V,9,FALSE)</f>
        <v>2463.8871067291061</v>
      </c>
      <c r="K456" s="179">
        <f>VLOOKUP(B456,Tot_res!C:V,10,FALSE)</f>
        <v>1826.1917101330494</v>
      </c>
      <c r="L456" s="179">
        <f>VLOOKUP(B456,Tot_res!C:V,11,FALSE)</f>
        <v>9309.4097672593525</v>
      </c>
      <c r="M456" s="179">
        <f>VLOOKUP(B456,Tot_res!C:V,12,FALSE)</f>
        <v>4390.5232766611834</v>
      </c>
      <c r="N456" s="179">
        <f>VLOOKUP(B456,Tot_res!C:V,13,FALSE)</f>
        <v>677.98586363388779</v>
      </c>
      <c r="O456" s="179">
        <f>VLOOKUP(B456,Tot_res!C:V,14,FALSE)</f>
        <v>3603.9920410790814</v>
      </c>
      <c r="P456" s="179">
        <f>VLOOKUP(B456,Tot_res!C:V,15,FALSE)</f>
        <v>17215.589493793006</v>
      </c>
      <c r="Q456" s="179">
        <f>VLOOKUP(B456,Tot_res!C:V,16,FALSE)</f>
        <v>1337.8607124247444</v>
      </c>
      <c r="R456" s="179">
        <f>VLOOKUP(B456,Tot_res!C:V,17,FALSE)</f>
        <v>1226.0205349819112</v>
      </c>
      <c r="S456" s="179">
        <f>VLOOKUP(B456,Tot_res!C:V,18,FALSE)</f>
        <v>4811.0720788873687</v>
      </c>
      <c r="T456" s="179">
        <f>VLOOKUP(B456,Tot_res!C:V,19,FALSE)</f>
        <v>472.3465855631074</v>
      </c>
      <c r="U456" s="179">
        <f>VLOOKUP(B456,Tot_res!C:V,20,FALSE)</f>
        <v>74.937135065402174</v>
      </c>
      <c r="V456" s="122">
        <f t="shared" ref="V456:V473" si="89">SUM(D456:U456)</f>
        <v>62396.333300000006</v>
      </c>
    </row>
    <row r="457" spans="1:22">
      <c r="A457" s="351" t="str">
        <f>IF(B457="","",(IF(ISERROR(MATCH(B457,Tot_res!C:C,0)),"Eliminar!!!","")))</f>
        <v/>
      </c>
      <c r="B457" s="115" t="s">
        <v>407</v>
      </c>
      <c r="C457" s="330" t="str">
        <f>VLOOKUP(B457,Tot_res!C:D,2,FALSE)</f>
        <v>Calidad y seguridad industrial</v>
      </c>
      <c r="D457" s="179">
        <f>VLOOKUP(B457,Tot_res!C:V,3,FALSE)</f>
        <v>456.96406342518333</v>
      </c>
      <c r="E457" s="179">
        <f>VLOOKUP(B457,Tot_res!C:V,4,FALSE)</f>
        <v>120.15651484529751</v>
      </c>
      <c r="F457" s="179">
        <f>VLOOKUP(B457,Tot_res!C:V,5,FALSE)</f>
        <v>78.113913313283248</v>
      </c>
      <c r="G457" s="179">
        <f>VLOOKUP(B457,Tot_res!C:V,6,FALSE)</f>
        <v>56.886583896887139</v>
      </c>
      <c r="H457" s="179">
        <f>VLOOKUP(B457,Tot_res!C:V,7,FALSE)</f>
        <v>103.62572487400126</v>
      </c>
      <c r="I457" s="179">
        <f>VLOOKUP(B457,Tot_res!C:V,8,FALSE)</f>
        <v>45.341277126829212</v>
      </c>
      <c r="J457" s="179">
        <f>VLOOKUP(B457,Tot_res!C:V,9,FALSE)</f>
        <v>193.14773538666833</v>
      </c>
      <c r="K457" s="179">
        <f>VLOOKUP(B457,Tot_res!C:V,10,FALSE)</f>
        <v>145.23092263945816</v>
      </c>
      <c r="L457" s="179">
        <f>VLOOKUP(B457,Tot_res!C:V,11,FALSE)</f>
        <v>642.94484690367415</v>
      </c>
      <c r="M457" s="179">
        <f>VLOOKUP(B457,Tot_res!C:V,12,FALSE)</f>
        <v>343.49891961485287</v>
      </c>
      <c r="N457" s="179">
        <f>VLOOKUP(B457,Tot_res!C:V,13,FALSE)</f>
        <v>60.696993835046761</v>
      </c>
      <c r="O457" s="179">
        <f>VLOOKUP(B457,Tot_res!C:V,14,FALSE)</f>
        <v>193.93674300776286</v>
      </c>
      <c r="P457" s="179">
        <f>VLOOKUP(B457,Tot_res!C:V,15,FALSE)</f>
        <v>418.80444652158894</v>
      </c>
      <c r="Q457" s="179">
        <f>VLOOKUP(B457,Tot_res!C:V,16,FALSE)</f>
        <v>97.529423741754869</v>
      </c>
      <c r="R457" s="179">
        <f>VLOOKUP(B457,Tot_res!C:V,17,FALSE)</f>
        <v>76.757369034182702</v>
      </c>
      <c r="S457" s="179">
        <f>VLOOKUP(B457,Tot_res!C:V,18,FALSE)</f>
        <v>243.46591095251125</v>
      </c>
      <c r="T457" s="179">
        <f>VLOOKUP(B457,Tot_res!C:V,19,FALSE)</f>
        <v>31.854403640501967</v>
      </c>
      <c r="U457" s="179">
        <f>VLOOKUP(B457,Tot_res!C:V,20,FALSE)</f>
        <v>7.5938472405155704</v>
      </c>
      <c r="V457" s="122">
        <f t="shared" si="89"/>
        <v>3316.5496399999997</v>
      </c>
    </row>
    <row r="458" spans="1:22">
      <c r="A458" s="351" t="str">
        <f>IF(B458="","",(IF(ISERROR(MATCH(B458,Tot_res!C:C,0)),"Eliminar!!!","")))</f>
        <v/>
      </c>
      <c r="B458" s="115" t="s">
        <v>408</v>
      </c>
      <c r="C458" s="330" t="str">
        <f>VLOOKUP(B458,Tot_res!C:D,2,FALSE)</f>
        <v>Desarrollo industrial</v>
      </c>
      <c r="D458" s="179">
        <f>VLOOKUP(B458,Tot_res!C:V,3,FALSE)</f>
        <v>1595.4553175984365</v>
      </c>
      <c r="E458" s="179">
        <f>VLOOKUP(B458,Tot_res!C:V,4,FALSE)</f>
        <v>736.38281987655421</v>
      </c>
      <c r="F458" s="179">
        <f>VLOOKUP(B458,Tot_res!C:V,5,FALSE)</f>
        <v>408.26244761629619</v>
      </c>
      <c r="G458" s="179">
        <f>VLOOKUP(B458,Tot_res!C:V,6,FALSE)</f>
        <v>177.83963841314872</v>
      </c>
      <c r="H458" s="179">
        <f>VLOOKUP(B458,Tot_res!C:V,7,FALSE)</f>
        <v>291.25754550311586</v>
      </c>
      <c r="I458" s="179">
        <f>VLOOKUP(B458,Tot_res!C:V,8,FALSE)</f>
        <v>246.37695445779079</v>
      </c>
      <c r="J458" s="179">
        <f>VLOOKUP(B458,Tot_res!C:V,9,FALSE)</f>
        <v>1055.520884776367</v>
      </c>
      <c r="K458" s="179">
        <f>VLOOKUP(B458,Tot_res!C:V,10,FALSE)</f>
        <v>721.6780593202011</v>
      </c>
      <c r="L458" s="179">
        <f>VLOOKUP(B458,Tot_res!C:V,11,FALSE)</f>
        <v>3782.5790390124034</v>
      </c>
      <c r="M458" s="179">
        <f>VLOOKUP(B458,Tot_res!C:V,12,FALSE)</f>
        <v>1671.4027357957359</v>
      </c>
      <c r="N458" s="179">
        <f>VLOOKUP(B458,Tot_res!C:V,13,FALSE)</f>
        <v>218.8892854165675</v>
      </c>
      <c r="O458" s="179">
        <f>VLOOKUP(B458,Tot_res!C:V,14,FALSE)</f>
        <v>971.64210927444174</v>
      </c>
      <c r="P458" s="179">
        <f>VLOOKUP(B458,Tot_res!C:V,15,FALSE)</f>
        <v>1909.8427064476462</v>
      </c>
      <c r="Q458" s="179">
        <f>VLOOKUP(B458,Tot_res!C:V,16,FALSE)</f>
        <v>456.89752257040328</v>
      </c>
      <c r="R458" s="179">
        <f>VLOOKUP(B458,Tot_res!C:V,17,FALSE)</f>
        <v>543.12867796304579</v>
      </c>
      <c r="S458" s="179">
        <f>VLOOKUP(B458,Tot_res!C:V,18,FALSE)</f>
        <v>1666.6407062693863</v>
      </c>
      <c r="T458" s="179">
        <f>VLOOKUP(B458,Tot_res!C:V,19,FALSE)</f>
        <v>206.7707059727183</v>
      </c>
      <c r="U458" s="179">
        <f>VLOOKUP(B458,Tot_res!C:V,20,FALSE)</f>
        <v>15.77972371574257</v>
      </c>
      <c r="V458" s="122">
        <f t="shared" si="89"/>
        <v>16676.346880000005</v>
      </c>
    </row>
    <row r="459" spans="1:22">
      <c r="A459" s="351" t="str">
        <f>IF(B459="","",(IF(ISERROR(MATCH(B459,Tot_res!C:C,0)),"Eliminar!!!","")))</f>
        <v/>
      </c>
      <c r="B459" s="115" t="s">
        <v>409</v>
      </c>
      <c r="C459" s="330" t="str">
        <f>VLOOKUP(B459,Tot_res!C:D,2,FALSE)</f>
        <v>Reconversión y reindustrialización</v>
      </c>
      <c r="D459" s="179">
        <f>VLOOKUP(B459,Tot_res!C:V,3,FALSE)</f>
        <v>11253.79373473572</v>
      </c>
      <c r="E459" s="179">
        <f>VLOOKUP(B459,Tot_res!C:V,4,FALSE)</f>
        <v>26.148854840275632</v>
      </c>
      <c r="F459" s="179">
        <f>VLOOKUP(B459,Tot_res!C:V,5,FALSE)</f>
        <v>6500.7747148202061</v>
      </c>
      <c r="G459" s="179">
        <f>VLOOKUP(B459,Tot_res!C:V,6,FALSE)</f>
        <v>3742.1276616175528</v>
      </c>
      <c r="H459" s="179">
        <f>VLOOKUP(B459,Tot_res!C:V,7,FALSE)</f>
        <v>3726.4509254501363</v>
      </c>
      <c r="I459" s="179">
        <f>VLOOKUP(B459,Tot_res!C:V,8,FALSE)</f>
        <v>985.02523379748948</v>
      </c>
      <c r="J459" s="179">
        <f>VLOOKUP(B459,Tot_res!C:V,9,FALSE)</f>
        <v>109.93192034891391</v>
      </c>
      <c r="K459" s="179">
        <f>VLOOKUP(B459,Tot_res!C:V,10,FALSE)</f>
        <v>236.9406438588241</v>
      </c>
      <c r="L459" s="179">
        <f>VLOOKUP(B459,Tot_res!C:V,11,FALSE)</f>
        <v>8333.4927794875857</v>
      </c>
      <c r="M459" s="179">
        <f>VLOOKUP(B459,Tot_res!C:V,12,FALSE)</f>
        <v>2183.2878442751216</v>
      </c>
      <c r="N459" s="179">
        <f>VLOOKUP(B459,Tot_res!C:V,13,FALSE)</f>
        <v>72.576413434234411</v>
      </c>
      <c r="O459" s="179">
        <f>VLOOKUP(B459,Tot_res!C:V,14,FALSE)</f>
        <v>37766.118551528743</v>
      </c>
      <c r="P459" s="179">
        <f>VLOOKUP(B459,Tot_res!C:V,15,FALSE)</f>
        <v>1133.2059847617411</v>
      </c>
      <c r="Q459" s="179">
        <f>VLOOKUP(B459,Tot_res!C:V,16,FALSE)</f>
        <v>4719.3346485709708</v>
      </c>
      <c r="R459" s="179">
        <f>VLOOKUP(B459,Tot_res!C:V,17,FALSE)</f>
        <v>3.2019005926868118</v>
      </c>
      <c r="S459" s="179">
        <f>VLOOKUP(B459,Tot_res!C:V,18,FALSE)</f>
        <v>43953.76411622364</v>
      </c>
      <c r="T459" s="179">
        <f>VLOOKUP(B459,Tot_res!C:V,19,FALSE)</f>
        <v>22.413304148807683</v>
      </c>
      <c r="U459" s="179">
        <f>VLOOKUP(B459,Tot_res!C:V,20,FALSE)</f>
        <v>40.5574075073663</v>
      </c>
      <c r="V459" s="122">
        <f t="shared" si="89"/>
        <v>124809.14664000002</v>
      </c>
    </row>
    <row r="460" spans="1:22">
      <c r="A460" s="351" t="str">
        <f>IF(B460="","",(IF(ISERROR(MATCH(B460,Tot_res!C:C,0)),"Eliminar!!!","")))</f>
        <v/>
      </c>
      <c r="B460" s="115" t="s">
        <v>893</v>
      </c>
      <c r="C460" s="330" t="str">
        <f>VLOOKUP(B460,Tot_res!C:D,2,FALSE)</f>
        <v xml:space="preserve"> Explotación minera. Parte ejecutada por la Dirección Gral. De Política Energética y Minas.  </v>
      </c>
      <c r="D460" s="179">
        <f>VLOOKUP(B460,Tot_res!C:V,3,FALSE)</f>
        <v>1312.9399469686907</v>
      </c>
      <c r="E460" s="179">
        <f>VLOOKUP(B460,Tot_res!C:V,4,FALSE)</f>
        <v>13.733578020842216</v>
      </c>
      <c r="F460" s="179">
        <f>VLOOKUP(B460,Tot_res!C:V,5,FALSE)</f>
        <v>348.25169959684695</v>
      </c>
      <c r="G460" s="179">
        <f>VLOOKUP(B460,Tot_res!C:V,6,FALSE)</f>
        <v>0</v>
      </c>
      <c r="H460" s="179">
        <f>VLOOKUP(B460,Tot_res!C:V,7,FALSE)</f>
        <v>0</v>
      </c>
      <c r="I460" s="179">
        <f>VLOOKUP(B460,Tot_res!C:V,8,FALSE)</f>
        <v>4.1487536950195238</v>
      </c>
      <c r="J460" s="179">
        <f>VLOOKUP(B460,Tot_res!C:V,9,FALSE)</f>
        <v>54.915085074139682</v>
      </c>
      <c r="K460" s="179">
        <f>VLOOKUP(B460,Tot_res!C:V,10,FALSE)</f>
        <v>187.34065335417671</v>
      </c>
      <c r="L460" s="179">
        <f>VLOOKUP(B460,Tot_res!C:V,11,FALSE)</f>
        <v>45.320807468779314</v>
      </c>
      <c r="M460" s="179">
        <f>VLOOKUP(B460,Tot_res!C:V,12,FALSE)</f>
        <v>551.64807301151995</v>
      </c>
      <c r="N460" s="179">
        <f>VLOOKUP(B460,Tot_res!C:V,13,FALSE)</f>
        <v>0</v>
      </c>
      <c r="O460" s="179">
        <f>VLOOKUP(B460,Tot_res!C:V,14,FALSE)</f>
        <v>115.64920160219373</v>
      </c>
      <c r="P460" s="179">
        <f>VLOOKUP(B460,Tot_res!C:V,15,FALSE)</f>
        <v>14.366695967603043</v>
      </c>
      <c r="Q460" s="179">
        <f>VLOOKUP(B460,Tot_res!C:V,16,FALSE)</f>
        <v>29.996263102112636</v>
      </c>
      <c r="R460" s="179">
        <f>VLOOKUP(B460,Tot_res!C:V,17,FALSE)</f>
        <v>0</v>
      </c>
      <c r="S460" s="179">
        <f>VLOOKUP(B460,Tot_res!C:V,18,FALSE)</f>
        <v>31.239312138075761</v>
      </c>
      <c r="T460" s="179">
        <f>VLOOKUP(B460,Tot_res!C:V,19,FALSE)</f>
        <v>0</v>
      </c>
      <c r="U460" s="179">
        <f>VLOOKUP(B460,Tot_res!C:V,20,FALSE)</f>
        <v>0</v>
      </c>
      <c r="V460" s="122">
        <f t="shared" si="89"/>
        <v>2709.5500700000002</v>
      </c>
    </row>
    <row r="461" spans="1:22">
      <c r="A461" s="351" t="str">
        <f>IF(B461="","",(IF(ISERROR(MATCH(B461,Tot_res!C:C,0)),"Eliminar!!!","")))</f>
        <v/>
      </c>
      <c r="B461" s="115" t="s">
        <v>410</v>
      </c>
      <c r="C461" s="330" t="str">
        <f>VLOOKUP(B461,Tot_res!C:D,2,FALSE)</f>
        <v>Seguridad nuclear y protección radiológica</v>
      </c>
      <c r="D461" s="179">
        <f>VLOOKUP(B461,Tot_res!C:V,3,FALSE)</f>
        <v>7188.7047141497569</v>
      </c>
      <c r="E461" s="179">
        <f>VLOOKUP(B461,Tot_res!C:V,4,FALSE)</f>
        <v>1130.945822858469</v>
      </c>
      <c r="F461" s="179">
        <f>VLOOKUP(B461,Tot_res!C:V,5,FALSE)</f>
        <v>904.07181795340034</v>
      </c>
      <c r="G461" s="179">
        <f>VLOOKUP(B461,Tot_res!C:V,6,FALSE)</f>
        <v>944.69158672091351</v>
      </c>
      <c r="H461" s="179">
        <f>VLOOKUP(B461,Tot_res!C:V,7,FALSE)</f>
        <v>1799.2230835448527</v>
      </c>
      <c r="I461" s="179">
        <f>VLOOKUP(B461,Tot_res!C:V,8,FALSE)</f>
        <v>502.24262946842009</v>
      </c>
      <c r="J461" s="179">
        <f>VLOOKUP(B461,Tot_res!C:V,9,FALSE)</f>
        <v>2125.1366556919725</v>
      </c>
      <c r="K461" s="179">
        <f>VLOOKUP(B461,Tot_res!C:V,10,FALSE)</f>
        <v>1770.4196558287047</v>
      </c>
      <c r="L461" s="179">
        <f>VLOOKUP(B461,Tot_res!C:V,11,FALSE)</f>
        <v>6429.5275853979601</v>
      </c>
      <c r="M461" s="179">
        <f>VLOOKUP(B461,Tot_res!C:V,12,FALSE)</f>
        <v>4272.4576712772077</v>
      </c>
      <c r="N461" s="179">
        <f>VLOOKUP(B461,Tot_res!C:V,13,FALSE)</f>
        <v>938.14867882514363</v>
      </c>
      <c r="O461" s="179">
        <f>VLOOKUP(B461,Tot_res!C:V,14,FALSE)</f>
        <v>2345.1447148081697</v>
      </c>
      <c r="P461" s="179">
        <f>VLOOKUP(B461,Tot_res!C:V,15,FALSE)</f>
        <v>5515.7911582665802</v>
      </c>
      <c r="Q461" s="179">
        <f>VLOOKUP(B461,Tot_res!C:V,16,FALSE)</f>
        <v>1255.4005567895558</v>
      </c>
      <c r="R461" s="179">
        <f>VLOOKUP(B461,Tot_res!C:V,17,FALSE)</f>
        <v>548.20856840057138</v>
      </c>
      <c r="S461" s="179">
        <f>VLOOKUP(B461,Tot_res!C:V,18,FALSE)</f>
        <v>1873.2954585006194</v>
      </c>
      <c r="T461" s="179">
        <f>VLOOKUP(B461,Tot_res!C:V,19,FALSE)</f>
        <v>272.14551933324185</v>
      </c>
      <c r="U461" s="179">
        <f>VLOOKUP(B461,Tot_res!C:V,20,FALSE)</f>
        <v>145.18264218445935</v>
      </c>
      <c r="V461" s="122">
        <f t="shared" si="89"/>
        <v>39960.738519999999</v>
      </c>
    </row>
    <row r="462" spans="1:22" ht="25.5">
      <c r="A462" s="351" t="str">
        <f>IF(B462="","",(IF(ISERROR(MATCH(B462,Tot_res!C:C,0)),"Eliminar!!!","")))</f>
        <v/>
      </c>
      <c r="B462" s="115" t="s">
        <v>1161</v>
      </c>
      <c r="C462" s="330" t="str">
        <f>VLOOKUP(B462,Tot_res!C:D,2,FALSE)</f>
        <v>Normativa y desarrollo energético, neto de subvenciones a sistemas eléctricos insulares y extrapeninsulares</v>
      </c>
      <c r="D462" s="179">
        <f>VLOOKUP(B462,Tot_res!C:V,3,FALSE)</f>
        <v>57427.1206003283</v>
      </c>
      <c r="E462" s="179">
        <f>VLOOKUP(B462,Tot_res!C:V,4,FALSE)</f>
        <v>10703.692374100236</v>
      </c>
      <c r="F462" s="179">
        <f>VLOOKUP(B462,Tot_res!C:V,5,FALSE)</f>
        <v>9165.4680598142058</v>
      </c>
      <c r="G462" s="179">
        <f>VLOOKUP(B462,Tot_res!C:V,6,FALSE)</f>
        <v>10463.247211390875</v>
      </c>
      <c r="H462" s="179">
        <f>VLOOKUP(B462,Tot_res!C:V,7,FALSE)</f>
        <v>15146.121445491175</v>
      </c>
      <c r="I462" s="179">
        <f>VLOOKUP(B462,Tot_res!C:V,8,FALSE)</f>
        <v>5383.6809619788637</v>
      </c>
      <c r="J462" s="179">
        <f>VLOOKUP(B462,Tot_res!C:V,9,FALSE)</f>
        <v>17786.221343814315</v>
      </c>
      <c r="K462" s="179">
        <f>VLOOKUP(B462,Tot_res!C:V,10,FALSE)</f>
        <v>11020.426423850822</v>
      </c>
      <c r="L462" s="179">
        <f>VLOOKUP(B462,Tot_res!C:V,11,FALSE)</f>
        <v>56197.122719488412</v>
      </c>
      <c r="M462" s="179">
        <f>VLOOKUP(B462,Tot_res!C:V,12,FALSE)</f>
        <v>39868.6416902946</v>
      </c>
      <c r="N462" s="179">
        <f>VLOOKUP(B462,Tot_res!C:V,13,FALSE)</f>
        <v>7522.3257340200289</v>
      </c>
      <c r="O462" s="179">
        <f>VLOOKUP(B462,Tot_res!C:V,14,FALSE)</f>
        <v>22609.40887133298</v>
      </c>
      <c r="P462" s="179">
        <f>VLOOKUP(B462,Tot_res!C:V,15,FALSE)</f>
        <v>53064.312507485709</v>
      </c>
      <c r="Q462" s="179">
        <f>VLOOKUP(B462,Tot_res!C:V,16,FALSE)</f>
        <v>12334.238168065634</v>
      </c>
      <c r="R462" s="179">
        <f>VLOOKUP(B462,Tot_res!C:V,17,FALSE)</f>
        <v>7772.1391660096788</v>
      </c>
      <c r="S462" s="179">
        <f>VLOOKUP(B462,Tot_res!C:V,18,FALSE)</f>
        <v>17726.129446763603</v>
      </c>
      <c r="T462" s="179">
        <f>VLOOKUP(B462,Tot_res!C:V,19,FALSE)</f>
        <v>3049.9452602947358</v>
      </c>
      <c r="U462" s="179">
        <f>VLOOKUP(B462,Tot_res!C:V,20,FALSE)</f>
        <v>769.98423547578773</v>
      </c>
      <c r="V462" s="122">
        <f t="shared" si="89"/>
        <v>358010.22621999989</v>
      </c>
    </row>
    <row r="463" spans="1:22">
      <c r="A463" s="351" t="str">
        <f>IF(B463="","",(IF(ISERROR(MATCH(B463,Tot_res!C:C,0)),"Eliminar!!!","")))</f>
        <v/>
      </c>
      <c r="B463" s="115" t="s">
        <v>411</v>
      </c>
      <c r="C463" s="330" t="str">
        <f>VLOOKUP(B463,Tot_res!C:D,2,FALSE)</f>
        <v>Promoción comercial e internacionalización de la empresa</v>
      </c>
      <c r="D463" s="179">
        <f>VLOOKUP(B463,Tot_res!C:V,3,FALSE)</f>
        <v>18467.981441166907</v>
      </c>
      <c r="E463" s="179">
        <f>VLOOKUP(B463,Tot_res!C:V,4,FALSE)</f>
        <v>6501.8898171363317</v>
      </c>
      <c r="F463" s="179">
        <f>VLOOKUP(B463,Tot_res!C:V,5,FALSE)</f>
        <v>2659.9497110841621</v>
      </c>
      <c r="G463" s="179">
        <f>VLOOKUP(B463,Tot_res!C:V,6,FALSE)</f>
        <v>640.34754213355586</v>
      </c>
      <c r="H463" s="179">
        <f>VLOOKUP(B463,Tot_res!C:V,7,FALSE)</f>
        <v>1658.0130805767647</v>
      </c>
      <c r="I463" s="179">
        <f>VLOOKUP(B463,Tot_res!C:V,8,FALSE)</f>
        <v>1764.6728095146957</v>
      </c>
      <c r="J463" s="179">
        <f>VLOOKUP(B463,Tot_res!C:V,9,FALSE)</f>
        <v>8836.9472592842012</v>
      </c>
      <c r="K463" s="179">
        <f>VLOOKUP(B463,Tot_res!C:V,10,FALSE)</f>
        <v>3741.3713326503807</v>
      </c>
      <c r="L463" s="179">
        <f>VLOOKUP(B463,Tot_res!C:V,11,FALSE)</f>
        <v>41781.292741006415</v>
      </c>
      <c r="M463" s="179">
        <f>VLOOKUP(B463,Tot_res!C:V,12,FALSE)</f>
        <v>17325.528317081433</v>
      </c>
      <c r="N463" s="179">
        <f>VLOOKUP(B463,Tot_res!C:V,13,FALSE)</f>
        <v>1159.8895876115848</v>
      </c>
      <c r="O463" s="179">
        <f>VLOOKUP(B463,Tot_res!C:V,14,FALSE)</f>
        <v>12342.004079022865</v>
      </c>
      <c r="P463" s="179">
        <f>VLOOKUP(B463,Tot_res!C:V,15,FALSE)</f>
        <v>19217.600725547258</v>
      </c>
      <c r="Q463" s="179">
        <f>VLOOKUP(B463,Tot_res!C:V,16,FALSE)</f>
        <v>7235.32377843218</v>
      </c>
      <c r="R463" s="179">
        <f>VLOOKUP(B463,Tot_res!C:V,17,FALSE)</f>
        <v>5641.7084084831331</v>
      </c>
      <c r="S463" s="179">
        <f>VLOOKUP(B463,Tot_res!C:V,18,FALSE)</f>
        <v>15593.035309631196</v>
      </c>
      <c r="T463" s="179">
        <f>VLOOKUP(B463,Tot_res!C:V,19,FALSE)</f>
        <v>1139.5249749010729</v>
      </c>
      <c r="U463" s="179">
        <f>VLOOKUP(B463,Tot_res!C:V,20,FALSE)</f>
        <v>26.292854735835583</v>
      </c>
      <c r="V463" s="122">
        <f t="shared" si="89"/>
        <v>165733.37376999998</v>
      </c>
    </row>
    <row r="464" spans="1:22">
      <c r="A464" s="351" t="str">
        <f>IF(B464="","",(IF(ISERROR(MATCH(B464,Tot_res!C:C,0)),"Eliminar!!!","")))</f>
        <v/>
      </c>
      <c r="B464" s="115" t="s">
        <v>413</v>
      </c>
      <c r="C464" s="330" t="str">
        <f>VLOOKUP(B464,Tot_res!C:D,2,FALSE)</f>
        <v>Ordenación del comercio exterior</v>
      </c>
      <c r="D464" s="179">
        <f>VLOOKUP(B464,Tot_res!C:V,3,FALSE)</f>
        <v>988.07349167001189</v>
      </c>
      <c r="E464" s="179">
        <f>VLOOKUP(B464,Tot_res!C:V,4,FALSE)</f>
        <v>309.38548402295783</v>
      </c>
      <c r="F464" s="179">
        <f>VLOOKUP(B464,Tot_res!C:V,5,FALSE)</f>
        <v>123.99611208089532</v>
      </c>
      <c r="G464" s="179">
        <f>VLOOKUP(B464,Tot_res!C:V,6,FALSE)</f>
        <v>40.518648590594971</v>
      </c>
      <c r="H464" s="179">
        <f>VLOOKUP(B464,Tot_res!C:V,7,FALSE)</f>
        <v>101.44447308818773</v>
      </c>
      <c r="I464" s="179">
        <f>VLOOKUP(B464,Tot_res!C:V,8,FALSE)</f>
        <v>76.425347691684891</v>
      </c>
      <c r="J464" s="179">
        <f>VLOOKUP(B464,Tot_res!C:V,9,FALSE)</f>
        <v>430.6547843207764</v>
      </c>
      <c r="K464" s="179">
        <f>VLOOKUP(B464,Tot_res!C:V,10,FALSE)</f>
        <v>195.2928104424862</v>
      </c>
      <c r="L464" s="179">
        <f>VLOOKUP(B464,Tot_res!C:V,11,FALSE)</f>
        <v>2271.1747961445544</v>
      </c>
      <c r="M464" s="179">
        <f>VLOOKUP(B464,Tot_res!C:V,12,FALSE)</f>
        <v>801.16144189126942</v>
      </c>
      <c r="N464" s="179">
        <f>VLOOKUP(B464,Tot_res!C:V,13,FALSE)</f>
        <v>46.248445885764184</v>
      </c>
      <c r="O464" s="179">
        <f>VLOOKUP(B464,Tot_res!C:V,14,FALSE)</f>
        <v>557.39949872661725</v>
      </c>
      <c r="P464" s="179">
        <f>VLOOKUP(B464,Tot_res!C:V,15,FALSE)</f>
        <v>1334.0302602538854</v>
      </c>
      <c r="Q464" s="179">
        <f>VLOOKUP(B464,Tot_res!C:V,16,FALSE)</f>
        <v>384.33645729880686</v>
      </c>
      <c r="R464" s="179">
        <f>VLOOKUP(B464,Tot_res!C:V,17,FALSE)</f>
        <v>215.01113034959471</v>
      </c>
      <c r="S464" s="179">
        <f>VLOOKUP(B464,Tot_res!C:V,18,FALSE)</f>
        <v>686.53698319323939</v>
      </c>
      <c r="T464" s="179">
        <f>VLOOKUP(B464,Tot_res!C:V,19,FALSE)</f>
        <v>48.572304849784793</v>
      </c>
      <c r="U464" s="179">
        <f>VLOOKUP(B464,Tot_res!C:V,20,FALSE)</f>
        <v>11.214029498885891</v>
      </c>
      <c r="V464" s="122">
        <f t="shared" si="89"/>
        <v>8621.476499999997</v>
      </c>
    </row>
    <row r="465" spans="1:28">
      <c r="A465" s="351" t="str">
        <f>IF(B465="","",(IF(ISERROR(MATCH(B465,Tot_res!C:C,0)),"Eliminar!!!","")))</f>
        <v/>
      </c>
      <c r="B465" s="115" t="s">
        <v>415</v>
      </c>
      <c r="C465" s="330" t="str">
        <f>VLOOKUP(B465,Tot_res!C:D,2,FALSE)</f>
        <v>Ordenación y modernización de las estructuras comerciales + AF23</v>
      </c>
      <c r="D465" s="179">
        <f>VLOOKUP(B465,Tot_res!C:V,3,FALSE)</f>
        <v>672.61986992156847</v>
      </c>
      <c r="E465" s="179">
        <f>VLOOKUP(B465,Tot_res!C:V,4,FALSE)</f>
        <v>140.77569196062646</v>
      </c>
      <c r="F465" s="179">
        <f>VLOOKUP(B465,Tot_res!C:V,5,FALSE)</f>
        <v>95.591150460007384</v>
      </c>
      <c r="G465" s="179">
        <f>VLOOKUP(B465,Tot_res!C:V,6,FALSE)</f>
        <v>199.24413896359522</v>
      </c>
      <c r="H465" s="179">
        <f>VLOOKUP(B465,Tot_res!C:V,7,FALSE)</f>
        <v>283.64283658168824</v>
      </c>
      <c r="I465" s="179">
        <f>VLOOKUP(B465,Tot_res!C:V,8,FALSE)</f>
        <v>53.706319230700473</v>
      </c>
      <c r="J465" s="179">
        <f>VLOOKUP(B465,Tot_res!C:V,9,FALSE)</f>
        <v>220.87776755227094</v>
      </c>
      <c r="K465" s="179">
        <f>VLOOKUP(B465,Tot_res!C:V,10,FALSE)</f>
        <v>146.93215282049482</v>
      </c>
      <c r="L465" s="179">
        <f>VLOOKUP(B465,Tot_res!C:V,11,FALSE)</f>
        <v>1040.841408120551</v>
      </c>
      <c r="M465" s="179">
        <f>VLOOKUP(B465,Tot_res!C:V,12,FALSE)</f>
        <v>498.70430700056551</v>
      </c>
      <c r="N465" s="179">
        <f>VLOOKUP(B465,Tot_res!C:V,13,FALSE)</f>
        <v>61.519680870932312</v>
      </c>
      <c r="O465" s="179">
        <f>VLOOKUP(B465,Tot_res!C:V,14,FALSE)</f>
        <v>261.7973454566602</v>
      </c>
      <c r="P465" s="179">
        <f>VLOOKUP(B465,Tot_res!C:V,15,FALSE)</f>
        <v>968.25856198808572</v>
      </c>
      <c r="Q465" s="179">
        <f>VLOOKUP(B465,Tot_res!C:V,16,FALSE)</f>
        <v>133.80313407429674</v>
      </c>
      <c r="R465" s="179">
        <f>VLOOKUP(B465,Tot_res!C:V,17,FALSE)</f>
        <v>69.407468004756964</v>
      </c>
      <c r="S465" s="179">
        <f>VLOOKUP(B465,Tot_res!C:V,18,FALSE)</f>
        <v>268.21468305456222</v>
      </c>
      <c r="T465" s="179">
        <f>VLOOKUP(B465,Tot_res!C:V,19,FALSE)</f>
        <v>30.225111230395903</v>
      </c>
      <c r="U465" s="179">
        <f>VLOOKUP(B465,Tot_res!C:V,20,FALSE)</f>
        <v>11.715192708240826</v>
      </c>
      <c r="V465" s="122">
        <f t="shared" si="89"/>
        <v>5157.8768199999986</v>
      </c>
    </row>
    <row r="466" spans="1:28">
      <c r="A466" s="351" t="str">
        <f>IF(B466="","",(IF(ISERROR(MATCH(B466,Tot_res!C:C,0)),"Eliminar!!!","")))</f>
        <v/>
      </c>
      <c r="B466" s="119" t="s">
        <v>416</v>
      </c>
      <c r="C466" s="330" t="str">
        <f>VLOOKUP(B466,Tot_res!C:D,2,FALSE)</f>
        <v>Coordinación y promoción del turismo + AF24</v>
      </c>
      <c r="D466" s="179">
        <f>VLOOKUP(B466,Tot_res!C:V,3,FALSE)</f>
        <v>10962.500474915771</v>
      </c>
      <c r="E466" s="179">
        <f>VLOOKUP(B466,Tot_res!C:V,4,FALSE)</f>
        <v>1153.3047371251064</v>
      </c>
      <c r="F466" s="179">
        <f>VLOOKUP(B466,Tot_res!C:V,5,FALSE)</f>
        <v>959.77341193311918</v>
      </c>
      <c r="G466" s="179">
        <f>VLOOKUP(B466,Tot_res!C:V,6,FALSE)</f>
        <v>8954.4752154060698</v>
      </c>
      <c r="H466" s="179">
        <f>VLOOKUP(B466,Tot_res!C:V,7,FALSE)</f>
        <v>11064.670237954855</v>
      </c>
      <c r="I466" s="179">
        <f>VLOOKUP(B466,Tot_res!C:V,8,FALSE)</f>
        <v>524.01672582269998</v>
      </c>
      <c r="J466" s="179">
        <f>VLOOKUP(B466,Tot_res!C:V,9,FALSE)</f>
        <v>1858.8421453600088</v>
      </c>
      <c r="K466" s="179">
        <f>VLOOKUP(B466,Tot_res!C:V,10,FALSE)</f>
        <v>1226.0638381690319</v>
      </c>
      <c r="L466" s="179">
        <f>VLOOKUP(B466,Tot_res!C:V,11,FALSE)</f>
        <v>17668.03068086756</v>
      </c>
      <c r="M466" s="179">
        <f>VLOOKUP(B466,Tot_res!C:V,12,FALSE)</f>
        <v>6501.9290101537317</v>
      </c>
      <c r="N466" s="179">
        <f>VLOOKUP(B466,Tot_res!C:V,13,FALSE)</f>
        <v>640.77816606330111</v>
      </c>
      <c r="O466" s="179">
        <f>VLOOKUP(B466,Tot_res!C:V,14,FALSE)</f>
        <v>4637.9089952915238</v>
      </c>
      <c r="P466" s="179">
        <f>VLOOKUP(B466,Tot_res!C:V,15,FALSE)</f>
        <v>9172.7617198883581</v>
      </c>
      <c r="Q466" s="179">
        <f>VLOOKUP(B466,Tot_res!C:V,16,FALSE)</f>
        <v>1220.3416913671579</v>
      </c>
      <c r="R466" s="179">
        <f>VLOOKUP(B466,Tot_res!C:V,17,FALSE)</f>
        <v>694.90725759508791</v>
      </c>
      <c r="S466" s="179">
        <f>VLOOKUP(B466,Tot_res!C:V,18,FALSE)</f>
        <v>2514.1530666063013</v>
      </c>
      <c r="T466" s="179">
        <f>VLOOKUP(B466,Tot_res!C:V,19,FALSE)</f>
        <v>209.18792910697434</v>
      </c>
      <c r="U466" s="179">
        <f>VLOOKUP(B466,Tot_res!C:V,20,FALSE)</f>
        <v>235.347984217858</v>
      </c>
      <c r="V466" s="122">
        <f t="shared" si="89"/>
        <v>80198.993287844525</v>
      </c>
    </row>
    <row r="467" spans="1:28" ht="25.5">
      <c r="A467" s="351" t="str">
        <f>IF(B467="","",(IF(ISERROR(MATCH(B467,Tot_res!C:C,0)),"Eliminar!!!","")))</f>
        <v/>
      </c>
      <c r="B467" s="115" t="s">
        <v>897</v>
      </c>
      <c r="C467" s="330" t="str">
        <f>VLOOKUP(B467,Tot_res!C:D,2,FALSE)</f>
        <v>Investig. y desarrollo tecnolog-industrial.Secretaría general de ciencia, tecnología e innovación</v>
      </c>
      <c r="D467" s="179">
        <f>VLOOKUP(B467,Tot_res!C:V,3,FALSE)</f>
        <v>14953.494787260963</v>
      </c>
      <c r="E467" s="179">
        <f>VLOOKUP(B467,Tot_res!C:V,4,FALSE)</f>
        <v>6901.7894371543216</v>
      </c>
      <c r="F467" s="179">
        <f>VLOOKUP(B467,Tot_res!C:V,5,FALSE)</f>
        <v>3826.462775187073</v>
      </c>
      <c r="G467" s="179">
        <f>VLOOKUP(B467,Tot_res!C:V,6,FALSE)</f>
        <v>1666.8120232801937</v>
      </c>
      <c r="H467" s="179">
        <f>VLOOKUP(B467,Tot_res!C:V,7,FALSE)</f>
        <v>2729.8277428333877</v>
      </c>
      <c r="I467" s="179">
        <f>VLOOKUP(B467,Tot_res!C:V,8,FALSE)</f>
        <v>2309.181876513755</v>
      </c>
      <c r="J467" s="179">
        <f>VLOOKUP(B467,Tot_res!C:V,9,FALSE)</f>
        <v>9892.9289176878865</v>
      </c>
      <c r="K467" s="179">
        <f>VLOOKUP(B467,Tot_res!C:V,10,FALSE)</f>
        <v>6763.9682409716952</v>
      </c>
      <c r="L467" s="179">
        <f>VLOOKUP(B467,Tot_res!C:V,11,FALSE)</f>
        <v>35452.434999819256</v>
      </c>
      <c r="M467" s="179">
        <f>VLOOKUP(B467,Tot_res!C:V,12,FALSE)</f>
        <v>15665.316240104112</v>
      </c>
      <c r="N467" s="179">
        <f>VLOOKUP(B467,Tot_res!C:V,13,FALSE)</f>
        <v>2051.5521508874672</v>
      </c>
      <c r="O467" s="179">
        <f>VLOOKUP(B467,Tot_res!C:V,14,FALSE)</f>
        <v>9106.7703719770088</v>
      </c>
      <c r="P467" s="179">
        <f>VLOOKUP(B467,Tot_res!C:V,15,FALSE)</f>
        <v>17900.108289050357</v>
      </c>
      <c r="Q467" s="179">
        <f>VLOOKUP(B467,Tot_res!C:V,16,FALSE)</f>
        <v>4282.2977533167041</v>
      </c>
      <c r="R467" s="179">
        <f>VLOOKUP(B467,Tot_res!C:V,17,FALSE)</f>
        <v>5090.5041119907455</v>
      </c>
      <c r="S467" s="179">
        <f>VLOOKUP(B467,Tot_res!C:V,18,FALSE)</f>
        <v>15620.683850269314</v>
      </c>
      <c r="T467" s="179">
        <f>VLOOKUP(B467,Tot_res!C:V,19,FALSE)</f>
        <v>1937.9700827820554</v>
      </c>
      <c r="U467" s="179">
        <f>VLOOKUP(B467,Tot_res!C:V,20,FALSE)</f>
        <v>147.89634891371145</v>
      </c>
      <c r="V467" s="122">
        <f t="shared" si="89"/>
        <v>156300.00000000003</v>
      </c>
    </row>
    <row r="468" spans="1:28">
      <c r="A468" s="351" t="str">
        <f>IF(B468="","",(IF(ISERROR(MATCH(B468,Tot_res!C:C,0)),"Eliminar!!!","")))</f>
        <v/>
      </c>
      <c r="B468" s="115" t="s">
        <v>418</v>
      </c>
      <c r="C468" s="330" t="str">
        <f>VLOOKUP(B468,Tot_res!C:D,2,FALSE)</f>
        <v>Investigación y desarrollo de la sociedad de la información</v>
      </c>
      <c r="D468" s="179">
        <f>VLOOKUP(B468,Tot_res!C:V,3,FALSE)</f>
        <v>2159.6898543131365</v>
      </c>
      <c r="E468" s="179">
        <f>VLOOKUP(B468,Tot_res!C:V,4,FALSE)</f>
        <v>1630.8415774902319</v>
      </c>
      <c r="F468" s="179">
        <f>VLOOKUP(B468,Tot_res!C:V,5,FALSE)</f>
        <v>308.47284781343996</v>
      </c>
      <c r="G468" s="179">
        <f>VLOOKUP(B468,Tot_res!C:V,6,FALSE)</f>
        <v>28.424875073364092</v>
      </c>
      <c r="H468" s="179">
        <f>VLOOKUP(B468,Tot_res!C:V,7,FALSE)</f>
        <v>59.703962648616312</v>
      </c>
      <c r="I468" s="179">
        <f>VLOOKUP(B468,Tot_res!C:V,8,FALSE)</f>
        <v>783.72408410991738</v>
      </c>
      <c r="J468" s="179">
        <f>VLOOKUP(B468,Tot_res!C:V,9,FALSE)</f>
        <v>456.51681441291259</v>
      </c>
      <c r="K468" s="179">
        <f>VLOOKUP(B468,Tot_res!C:V,10,FALSE)</f>
        <v>544.69284032488872</v>
      </c>
      <c r="L468" s="179">
        <f>VLOOKUP(B468,Tot_res!C:V,11,FALSE)</f>
        <v>9925.6673408046026</v>
      </c>
      <c r="M468" s="179">
        <f>VLOOKUP(B468,Tot_res!C:V,12,FALSE)</f>
        <v>1984.7215268969453</v>
      </c>
      <c r="N468" s="179">
        <f>VLOOKUP(B468,Tot_res!C:V,13,FALSE)</f>
        <v>23.595227038849572</v>
      </c>
      <c r="O468" s="179">
        <f>VLOOKUP(B468,Tot_res!C:V,14,FALSE)</f>
        <v>645.61369326098054</v>
      </c>
      <c r="P468" s="179">
        <f>VLOOKUP(B468,Tot_res!C:V,15,FALSE)</f>
        <v>10733.430407021933</v>
      </c>
      <c r="Q468" s="179">
        <f>VLOOKUP(B468,Tot_res!C:V,16,FALSE)</f>
        <v>149.17391446499434</v>
      </c>
      <c r="R468" s="179">
        <f>VLOOKUP(B468,Tot_res!C:V,17,FALSE)</f>
        <v>733.04745154998841</v>
      </c>
      <c r="S468" s="179">
        <f>VLOOKUP(B468,Tot_res!C:V,18,FALSE)</f>
        <v>5340.8881988609246</v>
      </c>
      <c r="T468" s="179">
        <f>VLOOKUP(B468,Tot_res!C:V,19,FALSE)</f>
        <v>124.05830959759979</v>
      </c>
      <c r="U468" s="179">
        <f>VLOOKUP(B468,Tot_res!C:V,20,FALSE)</f>
        <v>1.585304316672705</v>
      </c>
      <c r="V468" s="122">
        <f t="shared" si="89"/>
        <v>35633.848229999996</v>
      </c>
    </row>
    <row r="469" spans="1:28">
      <c r="A469" s="351" t="str">
        <f>IF(B469="","",(IF(ISERROR(MATCH(B469,Tot_res!C:C,0)),"Eliminar!!!","")))</f>
        <v/>
      </c>
      <c r="B469" s="115" t="s">
        <v>419</v>
      </c>
      <c r="C469" s="330" t="str">
        <f>VLOOKUP(B469,Tot_res!C:D,2,FALSE)</f>
        <v>Innovación tecnológica de las telecomunicaciones</v>
      </c>
      <c r="D469" s="179">
        <f>VLOOKUP(B469,Tot_res!C:V,3,FALSE)</f>
        <v>4090.183601801828</v>
      </c>
      <c r="E469" s="179">
        <f>VLOOKUP(B469,Tot_res!C:V,4,FALSE)</f>
        <v>739.91431401008833</v>
      </c>
      <c r="F469" s="179">
        <f>VLOOKUP(B469,Tot_res!C:V,5,FALSE)</f>
        <v>338.29847612832947</v>
      </c>
      <c r="G469" s="179">
        <f>VLOOKUP(B469,Tot_res!C:V,6,FALSE)</f>
        <v>457.51676196508606</v>
      </c>
      <c r="H469" s="179">
        <f>VLOOKUP(B469,Tot_res!C:V,7,FALSE)</f>
        <v>1153.9895377648904</v>
      </c>
      <c r="I469" s="179">
        <f>VLOOKUP(B469,Tot_res!C:V,8,FALSE)</f>
        <v>225.64192181184325</v>
      </c>
      <c r="J469" s="179">
        <f>VLOOKUP(B469,Tot_res!C:V,9,FALSE)</f>
        <v>1147.2683459228078</v>
      </c>
      <c r="K469" s="179">
        <f>VLOOKUP(B469,Tot_res!C:V,10,FALSE)</f>
        <v>942.17034827276302</v>
      </c>
      <c r="L469" s="179">
        <f>VLOOKUP(B469,Tot_res!C:V,11,FALSE)</f>
        <v>12865.071754917561</v>
      </c>
      <c r="M469" s="179">
        <f>VLOOKUP(B469,Tot_res!C:V,12,FALSE)</f>
        <v>3023.8324785003097</v>
      </c>
      <c r="N469" s="179">
        <f>VLOOKUP(B469,Tot_res!C:V,13,FALSE)</f>
        <v>394.92905837555537</v>
      </c>
      <c r="O469" s="179">
        <f>VLOOKUP(B469,Tot_res!C:V,14,FALSE)</f>
        <v>1121.2582985736487</v>
      </c>
      <c r="P469" s="179">
        <f>VLOOKUP(B469,Tot_res!C:V,15,FALSE)</f>
        <v>9174.732466251935</v>
      </c>
      <c r="Q469" s="179">
        <f>VLOOKUP(B469,Tot_res!C:V,16,FALSE)</f>
        <v>713.65556746294851</v>
      </c>
      <c r="R469" s="179">
        <f>VLOOKUP(B469,Tot_res!C:V,17,FALSE)</f>
        <v>691.46971878652721</v>
      </c>
      <c r="S469" s="179">
        <f>VLOOKUP(B469,Tot_res!C:V,18,FALSE)</f>
        <v>2778.9888980809474</v>
      </c>
      <c r="T469" s="179">
        <f>VLOOKUP(B469,Tot_res!C:V,19,FALSE)</f>
        <v>97.292609354493564</v>
      </c>
      <c r="U469" s="179">
        <f>VLOOKUP(B469,Tot_res!C:V,20,FALSE)</f>
        <v>47.541352018437721</v>
      </c>
      <c r="V469" s="122">
        <f t="shared" si="89"/>
        <v>40003.755509999995</v>
      </c>
    </row>
    <row r="470" spans="1:28">
      <c r="A470" s="351" t="str">
        <f>IF(B470="","",(IF(ISERROR(MATCH(B470,Tot_res!C:C,0)),"Eliminar!!!","")))</f>
        <v/>
      </c>
      <c r="B470" s="115" t="s">
        <v>421</v>
      </c>
      <c r="C470" s="330" t="str">
        <f>VLOOKUP(B470,Tot_res!C:D,2,FALSE)</f>
        <v>Ordenación y promoción de las telecomunicaciones y de la sociedad de la información</v>
      </c>
      <c r="D470" s="179">
        <f>VLOOKUP(B470,Tot_res!C:V,3,FALSE)</f>
        <v>5581.9177893321021</v>
      </c>
      <c r="E470" s="179">
        <f>VLOOKUP(B470,Tot_res!C:V,4,FALSE)</f>
        <v>878.16190237425417</v>
      </c>
      <c r="F470" s="179">
        <f>VLOOKUP(B470,Tot_res!C:V,5,FALSE)</f>
        <v>701.99775399520877</v>
      </c>
      <c r="G470" s="179">
        <f>VLOOKUP(B470,Tot_res!C:V,6,FALSE)</f>
        <v>733.53837485777478</v>
      </c>
      <c r="H470" s="179">
        <f>VLOOKUP(B470,Tot_res!C:V,7,FALSE)</f>
        <v>1397.0688373453129</v>
      </c>
      <c r="I470" s="179">
        <f>VLOOKUP(B470,Tot_res!C:V,8,FALSE)</f>
        <v>389.98361728122342</v>
      </c>
      <c r="J470" s="179">
        <f>VLOOKUP(B470,Tot_res!C:V,9,FALSE)</f>
        <v>1650.1356746257404</v>
      </c>
      <c r="K470" s="179">
        <f>VLOOKUP(B470,Tot_res!C:V,10,FALSE)</f>
        <v>1374.703422161957</v>
      </c>
      <c r="L470" s="179">
        <f>VLOOKUP(B470,Tot_res!C:V,11,FALSE)</f>
        <v>4992.4285157091927</v>
      </c>
      <c r="M470" s="179">
        <f>VLOOKUP(B470,Tot_res!C:V,12,FALSE)</f>
        <v>3317.4971608624946</v>
      </c>
      <c r="N470" s="179">
        <f>VLOOKUP(B470,Tot_res!C:V,13,FALSE)</f>
        <v>728.4579082883979</v>
      </c>
      <c r="O470" s="179">
        <f>VLOOKUP(B470,Tot_res!C:V,14,FALSE)</f>
        <v>1820.9685225183362</v>
      </c>
      <c r="P470" s="179">
        <f>VLOOKUP(B470,Tot_res!C:V,15,FALSE)</f>
        <v>4282.9263424837263</v>
      </c>
      <c r="Q470" s="179">
        <f>VLOOKUP(B470,Tot_res!C:V,16,FALSE)</f>
        <v>974.79907428773322</v>
      </c>
      <c r="R470" s="179">
        <f>VLOOKUP(B470,Tot_res!C:V,17,FALSE)</f>
        <v>425.6754564137583</v>
      </c>
      <c r="S470" s="179">
        <f>VLOOKUP(B470,Tot_res!C:V,18,FALSE)</f>
        <v>1454.584888414963</v>
      </c>
      <c r="T470" s="179">
        <f>VLOOKUP(B470,Tot_res!C:V,19,FALSE)</f>
        <v>211.31677764746198</v>
      </c>
      <c r="U470" s="179">
        <f>VLOOKUP(B470,Tot_res!C:V,20,FALSE)</f>
        <v>112.732071400365</v>
      </c>
      <c r="V470" s="122">
        <f t="shared" si="89"/>
        <v>31028.894090000005</v>
      </c>
    </row>
    <row r="471" spans="1:28" ht="25.5">
      <c r="A471" s="351" t="str">
        <f>IF(B471="","",(IF(ISERROR(MATCH(B471,Tot_res!C:C,0)),"Eliminar!!!","")))</f>
        <v/>
      </c>
      <c r="B471" s="115" t="s">
        <v>1221</v>
      </c>
      <c r="C471" s="330" t="str">
        <f>VLOOKUP(B471,Tot_res!C:D,2,FALSE)</f>
        <v>Defensa de la competencia en los mercados y regulación de sectores productivos (sistema eléctrico)</v>
      </c>
      <c r="D471" s="179">
        <f>VLOOKUP(B471,Tot_res!C:V,3,FALSE)</f>
        <v>372647.32666234038</v>
      </c>
      <c r="E471" s="179">
        <f>VLOOKUP(B471,Tot_res!C:V,4,FALSE)</f>
        <v>96625.707363384543</v>
      </c>
      <c r="F471" s="179">
        <f>VLOOKUP(B471,Tot_res!C:V,5,FALSE)</f>
        <v>101401.10004513491</v>
      </c>
      <c r="G471" s="179">
        <f>VLOOKUP(B471,Tot_res!C:V,6,FALSE)</f>
        <v>54765.026956007976</v>
      </c>
      <c r="H471" s="179">
        <f>VLOOKUP(B471,Tot_res!C:V,7,FALSE)</f>
        <v>84133.201662049862</v>
      </c>
      <c r="I471" s="179">
        <f>VLOOKUP(B471,Tot_res!C:V,8,FALSE)</f>
        <v>42105.823768862712</v>
      </c>
      <c r="J471" s="179">
        <f>VLOOKUP(B471,Tot_res!C:V,9,FALSE)</f>
        <v>126719.50641942545</v>
      </c>
      <c r="K471" s="179">
        <f>VLOOKUP(B471,Tot_res!C:V,10,FALSE)</f>
        <v>109618.30552215099</v>
      </c>
      <c r="L471" s="179">
        <f>VLOOKUP(B471,Tot_res!C:V,11,FALSE)</f>
        <v>453760.36211088079</v>
      </c>
      <c r="M471" s="179">
        <f>VLOOKUP(B471,Tot_res!C:V,12,FALSE)</f>
        <v>256969.07724425159</v>
      </c>
      <c r="N471" s="179">
        <f>VLOOKUP(B471,Tot_res!C:V,13,FALSE)</f>
        <v>42086.212299943822</v>
      </c>
      <c r="O471" s="179">
        <f>VLOOKUP(B471,Tot_res!C:V,14,FALSE)</f>
        <v>190731.34097069135</v>
      </c>
      <c r="P471" s="179">
        <f>VLOOKUP(B471,Tot_res!C:V,15,FALSE)</f>
        <v>282846.41048273054</v>
      </c>
      <c r="Q471" s="179">
        <f>VLOOKUP(B471,Tot_res!C:V,16,FALSE)</f>
        <v>84015.532848536503</v>
      </c>
      <c r="R471" s="179">
        <f>VLOOKUP(B471,Tot_res!C:V,17,FALSE)</f>
        <v>46557.627213451364</v>
      </c>
      <c r="S471" s="179">
        <f>VLOOKUP(B471,Tot_res!C:V,18,FALSE)</f>
        <v>165707.10663018422</v>
      </c>
      <c r="T471" s="179">
        <f>VLOOKUP(B471,Tot_res!C:V,19,FALSE)</f>
        <v>16179.46185808651</v>
      </c>
      <c r="U471" s="179">
        <f>VLOOKUP(B471,Tot_res!C:V,20,FALSE)</f>
        <v>4138.0199418863685</v>
      </c>
      <c r="V471" s="122">
        <f t="shared" ref="V471" si="90">SUM(D471:U471)</f>
        <v>2531007.15</v>
      </c>
    </row>
    <row r="472" spans="1:28">
      <c r="A472" s="351" t="str">
        <f>IF(B472="","",(IF(ISERROR(MATCH(B472,Tot_res!C:C,0)),"Eliminar!!!","")))</f>
        <v/>
      </c>
      <c r="B472" s="115" t="s">
        <v>422</v>
      </c>
      <c r="C472" s="330" t="str">
        <f>VLOOKUP(B472,Tot_res!C:D,2,FALSE)</f>
        <v>Regulación y vigilancia de la competencia en el mercado de tabacos</v>
      </c>
      <c r="D472" s="179">
        <f>VLOOKUP(B472,Tot_res!C:V,3,FALSE)</f>
        <v>1103.8489311735236</v>
      </c>
      <c r="E472" s="179">
        <f>VLOOKUP(B472,Tot_res!C:V,4,FALSE)</f>
        <v>232.6228249274713</v>
      </c>
      <c r="F472" s="179">
        <f>VLOOKUP(B472,Tot_res!C:V,5,FALSE)</f>
        <v>183.44777513850593</v>
      </c>
      <c r="G472" s="179">
        <f>VLOOKUP(B472,Tot_res!C:V,6,FALSE)</f>
        <v>278.57807554905543</v>
      </c>
      <c r="H472" s="179">
        <f>VLOOKUP(B472,Tot_res!C:V,7,FALSE)</f>
        <v>97.218651384212023</v>
      </c>
      <c r="I472" s="179">
        <f>VLOOKUP(B472,Tot_res!C:V,8,FALSE)</f>
        <v>103.0933603846626</v>
      </c>
      <c r="J472" s="179">
        <f>VLOOKUP(B472,Tot_res!C:V,9,FALSE)</f>
        <v>398.76224099677199</v>
      </c>
      <c r="K472" s="179">
        <f>VLOOKUP(B472,Tot_res!C:V,10,FALSE)</f>
        <v>342.41166298646232</v>
      </c>
      <c r="L472" s="179">
        <f>VLOOKUP(B472,Tot_res!C:V,11,FALSE)</f>
        <v>1380.5383225985781</v>
      </c>
      <c r="M472" s="179">
        <f>VLOOKUP(B472,Tot_res!C:V,12,FALSE)</f>
        <v>895.6757653472946</v>
      </c>
      <c r="N472" s="179">
        <f>VLOOKUP(B472,Tot_res!C:V,13,FALSE)</f>
        <v>190.488443864392</v>
      </c>
      <c r="O472" s="179">
        <f>VLOOKUP(B472,Tot_res!C:V,14,FALSE)</f>
        <v>409.40553682318028</v>
      </c>
      <c r="P472" s="179">
        <f>VLOOKUP(B472,Tot_res!C:V,15,FALSE)</f>
        <v>946.36586887491683</v>
      </c>
      <c r="Q472" s="179">
        <f>VLOOKUP(B472,Tot_res!C:V,16,FALSE)</f>
        <v>255.37322440760551</v>
      </c>
      <c r="R472" s="179">
        <f>VLOOKUP(B472,Tot_res!C:V,17,FALSE)</f>
        <v>155.2908426632024</v>
      </c>
      <c r="S472" s="179">
        <f>VLOOKUP(B472,Tot_res!C:V,18,FALSE)</f>
        <v>397.71244368952341</v>
      </c>
      <c r="T472" s="179">
        <f>VLOOKUP(B472,Tot_res!C:V,19,FALSE)</f>
        <v>52.78214007891026</v>
      </c>
      <c r="U472" s="179">
        <f>VLOOKUP(B472,Tot_res!C:V,20,FALSE)</f>
        <v>8.6073491117314305</v>
      </c>
      <c r="V472" s="122">
        <f t="shared" si="89"/>
        <v>7432.2234600000002</v>
      </c>
    </row>
    <row r="473" spans="1:28">
      <c r="A473" s="351" t="str">
        <f>IF(B473="","",(IF(ISERROR(MATCH(B473,Tot_res!C:C,0)),"Eliminar!!!","")))</f>
        <v/>
      </c>
      <c r="B473" s="115" t="s">
        <v>423</v>
      </c>
      <c r="C473" s="330" t="str">
        <f>VLOOKUP(B473,Tot_res!C:D,2,FALSE)</f>
        <v>Publicaciones</v>
      </c>
      <c r="D473" s="179">
        <f>VLOOKUP(B473,Tot_res!C:V,3,FALSE)</f>
        <v>22.789706827078277</v>
      </c>
      <c r="E473" s="179">
        <f>VLOOKUP(B473,Tot_res!C:V,4,FALSE)</f>
        <v>7.2807240789708443</v>
      </c>
      <c r="F473" s="179">
        <f>VLOOKUP(B473,Tot_res!C:V,5,FALSE)</f>
        <v>5.2662487794611943</v>
      </c>
      <c r="G473" s="179">
        <f>VLOOKUP(B473,Tot_res!C:V,6,FALSE)</f>
        <v>3.3423479386782158</v>
      </c>
      <c r="H473" s="179">
        <f>VLOOKUP(B473,Tot_res!C:V,7,FALSE)</f>
        <v>5.0369222652736063</v>
      </c>
      <c r="I473" s="179">
        <f>VLOOKUP(B473,Tot_res!C:V,8,FALSE)</f>
        <v>2.8361173824965165</v>
      </c>
      <c r="J473" s="179">
        <f>VLOOKUP(B473,Tot_res!C:V,9,FALSE)</f>
        <v>10.644057309829082</v>
      </c>
      <c r="K473" s="179">
        <f>VLOOKUP(B473,Tot_res!C:V,10,FALSE)</f>
        <v>7.2947602532793114</v>
      </c>
      <c r="L473" s="179">
        <f>VLOOKUP(B473,Tot_res!C:V,11,FALSE)</f>
        <v>40.025030440877963</v>
      </c>
      <c r="M473" s="179">
        <f>VLOOKUP(B473,Tot_res!C:V,12,FALSE)</f>
        <v>19.128742607742666</v>
      </c>
      <c r="N473" s="179">
        <f>VLOOKUP(B473,Tot_res!C:V,13,FALSE)</f>
        <v>2.8116649005248142</v>
      </c>
      <c r="O473" s="179">
        <f>VLOOKUP(B473,Tot_res!C:V,14,FALSE)</f>
        <v>15.386593002972113</v>
      </c>
      <c r="P473" s="179">
        <f>VLOOKUP(B473,Tot_res!C:V,15,FALSE)</f>
        <v>24.45120000585548</v>
      </c>
      <c r="Q473" s="179">
        <f>VLOOKUP(B473,Tot_res!C:V,16,FALSE)</f>
        <v>5.8616896508311607</v>
      </c>
      <c r="R473" s="179">
        <f>VLOOKUP(B473,Tot_res!C:V,17,FALSE)</f>
        <v>5.2466252504209701</v>
      </c>
      <c r="S473" s="179">
        <f>VLOOKUP(B473,Tot_res!C:V,18,FALSE)</f>
        <v>21.313246343844252</v>
      </c>
      <c r="T473" s="179">
        <f>VLOOKUP(B473,Tot_res!C:V,19,FALSE)</f>
        <v>1.9858013964615548</v>
      </c>
      <c r="U473" s="179">
        <f>VLOOKUP(B473,Tot_res!C:V,20,FALSE)</f>
        <v>0.25526156540199169</v>
      </c>
      <c r="V473" s="122">
        <f t="shared" si="89"/>
        <v>200.95674</v>
      </c>
    </row>
    <row r="474" spans="1:28" s="103" customFormat="1">
      <c r="A474" s="352"/>
      <c r="B474" s="115"/>
      <c r="C474" s="133"/>
      <c r="D474" s="105"/>
      <c r="E474" s="105"/>
      <c r="F474" s="105"/>
      <c r="G474" s="105"/>
      <c r="H474" s="105"/>
      <c r="I474" s="105"/>
      <c r="J474" s="105"/>
      <c r="K474" s="105"/>
      <c r="L474" s="105"/>
      <c r="M474" s="105"/>
      <c r="N474" s="105"/>
      <c r="O474" s="105"/>
      <c r="P474" s="105"/>
      <c r="Q474" s="105"/>
      <c r="R474" s="105"/>
      <c r="S474" s="105"/>
      <c r="T474" s="105"/>
      <c r="U474" s="105"/>
      <c r="V474" s="122"/>
      <c r="W474" s="102"/>
      <c r="X474" s="102"/>
      <c r="Y474" s="102"/>
      <c r="Z474" s="102"/>
      <c r="AA474" s="102"/>
      <c r="AB474" s="102"/>
    </row>
    <row r="475" spans="1:28">
      <c r="A475" s="352"/>
      <c r="B475" s="115"/>
      <c r="C475" s="151" t="s">
        <v>8</v>
      </c>
      <c r="D475" s="111">
        <f t="shared" ref="D475:V475" si="91">D8+D103+D381+D431</f>
        <v>62347369.257516779</v>
      </c>
      <c r="E475" s="111">
        <f t="shared" si="91"/>
        <v>12175140.335655475</v>
      </c>
      <c r="F475" s="111">
        <f t="shared" si="91"/>
        <v>10577986.319911975</v>
      </c>
      <c r="G475" s="111">
        <f t="shared" si="91"/>
        <v>8347365.1426566401</v>
      </c>
      <c r="H475" s="111">
        <f t="shared" si="91"/>
        <v>16594680.727184592</v>
      </c>
      <c r="I475" s="111">
        <f t="shared" si="91"/>
        <v>5319956.5715194661</v>
      </c>
      <c r="J475" s="111">
        <f t="shared" si="91"/>
        <v>23271653.928419407</v>
      </c>
      <c r="K475" s="111">
        <f t="shared" si="91"/>
        <v>15655876.081346381</v>
      </c>
      <c r="L475" s="111">
        <f t="shared" si="91"/>
        <v>61366788.490023904</v>
      </c>
      <c r="M475" s="111">
        <f t="shared" si="91"/>
        <v>35282344.607908912</v>
      </c>
      <c r="N475" s="111">
        <f t="shared" si="91"/>
        <v>9477887.4074147046</v>
      </c>
      <c r="O475" s="111">
        <f t="shared" si="91"/>
        <v>23859526.041705307</v>
      </c>
      <c r="P475" s="111">
        <f t="shared" si="91"/>
        <v>50113126.628243819</v>
      </c>
      <c r="Q475" s="111">
        <f t="shared" si="91"/>
        <v>10139184.39905885</v>
      </c>
      <c r="R475" s="111">
        <f t="shared" si="91"/>
        <v>6008493.9215422887</v>
      </c>
      <c r="S475" s="111">
        <f t="shared" si="91"/>
        <v>24684058.260114882</v>
      </c>
      <c r="T475" s="111">
        <f t="shared" si="91"/>
        <v>2672219.2883992782</v>
      </c>
      <c r="U475" s="111">
        <f t="shared" si="91"/>
        <v>1679020.6989054843</v>
      </c>
      <c r="V475" s="125">
        <f t="shared" si="91"/>
        <v>379572678.10752821</v>
      </c>
      <c r="W475" s="103"/>
      <c r="X475" s="103"/>
      <c r="Y475" s="103"/>
      <c r="Z475" s="103"/>
      <c r="AA475" s="103"/>
      <c r="AB475" s="103"/>
    </row>
    <row r="476" spans="1:28">
      <c r="A476" s="352"/>
      <c r="B476" s="115"/>
      <c r="C476" s="133"/>
      <c r="D476" s="105"/>
      <c r="E476" s="105"/>
      <c r="F476" s="105"/>
      <c r="G476" s="105"/>
      <c r="H476" s="105"/>
      <c r="I476" s="105"/>
      <c r="J476" s="105"/>
      <c r="K476" s="105"/>
      <c r="L476" s="105"/>
      <c r="M476" s="105"/>
      <c r="N476" s="105"/>
      <c r="O476" s="105"/>
      <c r="P476" s="105"/>
      <c r="Q476" s="105"/>
      <c r="R476" s="105"/>
      <c r="S476" s="105"/>
      <c r="T476" s="105"/>
      <c r="U476" s="105"/>
      <c r="V476" s="122"/>
    </row>
    <row r="477" spans="1:28" s="104" customFormat="1">
      <c r="A477" s="352"/>
      <c r="B477" s="119"/>
      <c r="C477" s="149" t="s">
        <v>69</v>
      </c>
      <c r="D477" s="125">
        <f>SUM(D478:D479)</f>
        <v>5577196.8683537683</v>
      </c>
      <c r="E477" s="125">
        <f t="shared" ref="E477:L477" si="92">SUM(E478:E479)</f>
        <v>1040797.4527491501</v>
      </c>
      <c r="F477" s="125">
        <f t="shared" si="92"/>
        <v>993088.1857995512</v>
      </c>
      <c r="G477" s="125">
        <f t="shared" si="92"/>
        <v>596149.45301428798</v>
      </c>
      <c r="H477" s="125">
        <f t="shared" si="92"/>
        <v>1576873.5530182456</v>
      </c>
      <c r="I477" s="125">
        <f t="shared" si="92"/>
        <v>476831.95388224401</v>
      </c>
      <c r="J477" s="125">
        <f t="shared" si="92"/>
        <v>2083264.1350974804</v>
      </c>
      <c r="K477" s="125">
        <f t="shared" si="92"/>
        <v>1372932.64366791</v>
      </c>
      <c r="L477" s="125">
        <f t="shared" si="92"/>
        <v>4963429.0865163831</v>
      </c>
      <c r="M477" s="125">
        <f>SUM(M478:M479)</f>
        <v>3023620.6883299844</v>
      </c>
      <c r="N477" s="125">
        <f t="shared" ref="N477" si="93">SUM(N478:N479)</f>
        <v>869092.23339773016</v>
      </c>
      <c r="O477" s="125">
        <f t="shared" ref="O477" si="94">SUM(O478:O479)</f>
        <v>2215199.6197474226</v>
      </c>
      <c r="P477" s="125">
        <f t="shared" ref="P477" si="95">SUM(P478:P479)</f>
        <v>3824459.5135091767</v>
      </c>
      <c r="Q477" s="125">
        <f t="shared" ref="Q477" si="96">SUM(Q478:Q479)</f>
        <v>885497.98411080858</v>
      </c>
      <c r="R477" s="125">
        <f t="shared" ref="R477" si="97">SUM(R478:R479)</f>
        <v>336462.55239634041</v>
      </c>
      <c r="S477" s="125">
        <f t="shared" ref="S477" si="98">SUM(S478:S479)</f>
        <v>1459247.0687167868</v>
      </c>
      <c r="T477" s="125">
        <f t="shared" ref="T477" si="99">SUM(T478:T479)</f>
        <v>238143.75159033659</v>
      </c>
      <c r="U477" s="125">
        <f t="shared" ref="U477" si="100">SUM(U478:U479)</f>
        <v>205808.06415239943</v>
      </c>
      <c r="V477" s="125">
        <f>SUM(D477:U477)</f>
        <v>31738094.80805001</v>
      </c>
    </row>
    <row r="478" spans="1:28">
      <c r="A478" s="351" t="str">
        <f>IF(B478="","",(IF(ISERROR(MATCH(B478,Tot_res!C:C,0)),"Eliminar!!!","")))</f>
        <v/>
      </c>
      <c r="B478" s="115" t="s">
        <v>625</v>
      </c>
      <c r="C478" s="330" t="str">
        <f>VLOOKUP(B478,Tot_res!C:D,2,FALSE)</f>
        <v>Amortización y gastos financieros de la deuda pública en moneda nacional</v>
      </c>
      <c r="D478" s="179">
        <f>VLOOKUP(B478,Tot_res!C:V,3,FALSE)</f>
        <v>5562186.6779369516</v>
      </c>
      <c r="E478" s="179">
        <f>VLOOKUP(B478,Tot_res!C:V,4,FALSE)</f>
        <v>1037996.3022214094</v>
      </c>
      <c r="F478" s="179">
        <f>VLOOKUP(B478,Tot_res!C:V,5,FALSE)</f>
        <v>990415.43762131757</v>
      </c>
      <c r="G478" s="179">
        <f>VLOOKUP(B478,Tot_res!C:V,6,FALSE)</f>
        <v>594545.00601020234</v>
      </c>
      <c r="H478" s="179">
        <f>VLOOKUP(B478,Tot_res!C:V,7,FALSE)</f>
        <v>1572629.6339218353</v>
      </c>
      <c r="I478" s="179">
        <f>VLOOKUP(B478,Tot_res!C:V,8,FALSE)</f>
        <v>475548.63206421607</v>
      </c>
      <c r="J478" s="179">
        <f>VLOOKUP(B478,Tot_res!C:V,9,FALSE)</f>
        <v>2077657.3415604308</v>
      </c>
      <c r="K478" s="179">
        <f>VLOOKUP(B478,Tot_res!C:V,10,FALSE)</f>
        <v>1369237.6009973073</v>
      </c>
      <c r="L478" s="179">
        <f>VLOOKUP(B478,Tot_res!C:V,11,FALSE)</f>
        <v>4950070.7601980641</v>
      </c>
      <c r="M478" s="179">
        <f>VLOOKUP(B478,Tot_res!C:V,12,FALSE)</f>
        <v>3015483.0659093764</v>
      </c>
      <c r="N478" s="179">
        <f>VLOOKUP(B478,Tot_res!C:V,13,FALSE)</f>
        <v>866753.20176212513</v>
      </c>
      <c r="O478" s="179">
        <f>VLOOKUP(B478,Tot_res!C:V,14,FALSE)</f>
        <v>2209237.7416053149</v>
      </c>
      <c r="P478" s="179">
        <f>VLOOKUP(B478,Tot_res!C:V,15,FALSE)</f>
        <v>3814166.5532830614</v>
      </c>
      <c r="Q478" s="179">
        <f>VLOOKUP(B478,Tot_res!C:V,16,FALSE)</f>
        <v>883114.79885324137</v>
      </c>
      <c r="R478" s="179">
        <f>VLOOKUP(B478,Tot_res!C:V,17,FALSE)</f>
        <v>335557.01380790467</v>
      </c>
      <c r="S478" s="179">
        <f>VLOOKUP(B478,Tot_res!C:V,18,FALSE)</f>
        <v>1455319.7236931771</v>
      </c>
      <c r="T478" s="179">
        <f>VLOOKUP(B478,Tot_res!C:V,19,FALSE)</f>
        <v>237502.82333509979</v>
      </c>
      <c r="U478" s="179">
        <f>VLOOKUP(B478,Tot_res!C:V,20,FALSE)</f>
        <v>205254.16255897121</v>
      </c>
      <c r="V478" s="122">
        <f t="shared" ref="V478:V479" si="101">SUM(D478:U478)</f>
        <v>31652676.477340005</v>
      </c>
    </row>
    <row r="479" spans="1:28">
      <c r="A479" s="351" t="str">
        <f>IF(B479="","",(IF(ISERROR(MATCH(B479,Tot_res!C:C,0)),"Eliminar!!!","")))</f>
        <v/>
      </c>
      <c r="B479" s="115" t="s">
        <v>626</v>
      </c>
      <c r="C479" s="330" t="str">
        <f>VLOOKUP(B479,Tot_res!C:D,2,FALSE)</f>
        <v>Amortización y gastos financieros de la deuda pública en moneda extranjera</v>
      </c>
      <c r="D479" s="179">
        <f>VLOOKUP(B479,Tot_res!C:V,3,FALSE)</f>
        <v>15010.190416816904</v>
      </c>
      <c r="E479" s="179">
        <f>VLOOKUP(B479,Tot_res!C:V,4,FALSE)</f>
        <v>2801.1505277406641</v>
      </c>
      <c r="F479" s="179">
        <f>VLOOKUP(B479,Tot_res!C:V,5,FALSE)</f>
        <v>2672.7481782335703</v>
      </c>
      <c r="G479" s="179">
        <f>VLOOKUP(B479,Tot_res!C:V,6,FALSE)</f>
        <v>1604.447004085584</v>
      </c>
      <c r="H479" s="179">
        <f>VLOOKUP(B479,Tot_res!C:V,7,FALSE)</f>
        <v>4243.9190964103382</v>
      </c>
      <c r="I479" s="179">
        <f>VLOOKUP(B479,Tot_res!C:V,8,FALSE)</f>
        <v>1283.3218180279125</v>
      </c>
      <c r="J479" s="179">
        <f>VLOOKUP(B479,Tot_res!C:V,9,FALSE)</f>
        <v>5606.7935370494888</v>
      </c>
      <c r="K479" s="179">
        <f>VLOOKUP(B479,Tot_res!C:V,10,FALSE)</f>
        <v>3695.0426706027429</v>
      </c>
      <c r="L479" s="179">
        <f>VLOOKUP(B479,Tot_res!C:V,11,FALSE)</f>
        <v>13358.326318319369</v>
      </c>
      <c r="M479" s="179">
        <f>VLOOKUP(B479,Tot_res!C:V,12,FALSE)</f>
        <v>8137.6224206079487</v>
      </c>
      <c r="N479" s="179">
        <f>VLOOKUP(B479,Tot_res!C:V,13,FALSE)</f>
        <v>2339.0316356050021</v>
      </c>
      <c r="O479" s="179">
        <f>VLOOKUP(B479,Tot_res!C:V,14,FALSE)</f>
        <v>5961.8781421075864</v>
      </c>
      <c r="P479" s="179">
        <f>VLOOKUP(B479,Tot_res!C:V,15,FALSE)</f>
        <v>10292.960226115218</v>
      </c>
      <c r="Q479" s="179">
        <f>VLOOKUP(B479,Tot_res!C:V,16,FALSE)</f>
        <v>2383.185257567216</v>
      </c>
      <c r="R479" s="179">
        <f>VLOOKUP(B479,Tot_res!C:V,17,FALSE)</f>
        <v>905.53858843574062</v>
      </c>
      <c r="S479" s="179">
        <f>VLOOKUP(B479,Tot_res!C:V,18,FALSE)</f>
        <v>3927.3450236097174</v>
      </c>
      <c r="T479" s="179">
        <f>VLOOKUP(B479,Tot_res!C:V,19,FALSE)</f>
        <v>640.9282552367946</v>
      </c>
      <c r="U479" s="179">
        <f>VLOOKUP(B479,Tot_res!C:V,20,FALSE)</f>
        <v>553.90159342821164</v>
      </c>
      <c r="V479" s="122">
        <f t="shared" si="101"/>
        <v>85418.330709999995</v>
      </c>
    </row>
    <row r="480" spans="1:28">
      <c r="A480" s="352"/>
      <c r="B480" s="115"/>
      <c r="C480" s="102"/>
      <c r="D480" s="105"/>
      <c r="E480" s="105"/>
      <c r="F480" s="105"/>
      <c r="G480" s="105"/>
      <c r="H480" s="105"/>
      <c r="I480" s="105"/>
      <c r="J480" s="105"/>
      <c r="K480" s="105"/>
      <c r="L480" s="105"/>
      <c r="M480" s="105"/>
      <c r="N480" s="105"/>
      <c r="O480" s="105"/>
      <c r="P480" s="105"/>
      <c r="Q480" s="105"/>
      <c r="R480" s="105"/>
      <c r="S480" s="105"/>
      <c r="T480" s="105"/>
      <c r="U480" s="105"/>
      <c r="V480" s="122"/>
    </row>
    <row r="481" spans="1:22">
      <c r="A481" s="352"/>
      <c r="B481" s="115"/>
      <c r="C481" s="103" t="s">
        <v>7</v>
      </c>
      <c r="D481" s="111">
        <f t="shared" ref="D481:V481" si="102">D8+D103+D381+D431+D477</f>
        <v>67924566.125870541</v>
      </c>
      <c r="E481" s="111">
        <f t="shared" si="102"/>
        <v>13215937.788404625</v>
      </c>
      <c r="F481" s="111">
        <f t="shared" si="102"/>
        <v>11571074.505711526</v>
      </c>
      <c r="G481" s="111">
        <f t="shared" si="102"/>
        <v>8943514.5956709273</v>
      </c>
      <c r="H481" s="111">
        <f t="shared" si="102"/>
        <v>18171554.280202836</v>
      </c>
      <c r="I481" s="111">
        <f t="shared" si="102"/>
        <v>5796788.5254017105</v>
      </c>
      <c r="J481" s="111">
        <f t="shared" si="102"/>
        <v>25354918.063516889</v>
      </c>
      <c r="K481" s="111">
        <f t="shared" si="102"/>
        <v>17028808.725014292</v>
      </c>
      <c r="L481" s="111">
        <f t="shared" si="102"/>
        <v>66330217.576540284</v>
      </c>
      <c r="M481" s="111">
        <f t="shared" si="102"/>
        <v>38305965.296238899</v>
      </c>
      <c r="N481" s="111">
        <f t="shared" si="102"/>
        <v>10346979.640812434</v>
      </c>
      <c r="O481" s="111">
        <f t="shared" si="102"/>
        <v>26074725.661452729</v>
      </c>
      <c r="P481" s="111">
        <f t="shared" si="102"/>
        <v>53937586.141752996</v>
      </c>
      <c r="Q481" s="111">
        <f t="shared" si="102"/>
        <v>11024682.383169658</v>
      </c>
      <c r="R481" s="111">
        <f t="shared" si="102"/>
        <v>6344956.473938629</v>
      </c>
      <c r="S481" s="111">
        <f t="shared" si="102"/>
        <v>26143305.328831669</v>
      </c>
      <c r="T481" s="111">
        <f t="shared" si="102"/>
        <v>2910363.0399896149</v>
      </c>
      <c r="U481" s="111">
        <f t="shared" si="102"/>
        <v>1884828.7630578838</v>
      </c>
      <c r="V481" s="125">
        <f t="shared" si="102"/>
        <v>411310772.91557825</v>
      </c>
    </row>
    <row r="482" spans="1:22">
      <c r="A482" s="352"/>
      <c r="B482" s="115"/>
      <c r="C482" s="103" t="s">
        <v>80</v>
      </c>
      <c r="D482" s="111">
        <f t="shared" ref="D482:V482" si="103">D481-D197</f>
        <v>67320029.230511963</v>
      </c>
      <c r="E482" s="111">
        <f t="shared" si="103"/>
        <v>13087820.368418021</v>
      </c>
      <c r="F482" s="111">
        <f t="shared" si="103"/>
        <v>11473873.502827452</v>
      </c>
      <c r="G482" s="111">
        <f t="shared" si="103"/>
        <v>8745114.6178638618</v>
      </c>
      <c r="H482" s="111">
        <f t="shared" si="103"/>
        <v>18069851.897954773</v>
      </c>
      <c r="I482" s="111">
        <f t="shared" si="103"/>
        <v>5757783.0931611275</v>
      </c>
      <c r="J482" s="111">
        <f t="shared" si="103"/>
        <v>25194360.874985866</v>
      </c>
      <c r="K482" s="111">
        <f t="shared" si="103"/>
        <v>17007574.344340514</v>
      </c>
      <c r="L482" s="111">
        <f t="shared" si="103"/>
        <v>65452037.17645786</v>
      </c>
      <c r="M482" s="111">
        <f t="shared" si="103"/>
        <v>37765197.637334391</v>
      </c>
      <c r="N482" s="111">
        <f t="shared" si="103"/>
        <v>10182206.216849282</v>
      </c>
      <c r="O482" s="111">
        <f t="shared" si="103"/>
        <v>25815055.132198058</v>
      </c>
      <c r="P482" s="111">
        <f t="shared" si="103"/>
        <v>54414367.066613957</v>
      </c>
      <c r="Q482" s="111">
        <f t="shared" si="103"/>
        <v>10852160.86669967</v>
      </c>
      <c r="R482" s="111">
        <f t="shared" si="103"/>
        <v>6779805.1788246296</v>
      </c>
      <c r="S482" s="111">
        <f t="shared" si="103"/>
        <v>27032430.843068507</v>
      </c>
      <c r="T482" s="111">
        <f t="shared" si="103"/>
        <v>2890613.3314406923</v>
      </c>
      <c r="U482" s="111">
        <f t="shared" si="103"/>
        <v>1884828.7630578838</v>
      </c>
      <c r="V482" s="152">
        <f t="shared" si="103"/>
        <v>409725110.14260858</v>
      </c>
    </row>
    <row r="483" spans="1:22">
      <c r="A483" s="352"/>
      <c r="B483" s="115"/>
      <c r="C483" s="103"/>
      <c r="D483" s="111"/>
      <c r="E483" s="111"/>
      <c r="F483" s="111"/>
      <c r="G483" s="111"/>
      <c r="H483" s="111"/>
      <c r="I483" s="111"/>
      <c r="J483" s="111"/>
      <c r="K483" s="111"/>
      <c r="L483" s="111"/>
      <c r="M483" s="111"/>
      <c r="N483" s="111"/>
      <c r="O483" s="111"/>
      <c r="P483" s="111"/>
      <c r="Q483" s="111"/>
      <c r="R483" s="111"/>
      <c r="S483" s="111"/>
      <c r="T483" s="111"/>
      <c r="U483" s="111"/>
      <c r="V483" s="125"/>
    </row>
    <row r="484" spans="1:22">
      <c r="A484" s="352"/>
      <c r="B484" s="115"/>
      <c r="C484" s="103"/>
      <c r="D484" s="111"/>
      <c r="E484" s="111"/>
      <c r="F484" s="111"/>
      <c r="G484" s="111"/>
      <c r="H484" s="111"/>
      <c r="I484" s="111"/>
      <c r="J484" s="111"/>
      <c r="K484" s="111"/>
      <c r="L484" s="111"/>
      <c r="M484" s="111"/>
      <c r="N484" s="111"/>
      <c r="O484" s="111"/>
      <c r="P484" s="111"/>
      <c r="Q484" s="111"/>
      <c r="R484" s="111"/>
      <c r="S484" s="111"/>
      <c r="T484" s="111"/>
      <c r="U484" s="111"/>
      <c r="V484" s="125"/>
    </row>
    <row r="485" spans="1:22">
      <c r="A485" s="352"/>
      <c r="C485" s="121" t="s">
        <v>1003</v>
      </c>
      <c r="D485" s="179">
        <f>VLOOKUP(D7,Resumen!$B7:$C24,2,FALSE)</f>
        <v>8400674</v>
      </c>
      <c r="E485" s="179">
        <f>VLOOKUP(E7,Resumen!$B7:$C24,2,FALSE)</f>
        <v>1321616</v>
      </c>
      <c r="F485" s="179">
        <f>VLOOKUP(F7,Resumen!$B7:$C24,2,FALSE)</f>
        <v>1056492.5</v>
      </c>
      <c r="G485" s="179">
        <f>VLOOKUP(G7,Resumen!$B7:$C24,2,FALSE)</f>
        <v>1103960.5</v>
      </c>
      <c r="H485" s="179">
        <f>VLOOKUP(H7,Resumen!$B7:$C24,2,FALSE)</f>
        <v>2102560.5</v>
      </c>
      <c r="I485" s="179">
        <f>VLOOKUP(I7,Resumen!$B7:$C24,2,FALSE)</f>
        <v>586917.5</v>
      </c>
      <c r="J485" s="179">
        <f>VLOOKUP(J7,Resumen!$B7:$C24,2,FALSE)</f>
        <v>2483421</v>
      </c>
      <c r="K485" s="179">
        <f>VLOOKUP(K7,Resumen!$B7:$C24,2,FALSE)</f>
        <v>2068901</v>
      </c>
      <c r="L485" s="179">
        <f>VLOOKUP(L7,Resumen!$B7:$C24,2,FALSE)</f>
        <v>7513504.5</v>
      </c>
      <c r="M485" s="179">
        <f>VLOOKUP(M7,Resumen!$B7:$C24,2,FALSE)</f>
        <v>4992766.5</v>
      </c>
      <c r="N485" s="179">
        <f>VLOOKUP(N7,Resumen!$B7:$C24,2,FALSE)</f>
        <v>1096314.5</v>
      </c>
      <c r="O485" s="179">
        <f>VLOOKUP(O7,Resumen!$B7:$C24,2,FALSE)</f>
        <v>2740521</v>
      </c>
      <c r="P485" s="179">
        <f>VLOOKUP(P7,Resumen!$B7:$C24,2,FALSE)</f>
        <v>6445718</v>
      </c>
      <c r="Q485" s="179">
        <f>VLOOKUP(Q7,Resumen!$B7:$C24,2,FALSE)</f>
        <v>1467053</v>
      </c>
      <c r="R485" s="179">
        <f>VLOOKUP(R7,Resumen!$B7:$C24,2,FALSE)</f>
        <v>640633</v>
      </c>
      <c r="S485" s="179">
        <f>VLOOKUP(S7,Resumen!$B7:$C24,2,FALSE)</f>
        <v>2189121</v>
      </c>
      <c r="T485" s="179">
        <f>VLOOKUP(T7,Resumen!$B7:$C24,2,FALSE)</f>
        <v>318027.5</v>
      </c>
      <c r="U485" s="179">
        <f>VLOOKUP(U7,Resumen!$B7:$C24,2,FALSE)</f>
        <v>169659.5</v>
      </c>
      <c r="V485" s="122">
        <f>SUM(D485:U485)</f>
        <v>46697861.5</v>
      </c>
    </row>
    <row r="486" spans="1:22">
      <c r="A486" s="352"/>
    </row>
    <row r="487" spans="1:22">
      <c r="A487" s="352"/>
    </row>
    <row r="488" spans="1:22">
      <c r="A488" s="352"/>
    </row>
    <row r="489" spans="1:22">
      <c r="A489" s="352"/>
      <c r="C489" s="121" t="s">
        <v>85</v>
      </c>
    </row>
    <row r="490" spans="1:22">
      <c r="A490" s="352"/>
    </row>
    <row r="491" spans="1:22">
      <c r="A491" s="352"/>
      <c r="C491" s="153"/>
      <c r="D491" s="108" t="s">
        <v>66</v>
      </c>
      <c r="E491" s="108" t="s">
        <v>67</v>
      </c>
      <c r="F491" s="108" t="s">
        <v>56</v>
      </c>
      <c r="G491" s="108" t="s">
        <v>48</v>
      </c>
      <c r="H491" s="108" t="s">
        <v>49</v>
      </c>
      <c r="I491" s="108" t="s">
        <v>50</v>
      </c>
      <c r="J491" s="108" t="s">
        <v>51</v>
      </c>
      <c r="K491" s="108" t="s">
        <v>24</v>
      </c>
      <c r="L491" s="108" t="s">
        <v>46</v>
      </c>
      <c r="M491" s="108" t="s">
        <v>72</v>
      </c>
      <c r="N491" s="108" t="s">
        <v>73</v>
      </c>
      <c r="O491" s="108" t="s">
        <v>74</v>
      </c>
      <c r="P491" s="108" t="s">
        <v>37</v>
      </c>
      <c r="Q491" s="108" t="s">
        <v>38</v>
      </c>
      <c r="R491" s="108" t="s">
        <v>33</v>
      </c>
      <c r="S491" s="108" t="s">
        <v>34</v>
      </c>
      <c r="T491" s="108" t="s">
        <v>88</v>
      </c>
      <c r="U491" s="108" t="s">
        <v>89</v>
      </c>
      <c r="V491" s="124" t="s">
        <v>84</v>
      </c>
    </row>
    <row r="492" spans="1:22">
      <c r="A492" s="352"/>
      <c r="C492" s="109" t="s">
        <v>86</v>
      </c>
      <c r="D492" s="111">
        <f t="shared" ref="D492:V492" si="104">D494+D503</f>
        <v>28247333.851795461</v>
      </c>
      <c r="E492" s="111">
        <f t="shared" si="104"/>
        <v>6006092.3093983661</v>
      </c>
      <c r="F492" s="111">
        <f t="shared" si="104"/>
        <v>4685489.132159939</v>
      </c>
      <c r="G492" s="111">
        <f t="shared" si="104"/>
        <v>4931880.6207914371</v>
      </c>
      <c r="H492" s="111">
        <f t="shared" si="104"/>
        <v>7062351.7830799045</v>
      </c>
      <c r="I492" s="111">
        <f t="shared" si="104"/>
        <v>2571186.2519553904</v>
      </c>
      <c r="J492" s="111">
        <f t="shared" si="104"/>
        <v>10133162.762471866</v>
      </c>
      <c r="K492" s="111">
        <f t="shared" si="104"/>
        <v>7094932.7673225477</v>
      </c>
      <c r="L492" s="111">
        <f t="shared" si="104"/>
        <v>37695218.012096047</v>
      </c>
      <c r="M492" s="111">
        <f t="shared" si="104"/>
        <v>19169293.627648517</v>
      </c>
      <c r="N492" s="111">
        <f t="shared" si="104"/>
        <v>3398706.7377186427</v>
      </c>
      <c r="O492" s="111">
        <f t="shared" si="104"/>
        <v>10859113.156606659</v>
      </c>
      <c r="P492" s="111">
        <f t="shared" si="104"/>
        <v>39358383.7407915</v>
      </c>
      <c r="Q492" s="111">
        <f t="shared" si="104"/>
        <v>5053623.9457543027</v>
      </c>
      <c r="R492" s="111">
        <f t="shared" si="104"/>
        <v>3268548.8904404612</v>
      </c>
      <c r="S492" s="111">
        <f t="shared" si="104"/>
        <v>11848887.208994467</v>
      </c>
      <c r="T492" s="111">
        <f t="shared" si="104"/>
        <v>1378922.8613617057</v>
      </c>
      <c r="U492" s="111">
        <f t="shared" si="104"/>
        <v>554677.03330369527</v>
      </c>
      <c r="V492" s="125">
        <f t="shared" si="104"/>
        <v>203317804.6936909</v>
      </c>
    </row>
    <row r="493" spans="1:22">
      <c r="A493" s="352"/>
      <c r="C493" s="115"/>
      <c r="D493" s="105"/>
      <c r="E493" s="105"/>
      <c r="F493" s="105"/>
      <c r="G493" s="105"/>
      <c r="H493" s="105"/>
      <c r="I493" s="105"/>
      <c r="J493" s="105"/>
      <c r="K493" s="105"/>
      <c r="L493" s="105"/>
      <c r="M493" s="105"/>
      <c r="N493" s="105"/>
      <c r="O493" s="105"/>
      <c r="P493" s="105"/>
      <c r="Q493" s="105"/>
      <c r="R493" s="105"/>
      <c r="S493" s="105"/>
      <c r="T493" s="105"/>
      <c r="U493" s="105"/>
      <c r="V493" s="122"/>
    </row>
    <row r="494" spans="1:22" ht="13.5">
      <c r="A494" s="352"/>
      <c r="C494" s="112" t="s">
        <v>87</v>
      </c>
      <c r="D494" s="114">
        <f t="shared" ref="D494:V494" si="105">SUM(D495:D501)</f>
        <v>12442033.490199281</v>
      </c>
      <c r="E494" s="114">
        <f t="shared" si="105"/>
        <v>3230970.5843267217</v>
      </c>
      <c r="F494" s="114">
        <f t="shared" si="105"/>
        <v>2515124.3533216184</v>
      </c>
      <c r="G494" s="114">
        <f t="shared" si="105"/>
        <v>2497301.6671640668</v>
      </c>
      <c r="H494" s="114">
        <f t="shared" si="105"/>
        <v>3414676.5089788181</v>
      </c>
      <c r="I494" s="114">
        <f t="shared" si="105"/>
        <v>1350089.988791747</v>
      </c>
      <c r="J494" s="114">
        <f t="shared" si="105"/>
        <v>5213998.366232303</v>
      </c>
      <c r="K494" s="114">
        <f t="shared" si="105"/>
        <v>3254090.3887430541</v>
      </c>
      <c r="L494" s="114">
        <f t="shared" si="105"/>
        <v>20754912.923647646</v>
      </c>
      <c r="M494" s="114">
        <f t="shared" si="105"/>
        <v>9255490.88940279</v>
      </c>
      <c r="N494" s="114">
        <f t="shared" si="105"/>
        <v>1505096.6049095208</v>
      </c>
      <c r="O494" s="114">
        <f t="shared" si="105"/>
        <v>5376348.3355108881</v>
      </c>
      <c r="P494" s="114">
        <f t="shared" si="105"/>
        <v>23585021.605900124</v>
      </c>
      <c r="Q494" s="114">
        <f t="shared" si="105"/>
        <v>2278924.9954542639</v>
      </c>
      <c r="R494" s="114">
        <f t="shared" si="105"/>
        <v>1840057.8787372992</v>
      </c>
      <c r="S494" s="114">
        <f t="shared" si="105"/>
        <v>6863078.8871011324</v>
      </c>
      <c r="T494" s="114">
        <f t="shared" si="105"/>
        <v>730578.78744911763</v>
      </c>
      <c r="U494" s="114">
        <f t="shared" si="105"/>
        <v>251272.03259309198</v>
      </c>
      <c r="V494" s="126">
        <f t="shared" si="105"/>
        <v>106359068.28846349</v>
      </c>
    </row>
    <row r="495" spans="1:22">
      <c r="A495" s="351" t="str">
        <f>IF(B495="","",(IF(ISERROR(MATCH(B495,Tot_res!C:C,0)),"Eliminar!!!","")))</f>
        <v/>
      </c>
      <c r="B495" s="102" t="s">
        <v>427</v>
      </c>
      <c r="C495" s="330" t="str">
        <f>VLOOKUP(B495,Tot_res!C:D,2,FALSE)</f>
        <v>IRPF, ingresos homogeneizados</v>
      </c>
      <c r="D495" s="179">
        <f>VLOOKUP(B495,Tot_res!C:V,3,FALSE)</f>
        <v>8893313.9516961724</v>
      </c>
      <c r="E495" s="179">
        <f>VLOOKUP(B495,Tot_res!C:V,4,FALSE)</f>
        <v>2413470.8375452645</v>
      </c>
      <c r="F495" s="179">
        <f>VLOOKUP(B495,Tot_res!C:V,5,FALSE)</f>
        <v>1905857.8500110633</v>
      </c>
      <c r="G495" s="179">
        <f>VLOOKUP(B495,Tot_res!C:V,6,FALSE)</f>
        <v>1870749.5667488335</v>
      </c>
      <c r="H495" s="179">
        <f>VLOOKUP(B495,Tot_res!C:V,7,FALSE)</f>
        <v>2481095.850185845</v>
      </c>
      <c r="I495" s="179">
        <f>VLOOKUP(B495,Tot_res!C:V,8,FALSE)</f>
        <v>986082.81582601042</v>
      </c>
      <c r="J495" s="179">
        <f>VLOOKUP(B495,Tot_res!C:V,9,FALSE)</f>
        <v>3876475.001037986</v>
      </c>
      <c r="K495" s="179">
        <f>VLOOKUP(B495,Tot_res!C:V,10,FALSE)</f>
        <v>2365631.8352185315</v>
      </c>
      <c r="L495" s="179">
        <f>VLOOKUP(B495,Tot_res!C:V,11,FALSE)</f>
        <v>15915484.397164498</v>
      </c>
      <c r="M495" s="179">
        <f>VLOOKUP(B495,Tot_res!C:V,12,FALSE)</f>
        <v>6703541.4714265727</v>
      </c>
      <c r="N495" s="179">
        <f>VLOOKUP(B495,Tot_res!C:V,13,FALSE)</f>
        <v>1071476.3977709911</v>
      </c>
      <c r="O495" s="179">
        <f>VLOOKUP(B495,Tot_res!C:V,14,FALSE)</f>
        <v>3886554.1731698001</v>
      </c>
      <c r="P495" s="179">
        <f>VLOOKUP(B495,Tot_res!C:V,15,FALSE)</f>
        <v>18631771.054538198</v>
      </c>
      <c r="Q495" s="179">
        <f>VLOOKUP(B495,Tot_res!C:V,16,FALSE)</f>
        <v>1635949.3464307848</v>
      </c>
      <c r="R495" s="179">
        <f>VLOOKUP(B495,Tot_res!C:V,17,FALSE)</f>
        <v>1405959.0288910526</v>
      </c>
      <c r="S495" s="179">
        <f>VLOOKUP(B495,Tot_res!C:V,18,FALSE)</f>
        <v>5258275.3891569432</v>
      </c>
      <c r="T495" s="179">
        <f>VLOOKUP(B495,Tot_res!C:V,19,FALSE)</f>
        <v>539052.47643752047</v>
      </c>
      <c r="U495" s="179">
        <f>VLOOKUP(B495,Tot_res!C:V,20,FALSE)</f>
        <v>170953.82679766283</v>
      </c>
      <c r="V495" s="122">
        <f>SUM(D495:U495)</f>
        <v>80011695.270053729</v>
      </c>
    </row>
    <row r="496" spans="1:22">
      <c r="A496" s="351" t="str">
        <f>IF(B496="","",(IF(ISERROR(MATCH(B496,Tot_res!C:C,0)),"Eliminar!!!","")))</f>
        <v/>
      </c>
      <c r="B496" s="102" t="s">
        <v>428</v>
      </c>
      <c r="C496" s="330" t="str">
        <f>VLOOKUP(B496,Tot_res!C:D,2,FALSE)</f>
        <v>Impuesto sobre sociedades, ingresos homogéneos</v>
      </c>
      <c r="D496" s="179">
        <f>VLOOKUP(B496,Tot_res!C:V,3,FALSE)</f>
        <v>2615305.3045615433</v>
      </c>
      <c r="E496" s="179">
        <f>VLOOKUP(B496,Tot_res!C:V,4,FALSE)</f>
        <v>621157.90155496844</v>
      </c>
      <c r="F496" s="179">
        <f>VLOOKUP(B496,Tot_res!C:V,5,FALSE)</f>
        <v>446055.15109435644</v>
      </c>
      <c r="G496" s="179">
        <f>VLOOKUP(B496,Tot_res!C:V,6,FALSE)</f>
        <v>492760.78085885488</v>
      </c>
      <c r="H496" s="179">
        <f>VLOOKUP(B496,Tot_res!C:V,7,FALSE)</f>
        <v>711737.54900435766</v>
      </c>
      <c r="I496" s="179">
        <f>VLOOKUP(B496,Tot_res!C:V,8,FALSE)</f>
        <v>275700.57634190214</v>
      </c>
      <c r="J496" s="179">
        <f>VLOOKUP(B496,Tot_res!C:V,9,FALSE)</f>
        <v>979138.28244093643</v>
      </c>
      <c r="K496" s="179">
        <f>VLOOKUP(B496,Tot_res!C:V,10,FALSE)</f>
        <v>648381.87085795868</v>
      </c>
      <c r="L496" s="179">
        <f>VLOOKUP(B496,Tot_res!C:V,11,FALSE)</f>
        <v>3822155.8667645762</v>
      </c>
      <c r="M496" s="179">
        <f>VLOOKUP(B496,Tot_res!C:V,12,FALSE)</f>
        <v>1935144.5856806319</v>
      </c>
      <c r="N496" s="179">
        <f>VLOOKUP(B496,Tot_res!C:V,13,FALSE)</f>
        <v>303247.31682121998</v>
      </c>
      <c r="O496" s="179">
        <f>VLOOKUP(B496,Tot_res!C:V,14,FALSE)</f>
        <v>1094010.5877455338</v>
      </c>
      <c r="P496" s="179">
        <f>VLOOKUP(B496,Tot_res!C:V,15,FALSE)</f>
        <v>4040789.3270230684</v>
      </c>
      <c r="Q496" s="179">
        <f>VLOOKUP(B496,Tot_res!C:V,16,FALSE)</f>
        <v>485503.81594720471</v>
      </c>
      <c r="R496" s="179">
        <f>VLOOKUP(B496,Tot_res!C:V,17,FALSE)</f>
        <v>342499.76607173576</v>
      </c>
      <c r="S496" s="179">
        <f>VLOOKUP(B496,Tot_res!C:V,18,FALSE)</f>
        <v>1266703.5029680904</v>
      </c>
      <c r="T496" s="179">
        <f>VLOOKUP(B496,Tot_res!C:V,19,FALSE)</f>
        <v>146808.01563393846</v>
      </c>
      <c r="U496" s="179">
        <f>VLOOKUP(B496,Tot_res!C:V,20,FALSE)</f>
        <v>61502.513819384279</v>
      </c>
      <c r="V496" s="122">
        <f>SUM(D496:U496)</f>
        <v>20288602.715190262</v>
      </c>
    </row>
    <row r="497" spans="1:22">
      <c r="A497" s="351" t="str">
        <f>IF(B497="","",(IF(ISERROR(MATCH(B497,Tot_res!C:C,0)),"Eliminar!!!","")))</f>
        <v/>
      </c>
      <c r="B497" s="102" t="s">
        <v>429</v>
      </c>
      <c r="C497" s="330" t="str">
        <f>VLOOKUP(B497,Tot_res!C:D,2,FALSE)</f>
        <v>Impuesto sobre la renta de no residentes</v>
      </c>
      <c r="D497" s="179">
        <f>VLOOKUP(B497,Tot_res!C:V,3,FALSE)</f>
        <v>258134.85142406364</v>
      </c>
      <c r="E497" s="179">
        <f>VLOOKUP(B497,Tot_res!C:V,4,FALSE)</f>
        <v>40610.449804344906</v>
      </c>
      <c r="F497" s="179">
        <f>VLOOKUP(B497,Tot_res!C:V,5,FALSE)</f>
        <v>32463.768325986413</v>
      </c>
      <c r="G497" s="179">
        <f>VLOOKUP(B497,Tot_res!C:V,6,FALSE)</f>
        <v>33922.359044707009</v>
      </c>
      <c r="H497" s="179">
        <f>VLOOKUP(B497,Tot_res!C:V,7,FALSE)</f>
        <v>64607.213930406651</v>
      </c>
      <c r="I497" s="179">
        <f>VLOOKUP(B497,Tot_res!C:V,8,FALSE)</f>
        <v>18034.726935086743</v>
      </c>
      <c r="J497" s="179">
        <f>VLOOKUP(B497,Tot_res!C:V,9,FALSE)</f>
        <v>76310.247351391037</v>
      </c>
      <c r="K497" s="179">
        <f>VLOOKUP(B497,Tot_res!C:V,10,FALSE)</f>
        <v>63572.929058560861</v>
      </c>
      <c r="L497" s="179">
        <f>VLOOKUP(B497,Tot_res!C:V,11,FALSE)</f>
        <v>230874.01889200005</v>
      </c>
      <c r="M497" s="179">
        <f>VLOOKUP(B497,Tot_res!C:V,12,FALSE)</f>
        <v>153417.09946994044</v>
      </c>
      <c r="N497" s="179">
        <f>VLOOKUP(B497,Tot_res!C:V,13,FALSE)</f>
        <v>33687.413720797478</v>
      </c>
      <c r="O497" s="179">
        <f>VLOOKUP(B497,Tot_res!C:V,14,FALSE)</f>
        <v>84210.383733439288</v>
      </c>
      <c r="P497" s="179">
        <f>VLOOKUP(B497,Tot_res!C:V,15,FALSE)</f>
        <v>198063.20995808346</v>
      </c>
      <c r="Q497" s="179">
        <f>VLOOKUP(B497,Tot_res!C:V,16,FALSE)</f>
        <v>45079.41960207322</v>
      </c>
      <c r="R497" s="179">
        <f>VLOOKUP(B497,Tot_res!C:V,17,FALSE)</f>
        <v>19685.290046054895</v>
      </c>
      <c r="S497" s="179">
        <f>VLOOKUP(B497,Tot_res!C:V,18,FALSE)</f>
        <v>67267.034059921571</v>
      </c>
      <c r="T497" s="179">
        <f>VLOOKUP(B497,Tot_res!C:V,19,FALSE)</f>
        <v>9772.3089196493529</v>
      </c>
      <c r="U497" s="179">
        <f>VLOOKUP(B497,Tot_res!C:V,20,FALSE)</f>
        <v>5213.2757234932496</v>
      </c>
      <c r="V497" s="122">
        <f>SUM(D497:U497)</f>
        <v>1434926.0000000002</v>
      </c>
    </row>
    <row r="498" spans="1:22">
      <c r="A498" s="351" t="str">
        <f>IF(B498="","",(IF(ISERROR(MATCH(B498,Tot_res!C:C,0)),"Eliminar!!!","")))</f>
        <v/>
      </c>
      <c r="B498" s="102" t="s">
        <v>431</v>
      </c>
      <c r="C498" s="330" t="str">
        <f>VLOOKUP(B498,Tot_res!C:D,2,FALSE)</f>
        <v>Impuesto sobre sucesiones y donaciones, ing. homog.</v>
      </c>
      <c r="D498" s="179">
        <f>VLOOKUP(B498,Tot_res!C:V,3,FALSE)</f>
        <v>376810.48470602219</v>
      </c>
      <c r="E498" s="179">
        <f>VLOOKUP(B498,Tot_res!C:V,4,FALSE)</f>
        <v>102666.58332561237</v>
      </c>
      <c r="F498" s="179">
        <f>VLOOKUP(B498,Tot_res!C:V,5,FALSE)</f>
        <v>87978.3524961433</v>
      </c>
      <c r="G498" s="179">
        <f>VLOOKUP(B498,Tot_res!C:V,6,FALSE)</f>
        <v>53579.24395563468</v>
      </c>
      <c r="H498" s="179">
        <f>VLOOKUP(B498,Tot_res!C:V,7,FALSE)</f>
        <v>83797.16882463095</v>
      </c>
      <c r="I498" s="179">
        <f>VLOOKUP(B498,Tot_res!C:V,8,FALSE)</f>
        <v>45923.058213406133</v>
      </c>
      <c r="J498" s="179">
        <f>VLOOKUP(B498,Tot_res!C:V,9,FALSE)</f>
        <v>185524.80400827419</v>
      </c>
      <c r="K498" s="179">
        <f>VLOOKUP(B498,Tot_res!C:V,10,FALSE)</f>
        <v>104484.86174999209</v>
      </c>
      <c r="L498" s="179">
        <f>VLOOKUP(B498,Tot_res!C:V,11,FALSE)</f>
        <v>458531.07680244325</v>
      </c>
      <c r="M498" s="179">
        <f>VLOOKUP(B498,Tot_res!C:V,12,FALSE)</f>
        <v>270018.26695508824</v>
      </c>
      <c r="N498" s="179">
        <f>VLOOKUP(B498,Tot_res!C:V,13,FALSE)</f>
        <v>59441.916271909133</v>
      </c>
      <c r="O498" s="179">
        <f>VLOOKUP(B498,Tot_res!C:V,14,FALSE)</f>
        <v>205440.33452663652</v>
      </c>
      <c r="P498" s="179">
        <f>VLOOKUP(B498,Tot_res!C:V,15,FALSE)</f>
        <v>387225.9235637926</v>
      </c>
      <c r="Q498" s="179">
        <f>VLOOKUP(B498,Tot_res!C:V,16,FALSE)</f>
        <v>60759.143273441434</v>
      </c>
      <c r="R498" s="179">
        <f>VLOOKUP(B498,Tot_res!C:V,17,FALSE)</f>
        <v>44939.780183159695</v>
      </c>
      <c r="S498" s="179">
        <f>VLOOKUP(B498,Tot_res!C:V,18,FALSE)</f>
        <v>173290.23708320028</v>
      </c>
      <c r="T498" s="179">
        <f>VLOOKUP(B498,Tot_res!C:V,19,FALSE)</f>
        <v>22252.546020533875</v>
      </c>
      <c r="U498" s="179">
        <f>VLOOKUP(B498,Tot_res!C:V,20,FALSE)</f>
        <v>7709.5212595697494</v>
      </c>
      <c r="V498" s="122">
        <f>SUM(D498:U498)</f>
        <v>2730373.3032194912</v>
      </c>
    </row>
    <row r="499" spans="1:22">
      <c r="A499" s="351" t="str">
        <f>IF(B499="","",(IF(ISERROR(MATCH(B499,Tot_res!C:C,0)),"Eliminar!!!","")))</f>
        <v/>
      </c>
      <c r="B499" s="102" t="s">
        <v>650</v>
      </c>
      <c r="C499" s="330" t="str">
        <f>VLOOKUP(B499,Tot_res!C:D,2,FALSE)</f>
        <v>Impuesto sobre el patrimonio, recaudación real</v>
      </c>
      <c r="D499" s="179">
        <f>VLOOKUP(B499,Tot_res!C:V,3,FALSE)</f>
        <v>5027.5029463180017</v>
      </c>
      <c r="E499" s="179">
        <f>VLOOKUP(B499,Tot_res!C:V,4,FALSE)</f>
        <v>790.93990957166216</v>
      </c>
      <c r="F499" s="179">
        <f>VLOOKUP(B499,Tot_res!C:V,5,FALSE)</f>
        <v>632.27297672935197</v>
      </c>
      <c r="G499" s="179">
        <f>VLOOKUP(B499,Tot_res!C:V,6,FALSE)</f>
        <v>660.68087707827908</v>
      </c>
      <c r="H499" s="179">
        <f>VLOOKUP(B499,Tot_res!C:V,7,FALSE)</f>
        <v>1258.3072630317342</v>
      </c>
      <c r="I499" s="179">
        <f>VLOOKUP(B499,Tot_res!C:V,8,FALSE)</f>
        <v>351.24913316426705</v>
      </c>
      <c r="J499" s="179">
        <f>VLOOKUP(B499,Tot_res!C:V,9,FALSE)</f>
        <v>1486.2386511425154</v>
      </c>
      <c r="K499" s="179">
        <f>VLOOKUP(B499,Tot_res!C:V,10,FALSE)</f>
        <v>1238.1632560840073</v>
      </c>
      <c r="L499" s="179">
        <f>VLOOKUP(B499,Tot_res!C:V,11,FALSE)</f>
        <v>4496.5637294011849</v>
      </c>
      <c r="M499" s="179">
        <f>VLOOKUP(B499,Tot_res!C:V,12,FALSE)</f>
        <v>2987.9921883681977</v>
      </c>
      <c r="N499" s="179">
        <f>VLOOKUP(B499,Tot_res!C:V,13,FALSE)</f>
        <v>656.1050195307123</v>
      </c>
      <c r="O499" s="179">
        <f>VLOOKUP(B499,Tot_res!C:V,14,FALSE)</f>
        <v>1640.1038061882127</v>
      </c>
      <c r="P499" s="179">
        <f>VLOOKUP(B499,Tot_res!C:V,15,FALSE)</f>
        <v>3857.5316975917626</v>
      </c>
      <c r="Q499" s="179">
        <f>VLOOKUP(B499,Tot_res!C:V,16,FALSE)</f>
        <v>877.97875264587867</v>
      </c>
      <c r="R499" s="179">
        <f>VLOOKUP(B499,Tot_res!C:V,17,FALSE)</f>
        <v>383.39593882687751</v>
      </c>
      <c r="S499" s="179">
        <f>VLOOKUP(B499,Tot_res!C:V,18,FALSE)</f>
        <v>1310.1106265219446</v>
      </c>
      <c r="T499" s="179">
        <f>VLOOKUP(B499,Tot_res!C:V,19,FALSE)</f>
        <v>190.328084777501</v>
      </c>
      <c r="U499" s="179">
        <f>VLOOKUP(B499,Tot_res!C:V,20,FALSE)</f>
        <v>101.53514302790933</v>
      </c>
      <c r="V499" s="122">
        <f t="shared" ref="V499:V500" si="106">SUM(D499:U499)</f>
        <v>27947</v>
      </c>
    </row>
    <row r="500" spans="1:22">
      <c r="A500" s="351" t="str">
        <f>IF(B500="","",(IF(ISERROR(MATCH(B500,Tot_res!C:C,0)),"Eliminar!!!","")))</f>
        <v/>
      </c>
      <c r="B500" s="102" t="s">
        <v>1223</v>
      </c>
      <c r="C500" s="330" t="str">
        <f>VLOOKUP(B500,Tot_res!C:D,2,FALSE)</f>
        <v>Impuestos mediombientales. Ingresos homogeneizados</v>
      </c>
      <c r="D500" s="179">
        <f>VLOOKUP(B500,Tot_res!C:V,3,FALSE)</f>
        <v>274128.74123485642</v>
      </c>
      <c r="E500" s="179">
        <f>VLOOKUP(B500,Tot_res!C:V,4,FALSE)</f>
        <v>47151.977117013703</v>
      </c>
      <c r="F500" s="179">
        <f>VLOOKUP(B500,Tot_res!C:V,5,FALSE)</f>
        <v>38223.479920806451</v>
      </c>
      <c r="G500" s="179">
        <f>VLOOKUP(B500,Tot_res!C:V,6,FALSE)</f>
        <v>41687.123339267302</v>
      </c>
      <c r="H500" s="179">
        <f>VLOOKUP(B500,Tot_res!C:V,7,FALSE)</f>
        <v>66982.067958352971</v>
      </c>
      <c r="I500" s="179">
        <f>VLOOKUP(B500,Tot_res!C:V,8,FALSE)</f>
        <v>21461.122008548038</v>
      </c>
      <c r="J500" s="179">
        <f>VLOOKUP(B500,Tot_res!C:V,9,FALSE)</f>
        <v>85597.60629493653</v>
      </c>
      <c r="K500" s="179">
        <f>VLOOKUP(B500,Tot_res!C:V,10,FALSE)</f>
        <v>65847.649484554815</v>
      </c>
      <c r="L500" s="179">
        <f>VLOOKUP(B500,Tot_res!C:V,11,FALSE)</f>
        <v>290297.21612605103</v>
      </c>
      <c r="M500" s="179">
        <f>VLOOKUP(B500,Tot_res!C:V,12,FALSE)</f>
        <v>173535.21081122136</v>
      </c>
      <c r="N500" s="179">
        <f>VLOOKUP(B500,Tot_res!C:V,13,FALSE)</f>
        <v>33851.653479099601</v>
      </c>
      <c r="O500" s="179">
        <f>VLOOKUP(B500,Tot_res!C:V,14,FALSE)</f>
        <v>94436.713458093451</v>
      </c>
      <c r="P500" s="179">
        <f>VLOOKUP(B500,Tot_res!C:V,15,FALSE)</f>
        <v>259978.97292395862</v>
      </c>
      <c r="Q500" s="179">
        <f>VLOOKUP(B500,Tot_res!C:V,16,FALSE)</f>
        <v>47024.947810145342</v>
      </c>
      <c r="R500" s="179">
        <f>VLOOKUP(B500,Tot_res!C:V,17,FALSE)</f>
        <v>24064.425223298262</v>
      </c>
      <c r="S500" s="179">
        <f>VLOOKUP(B500,Tot_res!C:V,18,FALSE)</f>
        <v>85192.87025003921</v>
      </c>
      <c r="T500" s="179">
        <f>VLOOKUP(B500,Tot_res!C:V,19,FALSE)</f>
        <v>11229.571432381665</v>
      </c>
      <c r="U500" s="179">
        <f>VLOOKUP(B500,Tot_res!C:V,20,FALSE)</f>
        <v>5333.6511273749811</v>
      </c>
      <c r="V500" s="122">
        <f t="shared" si="106"/>
        <v>1666024.9999999998</v>
      </c>
    </row>
    <row r="501" spans="1:22">
      <c r="A501" s="351" t="str">
        <f>IF(B501="","",(IF(ISERROR(MATCH(B501,Tot_res!C:C,0)),"Eliminar!!!","")))</f>
        <v/>
      </c>
      <c r="B501" s="102" t="s">
        <v>1225</v>
      </c>
      <c r="C501" s="330" t="str">
        <f>VLOOKUP(B501,Tot_res!C:D,2,FALSE)</f>
        <v>Impuesto sobre los depósitos de las entidades de crédito.  Ingresos homogeneizados</v>
      </c>
      <c r="D501" s="179">
        <f>VLOOKUP(B501,Tot_res!C:V,3,FALSE)</f>
        <v>19312.653630305358</v>
      </c>
      <c r="E501" s="179">
        <f>VLOOKUP(B501,Tot_res!C:V,4,FALSE)</f>
        <v>5121.8950699467041</v>
      </c>
      <c r="F501" s="179">
        <f>VLOOKUP(B501,Tot_res!C:V,5,FALSE)</f>
        <v>3913.4784965329245</v>
      </c>
      <c r="G501" s="179">
        <f>VLOOKUP(B501,Tot_res!C:V,6,FALSE)</f>
        <v>3941.9123396908699</v>
      </c>
      <c r="H501" s="179">
        <f>VLOOKUP(B501,Tot_res!C:V,7,FALSE)</f>
        <v>5198.3518121932066</v>
      </c>
      <c r="I501" s="179">
        <f>VLOOKUP(B501,Tot_res!C:V,8,FALSE)</f>
        <v>2536.4403336289306</v>
      </c>
      <c r="J501" s="179">
        <f>VLOOKUP(B501,Tot_res!C:V,9,FALSE)</f>
        <v>9466.186447635786</v>
      </c>
      <c r="K501" s="179">
        <f>VLOOKUP(B501,Tot_res!C:V,10,FALSE)</f>
        <v>4933.0791173721018</v>
      </c>
      <c r="L501" s="179">
        <f>VLOOKUP(B501,Tot_res!C:V,11,FALSE)</f>
        <v>33073.784168674378</v>
      </c>
      <c r="M501" s="179">
        <f>VLOOKUP(B501,Tot_res!C:V,12,FALSE)</f>
        <v>16846.262870964772</v>
      </c>
      <c r="N501" s="179">
        <f>VLOOKUP(B501,Tot_res!C:V,13,FALSE)</f>
        <v>2735.8018259729488</v>
      </c>
      <c r="O501" s="179">
        <f>VLOOKUP(B501,Tot_res!C:V,14,FALSE)</f>
        <v>10056.039071197047</v>
      </c>
      <c r="P501" s="179">
        <f>VLOOKUP(B501,Tot_res!C:V,15,FALSE)</f>
        <v>63335.586195433796</v>
      </c>
      <c r="Q501" s="179">
        <f>VLOOKUP(B501,Tot_res!C:V,16,FALSE)</f>
        <v>3730.3436379684526</v>
      </c>
      <c r="R501" s="179">
        <f>VLOOKUP(B501,Tot_res!C:V,17,FALSE)</f>
        <v>2526.1923831709319</v>
      </c>
      <c r="S501" s="179">
        <f>VLOOKUP(B501,Tot_res!C:V,18,FALSE)</f>
        <v>11039.742956416474</v>
      </c>
      <c r="T501" s="179">
        <f>VLOOKUP(B501,Tot_res!C:V,19,FALSE)</f>
        <v>1273.5409203163251</v>
      </c>
      <c r="U501" s="179">
        <f>VLOOKUP(B501,Tot_res!C:V,20,FALSE)</f>
        <v>457.70872257900623</v>
      </c>
      <c r="V501" s="122">
        <f>SUM(D501:U501)</f>
        <v>199499</v>
      </c>
    </row>
    <row r="502" spans="1:22">
      <c r="A502" s="352"/>
      <c r="C502" s="119"/>
      <c r="D502" s="122"/>
      <c r="E502" s="122"/>
      <c r="F502" s="122"/>
      <c r="G502" s="122"/>
      <c r="H502" s="122"/>
      <c r="I502" s="122"/>
      <c r="J502" s="122"/>
      <c r="K502" s="122"/>
      <c r="L502" s="122"/>
      <c r="M502" s="122"/>
      <c r="N502" s="122"/>
      <c r="O502" s="122"/>
      <c r="P502" s="122"/>
      <c r="Q502" s="122"/>
      <c r="R502" s="122"/>
      <c r="S502" s="122"/>
      <c r="T502" s="122"/>
      <c r="U502" s="122"/>
      <c r="V502" s="122"/>
    </row>
    <row r="503" spans="1:22" ht="13.5">
      <c r="A503" s="352"/>
      <c r="C503" s="112" t="s">
        <v>109</v>
      </c>
      <c r="D503" s="114">
        <f t="shared" ref="D503:V503" si="107">SUM(D504:D516)</f>
        <v>15805300.36159618</v>
      </c>
      <c r="E503" s="114">
        <f t="shared" si="107"/>
        <v>2775121.7250716439</v>
      </c>
      <c r="F503" s="114">
        <f t="shared" si="107"/>
        <v>2170364.7788383206</v>
      </c>
      <c r="G503" s="114">
        <f t="shared" si="107"/>
        <v>2434578.9536273708</v>
      </c>
      <c r="H503" s="114">
        <f t="shared" si="107"/>
        <v>3647675.2741010864</v>
      </c>
      <c r="I503" s="114">
        <f t="shared" si="107"/>
        <v>1221096.2631636434</v>
      </c>
      <c r="J503" s="114">
        <f t="shared" si="107"/>
        <v>4919164.396239562</v>
      </c>
      <c r="K503" s="114">
        <f t="shared" si="107"/>
        <v>3840842.3785794941</v>
      </c>
      <c r="L503" s="114">
        <f t="shared" si="107"/>
        <v>16940305.088448402</v>
      </c>
      <c r="M503" s="114">
        <f t="shared" si="107"/>
        <v>9913802.7382457294</v>
      </c>
      <c r="N503" s="114">
        <f t="shared" si="107"/>
        <v>1893610.1328091221</v>
      </c>
      <c r="O503" s="114">
        <f t="shared" si="107"/>
        <v>5482764.8210957702</v>
      </c>
      <c r="P503" s="114">
        <f t="shared" si="107"/>
        <v>15773362.134891378</v>
      </c>
      <c r="Q503" s="114">
        <f t="shared" si="107"/>
        <v>2774698.9503000383</v>
      </c>
      <c r="R503" s="114">
        <f t="shared" si="107"/>
        <v>1428491.011703162</v>
      </c>
      <c r="S503" s="114">
        <f t="shared" si="107"/>
        <v>4985808.3218933335</v>
      </c>
      <c r="T503" s="114">
        <f t="shared" si="107"/>
        <v>648344.07391258795</v>
      </c>
      <c r="U503" s="114">
        <f t="shared" si="107"/>
        <v>303405.00071060326</v>
      </c>
      <c r="V503" s="126">
        <f t="shared" si="107"/>
        <v>96958736.405227423</v>
      </c>
    </row>
    <row r="504" spans="1:22">
      <c r="A504" s="351" t="str">
        <f>IF(B504="","",(IF(ISERROR(MATCH(B504,Tot_res!C:C,0)),"Eliminar!!!","")))</f>
        <v/>
      </c>
      <c r="B504" s="102" t="s">
        <v>432</v>
      </c>
      <c r="C504" s="330" t="str">
        <f>VLOOKUP(B504,Tot_res!C:D,2,FALSE)</f>
        <v>IVA</v>
      </c>
      <c r="D504" s="179">
        <f>VLOOKUP(B504,Tot_res!C:V,3,FALSE)</f>
        <v>10195346.996229334</v>
      </c>
      <c r="E504" s="179">
        <f>VLOOKUP(B504,Tot_res!C:V,4,FALSE)</f>
        <v>1858469.055319089</v>
      </c>
      <c r="F504" s="179">
        <f>VLOOKUP(B504,Tot_res!C:V,5,FALSE)</f>
        <v>1458437.0468448864</v>
      </c>
      <c r="G504" s="179">
        <f>VLOOKUP(B504,Tot_res!C:V,6,FALSE)</f>
        <v>1595159.0378315295</v>
      </c>
      <c r="H504" s="179">
        <f>VLOOKUP(B504,Tot_res!C:V,7,FALSE)</f>
        <v>215365.36254948884</v>
      </c>
      <c r="I504" s="179">
        <f>VLOOKUP(B504,Tot_res!C:V,8,FALSE)</f>
        <v>832291.19509555527</v>
      </c>
      <c r="J504" s="179">
        <f>VLOOKUP(B504,Tot_res!C:V,9,FALSE)</f>
        <v>3300386.6418160363</v>
      </c>
      <c r="K504" s="179">
        <f>VLOOKUP(B504,Tot_res!C:V,10,FALSE)</f>
        <v>2501808.867056991</v>
      </c>
      <c r="L504" s="179">
        <f>VLOOKUP(B504,Tot_res!C:V,11,FALSE)</f>
        <v>11628836.675577125</v>
      </c>
      <c r="M504" s="179">
        <f>VLOOKUP(B504,Tot_res!C:V,12,FALSE)</f>
        <v>6514212.7376608951</v>
      </c>
      <c r="N504" s="179">
        <f>VLOOKUP(B504,Tot_res!C:V,13,FALSE)</f>
        <v>1234647.6094308903</v>
      </c>
      <c r="O504" s="179">
        <f>VLOOKUP(B504,Tot_res!C:V,14,FALSE)</f>
        <v>3660772.9315644358</v>
      </c>
      <c r="P504" s="179">
        <f>VLOOKUP(B504,Tot_res!C:V,15,FALSE)</f>
        <v>10425094.656836918</v>
      </c>
      <c r="Q504" s="179">
        <f>VLOOKUP(B504,Tot_res!C:V,16,FALSE)</f>
        <v>1778358.1503987494</v>
      </c>
      <c r="R504" s="179">
        <f>VLOOKUP(B504,Tot_res!C:V,17,FALSE)</f>
        <v>997236.00486154493</v>
      </c>
      <c r="S504" s="179">
        <f>VLOOKUP(B504,Tot_res!C:V,18,FALSE)</f>
        <v>3413148.0545517276</v>
      </c>
      <c r="T504" s="179">
        <f>VLOOKUP(B504,Tot_res!C:V,19,FALSE)</f>
        <v>434899.28550049156</v>
      </c>
      <c r="U504" s="179">
        <f>VLOOKUP(B504,Tot_res!C:V,20,FALSE)</f>
        <v>17432.690874317359</v>
      </c>
      <c r="V504" s="122">
        <f t="shared" ref="V504:V516" si="108">SUM(D504:U504)</f>
        <v>62061903</v>
      </c>
    </row>
    <row r="505" spans="1:22">
      <c r="A505" s="351" t="str">
        <f>IF(B505="","",(IF(ISERROR(MATCH(B505,Tot_res!C:C,0)),"Eliminar!!!","")))</f>
        <v/>
      </c>
      <c r="B505" s="102" t="s">
        <v>433</v>
      </c>
      <c r="C505" s="330" t="str">
        <f>VLOOKUP(B505,Tot_res!C:D,2,FALSE)</f>
        <v>Impuestos especiales* (sin electricidad ni matriculación)</v>
      </c>
      <c r="D505" s="179">
        <f>VLOOKUP(B505,Tot_res!C:V,3,FALSE)</f>
        <v>3621485.088989879</v>
      </c>
      <c r="E505" s="179">
        <f>VLOOKUP(B505,Tot_res!C:V,4,FALSE)</f>
        <v>567089.51425234228</v>
      </c>
      <c r="F505" s="179">
        <f>VLOOKUP(B505,Tot_res!C:V,5,FALSE)</f>
        <v>443707.36028601904</v>
      </c>
      <c r="G505" s="179">
        <f>VLOOKUP(B505,Tot_res!C:V,6,FALSE)</f>
        <v>509450.34790598886</v>
      </c>
      <c r="H505" s="179">
        <f>VLOOKUP(B505,Tot_res!C:V,7,FALSE)</f>
        <v>164107.45852187308</v>
      </c>
      <c r="I505" s="179">
        <f>VLOOKUP(B505,Tot_res!C:V,8,FALSE)</f>
        <v>232902.93266970757</v>
      </c>
      <c r="J505" s="179">
        <f>VLOOKUP(B505,Tot_res!C:V,9,FALSE)</f>
        <v>984300.20698457793</v>
      </c>
      <c r="K505" s="179">
        <f>VLOOKUP(B505,Tot_res!C:V,10,FALSE)</f>
        <v>864524.39921140182</v>
      </c>
      <c r="L505" s="179">
        <f>VLOOKUP(B505,Tot_res!C:V,11,FALSE)</f>
        <v>3127961.8762130411</v>
      </c>
      <c r="M505" s="179">
        <f>VLOOKUP(B505,Tot_res!C:V,12,FALSE)</f>
        <v>2084017.9887702703</v>
      </c>
      <c r="N505" s="179">
        <f>VLOOKUP(B505,Tot_res!C:V,13,FALSE)</f>
        <v>423820.26868673961</v>
      </c>
      <c r="O505" s="179">
        <f>VLOOKUP(B505,Tot_res!C:V,14,FALSE)</f>
        <v>1180902.1476498931</v>
      </c>
      <c r="P505" s="179">
        <f>VLOOKUP(B505,Tot_res!C:V,15,FALSE)</f>
        <v>2912905.2828000146</v>
      </c>
      <c r="Q505" s="179">
        <f>VLOOKUP(B505,Tot_res!C:V,16,FALSE)</f>
        <v>671371.65226855897</v>
      </c>
      <c r="R505" s="179">
        <f>VLOOKUP(B505,Tot_res!C:V,17,FALSE)</f>
        <v>258057.8636154233</v>
      </c>
      <c r="S505" s="179">
        <f>VLOOKUP(B505,Tot_res!C:V,18,FALSE)</f>
        <v>890667.09490027628</v>
      </c>
      <c r="T505" s="179">
        <f>VLOOKUP(B505,Tot_res!C:V,19,FALSE)</f>
        <v>128013.60638604552</v>
      </c>
      <c r="U505" s="179">
        <f>VLOOKUP(B505,Tot_res!C:V,20,FALSE)</f>
        <v>26446.185137947788</v>
      </c>
      <c r="V505" s="122">
        <f t="shared" si="108"/>
        <v>19091731.275249999</v>
      </c>
    </row>
    <row r="506" spans="1:22">
      <c r="A506" s="351" t="str">
        <f>IF(B506="","",(IF(ISERROR(MATCH(B506,Tot_res!C:C,0)),"Eliminar!!!","")))</f>
        <v/>
      </c>
      <c r="B506" s="102" t="s">
        <v>434</v>
      </c>
      <c r="C506" s="330" t="str">
        <f>VLOOKUP(B506,Tot_res!C:D,2,FALSE)</f>
        <v>Electricidad</v>
      </c>
      <c r="D506" s="179">
        <f>VLOOKUP(B506,Tot_res!C:V,3,FALSE)</f>
        <v>250209.32537153823</v>
      </c>
      <c r="E506" s="179">
        <f>VLOOKUP(B506,Tot_res!C:V,4,FALSE)</f>
        <v>42228.522052061599</v>
      </c>
      <c r="F506" s="179">
        <f>VLOOKUP(B506,Tot_res!C:V,5,FALSE)</f>
        <v>34038.761036862939</v>
      </c>
      <c r="G506" s="179">
        <f>VLOOKUP(B506,Tot_res!C:V,6,FALSE)</f>
        <v>40064.581592781979</v>
      </c>
      <c r="H506" s="179">
        <f>VLOOKUP(B506,Tot_res!C:V,7,FALSE)</f>
        <v>57335.104231352278</v>
      </c>
      <c r="I506" s="179">
        <f>VLOOKUP(B506,Tot_res!C:V,8,FALSE)</f>
        <v>18605.759398767717</v>
      </c>
      <c r="J506" s="179">
        <f>VLOOKUP(B506,Tot_res!C:V,9,FALSE)</f>
        <v>73878.901788253803</v>
      </c>
      <c r="K506" s="179">
        <f>VLOOKUP(B506,Tot_res!C:V,10,FALSE)</f>
        <v>61913.285597406866</v>
      </c>
      <c r="L506" s="179">
        <f>VLOOKUP(B506,Tot_res!C:V,11,FALSE)</f>
        <v>252146.65833766069</v>
      </c>
      <c r="M506" s="179">
        <f>VLOOKUP(B506,Tot_res!C:V,12,FALSE)</f>
        <v>162980.99054547143</v>
      </c>
      <c r="N506" s="179">
        <f>VLOOKUP(B506,Tot_res!C:V,13,FALSE)</f>
        <v>31512.79942004272</v>
      </c>
      <c r="O506" s="179">
        <f>VLOOKUP(B506,Tot_res!C:V,14,FALSE)</f>
        <v>83143.148025566567</v>
      </c>
      <c r="P506" s="179">
        <f>VLOOKUP(B506,Tot_res!C:V,15,FALSE)</f>
        <v>222390.52955337957</v>
      </c>
      <c r="Q506" s="179">
        <f>VLOOKUP(B506,Tot_res!C:V,16,FALSE)</f>
        <v>44293.469289504821</v>
      </c>
      <c r="R506" s="179">
        <f>VLOOKUP(B506,Tot_res!C:V,17,FALSE)</f>
        <v>20119.953882005379</v>
      </c>
      <c r="S506" s="179">
        <f>VLOOKUP(B506,Tot_res!C:V,18,FALSE)</f>
        <v>70573.186538830254</v>
      </c>
      <c r="T506" s="179">
        <f>VLOOKUP(B506,Tot_res!C:V,19,FALSE)</f>
        <v>9573.8873263040514</v>
      </c>
      <c r="U506" s="179">
        <f>VLOOKUP(B506,Tot_res!C:V,20,FALSE)</f>
        <v>4397.1360122093138</v>
      </c>
      <c r="V506" s="122">
        <f t="shared" si="108"/>
        <v>1479406.0000000002</v>
      </c>
    </row>
    <row r="507" spans="1:22">
      <c r="A507" s="351" t="str">
        <f>IF(B507="","",(IF(ISERROR(MATCH(B507,Tot_res!C:C,0)),"Eliminar!!!","")))</f>
        <v/>
      </c>
      <c r="B507" s="102" t="s">
        <v>435</v>
      </c>
      <c r="C507" s="330" t="str">
        <f>VLOOKUP(B507,Tot_res!C:D,2,FALSE)</f>
        <v>Determinados medios de transporte, homogeneizado</v>
      </c>
      <c r="D507" s="179">
        <f>VLOOKUP(B507,Tot_res!C:V,3,FALSE)</f>
        <v>46898.350614757437</v>
      </c>
      <c r="E507" s="179">
        <f>VLOOKUP(B507,Tot_res!C:V,4,FALSE)</f>
        <v>5984.695255172639</v>
      </c>
      <c r="F507" s="179">
        <f>VLOOKUP(B507,Tot_res!C:V,5,FALSE)</f>
        <v>6362.348735310602</v>
      </c>
      <c r="G507" s="179">
        <f>VLOOKUP(B507,Tot_res!C:V,6,FALSE)</f>
        <v>8078.3368555700445</v>
      </c>
      <c r="H507" s="179">
        <f>VLOOKUP(B507,Tot_res!C:V,7,FALSE)</f>
        <v>2029.1015150710036</v>
      </c>
      <c r="I507" s="179">
        <f>VLOOKUP(B507,Tot_res!C:V,8,FALSE)</f>
        <v>4959.0945611569659</v>
      </c>
      <c r="J507" s="179">
        <f>VLOOKUP(B507,Tot_res!C:V,9,FALSE)</f>
        <v>14456.109225793716</v>
      </c>
      <c r="K507" s="179">
        <f>VLOOKUP(B507,Tot_res!C:V,10,FALSE)</f>
        <v>12124.727625135358</v>
      </c>
      <c r="L507" s="179">
        <f>VLOOKUP(B507,Tot_res!C:V,11,FALSE)</f>
        <v>60935.18802089784</v>
      </c>
      <c r="M507" s="179">
        <f>VLOOKUP(B507,Tot_res!C:V,12,FALSE)</f>
        <v>31700.754098164463</v>
      </c>
      <c r="N507" s="179">
        <f>VLOOKUP(B507,Tot_res!C:V,13,FALSE)</f>
        <v>5144.7967486024008</v>
      </c>
      <c r="O507" s="179">
        <f>VLOOKUP(B507,Tot_res!C:V,14,FALSE)</f>
        <v>15420.389327950063</v>
      </c>
      <c r="P507" s="179">
        <f>VLOOKUP(B507,Tot_res!C:V,15,FALSE)</f>
        <v>61704.484991226316</v>
      </c>
      <c r="Q507" s="179">
        <f>VLOOKUP(B507,Tot_res!C:V,16,FALSE)</f>
        <v>8872.7994459029287</v>
      </c>
      <c r="R507" s="179">
        <f>VLOOKUP(B507,Tot_res!C:V,17,FALSE)</f>
        <v>5016.3644533066636</v>
      </c>
      <c r="S507" s="179">
        <f>VLOOKUP(B507,Tot_res!C:V,18,FALSE)</f>
        <v>15893.838708006682</v>
      </c>
      <c r="T507" s="179">
        <f>VLOOKUP(B507,Tot_res!C:V,19,FALSE)</f>
        <v>1882.5971709134562</v>
      </c>
      <c r="U507" s="179">
        <f>VLOOKUP(B507,Tot_res!C:V,20,FALSE)</f>
        <v>329.4726470614263</v>
      </c>
      <c r="V507" s="122">
        <f t="shared" si="108"/>
        <v>307793.45000000007</v>
      </c>
    </row>
    <row r="508" spans="1:22">
      <c r="A508" s="351" t="str">
        <f>IF(B508="","",(IF(ISERROR(MATCH(B508,Tot_res!C:C,0)),"Eliminar!!!","")))</f>
        <v/>
      </c>
      <c r="B508" s="102" t="s">
        <v>437</v>
      </c>
      <c r="C508" s="330" t="str">
        <f>VLOOKUP(B508,Tot_res!C:D,2,FALSE)</f>
        <v xml:space="preserve">Tráfico exterior </v>
      </c>
      <c r="D508" s="179">
        <f>VLOOKUP(B508,Tot_res!C:V,3,FALSE)</f>
        <v>252164.84748091179</v>
      </c>
      <c r="E508" s="179">
        <f>VLOOKUP(B508,Tot_res!C:V,4,FALSE)</f>
        <v>44870.792616982886</v>
      </c>
      <c r="F508" s="179">
        <f>VLOOKUP(B508,Tot_res!C:V,5,FALSE)</f>
        <v>36499.540108517096</v>
      </c>
      <c r="G508" s="179">
        <f>VLOOKUP(B508,Tot_res!C:V,6,FALSE)</f>
        <v>40483.465171334414</v>
      </c>
      <c r="H508" s="179">
        <f>VLOOKUP(B508,Tot_res!C:V,7,FALSE)</f>
        <v>5762.8703970462811</v>
      </c>
      <c r="I508" s="179">
        <f>VLOOKUP(B508,Tot_res!C:V,8,FALSE)</f>
        <v>20590.360509061786</v>
      </c>
      <c r="J508" s="179">
        <f>VLOOKUP(B508,Tot_res!C:V,9,FALSE)</f>
        <v>80375.389401855617</v>
      </c>
      <c r="K508" s="179">
        <f>VLOOKUP(B508,Tot_res!C:V,10,FALSE)</f>
        <v>59970.511758359156</v>
      </c>
      <c r="L508" s="179">
        <f>VLOOKUP(B508,Tot_res!C:V,11,FALSE)</f>
        <v>283923.35960474436</v>
      </c>
      <c r="M508" s="179">
        <f>VLOOKUP(B508,Tot_res!C:V,12,FALSE)</f>
        <v>163601.26355029826</v>
      </c>
      <c r="N508" s="179">
        <f>VLOOKUP(B508,Tot_res!C:V,13,FALSE)</f>
        <v>30412.516690910412</v>
      </c>
      <c r="O508" s="179">
        <f>VLOOKUP(B508,Tot_res!C:V,14,FALSE)</f>
        <v>88650.303686026309</v>
      </c>
      <c r="P508" s="179">
        <f>VLOOKUP(B508,Tot_res!C:V,15,FALSE)</f>
        <v>257625.77459111862</v>
      </c>
      <c r="Q508" s="179">
        <f>VLOOKUP(B508,Tot_res!C:V,16,FALSE)</f>
        <v>42964.649328585569</v>
      </c>
      <c r="R508" s="179">
        <f>VLOOKUP(B508,Tot_res!C:V,17,FALSE)</f>
        <v>23297.714710491342</v>
      </c>
      <c r="S508" s="179">
        <f>VLOOKUP(B508,Tot_res!C:V,18,FALSE)</f>
        <v>83365.957627358352</v>
      </c>
      <c r="T508" s="179">
        <f>VLOOKUP(B508,Tot_res!C:V,19,FALSE)</f>
        <v>10642.753427124007</v>
      </c>
      <c r="U508" s="179">
        <f>VLOOKUP(B508,Tot_res!C:V,20,FALSE)</f>
        <v>407.92933927365982</v>
      </c>
      <c r="V508" s="122">
        <f t="shared" si="108"/>
        <v>1525609.9999999998</v>
      </c>
    </row>
    <row r="509" spans="1:22">
      <c r="A509" s="351" t="str">
        <f>IF(B509="","",(IF(ISERROR(MATCH(B509,Tot_res!C:C,0)),"Eliminar!!!","")))</f>
        <v/>
      </c>
      <c r="B509" s="102" t="s">
        <v>438</v>
      </c>
      <c r="C509" s="330" t="str">
        <f>VLOOKUP(B509,Tot_res!C:D,2,FALSE)</f>
        <v>Impuesto sobre las primas de seguros</v>
      </c>
      <c r="D509" s="179">
        <f>VLOOKUP(B509,Tot_res!C:V,3,FALSE)</f>
        <v>221709.99563387624</v>
      </c>
      <c r="E509" s="179">
        <f>VLOOKUP(B509,Tot_res!C:V,4,FALSE)</f>
        <v>39131.598739592424</v>
      </c>
      <c r="F509" s="179">
        <f>VLOOKUP(B509,Tot_res!C:V,5,FALSE)</f>
        <v>32313.638928560256</v>
      </c>
      <c r="G509" s="179">
        <f>VLOOKUP(B509,Tot_res!C:V,6,FALSE)</f>
        <v>35396.545877747543</v>
      </c>
      <c r="H509" s="179">
        <f>VLOOKUP(B509,Tot_res!C:V,7,FALSE)</f>
        <v>53723.751301874247</v>
      </c>
      <c r="I509" s="179">
        <f>VLOOKUP(B509,Tot_res!C:V,8,FALSE)</f>
        <v>18998.989961686551</v>
      </c>
      <c r="J509" s="179">
        <f>VLOOKUP(B509,Tot_res!C:V,9,FALSE)</f>
        <v>72246.321618941089</v>
      </c>
      <c r="K509" s="179">
        <f>VLOOKUP(B509,Tot_res!C:V,10,FALSE)</f>
        <v>55256.714539803914</v>
      </c>
      <c r="L509" s="179">
        <f>VLOOKUP(B509,Tot_res!C:V,11,FALSE)</f>
        <v>233278.51985316398</v>
      </c>
      <c r="M509" s="179">
        <f>VLOOKUP(B509,Tot_res!C:V,12,FALSE)</f>
        <v>148992.36939061421</v>
      </c>
      <c r="N509" s="179">
        <f>VLOOKUP(B509,Tot_res!C:V,13,FALSE)</f>
        <v>28816.481202783027</v>
      </c>
      <c r="O509" s="179">
        <f>VLOOKUP(B509,Tot_res!C:V,14,FALSE)</f>
        <v>82664.278602001883</v>
      </c>
      <c r="P509" s="179">
        <f>VLOOKUP(B509,Tot_res!C:V,15,FALSE)</f>
        <v>236991.73580957187</v>
      </c>
      <c r="Q509" s="179">
        <f>VLOOKUP(B509,Tot_res!C:V,16,FALSE)</f>
        <v>42176.224064387497</v>
      </c>
      <c r="R509" s="179">
        <f>VLOOKUP(B509,Tot_res!C:V,17,FALSE)</f>
        <v>19983.727771030019</v>
      </c>
      <c r="S509" s="179">
        <f>VLOOKUP(B509,Tot_res!C:V,18,FALSE)</f>
        <v>71488.458109203741</v>
      </c>
      <c r="T509" s="179">
        <f>VLOOKUP(B509,Tot_res!C:V,19,FALSE)</f>
        <v>9855.9639996802471</v>
      </c>
      <c r="U509" s="179">
        <f>VLOOKUP(B509,Tot_res!C:V,20,FALSE)</f>
        <v>3968.6845954814326</v>
      </c>
      <c r="V509" s="122">
        <f t="shared" si="108"/>
        <v>1406994.0000000002</v>
      </c>
    </row>
    <row r="510" spans="1:22">
      <c r="A510" s="351" t="str">
        <f>IF(B510="","",(IF(ISERROR(MATCH(B510,Tot_res!C:C,0)),"Eliminar!!!","")))</f>
        <v/>
      </c>
      <c r="B510" s="102" t="s">
        <v>440</v>
      </c>
      <c r="C510" s="330" t="str">
        <f>VLOOKUP(B510,Tot_res!C:D,2,FALSE)</f>
        <v>Transmisiones patrim. y actos jurídicos documentados, ing. homog.</v>
      </c>
      <c r="D510" s="179">
        <f>VLOOKUP(B510,Tot_res!C:V,3,FALSE)</f>
        <v>870798.77788934426</v>
      </c>
      <c r="E510" s="179">
        <f>VLOOKUP(B510,Tot_res!C:V,4,FALSE)</f>
        <v>154446.15006312716</v>
      </c>
      <c r="F510" s="179">
        <f>VLOOKUP(B510,Tot_res!C:V,5,FALSE)</f>
        <v>107290.45469759038</v>
      </c>
      <c r="G510" s="179">
        <f>VLOOKUP(B510,Tot_res!C:V,6,FALSE)</f>
        <v>148667.44310958026</v>
      </c>
      <c r="H510" s="179">
        <f>VLOOKUP(B510,Tot_res!C:V,7,FALSE)</f>
        <v>209924.34060077782</v>
      </c>
      <c r="I510" s="179">
        <f>VLOOKUP(B510,Tot_res!C:V,8,FALSE)</f>
        <v>63442.151231514377</v>
      </c>
      <c r="J510" s="179">
        <f>VLOOKUP(B510,Tot_res!C:V,9,FALSE)</f>
        <v>268045.08500569628</v>
      </c>
      <c r="K510" s="179">
        <f>VLOOKUP(B510,Tot_res!C:V,10,FALSE)</f>
        <v>193028.84448106214</v>
      </c>
      <c r="L510" s="179">
        <f>VLOOKUP(B510,Tot_res!C:V,11,FALSE)</f>
        <v>1019953.6440477076</v>
      </c>
      <c r="M510" s="179">
        <f>VLOOKUP(B510,Tot_res!C:V,12,FALSE)</f>
        <v>550126.14672225469</v>
      </c>
      <c r="N510" s="179">
        <f>VLOOKUP(B510,Tot_res!C:V,13,FALSE)</f>
        <v>94480.560518155879</v>
      </c>
      <c r="O510" s="179">
        <f>VLOOKUP(B510,Tot_res!C:V,14,FALSE)</f>
        <v>249032.52415014638</v>
      </c>
      <c r="P510" s="179">
        <f>VLOOKUP(B510,Tot_res!C:V,15,FALSE)</f>
        <v>1217091.2262544434</v>
      </c>
      <c r="Q510" s="179">
        <f>VLOOKUP(B510,Tot_res!C:V,16,FALSE)</f>
        <v>130480.75077481585</v>
      </c>
      <c r="R510" s="179">
        <f>VLOOKUP(B510,Tot_res!C:V,17,FALSE)</f>
        <v>75486.248741456133</v>
      </c>
      <c r="S510" s="179">
        <f>VLOOKUP(B510,Tot_res!C:V,18,FALSE)</f>
        <v>340193.09052902117</v>
      </c>
      <c r="T510" s="179">
        <f>VLOOKUP(B510,Tot_res!C:V,19,FALSE)</f>
        <v>39954.138207497614</v>
      </c>
      <c r="U510" s="179">
        <f>VLOOKUP(B510,Tot_res!C:V,20,FALSE)</f>
        <v>18419.947021010605</v>
      </c>
      <c r="V510" s="122">
        <f t="shared" si="108"/>
        <v>5750861.524045201</v>
      </c>
    </row>
    <row r="511" spans="1:22">
      <c r="A511" s="351" t="str">
        <f>IF(B511="","",(IF(ISERROR(MATCH(B511,Tot_res!C:C,0)),"Eliminar!!!","")))</f>
        <v/>
      </c>
      <c r="B511" s="102" t="s">
        <v>441</v>
      </c>
      <c r="C511" s="330" t="str">
        <f>VLOOKUP(B511,Tot_res!C:D,2,FALSE)</f>
        <v>Venta Minorista de Hidrocarburos, ingr. Homog.</v>
      </c>
      <c r="D511" s="179">
        <f>VLOOKUP(B511,Tot_res!C:V,3,FALSE)</f>
        <v>518.4045114218078</v>
      </c>
      <c r="E511" s="179">
        <f>VLOOKUP(B511,Tot_res!C:V,4,FALSE)</f>
        <v>77.853012745259448</v>
      </c>
      <c r="F511" s="179">
        <f>VLOOKUP(B511,Tot_res!C:V,5,FALSE)</f>
        <v>66.019604678866187</v>
      </c>
      <c r="G511" s="179">
        <f>VLOOKUP(B511,Tot_res!C:V,6,FALSE)</f>
        <v>81.686254893359319</v>
      </c>
      <c r="H511" s="179">
        <f>VLOOKUP(B511,Tot_res!C:V,7,FALSE)</f>
        <v>32.580891645134841</v>
      </c>
      <c r="I511" s="179">
        <f>VLOOKUP(B511,Tot_res!C:V,8,FALSE)</f>
        <v>39.656446758863709</v>
      </c>
      <c r="J511" s="179">
        <f>VLOOKUP(B511,Tot_res!C:V,9,FALSE)</f>
        <v>154.77720055379191</v>
      </c>
      <c r="K511" s="179">
        <f>VLOOKUP(B511,Tot_res!C:V,10,FALSE)</f>
        <v>124.38338130650006</v>
      </c>
      <c r="L511" s="179">
        <f>VLOOKUP(B511,Tot_res!C:V,11,FALSE)</f>
        <v>491.36846091778892</v>
      </c>
      <c r="M511" s="179">
        <f>VLOOKUP(B511,Tot_res!C:V,12,FALSE)</f>
        <v>312.60689336774078</v>
      </c>
      <c r="N511" s="179">
        <f>VLOOKUP(B511,Tot_res!C:V,13,FALSE)</f>
        <v>63.297030790836409</v>
      </c>
      <c r="O511" s="179">
        <f>VLOOKUP(B511,Tot_res!C:V,14,FALSE)</f>
        <v>187.38032272434845</v>
      </c>
      <c r="P511" s="179">
        <f>VLOOKUP(B511,Tot_res!C:V,15,FALSE)</f>
        <v>453.20685969598344</v>
      </c>
      <c r="Q511" s="179">
        <f>VLOOKUP(B511,Tot_res!C:V,16,FALSE)</f>
        <v>93.905609023245802</v>
      </c>
      <c r="R511" s="179">
        <f>VLOOKUP(B511,Tot_res!C:V,17,FALSE)</f>
        <v>38.893481607577158</v>
      </c>
      <c r="S511" s="179">
        <f>VLOOKUP(B511,Tot_res!C:V,18,FALSE)</f>
        <v>132.88497466964174</v>
      </c>
      <c r="T511" s="179">
        <f>VLOOKUP(B511,Tot_res!C:V,19,FALSE)</f>
        <v>19.646371592295157</v>
      </c>
      <c r="U511" s="179">
        <f>VLOOKUP(B511,Tot_res!C:V,20,FALSE)</f>
        <v>6.8376082162100147</v>
      </c>
      <c r="V511" s="122">
        <f t="shared" si="108"/>
        <v>2895.3889166092513</v>
      </c>
    </row>
    <row r="512" spans="1:22">
      <c r="A512" s="351" t="str">
        <f>IF(B512="","",(IF(ISERROR(MATCH(B512,Tot_res!C:C,0)),"Eliminar!!!","")))</f>
        <v/>
      </c>
      <c r="B512" s="102" t="s">
        <v>442</v>
      </c>
      <c r="C512" s="330" t="str">
        <f>VLOOKUP(B512,Tot_res!C:D,2,FALSE)</f>
        <v>Tasas sobre el juego, ingresos homogeneizados</v>
      </c>
      <c r="D512" s="179">
        <f>VLOOKUP(B512,Tot_res!C:V,3,FALSE)</f>
        <v>143363.85121403582</v>
      </c>
      <c r="E512" s="179">
        <f>VLOOKUP(B512,Tot_res!C:V,4,FALSE)</f>
        <v>28566.011633473561</v>
      </c>
      <c r="F512" s="179">
        <f>VLOOKUP(B512,Tot_res!C:V,5,FALSE)</f>
        <v>20941.851815456157</v>
      </c>
      <c r="G512" s="179">
        <f>VLOOKUP(B512,Tot_res!C:V,6,FALSE)</f>
        <v>29575.719424186063</v>
      </c>
      <c r="H512" s="179">
        <f>VLOOKUP(B512,Tot_res!C:V,7,FALSE)</f>
        <v>34109.741968084541</v>
      </c>
      <c r="I512" s="179">
        <f>VLOOKUP(B512,Tot_res!C:V,8,FALSE)</f>
        <v>13391.002794637079</v>
      </c>
      <c r="J512" s="179">
        <f>VLOOKUP(B512,Tot_res!C:V,9,FALSE)</f>
        <v>57947.569694574224</v>
      </c>
      <c r="K512" s="179">
        <f>VLOOKUP(B512,Tot_res!C:V,10,FALSE)</f>
        <v>42539.00951448625</v>
      </c>
      <c r="L512" s="179">
        <f>VLOOKUP(B512,Tot_res!C:V,11,FALSE)</f>
        <v>138990.01230320643</v>
      </c>
      <c r="M512" s="179">
        <f>VLOOKUP(B512,Tot_res!C:V,12,FALSE)</f>
        <v>133100.22876677127</v>
      </c>
      <c r="N512" s="179">
        <f>VLOOKUP(B512,Tot_res!C:V,13,FALSE)</f>
        <v>17933.68176814757</v>
      </c>
      <c r="O512" s="179">
        <f>VLOOKUP(B512,Tot_res!C:V,14,FALSE)</f>
        <v>47623.337170855732</v>
      </c>
      <c r="P512" s="179">
        <f>VLOOKUP(B512,Tot_res!C:V,15,FALSE)</f>
        <v>261958.21982980805</v>
      </c>
      <c r="Q512" s="179">
        <f>VLOOKUP(B512,Tot_res!C:V,16,FALSE)</f>
        <v>21788.411551770638</v>
      </c>
      <c r="R512" s="179">
        <f>VLOOKUP(B512,Tot_res!C:V,17,FALSE)</f>
        <v>10869.769482523099</v>
      </c>
      <c r="S512" s="179">
        <f>VLOOKUP(B512,Tot_res!C:V,18,FALSE)</f>
        <v>31062.573923526292</v>
      </c>
      <c r="T512" s="179">
        <f>VLOOKUP(B512,Tot_res!C:V,19,FALSE)</f>
        <v>4878.197052135989</v>
      </c>
      <c r="U512" s="179">
        <f>VLOOKUP(B512,Tot_res!C:V,20,FALSE)</f>
        <v>2830.0649107938084</v>
      </c>
      <c r="V512" s="122">
        <f t="shared" si="108"/>
        <v>1041469.2548184725</v>
      </c>
    </row>
    <row r="513" spans="1:22">
      <c r="A513" s="351" t="str">
        <f>IF(B513="","",(IF(ISERROR(MATCH(B513,Tot_res!C:C,0)),"Eliminar!!!","")))</f>
        <v/>
      </c>
      <c r="B513" s="102" t="s">
        <v>443</v>
      </c>
      <c r="C513" s="330" t="str">
        <f>VLOOKUP(B513,Tot_res!C:D,2,FALSE)</f>
        <v>REF Canarias (bruto de comp IGTE e incl. Parte ccll), rec. Homog.</v>
      </c>
      <c r="D513" s="179">
        <f>VLOOKUP(B513,Tot_res!C:V,3,FALSE)</f>
        <v>189693.54324883758</v>
      </c>
      <c r="E513" s="179">
        <f>VLOOKUP(B513,Tot_res!C:V,4,FALSE)</f>
        <v>30759.2761788104</v>
      </c>
      <c r="F513" s="179">
        <f>VLOOKUP(B513,Tot_res!C:V,5,FALSE)</f>
        <v>27569.977168954123</v>
      </c>
      <c r="G513" s="179">
        <f>VLOOKUP(B513,Tot_res!C:V,6,FALSE)</f>
        <v>24621.535063019783</v>
      </c>
      <c r="H513" s="179">
        <f>VLOOKUP(B513,Tot_res!C:V,7,FALSE)</f>
        <v>2901533.8853176432</v>
      </c>
      <c r="I513" s="179">
        <f>VLOOKUP(B513,Tot_res!C:V,8,FALSE)</f>
        <v>14287.006359315013</v>
      </c>
      <c r="J513" s="179">
        <f>VLOOKUP(B513,Tot_res!C:V,9,FALSE)</f>
        <v>60187.314481825102</v>
      </c>
      <c r="K513" s="179">
        <f>VLOOKUP(B513,Tot_res!C:V,10,FALSE)</f>
        <v>45427.259618760414</v>
      </c>
      <c r="L513" s="179">
        <f>VLOOKUP(B513,Tot_res!C:V,11,FALSE)</f>
        <v>174274.29176016644</v>
      </c>
      <c r="M513" s="179">
        <f>VLOOKUP(B513,Tot_res!C:V,12,FALSE)</f>
        <v>113907.08905682503</v>
      </c>
      <c r="N513" s="179">
        <f>VLOOKUP(B513,Tot_res!C:V,13,FALSE)</f>
        <v>24931.132771018118</v>
      </c>
      <c r="O513" s="179">
        <f>VLOOKUP(B513,Tot_res!C:V,14,FALSE)</f>
        <v>67294.800028657686</v>
      </c>
      <c r="P513" s="179">
        <f>VLOOKUP(B513,Tot_res!C:V,15,FALSE)</f>
        <v>155929.10581136515</v>
      </c>
      <c r="Q513" s="179">
        <f>VLOOKUP(B513,Tot_res!C:V,16,FALSE)</f>
        <v>31760.512163357529</v>
      </c>
      <c r="R513" s="179">
        <f>VLOOKUP(B513,Tot_res!C:V,17,FALSE)</f>
        <v>15880.360980615847</v>
      </c>
      <c r="S513" s="179">
        <f>VLOOKUP(B513,Tot_res!C:V,18,FALSE)</f>
        <v>58622.190444069296</v>
      </c>
      <c r="T513" s="179">
        <f>VLOOKUP(B513,Tot_res!C:V,19,FALSE)</f>
        <v>7572.142250029282</v>
      </c>
      <c r="U513" s="179">
        <f>VLOOKUP(B513,Tot_res!C:V,20,FALSE)</f>
        <v>3716.9197382250477</v>
      </c>
      <c r="V513" s="122">
        <f t="shared" si="108"/>
        <v>3947968.342441495</v>
      </c>
    </row>
    <row r="514" spans="1:22">
      <c r="A514" s="351" t="str">
        <f>IF(B514="","",(IF(ISERROR(MATCH(B514,Tot_res!C:C,0)),"Eliminar!!!","")))</f>
        <v/>
      </c>
      <c r="B514" s="102" t="s">
        <v>445</v>
      </c>
      <c r="C514" s="330" t="str">
        <f>VLOOKUP(B514,Tot_res!C:D,2,FALSE)</f>
        <v>IPSI, Ceuta y Melilla</v>
      </c>
      <c r="D514" s="179">
        <f>VLOOKUP(B514,Tot_res!C:V,3,FALSE)</f>
        <v>0</v>
      </c>
      <c r="E514" s="179">
        <f>VLOOKUP(B514,Tot_res!C:V,4,FALSE)</f>
        <v>0</v>
      </c>
      <c r="F514" s="179">
        <f>VLOOKUP(B514,Tot_res!C:V,5,FALSE)</f>
        <v>0</v>
      </c>
      <c r="G514" s="179">
        <f>VLOOKUP(B514,Tot_res!C:V,6,FALSE)</f>
        <v>0</v>
      </c>
      <c r="H514" s="179">
        <f>VLOOKUP(B514,Tot_res!C:V,7,FALSE)</f>
        <v>0</v>
      </c>
      <c r="I514" s="179">
        <f>VLOOKUP(B514,Tot_res!C:V,8,FALSE)</f>
        <v>0</v>
      </c>
      <c r="J514" s="179">
        <f>VLOOKUP(B514,Tot_res!C:V,9,FALSE)</f>
        <v>0</v>
      </c>
      <c r="K514" s="179">
        <f>VLOOKUP(B514,Tot_res!C:V,10,FALSE)</f>
        <v>0</v>
      </c>
      <c r="L514" s="179">
        <f>VLOOKUP(B514,Tot_res!C:V,11,FALSE)</f>
        <v>0</v>
      </c>
      <c r="M514" s="179">
        <f>VLOOKUP(B514,Tot_res!C:V,12,FALSE)</f>
        <v>0</v>
      </c>
      <c r="N514" s="179">
        <f>VLOOKUP(B514,Tot_res!C:V,13,FALSE)</f>
        <v>0</v>
      </c>
      <c r="O514" s="179">
        <f>VLOOKUP(B514,Tot_res!C:V,14,FALSE)</f>
        <v>0</v>
      </c>
      <c r="P514" s="179">
        <f>VLOOKUP(B514,Tot_res!C:V,15,FALSE)</f>
        <v>0</v>
      </c>
      <c r="Q514" s="179">
        <f>VLOOKUP(B514,Tot_res!C:V,16,FALSE)</f>
        <v>0</v>
      </c>
      <c r="R514" s="179">
        <f>VLOOKUP(B514,Tot_res!C:V,17,FALSE)</f>
        <v>0</v>
      </c>
      <c r="S514" s="179">
        <f>VLOOKUP(B514,Tot_res!C:V,18,FALSE)</f>
        <v>0</v>
      </c>
      <c r="T514" s="179">
        <f>VLOOKUP(B514,Tot_res!C:V,19,FALSE)</f>
        <v>0</v>
      </c>
      <c r="U514" s="179">
        <f>VLOOKUP(B514,Tot_res!C:V,20,FALSE)</f>
        <v>225330.06575564132</v>
      </c>
      <c r="V514" s="122">
        <f t="shared" ref="V514:V515" si="109">SUM(D514:U514)</f>
        <v>225330.06575564132</v>
      </c>
    </row>
    <row r="515" spans="1:22">
      <c r="A515" s="351" t="str">
        <f>IF(B515="","",(IF(ISERROR(MATCH(B515,Tot_res!C:C,0)),"Eliminar!!!","")))</f>
        <v/>
      </c>
      <c r="B515" s="102" t="s">
        <v>1227</v>
      </c>
      <c r="C515" s="330" t="str">
        <f>VLOOKUP(B515,Tot_res!C:D,2,FALSE)</f>
        <v>Impuesto sobre la actividad de juego. Ingresos homogeneizados</v>
      </c>
      <c r="D515" s="179">
        <f>VLOOKUP(B515,Tot_res!C:V,3,FALSE)</f>
        <v>7833.573473979035</v>
      </c>
      <c r="E515" s="179">
        <f>VLOOKUP(B515,Tot_res!C:V,4,FALSE)</f>
        <v>2558.9070977920132</v>
      </c>
      <c r="F515" s="179">
        <f>VLOOKUP(B515,Tot_res!C:V,5,FALSE)</f>
        <v>2456.5494842691719</v>
      </c>
      <c r="G515" s="179">
        <f>VLOOKUP(B515,Tot_res!C:V,6,FALSE)</f>
        <v>2195.4644546437676</v>
      </c>
      <c r="H515" s="179">
        <f>VLOOKUP(B515,Tot_res!C:V,7,FALSE)</f>
        <v>2512.5557202662139</v>
      </c>
      <c r="I515" s="179">
        <f>VLOOKUP(B515,Tot_res!C:V,8,FALSE)</f>
        <v>1198.2276616674428</v>
      </c>
      <c r="J515" s="179">
        <f>VLOOKUP(B515,Tot_res!C:V,9,FALSE)</f>
        <v>5451.0569865199441</v>
      </c>
      <c r="K515" s="179">
        <f>VLOOKUP(B515,Tot_res!C:V,10,FALSE)</f>
        <v>2768.2071842838122</v>
      </c>
      <c r="L515" s="179">
        <f>VLOOKUP(B515,Tot_res!C:V,11,FALSE)</f>
        <v>14215.676979692471</v>
      </c>
      <c r="M515" s="179">
        <f>VLOOKUP(B515,Tot_res!C:V,12,FALSE)</f>
        <v>7616.1134609491446</v>
      </c>
      <c r="N515" s="179">
        <f>VLOOKUP(B515,Tot_res!C:V,13,FALSE)</f>
        <v>1140.5476957965161</v>
      </c>
      <c r="O515" s="179">
        <f>VLOOKUP(B515,Tot_res!C:V,14,FALSE)</f>
        <v>5242.3210415905041</v>
      </c>
      <c r="P515" s="179">
        <f>VLOOKUP(B515,Tot_res!C:V,15,FALSE)</f>
        <v>16516.817267916726</v>
      </c>
      <c r="Q515" s="179">
        <f>VLOOKUP(B515,Tot_res!C:V,16,FALSE)</f>
        <v>1638.3206176207814</v>
      </c>
      <c r="R515" s="179">
        <f>VLOOKUP(B515,Tot_res!C:V,17,FALSE)</f>
        <v>2046.6412672524084</v>
      </c>
      <c r="S515" s="179">
        <f>VLOOKUP(B515,Tot_res!C:V,18,FALSE)</f>
        <v>9101.6784335957018</v>
      </c>
      <c r="T515" s="179">
        <f>VLOOKUP(B515,Tot_res!C:V,19,FALSE)</f>
        <v>854.74646466731178</v>
      </c>
      <c r="U515" s="179">
        <f>VLOOKUP(B515,Tot_res!C:V,20,FALSE)</f>
        <v>39.69870749703523</v>
      </c>
      <c r="V515" s="122">
        <f t="shared" si="109"/>
        <v>85387.103999999992</v>
      </c>
    </row>
    <row r="516" spans="1:22">
      <c r="A516" s="351" t="str">
        <f>IF(B516="","",(IF(ISERROR(MATCH(B516,Tot_res!C:C,0)),"Eliminar!!!","")))</f>
        <v/>
      </c>
      <c r="B516" s="102" t="s">
        <v>1229</v>
      </c>
      <c r="C516" s="330" t="str">
        <f>VLOOKUP(B516,Tot_res!C:D,2,FALSE)</f>
        <v>Impuesto sobre gases fluorados. Ingresos homogeneizados</v>
      </c>
      <c r="D516" s="179">
        <f>VLOOKUP(B516,Tot_res!C:V,3,FALSE)</f>
        <v>5277.6069382655005</v>
      </c>
      <c r="E516" s="179">
        <f>VLOOKUP(B516,Tot_res!C:V,4,FALSE)</f>
        <v>939.34885045493638</v>
      </c>
      <c r="F516" s="179">
        <f>VLOOKUP(B516,Tot_res!C:V,5,FALSE)</f>
        <v>681.23012721578243</v>
      </c>
      <c r="G516" s="179">
        <f>VLOOKUP(B516,Tot_res!C:V,6,FALSE)</f>
        <v>804.79008609486141</v>
      </c>
      <c r="H516" s="179">
        <f>VLOOKUP(B516,Tot_res!C:V,7,FALSE)</f>
        <v>1238.5210859635063</v>
      </c>
      <c r="I516" s="179">
        <f>VLOOKUP(B516,Tot_res!C:V,8,FALSE)</f>
        <v>389.88647381474311</v>
      </c>
      <c r="J516" s="179">
        <f>VLOOKUP(B516,Tot_res!C:V,9,FALSE)</f>
        <v>1735.0220349357196</v>
      </c>
      <c r="K516" s="179">
        <f>VLOOKUP(B516,Tot_res!C:V,10,FALSE)</f>
        <v>1356.1686104957853</v>
      </c>
      <c r="L516" s="179">
        <f>VLOOKUP(B516,Tot_res!C:V,11,FALSE)</f>
        <v>5297.8172900776144</v>
      </c>
      <c r="M516" s="179">
        <f>VLOOKUP(B516,Tot_res!C:V,12,FALSE)</f>
        <v>3234.4493298473772</v>
      </c>
      <c r="N516" s="179">
        <f>VLOOKUP(B516,Tot_res!C:V,13,FALSE)</f>
        <v>706.44084524491905</v>
      </c>
      <c r="O516" s="179">
        <f>VLOOKUP(B516,Tot_res!C:V,14,FALSE)</f>
        <v>1831.2595259214634</v>
      </c>
      <c r="P516" s="179">
        <f>VLOOKUP(B516,Tot_res!C:V,15,FALSE)</f>
        <v>4701.0942859177458</v>
      </c>
      <c r="Q516" s="179">
        <f>VLOOKUP(B516,Tot_res!C:V,16,FALSE)</f>
        <v>900.1047877609567</v>
      </c>
      <c r="R516" s="179">
        <f>VLOOKUP(B516,Tot_res!C:V,17,FALSE)</f>
        <v>457.46845590535634</v>
      </c>
      <c r="S516" s="179">
        <f>VLOOKUP(B516,Tot_res!C:V,18,FALSE)</f>
        <v>1559.3131530488199</v>
      </c>
      <c r="T516" s="179">
        <f>VLOOKUP(B516,Tot_res!C:V,19,FALSE)</f>
        <v>197.10975610666583</v>
      </c>
      <c r="U516" s="179">
        <f>VLOOKUP(B516,Tot_res!C:V,20,FALSE)</f>
        <v>79.368362928248644</v>
      </c>
      <c r="V516" s="122">
        <f t="shared" si="108"/>
        <v>31387.000000000007</v>
      </c>
    </row>
    <row r="517" spans="1:22">
      <c r="A517" s="352"/>
      <c r="C517" s="115"/>
      <c r="D517" s="105"/>
      <c r="E517" s="105"/>
      <c r="F517" s="105"/>
      <c r="G517" s="105"/>
      <c r="H517" s="105"/>
      <c r="I517" s="105"/>
      <c r="J517" s="105"/>
      <c r="K517" s="105"/>
      <c r="L517" s="105"/>
      <c r="M517" s="105"/>
      <c r="N517" s="105"/>
      <c r="O517" s="105"/>
      <c r="P517" s="105"/>
      <c r="Q517" s="105"/>
      <c r="R517" s="105"/>
      <c r="S517" s="105"/>
      <c r="T517" s="105"/>
      <c r="U517" s="105"/>
      <c r="V517" s="122"/>
    </row>
    <row r="518" spans="1:22" ht="13.5">
      <c r="A518" s="352"/>
      <c r="C518" s="112" t="s">
        <v>424</v>
      </c>
      <c r="D518" s="114">
        <f t="shared" ref="D518:V518" si="110">SUM(D519:D530)</f>
        <v>421288.22585972032</v>
      </c>
      <c r="E518" s="114">
        <f t="shared" si="110"/>
        <v>122079.58107383431</v>
      </c>
      <c r="F518" s="114">
        <f t="shared" si="110"/>
        <v>84718.740484473878</v>
      </c>
      <c r="G518" s="114">
        <f t="shared" si="110"/>
        <v>184311.31400701278</v>
      </c>
      <c r="H518" s="114">
        <f t="shared" si="110"/>
        <v>-1618302.7806836397</v>
      </c>
      <c r="I518" s="114">
        <f t="shared" si="110"/>
        <v>31209.338941115086</v>
      </c>
      <c r="J518" s="114">
        <f t="shared" si="110"/>
        <v>132828.03236129042</v>
      </c>
      <c r="K518" s="114">
        <f t="shared" si="110"/>
        <v>-1489.9552017093665</v>
      </c>
      <c r="L518" s="114">
        <f t="shared" si="110"/>
        <v>768380.10521571501</v>
      </c>
      <c r="M518" s="114">
        <f t="shared" si="110"/>
        <v>441035.54058933852</v>
      </c>
      <c r="N518" s="114">
        <f t="shared" si="110"/>
        <v>151275.14962596088</v>
      </c>
      <c r="O518" s="114">
        <f t="shared" si="110"/>
        <v>230848.49936600908</v>
      </c>
      <c r="P518" s="114">
        <f t="shared" si="110"/>
        <v>-468604.86651507078</v>
      </c>
      <c r="Q518" s="114">
        <f t="shared" si="110"/>
        <v>155152.83040315824</v>
      </c>
      <c r="R518" s="114">
        <f t="shared" si="110"/>
        <v>-360924.33583581366</v>
      </c>
      <c r="S518" s="114">
        <f t="shared" si="110"/>
        <v>-856158.48938952258</v>
      </c>
      <c r="T518" s="114">
        <f t="shared" si="110"/>
        <v>18162.212038300378</v>
      </c>
      <c r="U518" s="114">
        <f t="shared" si="110"/>
        <v>-110041.07674968799</v>
      </c>
      <c r="V518" s="126">
        <f t="shared" si="110"/>
        <v>-674231.93440951686</v>
      </c>
    </row>
    <row r="519" spans="1:22">
      <c r="A519" s="351" t="str">
        <f>IF(B519="","",(IF(ISERROR(MATCH(B519,Tot_res!C:C,0)),"Eliminar!!!","")))</f>
        <v/>
      </c>
      <c r="B519" s="102" t="s">
        <v>447</v>
      </c>
      <c r="C519" s="330" t="str">
        <f>VLOOKUP(B519,Tot_res!C:D,2,FALSE)</f>
        <v>IRPF, sobreesfuerzo fiscal</v>
      </c>
      <c r="D519" s="179">
        <f>VLOOKUP(B519,Tot_res!C:V,3,FALSE)</f>
        <v>12734.241309700068</v>
      </c>
      <c r="E519" s="179">
        <f>VLOOKUP(B519,Tot_res!C:V,4,FALSE)</f>
        <v>-5492.3082503965124</v>
      </c>
      <c r="F519" s="179">
        <f>VLOOKUP(B519,Tot_res!C:V,5,FALSE)</f>
        <v>-746.35508457350079</v>
      </c>
      <c r="G519" s="179">
        <f>VLOOKUP(B519,Tot_res!C:V,6,FALSE)</f>
        <v>-5109.2470425998326</v>
      </c>
      <c r="H519" s="179">
        <f>VLOOKUP(B519,Tot_res!C:V,7,FALSE)</f>
        <v>-31928.43132565706</v>
      </c>
      <c r="I519" s="179">
        <f>VLOOKUP(B519,Tot_res!C:V,8,FALSE)</f>
        <v>-20659.037132512836</v>
      </c>
      <c r="J519" s="179">
        <f>VLOOKUP(B519,Tot_res!C:V,9,FALSE)</f>
        <v>-33446.295895299874</v>
      </c>
      <c r="K519" s="179">
        <f>VLOOKUP(B519,Tot_res!C:V,10,FALSE)</f>
        <v>-56239.189463270828</v>
      </c>
      <c r="L519" s="179">
        <f>VLOOKUP(B519,Tot_res!C:V,11,FALSE)</f>
        <v>-4979.9105593096465</v>
      </c>
      <c r="M519" s="179">
        <f>VLOOKUP(B519,Tot_res!C:V,12,FALSE)</f>
        <v>-42861.618788359221</v>
      </c>
      <c r="N519" s="179">
        <f>VLOOKUP(B519,Tot_res!C:V,13,FALSE)</f>
        <v>-3083.7982194059878</v>
      </c>
      <c r="O519" s="179">
        <f>VLOOKUP(B519,Tot_res!C:V,14,FALSE)</f>
        <v>-24500.570280448301</v>
      </c>
      <c r="P519" s="179">
        <f>VLOOKUP(B519,Tot_res!C:V,15,FALSE)</f>
        <v>-431779.33323761914</v>
      </c>
      <c r="Q519" s="179">
        <f>VLOOKUP(B519,Tot_res!C:V,16,FALSE)</f>
        <v>-1039.9578275296371</v>
      </c>
      <c r="R519" s="179">
        <f>VLOOKUP(B519,Tot_res!C:V,17,FALSE)</f>
        <v>-326776.02889105264</v>
      </c>
      <c r="S519" s="179">
        <f>VLOOKUP(B519,Tot_res!C:V,18,FALSE)</f>
        <v>-868069.38915694249</v>
      </c>
      <c r="T519" s="179">
        <f>VLOOKUP(B519,Tot_res!C:V,19,FALSE)</f>
        <v>-6188.8049822228495</v>
      </c>
      <c r="U519" s="179">
        <f>VLOOKUP(B519,Tot_res!C:V,20,FALSE)</f>
        <v>-30264.235226262965</v>
      </c>
      <c r="V519" s="122">
        <f t="shared" ref="V519:V530" si="111">SUM(D519:U519)</f>
        <v>-1880430.2700537634</v>
      </c>
    </row>
    <row r="520" spans="1:22">
      <c r="A520" s="351" t="str">
        <f>IF(B520="","",(IF(ISERROR(MATCH(B520,Tot_res!C:C,0)),"Eliminar!!!","")))</f>
        <v/>
      </c>
      <c r="B520" s="102" t="s">
        <v>449</v>
      </c>
      <c r="C520" s="330" t="str">
        <f>VLOOKUP(B520,Tot_res!C:D,2,FALSE)</f>
        <v>Sociedades, sobreesfuerzo fiscal</v>
      </c>
      <c r="D520" s="179">
        <f>VLOOKUP(B520,Tot_res!C:V,3,FALSE)</f>
        <v>-14031.016262306699</v>
      </c>
      <c r="E520" s="179">
        <f>VLOOKUP(B520,Tot_res!C:V,4,FALSE)</f>
        <v>-3332.4891755378512</v>
      </c>
      <c r="F520" s="179">
        <f>VLOOKUP(B520,Tot_res!C:V,5,FALSE)</f>
        <v>-2393.0693934564724</v>
      </c>
      <c r="G520" s="179">
        <f>VLOOKUP(B520,Tot_res!C:V,6,FALSE)</f>
        <v>-2643.6433702782033</v>
      </c>
      <c r="H520" s="179">
        <f>VLOOKUP(B520,Tot_res!C:V,7,FALSE)</f>
        <v>-3818.4456350684754</v>
      </c>
      <c r="I520" s="179">
        <f>VLOOKUP(B520,Tot_res!C:V,8,FALSE)</f>
        <v>-1479.1233984932749</v>
      </c>
      <c r="J520" s="179">
        <f>VLOOKUP(B520,Tot_res!C:V,9,FALSE)</f>
        <v>-5253.0406832479021</v>
      </c>
      <c r="K520" s="179">
        <f>VLOOKUP(B520,Tot_res!C:V,10,FALSE)</f>
        <v>-3478.5447642863446</v>
      </c>
      <c r="L520" s="179">
        <f>VLOOKUP(B520,Tot_res!C:V,11,FALSE)</f>
        <v>-20505.724907186544</v>
      </c>
      <c r="M520" s="179">
        <f>VLOOKUP(B520,Tot_res!C:V,12,FALSE)</f>
        <v>-10381.979153348508</v>
      </c>
      <c r="N520" s="179">
        <f>VLOOKUP(B520,Tot_res!C:V,13,FALSE)</f>
        <v>-1626.9106426688259</v>
      </c>
      <c r="O520" s="179">
        <f>VLOOKUP(B520,Tot_res!C:V,14,FALSE)</f>
        <v>-5869.3263539901482</v>
      </c>
      <c r="P520" s="179">
        <f>VLOOKUP(B520,Tot_res!C:V,15,FALSE)</f>
        <v>-21678.685337856259</v>
      </c>
      <c r="Q520" s="179">
        <f>VLOOKUP(B520,Tot_res!C:V,16,FALSE)</f>
        <v>-2604.7100218416913</v>
      </c>
      <c r="R520" s="179">
        <f>VLOOKUP(B520,Tot_res!C:V,17,FALSE)</f>
        <v>-73766.684599204062</v>
      </c>
      <c r="S520" s="179">
        <f>VLOOKUP(B520,Tot_res!C:V,18,FALSE)</f>
        <v>-36904.743202915721</v>
      </c>
      <c r="T520" s="179">
        <f>VLOOKUP(B520,Tot_res!C:V,19,FALSE)</f>
        <v>-787.61957588814062</v>
      </c>
      <c r="U520" s="179">
        <f>VLOOKUP(B520,Tot_res!C:V,20,FALSE)</f>
        <v>-329.95871268543772</v>
      </c>
      <c r="V520" s="122">
        <f t="shared" si="111"/>
        <v>-210885.71519026055</v>
      </c>
    </row>
    <row r="521" spans="1:22">
      <c r="A521" s="351" t="str">
        <f>IF(B521="","",(IF(ISERROR(MATCH(B521,Tot_res!C:C,0)),"Eliminar!!!","")))</f>
        <v/>
      </c>
      <c r="B521" s="102" t="s">
        <v>450</v>
      </c>
      <c r="C521" s="330" t="str">
        <f>VLOOKUP(B521,Tot_res!C:D,2,FALSE)</f>
        <v>Sucesiones y donaciones, sobreesfuerzo fiscal</v>
      </c>
      <c r="D521" s="179">
        <f>VLOOKUP(B521,Tot_res!C:V,3,FALSE)</f>
        <v>17878.681074449385</v>
      </c>
      <c r="E521" s="179">
        <f>VLOOKUP(B521,Tot_res!C:V,4,FALSE)</f>
        <v>40880.199599201005</v>
      </c>
      <c r="F521" s="179">
        <f>VLOOKUP(B521,Tot_res!C:V,5,FALSE)</f>
        <v>22135.472716848526</v>
      </c>
      <c r="G521" s="179">
        <f>VLOOKUP(B521,Tot_res!C:V,6,FALSE)</f>
        <v>33033.723816069381</v>
      </c>
      <c r="H521" s="179">
        <f>VLOOKUP(B521,Tot_res!C:V,7,FALSE)</f>
        <v>-9993.0051497911481</v>
      </c>
      <c r="I521" s="179">
        <f>VLOOKUP(B521,Tot_res!C:V,8,FALSE)</f>
        <v>-8426.7905972648659</v>
      </c>
      <c r="J521" s="179">
        <f>VLOOKUP(B521,Tot_res!C:V,9,FALSE)</f>
        <v>-11194.592006510473</v>
      </c>
      <c r="K521" s="179">
        <f>VLOOKUP(B521,Tot_res!C:V,10,FALSE)</f>
        <v>-26922.5095577295</v>
      </c>
      <c r="L521" s="179">
        <f>VLOOKUP(B521,Tot_res!C:V,11,FALSE)</f>
        <v>-119798.08947359095</v>
      </c>
      <c r="M521" s="179">
        <f>VLOOKUP(B521,Tot_res!C:V,12,FALSE)</f>
        <v>-71538.104711834312</v>
      </c>
      <c r="N521" s="179">
        <f>VLOOKUP(B521,Tot_res!C:V,13,FALSE)</f>
        <v>-6828.7102345084713</v>
      </c>
      <c r="O521" s="179">
        <f>VLOOKUP(B521,Tot_res!C:V,14,FALSE)</f>
        <v>38408.752166391176</v>
      </c>
      <c r="P521" s="179">
        <f>VLOOKUP(B521,Tot_res!C:V,15,FALSE)</f>
        <v>66443.708467419376</v>
      </c>
      <c r="Q521" s="179">
        <f>VLOOKUP(B521,Tot_res!C:V,16,FALSE)</f>
        <v>40504.683118790679</v>
      </c>
      <c r="R521" s="179">
        <f>VLOOKUP(B521,Tot_res!C:V,17,FALSE)</f>
        <v>9065.4968416886477</v>
      </c>
      <c r="S521" s="179">
        <f>VLOOKUP(B521,Tot_res!C:V,18,FALSE)</f>
        <v>-53270.103345298819</v>
      </c>
      <c r="T521" s="179">
        <f>VLOOKUP(B521,Tot_res!C:V,19,FALSE)</f>
        <v>-4583.419227939743</v>
      </c>
      <c r="U521" s="179">
        <f>VLOOKUP(B521,Tot_res!C:V,20,FALSE)</f>
        <v>-6038.6967158805273</v>
      </c>
      <c r="V521" s="122">
        <f t="shared" si="111"/>
        <v>-50243.303219490648</v>
      </c>
    </row>
    <row r="522" spans="1:22">
      <c r="A522" s="351" t="str">
        <f>IF(B522="","",(IF(ISERROR(MATCH(B522,Tot_res!C:C,0)),"Eliminar!!!","")))</f>
        <v/>
      </c>
      <c r="B522" s="102" t="s">
        <v>652</v>
      </c>
      <c r="C522" s="330" t="str">
        <f>VLOOKUP(B522,Tot_res!C:D,2,FALSE)</f>
        <v>Patrimonio, sobreesfuerzo fiscal</v>
      </c>
      <c r="D522" s="179">
        <f>VLOOKUP(B522,Tot_res!C:V,3,FALSE)</f>
        <v>0</v>
      </c>
      <c r="E522" s="179">
        <f>VLOOKUP(B522,Tot_res!C:V,4,FALSE)</f>
        <v>0</v>
      </c>
      <c r="F522" s="179">
        <f>VLOOKUP(B522,Tot_res!C:V,5,FALSE)</f>
        <v>0</v>
      </c>
      <c r="G522" s="179">
        <f>VLOOKUP(B522,Tot_res!C:V,6,FALSE)</f>
        <v>0</v>
      </c>
      <c r="H522" s="179">
        <f>VLOOKUP(B522,Tot_res!C:V,7,FALSE)</f>
        <v>0</v>
      </c>
      <c r="I522" s="179">
        <f>VLOOKUP(B522,Tot_res!C:V,8,FALSE)</f>
        <v>0</v>
      </c>
      <c r="J522" s="179">
        <f>VLOOKUP(B522,Tot_res!C:V,9,FALSE)</f>
        <v>0</v>
      </c>
      <c r="K522" s="179">
        <f>VLOOKUP(B522,Tot_res!C:V,10,FALSE)</f>
        <v>0</v>
      </c>
      <c r="L522" s="179">
        <f>VLOOKUP(B522,Tot_res!C:V,11,FALSE)</f>
        <v>0</v>
      </c>
      <c r="M522" s="179">
        <f>VLOOKUP(B522,Tot_res!C:V,12,FALSE)</f>
        <v>0</v>
      </c>
      <c r="N522" s="179">
        <f>VLOOKUP(B522,Tot_res!C:V,13,FALSE)</f>
        <v>0</v>
      </c>
      <c r="O522" s="179">
        <f>VLOOKUP(B522,Tot_res!C:V,14,FALSE)</f>
        <v>0</v>
      </c>
      <c r="P522" s="179">
        <f>VLOOKUP(B522,Tot_res!C:V,15,FALSE)</f>
        <v>0</v>
      </c>
      <c r="Q522" s="179">
        <f>VLOOKUP(B522,Tot_res!C:V,16,FALSE)</f>
        <v>0</v>
      </c>
      <c r="R522" s="179">
        <f>VLOOKUP(B522,Tot_res!C:V,17,FALSE)</f>
        <v>0</v>
      </c>
      <c r="S522" s="179">
        <f>VLOOKUP(B522,Tot_res!C:V,18,FALSE)</f>
        <v>0</v>
      </c>
      <c r="T522" s="179">
        <f>VLOOKUP(B522,Tot_res!C:V,19,FALSE)</f>
        <v>0</v>
      </c>
      <c r="U522" s="179">
        <f>VLOOKUP(B522,Tot_res!C:V,20,FALSE)</f>
        <v>2463</v>
      </c>
      <c r="V522" s="122">
        <f t="shared" si="111"/>
        <v>2463</v>
      </c>
    </row>
    <row r="523" spans="1:22">
      <c r="A523" s="351" t="str">
        <f>IF(B523="","",(IF(ISERROR(MATCH(B523,Tot_res!C:C,0)),"Eliminar!!!","")))</f>
        <v/>
      </c>
      <c r="B523" s="102" t="s">
        <v>1095</v>
      </c>
      <c r="C523" s="330" t="str">
        <f>VLOOKUP(B523,Tot_res!C:D,2,FALSE)</f>
        <v>IH, sobreesfuerzo fiscal</v>
      </c>
      <c r="D523" s="179">
        <f>VLOOKUP(B523,Tot_res!C:V,3,FALSE)</f>
        <v>217204.89194982743</v>
      </c>
      <c r="E523" s="179">
        <f>VLOOKUP(B523,Tot_res!C:V,4,FALSE)</f>
        <v>4621.5860774052662</v>
      </c>
      <c r="F523" s="179">
        <f>VLOOKUP(B523,Tot_res!C:V,5,FALSE)</f>
        <v>24646.390355771266</v>
      </c>
      <c r="G523" s="179">
        <f>VLOOKUP(B523,Tot_res!C:V,6,FALSE)</f>
        <v>34684.454504404232</v>
      </c>
      <c r="H523" s="179">
        <f>VLOOKUP(B523,Tot_res!C:V,7,FALSE)</f>
        <v>3581.3087560767312</v>
      </c>
      <c r="I523" s="179">
        <f>VLOOKUP(B523,Tot_res!C:V,8,FALSE)</f>
        <v>20569.661096445783</v>
      </c>
      <c r="J523" s="179">
        <f>VLOOKUP(B523,Tot_res!C:V,9,FALSE)</f>
        <v>82490.456353088288</v>
      </c>
      <c r="K523" s="179">
        <f>VLOOKUP(B523,Tot_res!C:V,10,FALSE)</f>
        <v>64147.615192517267</v>
      </c>
      <c r="L523" s="179">
        <f>VLOOKUP(B523,Tot_res!C:V,11,FALSE)</f>
        <v>211086.35224682416</v>
      </c>
      <c r="M523" s="179">
        <f>VLOOKUP(B523,Tot_res!C:V,12,FALSE)</f>
        <v>122480.01177060872</v>
      </c>
      <c r="N523" s="179">
        <f>VLOOKUP(B523,Tot_res!C:V,13,FALSE)</f>
        <v>28821.197099441797</v>
      </c>
      <c r="O523" s="179">
        <f>VLOOKUP(B523,Tot_res!C:V,14,FALSE)</f>
        <v>70491.246212193539</v>
      </c>
      <c r="P523" s="179">
        <f>VLOOKUP(B523,Tot_res!C:V,15,FALSE)</f>
        <v>72291.430620566156</v>
      </c>
      <c r="Q523" s="179">
        <f>VLOOKUP(B523,Tot_res!C:V,16,FALSE)</f>
        <v>43071.133420458529</v>
      </c>
      <c r="R523" s="179">
        <f>VLOOKUP(B523,Tot_res!C:V,17,FALSE)</f>
        <v>2357.6076967346512</v>
      </c>
      <c r="S523" s="179">
        <f>VLOOKUP(B523,Tot_res!C:V,18,FALSE)</f>
        <v>8342.5574590322212</v>
      </c>
      <c r="T523" s="179">
        <f>VLOOKUP(B523,Tot_res!C:V,19,FALSE)</f>
        <v>1099.4255473035669</v>
      </c>
      <c r="U523" s="179">
        <f>VLOOKUP(B523,Tot_res!C:V,20,FALSE)</f>
        <v>451.47364130036914</v>
      </c>
      <c r="V523" s="122">
        <f t="shared" ref="V523" si="112">SUM(D523:U523)</f>
        <v>1012438.7999999999</v>
      </c>
    </row>
    <row r="524" spans="1:22">
      <c r="A524" s="351" t="str">
        <f>IF(B524="","",(IF(ISERROR(MATCH(B524,Tot_res!C:C,0)),"Eliminar!!!","")))</f>
        <v/>
      </c>
      <c r="B524" s="102" t="s">
        <v>452</v>
      </c>
      <c r="C524" s="330" t="str">
        <f>VLOOKUP(B524,Tot_res!C:D,2,FALSE)</f>
        <v>ITP y AJD, sobreesfuerzo fiscal</v>
      </c>
      <c r="D524" s="179">
        <f>VLOOKUP(B524,Tot_res!C:V,3,FALSE)</f>
        <v>62614.403667307161</v>
      </c>
      <c r="E524" s="179">
        <f>VLOOKUP(B524,Tot_res!C:V,4,FALSE)</f>
        <v>3519.8833868297411</v>
      </c>
      <c r="F524" s="179">
        <f>VLOOKUP(B524,Tot_res!C:V,5,FALSE)</f>
        <v>6802.4240901075973</v>
      </c>
      <c r="G524" s="179">
        <f>VLOOKUP(B524,Tot_res!C:V,6,FALSE)</f>
        <v>10535.23378416281</v>
      </c>
      <c r="H524" s="179">
        <f>VLOOKUP(B524,Tot_res!C:V,7,FALSE)</f>
        <v>-873.93464752430759</v>
      </c>
      <c r="I524" s="179">
        <f>VLOOKUP(B524,Tot_res!C:V,8,FALSE)</f>
        <v>4271.2246823486057</v>
      </c>
      <c r="J524" s="179">
        <f>VLOOKUP(B524,Tot_res!C:V,9,FALSE)</f>
        <v>19165.799642761034</v>
      </c>
      <c r="K524" s="179">
        <f>VLOOKUP(B524,Tot_res!C:V,10,FALSE)</f>
        <v>13325.574489306064</v>
      </c>
      <c r="L524" s="179">
        <f>VLOOKUP(B524,Tot_res!C:V,11,FALSE)</f>
        <v>181075.62251163131</v>
      </c>
      <c r="M524" s="179">
        <f>VLOOKUP(B524,Tot_res!C:V,12,FALSE)</f>
        <v>91948.537276537347</v>
      </c>
      <c r="N524" s="179">
        <f>VLOOKUP(B524,Tot_res!C:V,13,FALSE)</f>
        <v>6457.4730293290149</v>
      </c>
      <c r="O524" s="179">
        <f>VLOOKUP(B524,Tot_res!C:V,14,FALSE)</f>
        <v>35508.749805055755</v>
      </c>
      <c r="P524" s="179">
        <f>VLOOKUP(B524,Tot_res!C:V,15,FALSE)</f>
        <v>-48997.782734995388</v>
      </c>
      <c r="Q524" s="179">
        <f>VLOOKUP(B524,Tot_res!C:V,16,FALSE)</f>
        <v>9117.5251258104909</v>
      </c>
      <c r="R524" s="179">
        <f>VLOOKUP(B524,Tot_res!C:V,17,FALSE)</f>
        <v>-12756.820245182565</v>
      </c>
      <c r="S524" s="179">
        <f>VLOOKUP(B524,Tot_res!C:V,18,FALSE)</f>
        <v>-66563.947750526451</v>
      </c>
      <c r="T524" s="179">
        <f>VLOOKUP(B524,Tot_res!C:V,19,FALSE)</f>
        <v>832.35909463385542</v>
      </c>
      <c r="U524" s="179">
        <f>VLOOKUP(B524,Tot_res!C:V,20,FALSE)</f>
        <v>10811.859778625214</v>
      </c>
      <c r="V524" s="122">
        <f t="shared" si="111"/>
        <v>326794.18498621718</v>
      </c>
    </row>
    <row r="525" spans="1:22">
      <c r="A525" s="351" t="str">
        <f>IF(B525="","",(IF(ISERROR(MATCH(B525,Tot_res!C:C,0)),"Eliminar!!!","")))</f>
        <v/>
      </c>
      <c r="B525" s="102" t="s">
        <v>453</v>
      </c>
      <c r="C525" s="330" t="str">
        <f>VLOOKUP(B525,Tot_res!C:D,2,FALSE)</f>
        <v>IVMH, sobreesfuerzo fiscal</v>
      </c>
      <c r="D525" s="179">
        <f>VLOOKUP(B525,Tot_res!C:V,3,FALSE)</f>
        <v>1607.8301149505064</v>
      </c>
      <c r="E525" s="179">
        <f>VLOOKUP(B525,Tot_res!C:V,4,FALSE)</f>
        <v>20.860297688433157</v>
      </c>
      <c r="F525" s="179">
        <f>VLOOKUP(B525,Tot_res!C:V,5,FALSE)</f>
        <v>60.649949055273595</v>
      </c>
      <c r="G525" s="179">
        <f>VLOOKUP(B525,Tot_res!C:V,6,FALSE)</f>
        <v>77.868057922428704</v>
      </c>
      <c r="H525" s="179">
        <f>VLOOKUP(B525,Tot_res!C:V,7,FALSE)</f>
        <v>16.168177299371571</v>
      </c>
      <c r="I525" s="179">
        <f>VLOOKUP(B525,Tot_res!C:V,8,FALSE)</f>
        <v>109.40917328018321</v>
      </c>
      <c r="J525" s="179">
        <f>VLOOKUP(B525,Tot_res!C:V,9,FALSE)</f>
        <v>404.10021270245113</v>
      </c>
      <c r="K525" s="179">
        <f>VLOOKUP(B525,Tot_res!C:V,10,FALSE)</f>
        <v>256.33907160370069</v>
      </c>
      <c r="L525" s="179">
        <f>VLOOKUP(B525,Tot_res!C:V,11,FALSE)</f>
        <v>587.91950222230093</v>
      </c>
      <c r="M525" s="179">
        <f>VLOOKUP(B525,Tot_res!C:V,12,FALSE)</f>
        <v>925.91000309668937</v>
      </c>
      <c r="N525" s="179">
        <f>VLOOKUP(B525,Tot_res!C:V,13,FALSE)</f>
        <v>297.74102368452679</v>
      </c>
      <c r="O525" s="179">
        <f>VLOOKUP(B525,Tot_res!C:V,14,FALSE)</f>
        <v>204.24194516355317</v>
      </c>
      <c r="P525" s="179">
        <f>VLOOKUP(B525,Tot_res!C:V,15,FALSE)</f>
        <v>329.5684748323909</v>
      </c>
      <c r="Q525" s="179">
        <f>VLOOKUP(B525,Tot_res!C:V,16,FALSE)</f>
        <v>286.76944700662193</v>
      </c>
      <c r="R525" s="179">
        <f>VLOOKUP(B525,Tot_res!C:V,17,FALSE)</f>
        <v>-495.642023827777</v>
      </c>
      <c r="S525" s="179">
        <f>VLOOKUP(B525,Tot_res!C:V,18,FALSE)</f>
        <v>37.663311742936976</v>
      </c>
      <c r="T525" s="179">
        <f>VLOOKUP(B525,Tot_res!C:V,19,FALSE)</f>
        <v>4.9661219666556953</v>
      </c>
      <c r="U525" s="179">
        <f>VLOOKUP(B525,Tot_res!C:V,20,FALSE)</f>
        <v>2.0382230005026845</v>
      </c>
      <c r="V525" s="122">
        <f t="shared" si="111"/>
        <v>4734.4010833907505</v>
      </c>
    </row>
    <row r="526" spans="1:22">
      <c r="A526" s="351" t="str">
        <f>IF(B526="","",(IF(ISERROR(MATCH(B526,Tot_res!C:C,0)),"Eliminar!!!","")))</f>
        <v/>
      </c>
      <c r="B526" s="102" t="s">
        <v>455</v>
      </c>
      <c r="C526" s="330" t="str">
        <f>VLOOKUP(B526,Tot_res!C:D,2,FALSE)</f>
        <v>Tasas sobre el juego, sobreesfuerzo fiscal</v>
      </c>
      <c r="D526" s="179">
        <f>VLOOKUP(B526,Tot_res!C:V,3,FALSE)</f>
        <v>14624.126762592699</v>
      </c>
      <c r="E526" s="179">
        <f>VLOOKUP(B526,Tot_res!C:V,4,FALSE)</f>
        <v>9085.5857099300047</v>
      </c>
      <c r="F526" s="179">
        <f>VLOOKUP(B526,Tot_res!C:V,5,FALSE)</f>
        <v>5573.5317450354833</v>
      </c>
      <c r="G526" s="179">
        <f>VLOOKUP(B526,Tot_res!C:V,6,FALSE)</f>
        <v>-5040.1714630143351</v>
      </c>
      <c r="H526" s="179">
        <f>VLOOKUP(B526,Tot_res!C:V,7,FALSE)</f>
        <v>17719.346861081442</v>
      </c>
      <c r="I526" s="179">
        <f>VLOOKUP(B526,Tot_res!C:V,8,FALSE)</f>
        <v>1594.5199070897861</v>
      </c>
      <c r="J526" s="179">
        <f>VLOOKUP(B526,Tot_res!C:V,9,FALSE)</f>
        <v>2930.4858467180497</v>
      </c>
      <c r="K526" s="179">
        <f>VLOOKUP(B526,Tot_res!C:V,10,FALSE)</f>
        <v>-4764.1782135951698</v>
      </c>
      <c r="L526" s="179">
        <f>VLOOKUP(B526,Tot_res!C:V,11,FALSE)</f>
        <v>50740.513574480909</v>
      </c>
      <c r="M526" s="179">
        <f>VLOOKUP(B526,Tot_res!C:V,12,FALSE)</f>
        <v>-5477.1622583773596</v>
      </c>
      <c r="N526" s="179">
        <f>VLOOKUP(B526,Tot_res!C:V,13,FALSE)</f>
        <v>4148.5474191517924</v>
      </c>
      <c r="O526" s="179">
        <f>VLOOKUP(B526,Tot_res!C:V,14,FALSE)</f>
        <v>-7084.4365461097277</v>
      </c>
      <c r="P526" s="179">
        <f>VLOOKUP(B526,Tot_res!C:V,15,FALSE)</f>
        <v>-93156.401511306307</v>
      </c>
      <c r="Q526" s="179">
        <f>VLOOKUP(B526,Tot_res!C:V,16,FALSE)</f>
        <v>5704.3368593746072</v>
      </c>
      <c r="R526" s="179">
        <f>VLOOKUP(B526,Tot_res!C:V,17,FALSE)</f>
        <v>-811.2181723548573</v>
      </c>
      <c r="S526" s="179">
        <f>VLOOKUP(B526,Tot_res!C:V,18,FALSE)</f>
        <v>18341.048086217608</v>
      </c>
      <c r="T526" s="179">
        <f>VLOOKUP(B526,Tot_res!C:V,19,FALSE)</f>
        <v>3529.6805644086958</v>
      </c>
      <c r="U526" s="179">
        <f>VLOOKUP(B526,Tot_res!C:V,20,FALSE)</f>
        <v>126.59001020406595</v>
      </c>
      <c r="V526" s="122">
        <f t="shared" si="111"/>
        <v>17784.745181527378</v>
      </c>
    </row>
    <row r="527" spans="1:22">
      <c r="A527" s="351" t="str">
        <f>IF(B527="","",(IF(ISERROR(MATCH(B527,Tot_res!C:C,0)),"Eliminar!!!","")))</f>
        <v/>
      </c>
      <c r="B527" s="102" t="s">
        <v>456</v>
      </c>
      <c r="C527" s="330" t="str">
        <f>VLOOKUP(B527,Tot_res!C:D,2,FALSE)</f>
        <v>Canarias, sobreesfuerzo fiscal consumo</v>
      </c>
      <c r="D527" s="179">
        <f>VLOOKUP(B527,Tot_res!C:V,3,FALSE)</f>
        <v>-95098.705227280327</v>
      </c>
      <c r="E527" s="179">
        <f>VLOOKUP(B527,Tot_res!C:V,4,FALSE)</f>
        <v>-15420.567302829422</v>
      </c>
      <c r="F527" s="179">
        <f>VLOOKUP(B527,Tot_res!C:V,5,FALSE)</f>
        <v>-13821.647299391236</v>
      </c>
      <c r="G527" s="179">
        <f>VLOOKUP(B527,Tot_res!C:V,6,FALSE)</f>
        <v>-12343.4732968967</v>
      </c>
      <c r="H527" s="179">
        <f>VLOOKUP(B527,Tot_res!C:V,7,FALSE)</f>
        <v>-1625974.4643193705</v>
      </c>
      <c r="I527" s="179">
        <f>VLOOKUP(B527,Tot_res!C:V,8,FALSE)</f>
        <v>-7162.4916589121112</v>
      </c>
      <c r="J527" s="179">
        <f>VLOOKUP(B527,Tot_res!C:V,9,FALSE)</f>
        <v>-30173.71600717042</v>
      </c>
      <c r="K527" s="179">
        <f>VLOOKUP(B527,Tot_res!C:V,10,FALSE)</f>
        <v>-22774.067474089567</v>
      </c>
      <c r="L527" s="179">
        <f>VLOOKUP(B527,Tot_res!C:V,11,FALSE)</f>
        <v>-87368.634190529541</v>
      </c>
      <c r="M527" s="179">
        <f>VLOOKUP(B527,Tot_res!C:V,12,FALSE)</f>
        <v>-57105.191925277846</v>
      </c>
      <c r="N527" s="179">
        <f>VLOOKUP(B527,Tot_res!C:V,13,FALSE)</f>
        <v>-12498.696706629707</v>
      </c>
      <c r="O527" s="179">
        <f>VLOOKUP(B527,Tot_res!C:V,14,FALSE)</f>
        <v>-33736.84731491204</v>
      </c>
      <c r="P527" s="179">
        <f>VLOOKUP(B527,Tot_res!C:V,15,FALSE)</f>
        <v>-78171.743316376887</v>
      </c>
      <c r="Q527" s="179">
        <f>VLOOKUP(B527,Tot_res!C:V,16,FALSE)</f>
        <v>-15922.428060907041</v>
      </c>
      <c r="R527" s="179">
        <f>VLOOKUP(B527,Tot_res!C:V,17,FALSE)</f>
        <v>-7961.2754539289235</v>
      </c>
      <c r="S527" s="179">
        <f>VLOOKUP(B527,Tot_res!C:V,18,FALSE)</f>
        <v>-29388.931932164596</v>
      </c>
      <c r="T527" s="179">
        <f>VLOOKUP(B527,Tot_res!C:V,19,FALSE)</f>
        <v>-3796.1395754873033</v>
      </c>
      <c r="U527" s="179">
        <f>VLOOKUP(B527,Tot_res!C:V,20,FALSE)</f>
        <v>-1863.3867493409316</v>
      </c>
      <c r="V527" s="122">
        <f t="shared" si="111"/>
        <v>-2150582.4078114955</v>
      </c>
    </row>
    <row r="528" spans="1:22">
      <c r="A528" s="351" t="str">
        <f>IF(B528="","",(IF(ISERROR(MATCH(B528,Tot_res!C:C,0)),"Eliminar!!!","")))</f>
        <v/>
      </c>
      <c r="B528" s="102" t="s">
        <v>457</v>
      </c>
      <c r="C528" s="330" t="str">
        <f>VLOOKUP(B528,Tot_res!C:D,2,FALSE)</f>
        <v>Ceuta y Melilla, sobreesfuerzo fiscal consumo</v>
      </c>
      <c r="D528" s="179">
        <f>VLOOKUP(B528,Tot_res!C:V,3,FALSE)</f>
        <v>0</v>
      </c>
      <c r="E528" s="179">
        <f>VLOOKUP(B528,Tot_res!C:V,4,FALSE)</f>
        <v>0</v>
      </c>
      <c r="F528" s="179">
        <f>VLOOKUP(B528,Tot_res!C:V,5,FALSE)</f>
        <v>0</v>
      </c>
      <c r="G528" s="179">
        <f>VLOOKUP(B528,Tot_res!C:V,6,FALSE)</f>
        <v>0</v>
      </c>
      <c r="H528" s="179">
        <f>VLOOKUP(B528,Tot_res!C:V,7,FALSE)</f>
        <v>0</v>
      </c>
      <c r="I528" s="179">
        <f>VLOOKUP(B528,Tot_res!C:V,8,FALSE)</f>
        <v>0</v>
      </c>
      <c r="J528" s="179">
        <f>VLOOKUP(B528,Tot_res!C:V,9,FALSE)</f>
        <v>0</v>
      </c>
      <c r="K528" s="179">
        <f>VLOOKUP(B528,Tot_res!C:V,10,FALSE)</f>
        <v>0</v>
      </c>
      <c r="L528" s="179">
        <f>VLOOKUP(B528,Tot_res!C:V,11,FALSE)</f>
        <v>0</v>
      </c>
      <c r="M528" s="179">
        <f>VLOOKUP(B528,Tot_res!C:V,12,FALSE)</f>
        <v>0</v>
      </c>
      <c r="N528" s="179">
        <f>VLOOKUP(B528,Tot_res!C:V,13,FALSE)</f>
        <v>0</v>
      </c>
      <c r="O528" s="179">
        <f>VLOOKUP(B528,Tot_res!C:V,14,FALSE)</f>
        <v>0</v>
      </c>
      <c r="P528" s="179">
        <f>VLOOKUP(B528,Tot_res!C:V,15,FALSE)</f>
        <v>0</v>
      </c>
      <c r="Q528" s="179">
        <f>VLOOKUP(B528,Tot_res!C:V,16,FALSE)</f>
        <v>0</v>
      </c>
      <c r="R528" s="179">
        <f>VLOOKUP(B528,Tot_res!C:V,17,FALSE)</f>
        <v>0</v>
      </c>
      <c r="S528" s="179">
        <f>VLOOKUP(B528,Tot_res!C:V,18,FALSE)</f>
        <v>0</v>
      </c>
      <c r="T528" s="179">
        <f>VLOOKUP(B528,Tot_res!C:V,19,FALSE)</f>
        <v>0</v>
      </c>
      <c r="U528" s="179">
        <f>VLOOKUP(B528,Tot_res!C:V,20,FALSE)</f>
        <v>-85829.065755641321</v>
      </c>
      <c r="V528" s="122">
        <f t="shared" si="111"/>
        <v>-85829.065755641321</v>
      </c>
    </row>
    <row r="529" spans="1:22">
      <c r="A529" s="351" t="str">
        <f>IF(B529="","",(IF(ISERROR(MATCH(B529,Tot_res!C:C,0)),"Eliminar!!!","")))</f>
        <v/>
      </c>
      <c r="B529" s="102" t="s">
        <v>458</v>
      </c>
      <c r="C529" s="330" t="str">
        <f>VLOOKUP(B529,Tot_res!C:D,2,FALSE)</f>
        <v>Impuesto de matriculación, sobreesfuerzo fiscal</v>
      </c>
      <c r="D529" s="179">
        <f>VLOOKUP(B529,Tot_res!C:V,3,FALSE)</f>
        <v>812.53928382619199</v>
      </c>
      <c r="E529" s="179">
        <f>VLOOKUP(B529,Tot_res!C:V,4,FALSE)</f>
        <v>6.0169540022485037</v>
      </c>
      <c r="F529" s="179">
        <f>VLOOKUP(B529,Tot_res!C:V,5,FALSE)</f>
        <v>52.450939442443492</v>
      </c>
      <c r="G529" s="179">
        <f>VLOOKUP(B529,Tot_res!C:V,6,FALSE)</f>
        <v>141.94309996514582</v>
      </c>
      <c r="H529" s="179">
        <f>VLOOKUP(B529,Tot_res!C:V,7,FALSE)</f>
        <v>4.4008444093714205</v>
      </c>
      <c r="I529" s="179">
        <f>VLOOKUP(B529,Tot_res!C:V,8,FALSE)</f>
        <v>81.380419706807217</v>
      </c>
      <c r="J529" s="179">
        <f>VLOOKUP(B529,Tot_res!C:V,9,FALSE)</f>
        <v>10.964248068772905</v>
      </c>
      <c r="K529" s="179">
        <f>VLOOKUP(B529,Tot_res!C:V,10,FALSE)</f>
        <v>8.4821286151565261</v>
      </c>
      <c r="L529" s="179">
        <f>VLOOKUP(B529,Tot_res!C:V,11,FALSE)</f>
        <v>685.72848688379304</v>
      </c>
      <c r="M529" s="179">
        <f>VLOOKUP(B529,Tot_res!C:V,12,FALSE)</f>
        <v>21.607506671716305</v>
      </c>
      <c r="N529" s="179">
        <f>VLOOKUP(B529,Tot_res!C:V,13,FALSE)</f>
        <v>280.78220900164661</v>
      </c>
      <c r="O529" s="179">
        <f>VLOOKUP(B529,Tot_res!C:V,14,FALSE)</f>
        <v>11.925108996063607</v>
      </c>
      <c r="P529" s="179">
        <f>VLOOKUP(B529,Tot_res!C:V,15,FALSE)</f>
        <v>32.10734424084513</v>
      </c>
      <c r="Q529" s="179">
        <f>VLOOKUP(B529,Tot_res!C:V,16,FALSE)</f>
        <v>19.114889666323933</v>
      </c>
      <c r="R529" s="179">
        <f>VLOOKUP(B529,Tot_res!C:V,17,FALSE)</f>
        <v>2.9916263344605145</v>
      </c>
      <c r="S529" s="179">
        <f>VLOOKUP(B529,Tot_res!C:V,18,FALSE)</f>
        <v>11.155398182851666</v>
      </c>
      <c r="T529" s="179">
        <f>VLOOKUP(B529,Tot_res!C:V,19,FALSE)</f>
        <v>1.4219960427977338</v>
      </c>
      <c r="U529" s="179">
        <f>VLOOKUP(B529,Tot_res!C:V,20,FALSE)</f>
        <v>0.57751594336606626</v>
      </c>
      <c r="V529" s="122">
        <f t="shared" si="111"/>
        <v>2185.590000000002</v>
      </c>
    </row>
    <row r="530" spans="1:22">
      <c r="A530" s="351" t="str">
        <f>IF(B530="","",(IF(ISERROR(MATCH(B530,Tot_res!C:C,0)),"Eliminar!!!","")))</f>
        <v/>
      </c>
      <c r="B530" s="102" t="s">
        <v>459</v>
      </c>
      <c r="C530" s="330" t="str">
        <f>VLOOKUP(B530,Tot_res!C:D,2,FALSE)</f>
        <v>Impuestos propios de las CCAA</v>
      </c>
      <c r="D530" s="179">
        <f>VLOOKUP(B530,Tot_res!C:V,3,FALSE)</f>
        <v>202941.23318665393</v>
      </c>
      <c r="E530" s="179">
        <f>VLOOKUP(B530,Tot_res!C:V,4,FALSE)</f>
        <v>88190.813777541392</v>
      </c>
      <c r="F530" s="179">
        <f>VLOOKUP(B530,Tot_res!C:V,5,FALSE)</f>
        <v>42408.892465634504</v>
      </c>
      <c r="G530" s="179">
        <f>VLOOKUP(B530,Tot_res!C:V,6,FALSE)</f>
        <v>130974.62591727785</v>
      </c>
      <c r="H530" s="179">
        <f>VLOOKUP(B530,Tot_res!C:V,7,FALSE)</f>
        <v>32964.275754904753</v>
      </c>
      <c r="I530" s="179">
        <f>VLOOKUP(B530,Tot_res!C:V,8,FALSE)</f>
        <v>42310.586449427006</v>
      </c>
      <c r="J530" s="179">
        <f>VLOOKUP(B530,Tot_res!C:V,9,FALSE)</f>
        <v>107893.8706501805</v>
      </c>
      <c r="K530" s="179">
        <f>VLOOKUP(B530,Tot_res!C:V,10,FALSE)</f>
        <v>34950.523389219852</v>
      </c>
      <c r="L530" s="179">
        <f>VLOOKUP(B530,Tot_res!C:V,11,FALSE)</f>
        <v>556856.32802428922</v>
      </c>
      <c r="M530" s="179">
        <f>VLOOKUP(B530,Tot_res!C:V,12,FALSE)</f>
        <v>413023.53086962126</v>
      </c>
      <c r="N530" s="179">
        <f>VLOOKUP(B530,Tot_res!C:V,13,FALSE)</f>
        <v>135307.5246485651</v>
      </c>
      <c r="O530" s="179">
        <f>VLOOKUP(B530,Tot_res!C:V,14,FALSE)</f>
        <v>157414.76462366921</v>
      </c>
      <c r="P530" s="179">
        <f>VLOOKUP(B530,Tot_res!C:V,15,FALSE)</f>
        <v>66082.264716024278</v>
      </c>
      <c r="Q530" s="179">
        <f>VLOOKUP(B530,Tot_res!C:V,16,FALSE)</f>
        <v>76016.363452329344</v>
      </c>
      <c r="R530" s="179">
        <f>VLOOKUP(B530,Tot_res!C:V,17,FALSE)</f>
        <v>50217.237384979388</v>
      </c>
      <c r="S530" s="179">
        <f>VLOOKUP(B530,Tot_res!C:V,18,FALSE)</f>
        <v>171306.20174314998</v>
      </c>
      <c r="T530" s="179">
        <f>VLOOKUP(B530,Tot_res!C:V,19,FALSE)</f>
        <v>28050.34207548284</v>
      </c>
      <c r="U530" s="179">
        <f>VLOOKUP(B530,Tot_res!C:V,20,FALSE)</f>
        <v>428.72724104968518</v>
      </c>
      <c r="V530" s="122">
        <f t="shared" si="111"/>
        <v>2337338.1063700002</v>
      </c>
    </row>
    <row r="531" spans="1:22">
      <c r="A531" s="352"/>
      <c r="C531" s="115"/>
      <c r="D531" s="105"/>
      <c r="E531" s="105"/>
      <c r="F531" s="105"/>
      <c r="G531" s="105"/>
      <c r="H531" s="105"/>
      <c r="I531" s="105"/>
      <c r="J531" s="105"/>
      <c r="K531" s="105"/>
      <c r="L531" s="105"/>
      <c r="M531" s="105"/>
      <c r="N531" s="105"/>
      <c r="O531" s="105"/>
      <c r="P531" s="105"/>
      <c r="Q531" s="105"/>
      <c r="R531" s="105"/>
      <c r="S531" s="105"/>
      <c r="T531" s="105"/>
      <c r="U531" s="105"/>
      <c r="V531" s="122"/>
    </row>
    <row r="532" spans="1:22">
      <c r="A532" s="352"/>
      <c r="C532" s="137" t="s">
        <v>425</v>
      </c>
      <c r="D532" s="114">
        <f>SUM(D533)</f>
        <v>3628796.3362999996</v>
      </c>
      <c r="E532" s="114">
        <f t="shared" ref="E532:V532" si="113">SUM(E533)</f>
        <v>726130.61050000007</v>
      </c>
      <c r="F532" s="114">
        <f t="shared" si="113"/>
        <v>513566.01003999996</v>
      </c>
      <c r="G532" s="114">
        <f t="shared" si="113"/>
        <v>762396.43560000008</v>
      </c>
      <c r="H532" s="114">
        <f t="shared" si="113"/>
        <v>867784.20620000013</v>
      </c>
      <c r="I532" s="114">
        <f t="shared" si="113"/>
        <v>331273.96665000002</v>
      </c>
      <c r="J532" s="114">
        <f t="shared" si="113"/>
        <v>1212241.1559000001</v>
      </c>
      <c r="K532" s="114">
        <f t="shared" si="113"/>
        <v>977752.62690000003</v>
      </c>
      <c r="L532" s="114">
        <f t="shared" si="113"/>
        <v>4893005.3390999995</v>
      </c>
      <c r="M532" s="114">
        <f t="shared" si="113"/>
        <v>2497245.1778000002</v>
      </c>
      <c r="N532" s="114">
        <f t="shared" si="113"/>
        <v>395127.90620000003</v>
      </c>
      <c r="O532" s="114">
        <f t="shared" si="113"/>
        <v>1066998.2146999999</v>
      </c>
      <c r="P532" s="114">
        <f t="shared" si="113"/>
        <v>4267844.4236599989</v>
      </c>
      <c r="Q532" s="114">
        <f t="shared" si="113"/>
        <v>679801.86254</v>
      </c>
      <c r="R532" s="114">
        <f t="shared" si="113"/>
        <v>378596.10148911155</v>
      </c>
      <c r="S532" s="114">
        <f t="shared" si="113"/>
        <v>1117461.0888999999</v>
      </c>
      <c r="T532" s="114">
        <f t="shared" si="113"/>
        <v>171266.15709999998</v>
      </c>
      <c r="U532" s="114">
        <f t="shared" si="113"/>
        <v>33272.019790000006</v>
      </c>
      <c r="V532" s="114">
        <f t="shared" si="113"/>
        <v>24520559.639369108</v>
      </c>
    </row>
    <row r="533" spans="1:22">
      <c r="A533" s="351" t="str">
        <f>IF(B533="","",(IF(ISERROR(MATCH(B533,Tot_res!C:C,0)),"Eliminar!!!","")))</f>
        <v/>
      </c>
      <c r="B533" s="102" t="s">
        <v>615</v>
      </c>
      <c r="C533" s="330" t="str">
        <f>VLOOKUP(B533,Tot_res!C:D,2,FALSE)</f>
        <v>Impuestos y tasas municipales</v>
      </c>
      <c r="D533" s="179">
        <f>VLOOKUP(B533,Tot_res!C:V,3,FALSE)</f>
        <v>3628796.3362999996</v>
      </c>
      <c r="E533" s="179">
        <f>VLOOKUP(B533,Tot_res!C:V,4,FALSE)</f>
        <v>726130.61050000007</v>
      </c>
      <c r="F533" s="179">
        <f>VLOOKUP(B533,Tot_res!C:V,5,FALSE)</f>
        <v>513566.01003999996</v>
      </c>
      <c r="G533" s="179">
        <f>VLOOKUP(B533,Tot_res!C:V,6,FALSE)</f>
        <v>762396.43560000008</v>
      </c>
      <c r="H533" s="179">
        <f>VLOOKUP(B533,Tot_res!C:V,7,FALSE)</f>
        <v>867784.20620000013</v>
      </c>
      <c r="I533" s="179">
        <f>VLOOKUP(B533,Tot_res!C:V,8,FALSE)</f>
        <v>331273.96665000002</v>
      </c>
      <c r="J533" s="179">
        <f>VLOOKUP(B533,Tot_res!C:V,9,FALSE)</f>
        <v>1212241.1559000001</v>
      </c>
      <c r="K533" s="179">
        <f>VLOOKUP(B533,Tot_res!C:V,10,FALSE)</f>
        <v>977752.62690000003</v>
      </c>
      <c r="L533" s="179">
        <f>VLOOKUP(B533,Tot_res!C:V,11,FALSE)</f>
        <v>4893005.3390999995</v>
      </c>
      <c r="M533" s="179">
        <f>VLOOKUP(B533,Tot_res!C:V,12,FALSE)</f>
        <v>2497245.1778000002</v>
      </c>
      <c r="N533" s="179">
        <f>VLOOKUP(B533,Tot_res!C:V,13,FALSE)</f>
        <v>395127.90620000003</v>
      </c>
      <c r="O533" s="179">
        <f>VLOOKUP(B533,Tot_res!C:V,14,FALSE)</f>
        <v>1066998.2146999999</v>
      </c>
      <c r="P533" s="179">
        <f>VLOOKUP(B533,Tot_res!C:V,15,FALSE)</f>
        <v>4267844.4236599989</v>
      </c>
      <c r="Q533" s="179">
        <f>VLOOKUP(B533,Tot_res!C:V,16,FALSE)</f>
        <v>679801.86254</v>
      </c>
      <c r="R533" s="179">
        <f>VLOOKUP(B533,Tot_res!C:V,17,FALSE)</f>
        <v>378596.10148911155</v>
      </c>
      <c r="S533" s="179">
        <f>VLOOKUP(B533,Tot_res!C:V,18,FALSE)</f>
        <v>1117461.0888999999</v>
      </c>
      <c r="T533" s="179">
        <f>VLOOKUP(B533,Tot_res!C:V,19,FALSE)</f>
        <v>171266.15709999998</v>
      </c>
      <c r="U533" s="179">
        <f>VLOOKUP(B533,Tot_res!C:V,20,FALSE)</f>
        <v>33272.019790000006</v>
      </c>
      <c r="V533" s="122">
        <f t="shared" ref="V533" si="114">SUM(D533:U533)</f>
        <v>24520559.639369108</v>
      </c>
    </row>
    <row r="534" spans="1:22">
      <c r="A534" s="352"/>
      <c r="C534" s="102"/>
      <c r="D534" s="105"/>
      <c r="E534" s="105"/>
      <c r="F534" s="105"/>
      <c r="G534" s="105"/>
      <c r="H534" s="105"/>
      <c r="I534" s="105"/>
      <c r="J534" s="105"/>
      <c r="K534" s="105"/>
      <c r="L534" s="105"/>
      <c r="M534" s="105"/>
      <c r="N534" s="105"/>
      <c r="O534" s="105"/>
      <c r="P534" s="105"/>
      <c r="Q534" s="105"/>
      <c r="R534" s="105"/>
      <c r="S534" s="105"/>
      <c r="T534" s="105"/>
      <c r="U534" s="105"/>
      <c r="V534" s="122"/>
    </row>
    <row r="535" spans="1:22">
      <c r="A535" s="352"/>
      <c r="C535" s="137" t="s">
        <v>94</v>
      </c>
      <c r="D535" s="114">
        <f t="shared" ref="D535:V535" si="115">D492+D518+D532</f>
        <v>32297418.413955182</v>
      </c>
      <c r="E535" s="114">
        <f t="shared" si="115"/>
        <v>6854302.5009722011</v>
      </c>
      <c r="F535" s="114">
        <f t="shared" si="115"/>
        <v>5283773.8826844133</v>
      </c>
      <c r="G535" s="114">
        <f t="shared" si="115"/>
        <v>5878588.3703984506</v>
      </c>
      <c r="H535" s="114">
        <f t="shared" si="115"/>
        <v>6311833.2085962649</v>
      </c>
      <c r="I535" s="114">
        <f t="shared" si="115"/>
        <v>2933669.5575465052</v>
      </c>
      <c r="J535" s="114">
        <f t="shared" si="115"/>
        <v>11478231.950733157</v>
      </c>
      <c r="K535" s="114">
        <f t="shared" si="115"/>
        <v>8071195.4390208386</v>
      </c>
      <c r="L535" s="114">
        <f t="shared" si="115"/>
        <v>43356603.456411764</v>
      </c>
      <c r="M535" s="114">
        <f t="shared" si="115"/>
        <v>22107574.346037857</v>
      </c>
      <c r="N535" s="114">
        <f t="shared" si="115"/>
        <v>3945109.7935446035</v>
      </c>
      <c r="O535" s="114">
        <f t="shared" si="115"/>
        <v>12156959.870672669</v>
      </c>
      <c r="P535" s="114">
        <f t="shared" si="115"/>
        <v>43157623.297936425</v>
      </c>
      <c r="Q535" s="114">
        <f t="shared" si="115"/>
        <v>5888578.6386974612</v>
      </c>
      <c r="R535" s="114">
        <f t="shared" si="115"/>
        <v>3286220.6560937595</v>
      </c>
      <c r="S535" s="114">
        <f t="shared" si="115"/>
        <v>12110189.808504945</v>
      </c>
      <c r="T535" s="114">
        <f t="shared" si="115"/>
        <v>1568351.2305000061</v>
      </c>
      <c r="U535" s="114">
        <f t="shared" si="115"/>
        <v>477907.97634400724</v>
      </c>
      <c r="V535" s="126">
        <f t="shared" si="115"/>
        <v>227164132.39865047</v>
      </c>
    </row>
    <row r="536" spans="1:22">
      <c r="A536" s="352"/>
      <c r="C536" s="102"/>
      <c r="D536" s="105"/>
      <c r="E536" s="105"/>
      <c r="F536" s="105"/>
      <c r="G536" s="105"/>
      <c r="H536" s="105"/>
      <c r="I536" s="105"/>
      <c r="J536" s="105"/>
      <c r="K536" s="105"/>
      <c r="L536" s="105"/>
      <c r="M536" s="105"/>
      <c r="N536" s="105"/>
      <c r="O536" s="105"/>
      <c r="P536" s="105"/>
      <c r="Q536" s="105"/>
      <c r="R536" s="105"/>
      <c r="S536" s="105"/>
      <c r="T536" s="105"/>
      <c r="U536" s="105"/>
      <c r="V536" s="122"/>
    </row>
    <row r="537" spans="1:22">
      <c r="A537" s="352"/>
      <c r="C537" s="154" t="s">
        <v>426</v>
      </c>
      <c r="D537" s="114">
        <f>SUM(D538)</f>
        <v>16633414.167091312</v>
      </c>
      <c r="E537" s="114">
        <f t="shared" ref="E537:J537" si="116">SUM(E538)</f>
        <v>3739095.3121327511</v>
      </c>
      <c r="F537" s="114">
        <f t="shared" si="116"/>
        <v>2767057.2563540949</v>
      </c>
      <c r="G537" s="114">
        <f t="shared" si="116"/>
        <v>3095102.0491085346</v>
      </c>
      <c r="H537" s="114">
        <f t="shared" si="116"/>
        <v>4736932.0671536466</v>
      </c>
      <c r="I537" s="114">
        <f t="shared" si="116"/>
        <v>1557687.0967209714</v>
      </c>
      <c r="J537" s="114">
        <f t="shared" si="116"/>
        <v>6254572.3055648571</v>
      </c>
      <c r="K537" s="114">
        <f t="shared" ref="K537" si="117">SUM(K538)</f>
        <v>4539915.0624509482</v>
      </c>
      <c r="L537" s="114">
        <f t="shared" ref="L537" si="118">SUM(L538)</f>
        <v>22753718.847508639</v>
      </c>
      <c r="M537" s="114">
        <f t="shared" ref="M537" si="119">SUM(M538)</f>
        <v>11214076.685152559</v>
      </c>
      <c r="N537" s="114">
        <f t="shared" ref="N537" si="120">SUM(N538)</f>
        <v>2099916.7252522632</v>
      </c>
      <c r="O537" s="114">
        <f t="shared" ref="O537" si="121">SUM(O538)</f>
        <v>6537967.7925942782</v>
      </c>
      <c r="P537" s="114">
        <f t="shared" ref="P537" si="122">SUM(P538)</f>
        <v>21309340.663408522</v>
      </c>
      <c r="Q537" s="114">
        <f t="shared" ref="Q537" si="123">SUM(Q538)</f>
        <v>3054327.5852825167</v>
      </c>
      <c r="R537" s="114">
        <f t="shared" ref="R537" si="124">SUM(R538)</f>
        <v>2081716.0070846977</v>
      </c>
      <c r="S537" s="114">
        <f t="shared" ref="S537" si="125">SUM(S538)</f>
        <v>7699329.1664517559</v>
      </c>
      <c r="T537" s="114">
        <f t="shared" ref="T537" si="126">SUM(T538)</f>
        <v>872215.43777320546</v>
      </c>
      <c r="U537" s="114">
        <f t="shared" ref="U537:V537" si="127">SUM(U538)</f>
        <v>355736.85055522516</v>
      </c>
      <c r="V537" s="114">
        <f t="shared" si="127"/>
        <v>121302121.07764079</v>
      </c>
    </row>
    <row r="538" spans="1:22">
      <c r="A538" s="351" t="str">
        <f>IF(B538="","",(IF(ISERROR(MATCH(B538,Tot_res!C:C,0)),"Eliminar!!!","")))</f>
        <v/>
      </c>
      <c r="B538" s="102" t="s">
        <v>614</v>
      </c>
      <c r="C538" s="330" t="str">
        <f>VLOOKUP(B538,Tot_res!C:D,2,FALSE)</f>
        <v>Cotizaciones sociales</v>
      </c>
      <c r="D538" s="179">
        <f>VLOOKUP(B538,Tot_res!C:V,3,FALSE)</f>
        <v>16633414.167091312</v>
      </c>
      <c r="E538" s="179">
        <f>VLOOKUP(B538,Tot_res!C:V,4,FALSE)</f>
        <v>3739095.3121327511</v>
      </c>
      <c r="F538" s="179">
        <f>VLOOKUP(B538,Tot_res!C:V,5,FALSE)</f>
        <v>2767057.2563540949</v>
      </c>
      <c r="G538" s="179">
        <f>VLOOKUP(B538,Tot_res!C:V,6,FALSE)</f>
        <v>3095102.0491085346</v>
      </c>
      <c r="H538" s="179">
        <f>VLOOKUP(B538,Tot_res!C:V,7,FALSE)</f>
        <v>4736932.0671536466</v>
      </c>
      <c r="I538" s="179">
        <f>VLOOKUP(B538,Tot_res!C:V,8,FALSE)</f>
        <v>1557687.0967209714</v>
      </c>
      <c r="J538" s="179">
        <f>VLOOKUP(B538,Tot_res!C:V,9,FALSE)</f>
        <v>6254572.3055648571</v>
      </c>
      <c r="K538" s="179">
        <f>VLOOKUP(B538,Tot_res!C:V,10,FALSE)</f>
        <v>4539915.0624509482</v>
      </c>
      <c r="L538" s="179">
        <f>VLOOKUP(B538,Tot_res!C:V,11,FALSE)</f>
        <v>22753718.847508639</v>
      </c>
      <c r="M538" s="179">
        <f>VLOOKUP(B538,Tot_res!C:V,12,FALSE)</f>
        <v>11214076.685152559</v>
      </c>
      <c r="N538" s="179">
        <f>VLOOKUP(B538,Tot_res!C:V,13,FALSE)</f>
        <v>2099916.7252522632</v>
      </c>
      <c r="O538" s="179">
        <f>VLOOKUP(B538,Tot_res!C:V,14,FALSE)</f>
        <v>6537967.7925942782</v>
      </c>
      <c r="P538" s="179">
        <f>VLOOKUP(B538,Tot_res!C:V,15,FALSE)</f>
        <v>21309340.663408522</v>
      </c>
      <c r="Q538" s="179">
        <f>VLOOKUP(B538,Tot_res!C:V,16,FALSE)</f>
        <v>3054327.5852825167</v>
      </c>
      <c r="R538" s="179">
        <f>VLOOKUP(B538,Tot_res!C:V,17,FALSE)</f>
        <v>2081716.0070846977</v>
      </c>
      <c r="S538" s="179">
        <f>VLOOKUP(B538,Tot_res!C:V,18,FALSE)</f>
        <v>7699329.1664517559</v>
      </c>
      <c r="T538" s="179">
        <f>VLOOKUP(B538,Tot_res!C:V,19,FALSE)</f>
        <v>872215.43777320546</v>
      </c>
      <c r="U538" s="179">
        <f>VLOOKUP(B538,Tot_res!C:V,20,FALSE)</f>
        <v>355736.85055522516</v>
      </c>
      <c r="V538" s="122">
        <f t="shared" ref="V538" si="128">SUM(D538:U538)</f>
        <v>121302121.07764079</v>
      </c>
    </row>
    <row r="539" spans="1:22">
      <c r="A539" s="352"/>
      <c r="C539" s="137"/>
      <c r="D539" s="114"/>
      <c r="E539" s="114"/>
      <c r="F539" s="114"/>
      <c r="G539" s="114"/>
      <c r="H539" s="114"/>
      <c r="I539" s="114"/>
      <c r="J539" s="114"/>
      <c r="K539" s="114"/>
      <c r="L539" s="114"/>
      <c r="M539" s="114"/>
      <c r="N539" s="114"/>
      <c r="O539" s="114"/>
      <c r="P539" s="114"/>
      <c r="Q539" s="114"/>
      <c r="R539" s="114"/>
      <c r="S539" s="114"/>
      <c r="T539" s="114"/>
      <c r="U539" s="114"/>
      <c r="V539" s="126"/>
    </row>
    <row r="540" spans="1:22">
      <c r="A540" s="352"/>
      <c r="C540" s="154" t="s">
        <v>95</v>
      </c>
      <c r="D540" s="114">
        <f t="shared" ref="D540:V540" si="129">SUM(D541:D545)</f>
        <v>4767899.1464086371</v>
      </c>
      <c r="E540" s="114">
        <f t="shared" si="129"/>
        <v>750259.44457302184</v>
      </c>
      <c r="F540" s="114">
        <f t="shared" si="129"/>
        <v>599756.19079642929</v>
      </c>
      <c r="G540" s="114">
        <f t="shared" si="129"/>
        <v>626733.82522689435</v>
      </c>
      <c r="H540" s="114">
        <f t="shared" si="129"/>
        <v>1193343.4592619562</v>
      </c>
      <c r="I540" s="114">
        <f t="shared" si="129"/>
        <v>333189.90578361473</v>
      </c>
      <c r="J540" s="114">
        <f t="shared" si="129"/>
        <v>1409692.3614844771</v>
      </c>
      <c r="K540" s="114">
        <f t="shared" si="129"/>
        <v>1174218.1994892329</v>
      </c>
      <c r="L540" s="114">
        <f t="shared" si="129"/>
        <v>4265978.4614641052</v>
      </c>
      <c r="M540" s="114">
        <f t="shared" si="129"/>
        <v>2834094.9724524636</v>
      </c>
      <c r="N540" s="114">
        <f t="shared" si="129"/>
        <v>622188.10785500216</v>
      </c>
      <c r="O540" s="114">
        <f t="shared" si="129"/>
        <v>1555607.1908679374</v>
      </c>
      <c r="P540" s="114">
        <f t="shared" si="129"/>
        <v>3659931.4399899109</v>
      </c>
      <c r="Q540" s="114">
        <f t="shared" si="129"/>
        <v>832633.52281067276</v>
      </c>
      <c r="R540" s="114">
        <f t="shared" si="129"/>
        <v>363720.00375787122</v>
      </c>
      <c r="S540" s="114">
        <f t="shared" si="129"/>
        <v>1242972.5484447463</v>
      </c>
      <c r="T540" s="114">
        <f t="shared" si="129"/>
        <v>180537.03466620159</v>
      </c>
      <c r="U540" s="114">
        <f t="shared" si="129"/>
        <v>96290.710866825219</v>
      </c>
      <c r="V540" s="126">
        <f t="shared" si="129"/>
        <v>26509046.526200004</v>
      </c>
    </row>
    <row r="541" spans="1:22">
      <c r="A541" s="351" t="str">
        <f>IF(B541="","",(IF(ISERROR(MATCH(B541,Tot_res!C:C,0)),"Eliminar!!!","")))</f>
        <v/>
      </c>
      <c r="B541" s="102" t="s">
        <v>653</v>
      </c>
      <c r="C541" s="330" t="str">
        <f>VLOOKUP(B541,Tot_res!C:D,2,FALSE)</f>
        <v>Tasas, precios públicos e ingresos procedentes de la venta de bienes y servicios de la AC</v>
      </c>
      <c r="D541" s="179">
        <f>VLOOKUP(B541,Tot_res!C:V,3,FALSE)</f>
        <v>563266.34058075654</v>
      </c>
      <c r="E541" s="179">
        <f>VLOOKUP(B541,Tot_res!C:V,4,FALSE)</f>
        <v>88614.53354492475</v>
      </c>
      <c r="F541" s="179">
        <f>VLOOKUP(B541,Tot_res!C:V,5,FALSE)</f>
        <v>70837.966611490338</v>
      </c>
      <c r="G541" s="179">
        <f>VLOOKUP(B541,Tot_res!C:V,6,FALSE)</f>
        <v>74020.702503239896</v>
      </c>
      <c r="H541" s="179">
        <f>VLOOKUP(B541,Tot_res!C:V,7,FALSE)</f>
        <v>140976.96907232038</v>
      </c>
      <c r="I541" s="179">
        <f>VLOOKUP(B541,Tot_res!C:V,8,FALSE)</f>
        <v>39352.898642157306</v>
      </c>
      <c r="J541" s="179">
        <f>VLOOKUP(B541,Tot_res!C:V,9,FALSE)</f>
        <v>166513.71768401001</v>
      </c>
      <c r="K541" s="179">
        <f>VLOOKUP(B541,Tot_res!C:V,10,FALSE)</f>
        <v>138720.0949940288</v>
      </c>
      <c r="L541" s="179">
        <f>VLOOKUP(B541,Tot_res!C:V,11,FALSE)</f>
        <v>503781.50427597208</v>
      </c>
      <c r="M541" s="179">
        <f>VLOOKUP(B541,Tot_res!C:V,12,FALSE)</f>
        <v>334765.67663846881</v>
      </c>
      <c r="N541" s="179">
        <f>VLOOKUP(B541,Tot_res!C:V,13,FALSE)</f>
        <v>73508.03715756876</v>
      </c>
      <c r="O541" s="179">
        <f>VLOOKUP(B541,Tot_res!C:V,14,FALSE)</f>
        <v>183752.30784514619</v>
      </c>
      <c r="P541" s="179">
        <f>VLOOKUP(B541,Tot_res!C:V,15,FALSE)</f>
        <v>432186.27341990813</v>
      </c>
      <c r="Q541" s="179">
        <f>VLOOKUP(B541,Tot_res!C:V,16,FALSE)</f>
        <v>98366.104284968169</v>
      </c>
      <c r="R541" s="179">
        <f>VLOOKUP(B541,Tot_res!C:V,17,FALSE)</f>
        <v>42954.530263318375</v>
      </c>
      <c r="S541" s="179">
        <f>VLOOKUP(B541,Tot_res!C:V,18,FALSE)</f>
        <v>146780.86243538154</v>
      </c>
      <c r="T541" s="179">
        <f>VLOOKUP(B541,Tot_res!C:V,19,FALSE)</f>
        <v>21323.787368614299</v>
      </c>
      <c r="U541" s="179">
        <f>VLOOKUP(B541,Tot_res!C:V,20,FALSE)</f>
        <v>11375.692677725725</v>
      </c>
      <c r="V541" s="122">
        <f t="shared" ref="V541:V545" si="130">SUM(D541:U541)</f>
        <v>3131097.9999999995</v>
      </c>
    </row>
    <row r="542" spans="1:22">
      <c r="A542" s="351" t="str">
        <f>IF(B542="","",(IF(ISERROR(MATCH(B542,Tot_res!C:C,0)),"Eliminar!!!","")))</f>
        <v/>
      </c>
      <c r="B542" s="102" t="s">
        <v>462</v>
      </c>
      <c r="C542" s="330" t="str">
        <f>VLOOKUP(B542,Tot_res!C:D,2,FALSE)</f>
        <v>Tasas, CNMV</v>
      </c>
      <c r="D542" s="179">
        <f>VLOOKUP(B542,Tot_res!C:V,3,FALSE)</f>
        <v>7665.2159050471673</v>
      </c>
      <c r="E542" s="179">
        <f>VLOOKUP(B542,Tot_res!C:V,4,FALSE)</f>
        <v>1368.9124318527156</v>
      </c>
      <c r="F542" s="179">
        <f>VLOOKUP(B542,Tot_res!C:V,5,FALSE)</f>
        <v>1097.1457218410783</v>
      </c>
      <c r="G542" s="179">
        <f>VLOOKUP(B542,Tot_res!C:V,6,FALSE)</f>
        <v>1177.4281276111531</v>
      </c>
      <c r="H542" s="179">
        <f>VLOOKUP(B542,Tot_res!C:V,7,FALSE)</f>
        <v>1929.7850704033201</v>
      </c>
      <c r="I542" s="179">
        <f>VLOOKUP(B542,Tot_res!C:V,8,FALSE)</f>
        <v>614.42945096172923</v>
      </c>
      <c r="J542" s="179">
        <f>VLOOKUP(B542,Tot_res!C:V,9,FALSE)</f>
        <v>2466.6125342650598</v>
      </c>
      <c r="K542" s="179">
        <f>VLOOKUP(B542,Tot_res!C:V,10,FALSE)</f>
        <v>1877.4633193723992</v>
      </c>
      <c r="L542" s="179">
        <f>VLOOKUP(B542,Tot_res!C:V,11,FALSE)</f>
        <v>8474.7000606387355</v>
      </c>
      <c r="M542" s="179">
        <f>VLOOKUP(B542,Tot_res!C:V,12,FALSE)</f>
        <v>4952.1852612855073</v>
      </c>
      <c r="N542" s="179">
        <f>VLOOKUP(B542,Tot_res!C:V,13,FALSE)</f>
        <v>962.1669022906467</v>
      </c>
      <c r="O542" s="179">
        <f>VLOOKUP(B542,Tot_res!C:V,14,FALSE)</f>
        <v>2695.6737301834564</v>
      </c>
      <c r="P542" s="179">
        <f>VLOOKUP(B542,Tot_res!C:V,15,FALSE)</f>
        <v>7488.8607155793379</v>
      </c>
      <c r="Q542" s="179">
        <f>VLOOKUP(B542,Tot_res!C:V,16,FALSE)</f>
        <v>1329.292715562251</v>
      </c>
      <c r="R542" s="179">
        <f>VLOOKUP(B542,Tot_res!C:V,17,FALSE)</f>
        <v>707.33143678605427</v>
      </c>
      <c r="S542" s="179">
        <f>VLOOKUP(B542,Tot_res!C:V,18,FALSE)</f>
        <v>2515.0351862120024</v>
      </c>
      <c r="T542" s="179">
        <f>VLOOKUP(B542,Tot_res!C:V,19,FALSE)</f>
        <v>327.45573691908993</v>
      </c>
      <c r="U542" s="179">
        <f>VLOOKUP(B542,Tot_res!C:V,20,FALSE)</f>
        <v>153.30569318829706</v>
      </c>
      <c r="V542" s="122">
        <f t="shared" ref="V542:V544" si="131">SUM(D542:U542)</f>
        <v>47802.999999999993</v>
      </c>
    </row>
    <row r="543" spans="1:22">
      <c r="A543" s="351" t="str">
        <f>IF(B543="","",(IF(ISERROR(MATCH(B543,Tot_res!C:C,0)),"Eliminar!!!","")))</f>
        <v/>
      </c>
      <c r="B543" s="102" t="s">
        <v>1231</v>
      </c>
      <c r="C543" s="330" t="str">
        <f>VLOOKUP(B543,Tot_res!C:D,2,FALSE)</f>
        <v>Tasas, CNMC</v>
      </c>
      <c r="D543" s="179">
        <f>VLOOKUP(B543,Tot_res!C:V,3,FALSE)</f>
        <v>-73.61358366934725</v>
      </c>
      <c r="E543" s="179">
        <f>VLOOKUP(B543,Tot_res!C:V,4,FALSE)</f>
        <v>-13.498081456900618</v>
      </c>
      <c r="F543" s="179">
        <f>VLOOKUP(B543,Tot_res!C:V,5,FALSE)</f>
        <v>-10.682856957503166</v>
      </c>
      <c r="G543" s="179">
        <f>VLOOKUP(B543,Tot_res!C:V,6,FALSE)</f>
        <v>-11.443829235545557</v>
      </c>
      <c r="H543" s="179">
        <f>VLOOKUP(B543,Tot_res!C:V,7,FALSE)</f>
        <v>-18.657315405001828</v>
      </c>
      <c r="I543" s="179">
        <f>VLOOKUP(B543,Tot_res!C:V,8,FALSE)</f>
        <v>-5.9097569434313471</v>
      </c>
      <c r="J543" s="179">
        <f>VLOOKUP(B543,Tot_res!C:V,9,FALSE)</f>
        <v>-24.159979086746581</v>
      </c>
      <c r="K543" s="179">
        <f>VLOOKUP(B543,Tot_res!C:V,10,FALSE)</f>
        <v>-18.1767304230086</v>
      </c>
      <c r="L543" s="179">
        <f>VLOOKUP(B543,Tot_res!C:V,11,FALSE)</f>
        <v>-82.255371327522852</v>
      </c>
      <c r="M543" s="179">
        <f>VLOOKUP(B543,Tot_res!C:V,12,FALSE)</f>
        <v>-47.351102028287329</v>
      </c>
      <c r="N543" s="179">
        <f>VLOOKUP(B543,Tot_res!C:V,13,FALSE)</f>
        <v>-9.2343489669131245</v>
      </c>
      <c r="O543" s="179">
        <f>VLOOKUP(B543,Tot_res!C:V,14,FALSE)</f>
        <v>-26.115131938091061</v>
      </c>
      <c r="P543" s="179">
        <f>VLOOKUP(B543,Tot_res!C:V,15,FALSE)</f>
        <v>-73.876245670876614</v>
      </c>
      <c r="Q543" s="179">
        <f>VLOOKUP(B543,Tot_res!C:V,16,FALSE)</f>
        <v>-12.81226075841165</v>
      </c>
      <c r="R543" s="179">
        <f>VLOOKUP(B543,Tot_res!C:V,17,FALSE)</f>
        <v>-7.0214429215232474</v>
      </c>
      <c r="S543" s="179">
        <f>VLOOKUP(B543,Tot_res!C:V,18,FALSE)</f>
        <v>-25.001742029398372</v>
      </c>
      <c r="T543" s="179">
        <f>VLOOKUP(B543,Tot_res!C:V,19,FALSE)</f>
        <v>-3.188222164025817</v>
      </c>
      <c r="U543" s="179">
        <f>VLOOKUP(B543,Tot_res!C:V,20,FALSE)</f>
        <v>-1.4757990174650313</v>
      </c>
      <c r="V543" s="122">
        <f t="shared" ref="V543" si="132">SUM(D543:U543)</f>
        <v>-464.47379999999998</v>
      </c>
    </row>
    <row r="544" spans="1:22">
      <c r="A544" s="351" t="str">
        <f>IF(B544="","",(IF(ISERROR(MATCH(B544,Tot_res!C:C,0)),"Eliminar!!!","")))</f>
        <v/>
      </c>
      <c r="B544" s="102" t="s">
        <v>460</v>
      </c>
      <c r="C544" s="330" t="str">
        <f>VLOOKUP(B544,Tot_res!C:D,2,FALSE)</f>
        <v>Ingresos financieros, patrimoniales y similares de la Administración Central</v>
      </c>
      <c r="D544" s="179">
        <f>VLOOKUP(B544,Tot_res!C:V,3,FALSE)</f>
        <v>3641585.5088957339</v>
      </c>
      <c r="E544" s="179">
        <f>VLOOKUP(B544,Tot_res!C:V,4,FALSE)</f>
        <v>572903.75438027293</v>
      </c>
      <c r="F544" s="179">
        <f>VLOOKUP(B544,Tot_res!C:V,5,FALSE)</f>
        <v>457976.0836162701</v>
      </c>
      <c r="G544" s="179">
        <f>VLOOKUP(B544,Tot_res!C:V,6,FALSE)</f>
        <v>478552.85887695308</v>
      </c>
      <c r="H544" s="179">
        <f>VLOOKUP(B544,Tot_res!C:V,7,FALSE)</f>
        <v>911433.27885078848</v>
      </c>
      <c r="I544" s="179">
        <f>VLOOKUP(B544,Tot_res!C:V,8,FALSE)</f>
        <v>254421.28368715558</v>
      </c>
      <c r="J544" s="179">
        <f>VLOOKUP(B544,Tot_res!C:V,9,FALSE)</f>
        <v>1076531.4695091553</v>
      </c>
      <c r="K544" s="179">
        <f>VLOOKUP(B544,Tot_res!C:V,10,FALSE)</f>
        <v>896842.3130024916</v>
      </c>
      <c r="L544" s="179">
        <f>VLOOKUP(B544,Tot_res!C:V,11,FALSE)</f>
        <v>3257008.7957493518</v>
      </c>
      <c r="M544" s="179">
        <f>VLOOKUP(B544,Tot_res!C:V,12,FALSE)</f>
        <v>2164300.8805841142</v>
      </c>
      <c r="N544" s="179">
        <f>VLOOKUP(B544,Tot_res!C:V,13,FALSE)</f>
        <v>475238.41496435547</v>
      </c>
      <c r="O544" s="179">
        <f>VLOOKUP(B544,Tot_res!C:V,14,FALSE)</f>
        <v>1187981.054903981</v>
      </c>
      <c r="P544" s="179">
        <f>VLOOKUP(B544,Tot_res!C:V,15,FALSE)</f>
        <v>2794136.9065420693</v>
      </c>
      <c r="Q544" s="179">
        <f>VLOOKUP(B544,Tot_res!C:V,16,FALSE)</f>
        <v>635948.84714988503</v>
      </c>
      <c r="R544" s="179">
        <f>VLOOKUP(B544,Tot_res!C:V,17,FALSE)</f>
        <v>277706.27086831373</v>
      </c>
      <c r="S544" s="179">
        <f>VLOOKUP(B544,Tot_res!C:V,18,FALSE)</f>
        <v>948956.15647260426</v>
      </c>
      <c r="T544" s="179">
        <f>VLOOKUP(B544,Tot_res!C:V,19,FALSE)</f>
        <v>137860.88299942814</v>
      </c>
      <c r="U544" s="179">
        <f>VLOOKUP(B544,Tot_res!C:V,20,FALSE)</f>
        <v>73545.238947076839</v>
      </c>
      <c r="V544" s="122">
        <f t="shared" si="131"/>
        <v>20242930.000000004</v>
      </c>
    </row>
    <row r="545" spans="1:22">
      <c r="A545" s="351" t="str">
        <f>IF(B545="","",(IF(ISERROR(MATCH(B545,Tot_res!C:C,0)),"Eliminar!!!","")))</f>
        <v/>
      </c>
      <c r="B545" s="102" t="s">
        <v>463</v>
      </c>
      <c r="C545" s="330" t="str">
        <f>VLOOKUP(B545,Tot_res!C:D,2,FALSE)</f>
        <v>Ingresos del Banco de España, BdE</v>
      </c>
      <c r="D545" s="179">
        <f>VLOOKUP(B545,Tot_res!C:V,3,FALSE)</f>
        <v>555455.69461076928</v>
      </c>
      <c r="E545" s="179">
        <f>VLOOKUP(B545,Tot_res!C:V,4,FALSE)</f>
        <v>87385.74229742834</v>
      </c>
      <c r="F545" s="179">
        <f>VLOOKUP(B545,Tot_res!C:V,5,FALSE)</f>
        <v>69855.677703785215</v>
      </c>
      <c r="G545" s="179">
        <f>VLOOKUP(B545,Tot_res!C:V,6,FALSE)</f>
        <v>72994.27954832578</v>
      </c>
      <c r="H545" s="179">
        <f>VLOOKUP(B545,Tot_res!C:V,7,FALSE)</f>
        <v>139022.0835838489</v>
      </c>
      <c r="I545" s="179">
        <f>VLOOKUP(B545,Tot_res!C:V,8,FALSE)</f>
        <v>38807.203760283541</v>
      </c>
      <c r="J545" s="179">
        <f>VLOOKUP(B545,Tot_res!C:V,9,FALSE)</f>
        <v>164204.72173613348</v>
      </c>
      <c r="K545" s="179">
        <f>VLOOKUP(B545,Tot_res!C:V,10,FALSE)</f>
        <v>136796.5049037631</v>
      </c>
      <c r="L545" s="179">
        <f>VLOOKUP(B545,Tot_res!C:V,11,FALSE)</f>
        <v>496795.71674947045</v>
      </c>
      <c r="M545" s="179">
        <f>VLOOKUP(B545,Tot_res!C:V,12,FALSE)</f>
        <v>330123.58107062354</v>
      </c>
      <c r="N545" s="179">
        <f>VLOOKUP(B545,Tot_res!C:V,13,FALSE)</f>
        <v>72488.723179754175</v>
      </c>
      <c r="O545" s="179">
        <f>VLOOKUP(B545,Tot_res!C:V,14,FALSE)</f>
        <v>181204.26952056465</v>
      </c>
      <c r="P545" s="179">
        <f>VLOOKUP(B545,Tot_res!C:V,15,FALSE)</f>
        <v>426193.27555802529</v>
      </c>
      <c r="Q545" s="179">
        <f>VLOOKUP(B545,Tot_res!C:V,16,FALSE)</f>
        <v>97002.090921015741</v>
      </c>
      <c r="R545" s="179">
        <f>VLOOKUP(B545,Tot_res!C:V,17,FALSE)</f>
        <v>42358.892632374613</v>
      </c>
      <c r="S545" s="179">
        <f>VLOOKUP(B545,Tot_res!C:V,18,FALSE)</f>
        <v>144745.49609257802</v>
      </c>
      <c r="T545" s="179">
        <f>VLOOKUP(B545,Tot_res!C:V,19,FALSE)</f>
        <v>21028.096783404097</v>
      </c>
      <c r="U545" s="179">
        <f>VLOOKUP(B545,Tot_res!C:V,20,FALSE)</f>
        <v>11217.949347851829</v>
      </c>
      <c r="V545" s="122">
        <f t="shared" si="130"/>
        <v>3087680</v>
      </c>
    </row>
    <row r="546" spans="1:22">
      <c r="A546" s="349" t="s">
        <v>1086</v>
      </c>
      <c r="C546" s="154"/>
      <c r="D546" s="105"/>
      <c r="E546" s="105"/>
      <c r="F546" s="105"/>
      <c r="G546" s="105"/>
      <c r="H546" s="105"/>
      <c r="I546" s="105"/>
      <c r="J546" s="105"/>
      <c r="K546" s="105"/>
      <c r="L546" s="105"/>
      <c r="M546" s="105"/>
      <c r="N546" s="105"/>
      <c r="O546" s="105"/>
      <c r="P546" s="105"/>
      <c r="Q546" s="105"/>
      <c r="R546" s="105"/>
      <c r="S546" s="105"/>
      <c r="T546" s="105"/>
      <c r="U546" s="105"/>
      <c r="V546" s="122"/>
    </row>
    <row r="547" spans="1:22">
      <c r="A547" s="349" t="str">
        <f>IF(B547="","",(IF(ISERROR(MATCH(B547,Tot_res!C:C,0)),"Eliminar!!!","")))</f>
        <v/>
      </c>
      <c r="C547" s="102"/>
      <c r="D547" s="105"/>
      <c r="E547" s="105"/>
      <c r="F547" s="105"/>
      <c r="G547" s="105"/>
      <c r="H547" s="105"/>
      <c r="I547" s="105"/>
      <c r="J547" s="105"/>
      <c r="K547" s="105"/>
      <c r="L547" s="105"/>
      <c r="M547" s="105"/>
      <c r="N547" s="105"/>
      <c r="O547" s="105"/>
      <c r="P547" s="105"/>
      <c r="Q547" s="105"/>
      <c r="R547" s="105"/>
      <c r="S547" s="105"/>
      <c r="T547" s="105"/>
      <c r="U547" s="105"/>
      <c r="V547" s="122"/>
    </row>
    <row r="548" spans="1:22">
      <c r="A548" s="349" t="str">
        <f>IF(B548="","",(IF(ISERROR(MATCH(B548,Tot_res!C:C,0)),"Eliminar!!!","")))</f>
        <v/>
      </c>
      <c r="C548" s="103" t="s">
        <v>96</v>
      </c>
      <c r="D548" s="114">
        <f t="shared" ref="D548:V548" si="133">D535+D537+D540</f>
        <v>53698731.727455132</v>
      </c>
      <c r="E548" s="114">
        <f t="shared" si="133"/>
        <v>11343657.257677974</v>
      </c>
      <c r="F548" s="114">
        <f t="shared" si="133"/>
        <v>8650587.329834938</v>
      </c>
      <c r="G548" s="114">
        <f t="shared" si="133"/>
        <v>9600424.2447338793</v>
      </c>
      <c r="H548" s="114">
        <f t="shared" si="133"/>
        <v>12242108.735011866</v>
      </c>
      <c r="I548" s="114">
        <f t="shared" si="133"/>
        <v>4824546.5600510919</v>
      </c>
      <c r="J548" s="114">
        <f t="shared" si="133"/>
        <v>19142496.617782488</v>
      </c>
      <c r="K548" s="114">
        <f t="shared" si="133"/>
        <v>13785328.70096102</v>
      </c>
      <c r="L548" s="114">
        <f t="shared" si="133"/>
        <v>70376300.76538451</v>
      </c>
      <c r="M548" s="114">
        <f t="shared" si="133"/>
        <v>36155746.003642879</v>
      </c>
      <c r="N548" s="114">
        <f t="shared" si="133"/>
        <v>6667214.6266518692</v>
      </c>
      <c r="O548" s="114">
        <f t="shared" si="133"/>
        <v>20250534.854134887</v>
      </c>
      <c r="P548" s="114">
        <f t="shared" si="133"/>
        <v>68126895.401334852</v>
      </c>
      <c r="Q548" s="114">
        <f t="shared" si="133"/>
        <v>9775539.7467906512</v>
      </c>
      <c r="R548" s="114">
        <f t="shared" si="133"/>
        <v>5731656.6669363286</v>
      </c>
      <c r="S548" s="114">
        <f t="shared" si="133"/>
        <v>21052491.523401447</v>
      </c>
      <c r="T548" s="114">
        <f t="shared" si="133"/>
        <v>2621103.702939413</v>
      </c>
      <c r="U548" s="114">
        <f t="shared" si="133"/>
        <v>929935.53776605753</v>
      </c>
      <c r="V548" s="126">
        <f t="shared" si="133"/>
        <v>374975300.00249124</v>
      </c>
    </row>
    <row r="549" spans="1:22">
      <c r="A549" s="349" t="str">
        <f>IF(B549="","",(IF(ISERROR(MATCH(B549,Tot_res!C:C,0)),"Eliminar!!!","")))</f>
        <v/>
      </c>
      <c r="C549" s="103" t="s">
        <v>97</v>
      </c>
      <c r="D549" s="111">
        <f t="shared" ref="D549:V549" si="134">D492+D537+D540+D532</f>
        <v>53277443.501595415</v>
      </c>
      <c r="E549" s="111">
        <f t="shared" si="134"/>
        <v>11221577.676604141</v>
      </c>
      <c r="F549" s="111">
        <f t="shared" si="134"/>
        <v>8565868.5893504638</v>
      </c>
      <c r="G549" s="111">
        <f t="shared" si="134"/>
        <v>9416112.9307268653</v>
      </c>
      <c r="H549" s="111">
        <f t="shared" si="134"/>
        <v>13860411.515695507</v>
      </c>
      <c r="I549" s="111">
        <f t="shared" si="134"/>
        <v>4793337.221109977</v>
      </c>
      <c r="J549" s="111">
        <f t="shared" si="134"/>
        <v>19009668.585421201</v>
      </c>
      <c r="K549" s="111">
        <f t="shared" si="134"/>
        <v>13786818.656162729</v>
      </c>
      <c r="L549" s="111">
        <f t="shared" si="134"/>
        <v>69607920.660168797</v>
      </c>
      <c r="M549" s="111">
        <f t="shared" si="134"/>
        <v>35714710.463053539</v>
      </c>
      <c r="N549" s="111">
        <f t="shared" si="134"/>
        <v>6515939.4770259084</v>
      </c>
      <c r="O549" s="111">
        <f t="shared" si="134"/>
        <v>20019686.354768872</v>
      </c>
      <c r="P549" s="111">
        <f t="shared" si="134"/>
        <v>68595500.267849922</v>
      </c>
      <c r="Q549" s="111">
        <f t="shared" si="134"/>
        <v>9620386.9163874909</v>
      </c>
      <c r="R549" s="111">
        <f t="shared" si="134"/>
        <v>6092581.0027721412</v>
      </c>
      <c r="S549" s="111">
        <f t="shared" si="134"/>
        <v>21908650.012790971</v>
      </c>
      <c r="T549" s="111">
        <f t="shared" si="134"/>
        <v>2602941.4909011126</v>
      </c>
      <c r="U549" s="111">
        <f t="shared" si="134"/>
        <v>1039976.6145157457</v>
      </c>
      <c r="V549" s="125">
        <f t="shared" si="134"/>
        <v>375649531.93690079</v>
      </c>
    </row>
    <row r="550" spans="1:22">
      <c r="C550" s="102"/>
    </row>
    <row r="554" spans="1:22">
      <c r="D554" s="120"/>
      <c r="E554" s="120"/>
      <c r="F554" s="120"/>
      <c r="G554" s="120"/>
    </row>
    <row r="555" spans="1:22">
      <c r="D555" s="304"/>
      <c r="E555" s="304"/>
      <c r="F555" s="304"/>
      <c r="G555" s="304"/>
    </row>
    <row r="556" spans="1:22">
      <c r="D556" s="304"/>
      <c r="E556" s="304"/>
      <c r="F556" s="304"/>
      <c r="G556" s="304"/>
    </row>
    <row r="557" spans="1:22">
      <c r="D557" s="304"/>
      <c r="E557" s="304"/>
      <c r="F557" s="304"/>
      <c r="G557" s="304"/>
    </row>
    <row r="561" spans="4:7">
      <c r="D561" s="120"/>
      <c r="E561" s="120"/>
      <c r="F561" s="120"/>
      <c r="G561" s="120"/>
    </row>
    <row r="562" spans="4:7">
      <c r="D562" s="304"/>
      <c r="E562" s="304"/>
      <c r="F562" s="304"/>
      <c r="G562" s="304"/>
    </row>
    <row r="563" spans="4:7">
      <c r="D563" s="304"/>
      <c r="E563" s="304"/>
      <c r="F563" s="304"/>
      <c r="G563" s="304"/>
    </row>
    <row r="564" spans="4:7">
      <c r="D564" s="304"/>
      <c r="E564" s="304"/>
      <c r="F564" s="304"/>
      <c r="G564" s="304"/>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9"/>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125" style="115" customWidth="1"/>
    <col min="3" max="3" width="61.75" customWidth="1"/>
    <col min="4" max="4" width="11.5" bestFit="1" customWidth="1"/>
    <col min="23" max="23" width="4.625" customWidth="1"/>
    <col min="24" max="24" width="18" customWidth="1"/>
    <col min="25" max="26" width="15.125" customWidth="1"/>
    <col min="27" max="27" width="14.625" customWidth="1"/>
  </cols>
  <sheetData>
    <row r="1" spans="1:23" s="102" customFormat="1">
      <c r="A1" s="349"/>
      <c r="B1" s="115"/>
    </row>
    <row r="2" spans="1:23" s="102" customFormat="1">
      <c r="A2" s="349"/>
      <c r="B2" s="115"/>
    </row>
    <row r="3" spans="1:23" s="102" customFormat="1">
      <c r="A3" s="349"/>
      <c r="B3" s="115"/>
    </row>
    <row r="4" spans="1:23" s="102" customFormat="1">
      <c r="A4" s="349"/>
      <c r="B4" s="115"/>
    </row>
    <row r="5" spans="1:23" s="102" customFormat="1">
      <c r="A5" s="349"/>
      <c r="B5" s="115"/>
      <c r="C5" s="103" t="s">
        <v>98</v>
      </c>
    </row>
    <row r="6" spans="1:23" s="102" customFormat="1">
      <c r="A6" s="349"/>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0"/>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49"/>
      <c r="B8" s="115"/>
      <c r="C8" s="109" t="s">
        <v>83</v>
      </c>
      <c r="D8" s="110">
        <f>Gasto_o_ing_total!V8*1000/Gasto_o_ing_total!V$485</f>
        <v>341.15556182883347</v>
      </c>
      <c r="E8" s="110">
        <f>Gasto_o_ing_total!D8*1000/Gasto_o_ing_total!D$485</f>
        <v>341.15556182883353</v>
      </c>
      <c r="F8" s="110">
        <f>Gasto_o_ing_total!E8*1000/Gasto_o_ing_total!E$485</f>
        <v>341.15556182883347</v>
      </c>
      <c r="G8" s="110">
        <f>Gasto_o_ing_total!F8*1000/Gasto_o_ing_total!F$485</f>
        <v>341.15556182883353</v>
      </c>
      <c r="H8" s="110">
        <f>Gasto_o_ing_total!G8*1000/Gasto_o_ing_total!G$485</f>
        <v>341.15556182883353</v>
      </c>
      <c r="I8" s="110">
        <f>Gasto_o_ing_total!H8*1000/Gasto_o_ing_total!H$485</f>
        <v>341.15556182883353</v>
      </c>
      <c r="J8" s="110">
        <f>Gasto_o_ing_total!I8*1000/Gasto_o_ing_total!I$485</f>
        <v>341.15556182883347</v>
      </c>
      <c r="K8" s="110">
        <f>Gasto_o_ing_total!J8*1000/Gasto_o_ing_total!J$485</f>
        <v>341.15556182883347</v>
      </c>
      <c r="L8" s="110">
        <f>Gasto_o_ing_total!K8*1000/Gasto_o_ing_total!K$485</f>
        <v>341.15556182883347</v>
      </c>
      <c r="M8" s="110">
        <f>Gasto_o_ing_total!L8*1000/Gasto_o_ing_total!L$485</f>
        <v>341.15556182883347</v>
      </c>
      <c r="N8" s="110">
        <f>Gasto_o_ing_total!M8*1000/Gasto_o_ing_total!M$485</f>
        <v>341.15556182883347</v>
      </c>
      <c r="O8" s="110">
        <f>Gasto_o_ing_total!N8*1000/Gasto_o_ing_total!N$485</f>
        <v>341.15556182883347</v>
      </c>
      <c r="P8" s="110">
        <f>Gasto_o_ing_total!O8*1000/Gasto_o_ing_total!O$485</f>
        <v>341.15556182883347</v>
      </c>
      <c r="Q8" s="110">
        <f>Gasto_o_ing_total!P8*1000/Gasto_o_ing_total!P$485</f>
        <v>341.15556182883358</v>
      </c>
      <c r="R8" s="110">
        <f>Gasto_o_ing_total!Q8*1000/Gasto_o_ing_total!Q$485</f>
        <v>341.15556182883358</v>
      </c>
      <c r="S8" s="110">
        <f>Gasto_o_ing_total!R8*1000/Gasto_o_ing_total!R$485</f>
        <v>341.15556182883347</v>
      </c>
      <c r="T8" s="110">
        <f>Gasto_o_ing_total!S8*1000/Gasto_o_ing_total!S$485</f>
        <v>341.15556182883347</v>
      </c>
      <c r="U8" s="110">
        <f>Gasto_o_ing_total!T8*1000/Gasto_o_ing_total!T$485</f>
        <v>341.15556182883347</v>
      </c>
      <c r="V8" s="110">
        <f>Gasto_o_ing_total!U8*1000/Gasto_o_ing_total!U$485</f>
        <v>341.15556182883347</v>
      </c>
      <c r="W8" s="111"/>
    </row>
    <row r="9" spans="1:23" s="102" customFormat="1">
      <c r="A9" s="349"/>
      <c r="B9" s="115"/>
      <c r="D9" s="110"/>
      <c r="E9" s="110"/>
      <c r="F9" s="110"/>
      <c r="G9" s="110"/>
      <c r="H9" s="110"/>
      <c r="I9" s="110"/>
      <c r="J9" s="110"/>
      <c r="K9" s="110"/>
      <c r="L9" s="110"/>
      <c r="M9" s="110"/>
      <c r="N9" s="110"/>
      <c r="O9" s="110"/>
      <c r="P9" s="110"/>
      <c r="Q9" s="110"/>
      <c r="R9" s="110"/>
      <c r="S9" s="110"/>
      <c r="T9" s="110"/>
      <c r="U9" s="110"/>
      <c r="V9" s="110"/>
      <c r="W9" s="105"/>
    </row>
    <row r="10" spans="1:23" s="102" customFormat="1" ht="13.5">
      <c r="A10" s="349"/>
      <c r="B10" s="115"/>
      <c r="C10" s="112" t="s">
        <v>32</v>
      </c>
      <c r="D10" s="113">
        <f>Gasto_o_ing_total!V10*1000/Gasto_o_ing_total!V$485</f>
        <v>10.068963201451954</v>
      </c>
      <c r="E10" s="113">
        <f>Gasto_o_ing_total!D10*1000/Gasto_o_ing_total!D$485</f>
        <v>10.068963201451954</v>
      </c>
      <c r="F10" s="113">
        <f>Gasto_o_ing_total!E10*1000/Gasto_o_ing_total!E$485</f>
        <v>10.068963201451954</v>
      </c>
      <c r="G10" s="113">
        <f>Gasto_o_ing_total!F10*1000/Gasto_o_ing_total!F$485</f>
        <v>10.068963201451956</v>
      </c>
      <c r="H10" s="113">
        <f>Gasto_o_ing_total!G10*1000/Gasto_o_ing_total!G$485</f>
        <v>10.068963201451956</v>
      </c>
      <c r="I10" s="113">
        <f>Gasto_o_ing_total!H10*1000/Gasto_o_ing_total!H$485</f>
        <v>10.068963201451954</v>
      </c>
      <c r="J10" s="113">
        <f>Gasto_o_ing_total!I10*1000/Gasto_o_ing_total!I$485</f>
        <v>10.068963201451956</v>
      </c>
      <c r="K10" s="113">
        <f>Gasto_o_ing_total!J10*1000/Gasto_o_ing_total!J$485</f>
        <v>10.068963201451954</v>
      </c>
      <c r="L10" s="113">
        <f>Gasto_o_ing_total!K10*1000/Gasto_o_ing_total!K$485</f>
        <v>10.068963201451954</v>
      </c>
      <c r="M10" s="113">
        <f>Gasto_o_ing_total!L10*1000/Gasto_o_ing_total!L$485</f>
        <v>10.068963201451957</v>
      </c>
      <c r="N10" s="113">
        <f>Gasto_o_ing_total!M10*1000/Gasto_o_ing_total!M$485</f>
        <v>10.068963201451956</v>
      </c>
      <c r="O10" s="113">
        <f>Gasto_o_ing_total!N10*1000/Gasto_o_ing_total!N$485</f>
        <v>10.068963201451956</v>
      </c>
      <c r="P10" s="113">
        <f>Gasto_o_ing_total!O10*1000/Gasto_o_ing_total!O$485</f>
        <v>10.068963201451956</v>
      </c>
      <c r="Q10" s="113">
        <f>Gasto_o_ing_total!P10*1000/Gasto_o_ing_total!P$485</f>
        <v>10.068963201451954</v>
      </c>
      <c r="R10" s="113">
        <f>Gasto_o_ing_total!Q10*1000/Gasto_o_ing_total!Q$485</f>
        <v>10.068963201451956</v>
      </c>
      <c r="S10" s="113">
        <f>Gasto_o_ing_total!R10*1000/Gasto_o_ing_total!R$485</f>
        <v>10.068963201451956</v>
      </c>
      <c r="T10" s="113">
        <f>Gasto_o_ing_total!S10*1000/Gasto_o_ing_total!S$485</f>
        <v>10.068963201451956</v>
      </c>
      <c r="U10" s="113">
        <f>Gasto_o_ing_total!T10*1000/Gasto_o_ing_total!T$485</f>
        <v>10.068963201451954</v>
      </c>
      <c r="V10" s="113">
        <f>Gasto_o_ing_total!U10*1000/Gasto_o_ing_total!U$485</f>
        <v>10.068963201451956</v>
      </c>
      <c r="W10" s="114"/>
    </row>
    <row r="11" spans="1:23" s="102" customFormat="1">
      <c r="A11" s="351" t="str">
        <f>IF(B11="","",(IF(ISERROR(MATCH(B11,Tot_res!C:C,0)),"Eliminar!!!","")))</f>
        <v/>
      </c>
      <c r="B11" s="115" t="s">
        <v>114</v>
      </c>
      <c r="C11" s="329" t="str">
        <f>VLOOKUP(B11,Tot_res!C:D,2,FALSE)</f>
        <v>Gobierno del poder judicial</v>
      </c>
      <c r="D11" s="332">
        <f>Gasto_o_ing_total!V11*1000/Gasto_o_ing_total!V$485</f>
        <v>0.55911908814068501</v>
      </c>
      <c r="E11" s="332">
        <f>Gasto_o_ing_total!D11*1000/Gasto_o_ing_total!D$485</f>
        <v>0.55911908814068489</v>
      </c>
      <c r="F11" s="332">
        <f>Gasto_o_ing_total!E11*1000/Gasto_o_ing_total!E$485</f>
        <v>0.55911908814068501</v>
      </c>
      <c r="G11" s="332">
        <f>Gasto_o_ing_total!F11*1000/Gasto_o_ing_total!F$485</f>
        <v>0.55911908814068501</v>
      </c>
      <c r="H11" s="332">
        <f>Gasto_o_ing_total!G11*1000/Gasto_o_ing_total!G$485</f>
        <v>0.55911908814068501</v>
      </c>
      <c r="I11" s="332">
        <f>Gasto_o_ing_total!H11*1000/Gasto_o_ing_total!H$485</f>
        <v>0.55911908814068512</v>
      </c>
      <c r="J11" s="332">
        <f>Gasto_o_ing_total!I11*1000/Gasto_o_ing_total!I$485</f>
        <v>0.55911908814068512</v>
      </c>
      <c r="K11" s="332">
        <f>Gasto_o_ing_total!J11*1000/Gasto_o_ing_total!J$485</f>
        <v>0.55911908814068512</v>
      </c>
      <c r="L11" s="332">
        <f>Gasto_o_ing_total!K11*1000/Gasto_o_ing_total!K$485</f>
        <v>0.55911908814068512</v>
      </c>
      <c r="M11" s="332">
        <f>Gasto_o_ing_total!L11*1000/Gasto_o_ing_total!L$485</f>
        <v>0.55911908814068512</v>
      </c>
      <c r="N11" s="332">
        <f>Gasto_o_ing_total!M11*1000/Gasto_o_ing_total!M$485</f>
        <v>0.55911908814068501</v>
      </c>
      <c r="O11" s="332">
        <f>Gasto_o_ing_total!N11*1000/Gasto_o_ing_total!N$485</f>
        <v>0.55911908814068501</v>
      </c>
      <c r="P11" s="332">
        <f>Gasto_o_ing_total!O11*1000/Gasto_o_ing_total!O$485</f>
        <v>0.55911908814068501</v>
      </c>
      <c r="Q11" s="332">
        <f>Gasto_o_ing_total!P11*1000/Gasto_o_ing_total!P$485</f>
        <v>0.55911908814068501</v>
      </c>
      <c r="R11" s="332">
        <f>Gasto_o_ing_total!Q11*1000/Gasto_o_ing_total!Q$485</f>
        <v>0.55911908814068512</v>
      </c>
      <c r="S11" s="332">
        <f>Gasto_o_ing_total!R11*1000/Gasto_o_ing_total!R$485</f>
        <v>0.55911908814068489</v>
      </c>
      <c r="T11" s="332">
        <f>Gasto_o_ing_total!S11*1000/Gasto_o_ing_total!S$485</f>
        <v>0.55911908814068501</v>
      </c>
      <c r="U11" s="332">
        <f>Gasto_o_ing_total!T11*1000/Gasto_o_ing_total!T$485</f>
        <v>0.55911908814068501</v>
      </c>
      <c r="V11" s="332">
        <f>Gasto_o_ing_total!U11*1000/Gasto_o_ing_total!U$485</f>
        <v>0.55911908814068501</v>
      </c>
      <c r="W11" s="105"/>
    </row>
    <row r="12" spans="1:23" s="102" customFormat="1">
      <c r="A12" s="351" t="str">
        <f>IF(B12="","",(IF(ISERROR(MATCH(B12,Tot_res!C:C,0)),"Eliminar!!!","")))</f>
        <v/>
      </c>
      <c r="B12" s="115" t="s">
        <v>115</v>
      </c>
      <c r="C12" s="329" t="str">
        <f>VLOOKUP(B12,Tot_res!C:D,2,FALSE)</f>
        <v>Selección y formación de jueces</v>
      </c>
      <c r="D12" s="332">
        <f>Gasto_o_ing_total!V12*1000/Gasto_o_ing_total!V$485</f>
        <v>0.26149298378470709</v>
      </c>
      <c r="E12" s="332">
        <f>Gasto_o_ing_total!D12*1000/Gasto_o_ing_total!D$485</f>
        <v>0.26149298378470703</v>
      </c>
      <c r="F12" s="332">
        <f>Gasto_o_ing_total!E12*1000/Gasto_o_ing_total!E$485</f>
        <v>0.26149298378470709</v>
      </c>
      <c r="G12" s="332">
        <f>Gasto_o_ing_total!F12*1000/Gasto_o_ing_total!F$485</f>
        <v>0.26149298378470703</v>
      </c>
      <c r="H12" s="332">
        <f>Gasto_o_ing_total!G12*1000/Gasto_o_ing_total!G$485</f>
        <v>0.26149298378470709</v>
      </c>
      <c r="I12" s="332">
        <f>Gasto_o_ing_total!H12*1000/Gasto_o_ing_total!H$485</f>
        <v>0.26149298378470703</v>
      </c>
      <c r="J12" s="332">
        <f>Gasto_o_ing_total!I12*1000/Gasto_o_ing_total!I$485</f>
        <v>0.26149298378470709</v>
      </c>
      <c r="K12" s="332">
        <f>Gasto_o_ing_total!J12*1000/Gasto_o_ing_total!J$485</f>
        <v>0.26149298378470709</v>
      </c>
      <c r="L12" s="332">
        <f>Gasto_o_ing_total!K12*1000/Gasto_o_ing_total!K$485</f>
        <v>0.26149298378470709</v>
      </c>
      <c r="M12" s="332">
        <f>Gasto_o_ing_total!L12*1000/Gasto_o_ing_total!L$485</f>
        <v>0.26149298378470709</v>
      </c>
      <c r="N12" s="332">
        <f>Gasto_o_ing_total!M12*1000/Gasto_o_ing_total!M$485</f>
        <v>0.26149298378470709</v>
      </c>
      <c r="O12" s="332">
        <f>Gasto_o_ing_total!N12*1000/Gasto_o_ing_total!N$485</f>
        <v>0.26149298378470703</v>
      </c>
      <c r="P12" s="332">
        <f>Gasto_o_ing_total!O12*1000/Gasto_o_ing_total!O$485</f>
        <v>0.26149298378470709</v>
      </c>
      <c r="Q12" s="332">
        <f>Gasto_o_ing_total!P12*1000/Gasto_o_ing_total!P$485</f>
        <v>0.26149298378470709</v>
      </c>
      <c r="R12" s="332">
        <f>Gasto_o_ing_total!Q12*1000/Gasto_o_ing_total!Q$485</f>
        <v>0.26149298378470709</v>
      </c>
      <c r="S12" s="332">
        <f>Gasto_o_ing_total!R12*1000/Gasto_o_ing_total!R$485</f>
        <v>0.26149298378470709</v>
      </c>
      <c r="T12" s="332">
        <f>Gasto_o_ing_total!S12*1000/Gasto_o_ing_total!S$485</f>
        <v>0.26149298378470709</v>
      </c>
      <c r="U12" s="332">
        <f>Gasto_o_ing_total!T12*1000/Gasto_o_ing_total!T$485</f>
        <v>0.26149298378470709</v>
      </c>
      <c r="V12" s="332">
        <f>Gasto_o_ing_total!U12*1000/Gasto_o_ing_total!U$485</f>
        <v>0.26149298378470709</v>
      </c>
      <c r="W12" s="105"/>
    </row>
    <row r="13" spans="1:23" s="102" customFormat="1">
      <c r="A13" s="351" t="str">
        <f>IF(B13="","",(IF(ISERROR(MATCH(B13,Tot_res!C:C,0)),"Eliminar!!!","")))</f>
        <v/>
      </c>
      <c r="B13" s="115" t="s">
        <v>116</v>
      </c>
      <c r="C13" s="329" t="str">
        <f>VLOOKUP(B13,Tot_res!C:D,2,FALSE)</f>
        <v>Documentación y publicaciones judiciales</v>
      </c>
      <c r="D13" s="332">
        <f>Gasto_o_ing_total!V13*1000/Gasto_o_ing_total!V$485</f>
        <v>0.15540244000252565</v>
      </c>
      <c r="E13" s="332">
        <f>Gasto_o_ing_total!D13*1000/Gasto_o_ing_total!D$485</f>
        <v>0.15540244000252562</v>
      </c>
      <c r="F13" s="332">
        <f>Gasto_o_ing_total!E13*1000/Gasto_o_ing_total!E$485</f>
        <v>0.15540244000252562</v>
      </c>
      <c r="G13" s="332">
        <f>Gasto_o_ing_total!F13*1000/Gasto_o_ing_total!F$485</f>
        <v>0.15540244000252565</v>
      </c>
      <c r="H13" s="332">
        <f>Gasto_o_ing_total!G13*1000/Gasto_o_ing_total!G$485</f>
        <v>0.15540244000252562</v>
      </c>
      <c r="I13" s="332">
        <f>Gasto_o_ing_total!H13*1000/Gasto_o_ing_total!H$485</f>
        <v>0.15540244000252562</v>
      </c>
      <c r="J13" s="332">
        <f>Gasto_o_ing_total!I13*1000/Gasto_o_ing_total!I$485</f>
        <v>0.15540244000252562</v>
      </c>
      <c r="K13" s="332">
        <f>Gasto_o_ing_total!J13*1000/Gasto_o_ing_total!J$485</f>
        <v>0.15540244000252562</v>
      </c>
      <c r="L13" s="332">
        <f>Gasto_o_ing_total!K13*1000/Gasto_o_ing_total!K$485</f>
        <v>0.15540244000252565</v>
      </c>
      <c r="M13" s="332">
        <f>Gasto_o_ing_total!L13*1000/Gasto_o_ing_total!L$485</f>
        <v>0.15540244000252565</v>
      </c>
      <c r="N13" s="332">
        <f>Gasto_o_ing_total!M13*1000/Gasto_o_ing_total!M$485</f>
        <v>0.15540244000252562</v>
      </c>
      <c r="O13" s="332">
        <f>Gasto_o_ing_total!N13*1000/Gasto_o_ing_total!N$485</f>
        <v>0.15540244000252559</v>
      </c>
      <c r="P13" s="332">
        <f>Gasto_o_ing_total!O13*1000/Gasto_o_ing_total!O$485</f>
        <v>0.15540244000252562</v>
      </c>
      <c r="Q13" s="332">
        <f>Gasto_o_ing_total!P13*1000/Gasto_o_ing_total!P$485</f>
        <v>0.15540244000252562</v>
      </c>
      <c r="R13" s="332">
        <f>Gasto_o_ing_total!Q13*1000/Gasto_o_ing_total!Q$485</f>
        <v>0.15540244000252565</v>
      </c>
      <c r="S13" s="332">
        <f>Gasto_o_ing_total!R13*1000/Gasto_o_ing_total!R$485</f>
        <v>0.15540244000252562</v>
      </c>
      <c r="T13" s="332">
        <f>Gasto_o_ing_total!S13*1000/Gasto_o_ing_total!S$485</f>
        <v>0.15540244000252562</v>
      </c>
      <c r="U13" s="332">
        <f>Gasto_o_ing_total!T13*1000/Gasto_o_ing_total!T$485</f>
        <v>0.15540244000252562</v>
      </c>
      <c r="V13" s="332">
        <f>Gasto_o_ing_total!U13*1000/Gasto_o_ing_total!U$485</f>
        <v>0.15540244000252562</v>
      </c>
      <c r="W13" s="105"/>
    </row>
    <row r="14" spans="1:23" s="102" customFormat="1">
      <c r="A14" s="351" t="str">
        <f>IF(B14="","",(IF(ISERROR(MATCH(B14,Tot_res!C:C,0)),"Eliminar!!!","")))</f>
        <v/>
      </c>
      <c r="B14" s="115" t="s">
        <v>117</v>
      </c>
      <c r="C14" s="329" t="str">
        <f>VLOOKUP(B14,Tot_res!C:D,2,FALSE)</f>
        <v>Jefatura del estado</v>
      </c>
      <c r="D14" s="332">
        <f>Gasto_o_ing_total!V14*1000/Gasto_o_ing_total!V$485</f>
        <v>0.16649670349465573</v>
      </c>
      <c r="E14" s="332">
        <f>Gasto_o_ing_total!D14*1000/Gasto_o_ing_total!D$485</f>
        <v>0.16649670349465573</v>
      </c>
      <c r="F14" s="332">
        <f>Gasto_o_ing_total!E14*1000/Gasto_o_ing_total!E$485</f>
        <v>0.16649670349465576</v>
      </c>
      <c r="G14" s="332">
        <f>Gasto_o_ing_total!F14*1000/Gasto_o_ing_total!F$485</f>
        <v>0.16649670349465576</v>
      </c>
      <c r="H14" s="332">
        <f>Gasto_o_ing_total!G14*1000/Gasto_o_ing_total!G$485</f>
        <v>0.16649670349465576</v>
      </c>
      <c r="I14" s="332">
        <f>Gasto_o_ing_total!H14*1000/Gasto_o_ing_total!H$485</f>
        <v>0.16649670349465573</v>
      </c>
      <c r="J14" s="332">
        <f>Gasto_o_ing_total!I14*1000/Gasto_o_ing_total!I$485</f>
        <v>0.16649670349465573</v>
      </c>
      <c r="K14" s="332">
        <f>Gasto_o_ing_total!J14*1000/Gasto_o_ing_total!J$485</f>
        <v>0.16649670349465576</v>
      </c>
      <c r="L14" s="332">
        <f>Gasto_o_ing_total!K14*1000/Gasto_o_ing_total!K$485</f>
        <v>0.16649670349465578</v>
      </c>
      <c r="M14" s="332">
        <f>Gasto_o_ing_total!L14*1000/Gasto_o_ing_total!L$485</f>
        <v>0.16649670349465573</v>
      </c>
      <c r="N14" s="332">
        <f>Gasto_o_ing_total!M14*1000/Gasto_o_ing_total!M$485</f>
        <v>0.16649670349465576</v>
      </c>
      <c r="O14" s="332">
        <f>Gasto_o_ing_total!N14*1000/Gasto_o_ing_total!N$485</f>
        <v>0.16649670349465576</v>
      </c>
      <c r="P14" s="332">
        <f>Gasto_o_ing_total!O14*1000/Gasto_o_ing_total!O$485</f>
        <v>0.16649670349465573</v>
      </c>
      <c r="Q14" s="332">
        <f>Gasto_o_ing_total!P14*1000/Gasto_o_ing_total!P$485</f>
        <v>0.16649670349465576</v>
      </c>
      <c r="R14" s="332">
        <f>Gasto_o_ing_total!Q14*1000/Gasto_o_ing_total!Q$485</f>
        <v>0.16649670349465576</v>
      </c>
      <c r="S14" s="332">
        <f>Gasto_o_ing_total!R14*1000/Gasto_o_ing_total!R$485</f>
        <v>0.16649670349465576</v>
      </c>
      <c r="T14" s="332">
        <f>Gasto_o_ing_total!S14*1000/Gasto_o_ing_total!S$485</f>
        <v>0.16649670349465576</v>
      </c>
      <c r="U14" s="332">
        <f>Gasto_o_ing_total!T14*1000/Gasto_o_ing_total!T$485</f>
        <v>0.16649670349465576</v>
      </c>
      <c r="V14" s="332">
        <f>Gasto_o_ing_total!U14*1000/Gasto_o_ing_total!U$485</f>
        <v>0.16649670349465576</v>
      </c>
      <c r="W14" s="105"/>
    </row>
    <row r="15" spans="1:23" s="102" customFormat="1">
      <c r="A15" s="351" t="str">
        <f>IF(B15="","",(IF(ISERROR(MATCH(B15,Tot_res!C:C,0)),"Eliminar!!!","")))</f>
        <v/>
      </c>
      <c r="B15" s="115" t="s">
        <v>118</v>
      </c>
      <c r="C15" s="329" t="str">
        <f>VLOOKUP(B15,Tot_res!C:D,2,FALSE)</f>
        <v>Actividad legislativa</v>
      </c>
      <c r="D15" s="332">
        <f>Gasto_o_ing_total!V15*1000/Gasto_o_ing_total!V$485</f>
        <v>4.310484324855004</v>
      </c>
      <c r="E15" s="332">
        <f>Gasto_o_ing_total!D15*1000/Gasto_o_ing_total!D$485</f>
        <v>4.310484324855004</v>
      </c>
      <c r="F15" s="332">
        <f>Gasto_o_ing_total!E15*1000/Gasto_o_ing_total!E$485</f>
        <v>4.310484324855004</v>
      </c>
      <c r="G15" s="332">
        <f>Gasto_o_ing_total!F15*1000/Gasto_o_ing_total!F$485</f>
        <v>4.310484324855004</v>
      </c>
      <c r="H15" s="332">
        <f>Gasto_o_ing_total!G15*1000/Gasto_o_ing_total!G$485</f>
        <v>4.310484324855004</v>
      </c>
      <c r="I15" s="332">
        <f>Gasto_o_ing_total!H15*1000/Gasto_o_ing_total!H$485</f>
        <v>4.310484324855004</v>
      </c>
      <c r="J15" s="332">
        <f>Gasto_o_ing_total!I15*1000/Gasto_o_ing_total!I$485</f>
        <v>4.310484324855004</v>
      </c>
      <c r="K15" s="332">
        <f>Gasto_o_ing_total!J15*1000/Gasto_o_ing_total!J$485</f>
        <v>4.310484324855004</v>
      </c>
      <c r="L15" s="332">
        <f>Gasto_o_ing_total!K15*1000/Gasto_o_ing_total!K$485</f>
        <v>4.310484324855004</v>
      </c>
      <c r="M15" s="332">
        <f>Gasto_o_ing_total!L15*1000/Gasto_o_ing_total!L$485</f>
        <v>4.3104843248550049</v>
      </c>
      <c r="N15" s="332">
        <f>Gasto_o_ing_total!M15*1000/Gasto_o_ing_total!M$485</f>
        <v>4.310484324855004</v>
      </c>
      <c r="O15" s="332">
        <f>Gasto_o_ing_total!N15*1000/Gasto_o_ing_total!N$485</f>
        <v>4.3104843248550049</v>
      </c>
      <c r="P15" s="332">
        <f>Gasto_o_ing_total!O15*1000/Gasto_o_ing_total!O$485</f>
        <v>4.310484324855004</v>
      </c>
      <c r="Q15" s="332">
        <f>Gasto_o_ing_total!P15*1000/Gasto_o_ing_total!P$485</f>
        <v>4.310484324855004</v>
      </c>
      <c r="R15" s="332">
        <f>Gasto_o_ing_total!Q15*1000/Gasto_o_ing_total!Q$485</f>
        <v>4.3104843248550049</v>
      </c>
      <c r="S15" s="332">
        <f>Gasto_o_ing_total!R15*1000/Gasto_o_ing_total!R$485</f>
        <v>4.310484324855004</v>
      </c>
      <c r="T15" s="332">
        <f>Gasto_o_ing_total!S15*1000/Gasto_o_ing_total!S$485</f>
        <v>4.310484324855004</v>
      </c>
      <c r="U15" s="332">
        <f>Gasto_o_ing_total!T15*1000/Gasto_o_ing_total!T$485</f>
        <v>4.310484324855004</v>
      </c>
      <c r="V15" s="332">
        <f>Gasto_o_ing_total!U15*1000/Gasto_o_ing_total!U$485</f>
        <v>4.3104843248550049</v>
      </c>
      <c r="W15" s="105"/>
    </row>
    <row r="16" spans="1:23" s="102" customFormat="1">
      <c r="A16" s="351" t="str">
        <f>IF(B16="","",(IF(ISERROR(MATCH(B16,Tot_res!C:C,0)),"Eliminar!!!","")))</f>
        <v/>
      </c>
      <c r="B16" s="115" t="s">
        <v>120</v>
      </c>
      <c r="C16" s="329" t="str">
        <f>VLOOKUP(B16,Tot_res!C:D,2,FALSE)</f>
        <v>Control externo del sector público</v>
      </c>
      <c r="D16" s="332">
        <f>Gasto_o_ing_total!V16*1000/Gasto_o_ing_total!V$485</f>
        <v>1.1932645821479428</v>
      </c>
      <c r="E16" s="332">
        <f>Gasto_o_ing_total!D16*1000/Gasto_o_ing_total!D$485</f>
        <v>1.1932645821479428</v>
      </c>
      <c r="F16" s="332">
        <f>Gasto_o_ing_total!E16*1000/Gasto_o_ing_total!E$485</f>
        <v>1.1932645821479428</v>
      </c>
      <c r="G16" s="332">
        <f>Gasto_o_ing_total!F16*1000/Gasto_o_ing_total!F$485</f>
        <v>1.1932645821479428</v>
      </c>
      <c r="H16" s="332">
        <f>Gasto_o_ing_total!G16*1000/Gasto_o_ing_total!G$485</f>
        <v>1.1932645821479428</v>
      </c>
      <c r="I16" s="332">
        <f>Gasto_o_ing_total!H16*1000/Gasto_o_ing_total!H$485</f>
        <v>1.1932645821479428</v>
      </c>
      <c r="J16" s="332">
        <f>Gasto_o_ing_total!I16*1000/Gasto_o_ing_total!I$485</f>
        <v>1.1932645821479431</v>
      </c>
      <c r="K16" s="332">
        <f>Gasto_o_ing_total!J16*1000/Gasto_o_ing_total!J$485</f>
        <v>1.1932645821479428</v>
      </c>
      <c r="L16" s="332">
        <f>Gasto_o_ing_total!K16*1000/Gasto_o_ing_total!K$485</f>
        <v>1.1932645821479428</v>
      </c>
      <c r="M16" s="332">
        <f>Gasto_o_ing_total!L16*1000/Gasto_o_ing_total!L$485</f>
        <v>1.1932645821479431</v>
      </c>
      <c r="N16" s="332">
        <f>Gasto_o_ing_total!M16*1000/Gasto_o_ing_total!M$485</f>
        <v>1.1932645821479428</v>
      </c>
      <c r="O16" s="332">
        <f>Gasto_o_ing_total!N16*1000/Gasto_o_ing_total!N$485</f>
        <v>1.1932645821479431</v>
      </c>
      <c r="P16" s="332">
        <f>Gasto_o_ing_total!O16*1000/Gasto_o_ing_total!O$485</f>
        <v>1.1932645821479428</v>
      </c>
      <c r="Q16" s="332">
        <f>Gasto_o_ing_total!P16*1000/Gasto_o_ing_total!P$485</f>
        <v>1.1932645821479428</v>
      </c>
      <c r="R16" s="332">
        <f>Gasto_o_ing_total!Q16*1000/Gasto_o_ing_total!Q$485</f>
        <v>1.1932645821479431</v>
      </c>
      <c r="S16" s="332">
        <f>Gasto_o_ing_total!R16*1000/Gasto_o_ing_total!R$485</f>
        <v>1.1932645821479428</v>
      </c>
      <c r="T16" s="332">
        <f>Gasto_o_ing_total!S16*1000/Gasto_o_ing_total!S$485</f>
        <v>1.1932645821479428</v>
      </c>
      <c r="U16" s="332">
        <f>Gasto_o_ing_total!T16*1000/Gasto_o_ing_total!T$485</f>
        <v>1.1932645821479428</v>
      </c>
      <c r="V16" s="332">
        <f>Gasto_o_ing_total!U16*1000/Gasto_o_ing_total!U$485</f>
        <v>1.1932645821479428</v>
      </c>
      <c r="W16" s="105"/>
    </row>
    <row r="17" spans="1:23" s="102" customFormat="1">
      <c r="A17" s="351" t="str">
        <f>IF(B17="","",(IF(ISERROR(MATCH(B17,Tot_res!C:C,0)),"Eliminar!!!","")))</f>
        <v/>
      </c>
      <c r="B17" s="115" t="s">
        <v>121</v>
      </c>
      <c r="C17" s="329" t="str">
        <f>VLOOKUP(B17,Tot_res!C:D,2,FALSE)</f>
        <v>Control constitucional</v>
      </c>
      <c r="D17" s="332">
        <f>Gasto_o_ing_total!V17*1000/Gasto_o_ing_total!V$485</f>
        <v>0.45009441213919393</v>
      </c>
      <c r="E17" s="332">
        <f>Gasto_o_ing_total!D17*1000/Gasto_o_ing_total!D$485</f>
        <v>0.45009441213919388</v>
      </c>
      <c r="F17" s="332">
        <f>Gasto_o_ing_total!E17*1000/Gasto_o_ing_total!E$485</f>
        <v>0.45009441213919388</v>
      </c>
      <c r="G17" s="332">
        <f>Gasto_o_ing_total!F17*1000/Gasto_o_ing_total!F$485</f>
        <v>0.45009441213919388</v>
      </c>
      <c r="H17" s="332">
        <f>Gasto_o_ing_total!G17*1000/Gasto_o_ing_total!G$485</f>
        <v>0.45009441213919388</v>
      </c>
      <c r="I17" s="332">
        <f>Gasto_o_ing_total!H17*1000/Gasto_o_ing_total!H$485</f>
        <v>0.45009441213919393</v>
      </c>
      <c r="J17" s="332">
        <f>Gasto_o_ing_total!I17*1000/Gasto_o_ing_total!I$485</f>
        <v>0.45009441213919382</v>
      </c>
      <c r="K17" s="332">
        <f>Gasto_o_ing_total!J17*1000/Gasto_o_ing_total!J$485</f>
        <v>0.45009441213919377</v>
      </c>
      <c r="L17" s="332">
        <f>Gasto_o_ing_total!K17*1000/Gasto_o_ing_total!K$485</f>
        <v>0.45009441213919393</v>
      </c>
      <c r="M17" s="332">
        <f>Gasto_o_ing_total!L17*1000/Gasto_o_ing_total!L$485</f>
        <v>0.45009441213919388</v>
      </c>
      <c r="N17" s="332">
        <f>Gasto_o_ing_total!M17*1000/Gasto_o_ing_total!M$485</f>
        <v>0.45009441213919388</v>
      </c>
      <c r="O17" s="332">
        <f>Gasto_o_ing_total!N17*1000/Gasto_o_ing_total!N$485</f>
        <v>0.45009441213919388</v>
      </c>
      <c r="P17" s="332">
        <f>Gasto_o_ing_total!O17*1000/Gasto_o_ing_total!O$485</f>
        <v>0.45009441213919388</v>
      </c>
      <c r="Q17" s="332">
        <f>Gasto_o_ing_total!P17*1000/Gasto_o_ing_total!P$485</f>
        <v>0.45009441213919388</v>
      </c>
      <c r="R17" s="332">
        <f>Gasto_o_ing_total!Q17*1000/Gasto_o_ing_total!Q$485</f>
        <v>0.45009441213919388</v>
      </c>
      <c r="S17" s="332">
        <f>Gasto_o_ing_total!R17*1000/Gasto_o_ing_total!R$485</f>
        <v>0.45009441213919388</v>
      </c>
      <c r="T17" s="332">
        <f>Gasto_o_ing_total!S17*1000/Gasto_o_ing_total!S$485</f>
        <v>0.45009441213919388</v>
      </c>
      <c r="U17" s="332">
        <f>Gasto_o_ing_total!T17*1000/Gasto_o_ing_total!T$485</f>
        <v>0.45009441213919388</v>
      </c>
      <c r="V17" s="332">
        <f>Gasto_o_ing_total!U17*1000/Gasto_o_ing_total!U$485</f>
        <v>0.45009441213919388</v>
      </c>
      <c r="W17" s="105"/>
    </row>
    <row r="18" spans="1:23" s="102" customFormat="1">
      <c r="A18" s="351" t="str">
        <f>IF(B18="","",(IF(ISERROR(MATCH(B18,Tot_res!C:C,0)),"Eliminar!!!","")))</f>
        <v/>
      </c>
      <c r="B18" s="115" t="s">
        <v>122</v>
      </c>
      <c r="C18" s="329" t="str">
        <f>VLOOKUP(B18,Tot_res!C:D,2,FALSE)</f>
        <v>Apoyo a la gestión administrativa de la jefatura del estado</v>
      </c>
      <c r="D18" s="332">
        <f>Gasto_o_ing_total!V18*1000/Gasto_o_ing_total!V$485</f>
        <v>0.12484216284722163</v>
      </c>
      <c r="E18" s="332">
        <f>Gasto_o_ing_total!D18*1000/Gasto_o_ing_total!D$485</f>
        <v>0.12484216284722162</v>
      </c>
      <c r="F18" s="332">
        <f>Gasto_o_ing_total!E18*1000/Gasto_o_ing_total!E$485</f>
        <v>0.1248421628472216</v>
      </c>
      <c r="G18" s="332">
        <f>Gasto_o_ing_total!F18*1000/Gasto_o_ing_total!F$485</f>
        <v>0.12484216284722162</v>
      </c>
      <c r="H18" s="332">
        <f>Gasto_o_ing_total!G18*1000/Gasto_o_ing_total!G$485</f>
        <v>0.12484216284722163</v>
      </c>
      <c r="I18" s="332">
        <f>Gasto_o_ing_total!H18*1000/Gasto_o_ing_total!H$485</f>
        <v>0.12484216284722162</v>
      </c>
      <c r="J18" s="332">
        <f>Gasto_o_ing_total!I18*1000/Gasto_o_ing_total!I$485</f>
        <v>0.1248421628472216</v>
      </c>
      <c r="K18" s="332">
        <f>Gasto_o_ing_total!J18*1000/Gasto_o_ing_total!J$485</f>
        <v>0.1248421628472216</v>
      </c>
      <c r="L18" s="332">
        <f>Gasto_o_ing_total!K18*1000/Gasto_o_ing_total!K$485</f>
        <v>0.1248421628472216</v>
      </c>
      <c r="M18" s="332">
        <f>Gasto_o_ing_total!L18*1000/Gasto_o_ing_total!L$485</f>
        <v>0.12484216284722162</v>
      </c>
      <c r="N18" s="332">
        <f>Gasto_o_ing_total!M18*1000/Gasto_o_ing_total!M$485</f>
        <v>0.12484216284722162</v>
      </c>
      <c r="O18" s="332">
        <f>Gasto_o_ing_total!N18*1000/Gasto_o_ing_total!N$485</f>
        <v>0.1248421628472216</v>
      </c>
      <c r="P18" s="332">
        <f>Gasto_o_ing_total!O18*1000/Gasto_o_ing_total!O$485</f>
        <v>0.12484216284722162</v>
      </c>
      <c r="Q18" s="332">
        <f>Gasto_o_ing_total!P18*1000/Gasto_o_ing_total!P$485</f>
        <v>0.12484216284722162</v>
      </c>
      <c r="R18" s="332">
        <f>Gasto_o_ing_total!Q18*1000/Gasto_o_ing_total!Q$485</f>
        <v>0.12484216284722162</v>
      </c>
      <c r="S18" s="332">
        <f>Gasto_o_ing_total!R18*1000/Gasto_o_ing_total!R$485</f>
        <v>0.1248421628472216</v>
      </c>
      <c r="T18" s="332">
        <f>Gasto_o_ing_total!S18*1000/Gasto_o_ing_total!S$485</f>
        <v>0.1248421628472216</v>
      </c>
      <c r="U18" s="332">
        <f>Gasto_o_ing_total!T18*1000/Gasto_o_ing_total!T$485</f>
        <v>0.12484216284722159</v>
      </c>
      <c r="V18" s="332">
        <f>Gasto_o_ing_total!U18*1000/Gasto_o_ing_total!U$485</f>
        <v>0.12484216284722162</v>
      </c>
      <c r="W18" s="105"/>
    </row>
    <row r="19" spans="1:23" s="102" customFormat="1">
      <c r="A19" s="351" t="str">
        <f>IF(B19="","",(IF(ISERROR(MATCH(B19,Tot_res!C:C,0)),"Eliminar!!!","")))</f>
        <v/>
      </c>
      <c r="B19" s="115" t="s">
        <v>123</v>
      </c>
      <c r="C19" s="329" t="str">
        <f>VLOOKUP(B19,Tot_res!C:D,2,FALSE)</f>
        <v>Presidencia del gobierno</v>
      </c>
      <c r="D19" s="332">
        <f>Gasto_o_ing_total!V19*1000/Gasto_o_ing_total!V$485</f>
        <v>0.73584882639647231</v>
      </c>
      <c r="E19" s="332">
        <f>Gasto_o_ing_total!D19*1000/Gasto_o_ing_total!D$485</f>
        <v>0.73584882639647209</v>
      </c>
      <c r="F19" s="332">
        <f>Gasto_o_ing_total!E19*1000/Gasto_o_ing_total!E$485</f>
        <v>0.73584882639647209</v>
      </c>
      <c r="G19" s="332">
        <f>Gasto_o_ing_total!F19*1000/Gasto_o_ing_total!F$485</f>
        <v>0.7358488263964722</v>
      </c>
      <c r="H19" s="332">
        <f>Gasto_o_ing_total!G19*1000/Gasto_o_ing_total!G$485</f>
        <v>0.7358488263964722</v>
      </c>
      <c r="I19" s="332">
        <f>Gasto_o_ing_total!H19*1000/Gasto_o_ing_total!H$485</f>
        <v>0.73584882639647209</v>
      </c>
      <c r="J19" s="332">
        <f>Gasto_o_ing_total!I19*1000/Gasto_o_ing_total!I$485</f>
        <v>0.7358488263964722</v>
      </c>
      <c r="K19" s="332">
        <f>Gasto_o_ing_total!J19*1000/Gasto_o_ing_total!J$485</f>
        <v>0.73584882639647209</v>
      </c>
      <c r="L19" s="332">
        <f>Gasto_o_ing_total!K19*1000/Gasto_o_ing_total!K$485</f>
        <v>0.7358488263964722</v>
      </c>
      <c r="M19" s="332">
        <f>Gasto_o_ing_total!L19*1000/Gasto_o_ing_total!L$485</f>
        <v>0.73584882639647209</v>
      </c>
      <c r="N19" s="332">
        <f>Gasto_o_ing_total!M19*1000/Gasto_o_ing_total!M$485</f>
        <v>0.7358488263964722</v>
      </c>
      <c r="O19" s="332">
        <f>Gasto_o_ing_total!N19*1000/Gasto_o_ing_total!N$485</f>
        <v>0.73584882639647209</v>
      </c>
      <c r="P19" s="332">
        <f>Gasto_o_ing_total!O19*1000/Gasto_o_ing_total!O$485</f>
        <v>0.73584882639647209</v>
      </c>
      <c r="Q19" s="332">
        <f>Gasto_o_ing_total!P19*1000/Gasto_o_ing_total!P$485</f>
        <v>0.7358488263964722</v>
      </c>
      <c r="R19" s="332">
        <f>Gasto_o_ing_total!Q19*1000/Gasto_o_ing_total!Q$485</f>
        <v>0.7358488263964722</v>
      </c>
      <c r="S19" s="332">
        <f>Gasto_o_ing_total!R19*1000/Gasto_o_ing_total!R$485</f>
        <v>0.73584882639647209</v>
      </c>
      <c r="T19" s="332">
        <f>Gasto_o_ing_total!S19*1000/Gasto_o_ing_total!S$485</f>
        <v>0.7358488263964722</v>
      </c>
      <c r="U19" s="332">
        <f>Gasto_o_ing_total!T19*1000/Gasto_o_ing_total!T$485</f>
        <v>0.7358488263964722</v>
      </c>
      <c r="V19" s="332">
        <f>Gasto_o_ing_total!U19*1000/Gasto_o_ing_total!U$485</f>
        <v>0.7358488263964722</v>
      </c>
      <c r="W19" s="105"/>
    </row>
    <row r="20" spans="1:23" s="102" customFormat="1">
      <c r="A20" s="351" t="str">
        <f>IF(B20="","",(IF(ISERROR(MATCH(B20,Tot_res!C:C,0)),"Eliminar!!!","")))</f>
        <v/>
      </c>
      <c r="B20" s="115" t="s">
        <v>124</v>
      </c>
      <c r="C20" s="329" t="str">
        <f>VLOOKUP(B20,Tot_res!C:D,2,FALSE)</f>
        <v>Alto asesoramiento del estado</v>
      </c>
      <c r="D20" s="332">
        <f>Gasto_o_ing_total!V20*1000/Gasto_o_ing_total!V$485</f>
        <v>0.17505492430311823</v>
      </c>
      <c r="E20" s="332">
        <f>Gasto_o_ing_total!D20*1000/Gasto_o_ing_total!D$485</f>
        <v>0.1750549243031182</v>
      </c>
      <c r="F20" s="332">
        <f>Gasto_o_ing_total!E20*1000/Gasto_o_ing_total!E$485</f>
        <v>0.17505492430311823</v>
      </c>
      <c r="G20" s="332">
        <f>Gasto_o_ing_total!F20*1000/Gasto_o_ing_total!F$485</f>
        <v>0.17505492430311823</v>
      </c>
      <c r="H20" s="332">
        <f>Gasto_o_ing_total!G20*1000/Gasto_o_ing_total!G$485</f>
        <v>0.1750549243031182</v>
      </c>
      <c r="I20" s="332">
        <f>Gasto_o_ing_total!H20*1000/Gasto_o_ing_total!H$485</f>
        <v>0.17505492430311823</v>
      </c>
      <c r="J20" s="332">
        <f>Gasto_o_ing_total!I20*1000/Gasto_o_ing_total!I$485</f>
        <v>0.17505492430311823</v>
      </c>
      <c r="K20" s="332">
        <f>Gasto_o_ing_total!J20*1000/Gasto_o_ing_total!J$485</f>
        <v>0.17505492430311823</v>
      </c>
      <c r="L20" s="332">
        <f>Gasto_o_ing_total!K20*1000/Gasto_o_ing_total!K$485</f>
        <v>0.17505492430311823</v>
      </c>
      <c r="M20" s="332">
        <f>Gasto_o_ing_total!L20*1000/Gasto_o_ing_total!L$485</f>
        <v>0.17505492430311823</v>
      </c>
      <c r="N20" s="332">
        <f>Gasto_o_ing_total!M20*1000/Gasto_o_ing_total!M$485</f>
        <v>0.17505492430311823</v>
      </c>
      <c r="O20" s="332">
        <f>Gasto_o_ing_total!N20*1000/Gasto_o_ing_total!N$485</f>
        <v>0.17505492430311823</v>
      </c>
      <c r="P20" s="332">
        <f>Gasto_o_ing_total!O20*1000/Gasto_o_ing_total!O$485</f>
        <v>0.1750549243031182</v>
      </c>
      <c r="Q20" s="332">
        <f>Gasto_o_ing_total!P20*1000/Gasto_o_ing_total!P$485</f>
        <v>0.1750549243031182</v>
      </c>
      <c r="R20" s="332">
        <f>Gasto_o_ing_total!Q20*1000/Gasto_o_ing_total!Q$485</f>
        <v>0.17505492430311823</v>
      </c>
      <c r="S20" s="332">
        <f>Gasto_o_ing_total!R20*1000/Gasto_o_ing_total!R$485</f>
        <v>0.17505492430311823</v>
      </c>
      <c r="T20" s="332">
        <f>Gasto_o_ing_total!S20*1000/Gasto_o_ing_total!S$485</f>
        <v>0.17505492430311823</v>
      </c>
      <c r="U20" s="332">
        <f>Gasto_o_ing_total!T20*1000/Gasto_o_ing_total!T$485</f>
        <v>0.17505492430311823</v>
      </c>
      <c r="V20" s="332">
        <f>Gasto_o_ing_total!U20*1000/Gasto_o_ing_total!U$485</f>
        <v>0.17505492430311823</v>
      </c>
      <c r="W20" s="105"/>
    </row>
    <row r="21" spans="1:23" s="102" customFormat="1">
      <c r="A21" s="351" t="str">
        <f>IF(B21="","",(IF(ISERROR(MATCH(B21,Tot_res!C:C,0)),"Eliminar!!!","")))</f>
        <v/>
      </c>
      <c r="B21" s="115" t="s">
        <v>125</v>
      </c>
      <c r="C21" s="329" t="str">
        <f>VLOOKUP(B21,Tot_res!C:D,2,FALSE)</f>
        <v>Relaciones con las cortes generales, secretariado del gobierno y apoyo a la alta dirección</v>
      </c>
      <c r="D21" s="332">
        <f>Gasto_o_ing_total!V21*1000/Gasto_o_ing_total!V$485</f>
        <v>0.65900995830397913</v>
      </c>
      <c r="E21" s="332">
        <f>Gasto_o_ing_total!D21*1000/Gasto_o_ing_total!D$485</f>
        <v>0.65900995830397913</v>
      </c>
      <c r="F21" s="332">
        <f>Gasto_o_ing_total!E21*1000/Gasto_o_ing_total!E$485</f>
        <v>0.65900995830397924</v>
      </c>
      <c r="G21" s="332">
        <f>Gasto_o_ing_total!F21*1000/Gasto_o_ing_total!F$485</f>
        <v>0.65900995830397935</v>
      </c>
      <c r="H21" s="332">
        <f>Gasto_o_ing_total!G21*1000/Gasto_o_ing_total!G$485</f>
        <v>0.65900995830397924</v>
      </c>
      <c r="I21" s="332">
        <f>Gasto_o_ing_total!H21*1000/Gasto_o_ing_total!H$485</f>
        <v>0.65900995830397924</v>
      </c>
      <c r="J21" s="332">
        <f>Gasto_o_ing_total!I21*1000/Gasto_o_ing_total!I$485</f>
        <v>0.65900995830397924</v>
      </c>
      <c r="K21" s="332">
        <f>Gasto_o_ing_total!J21*1000/Gasto_o_ing_total!J$485</f>
        <v>0.65900995830397935</v>
      </c>
      <c r="L21" s="332">
        <f>Gasto_o_ing_total!K21*1000/Gasto_o_ing_total!K$485</f>
        <v>0.65900995830397935</v>
      </c>
      <c r="M21" s="332">
        <f>Gasto_o_ing_total!L21*1000/Gasto_o_ing_total!L$485</f>
        <v>0.65900995830397935</v>
      </c>
      <c r="N21" s="332">
        <f>Gasto_o_ing_total!M21*1000/Gasto_o_ing_total!M$485</f>
        <v>0.65900995830397935</v>
      </c>
      <c r="O21" s="332">
        <f>Gasto_o_ing_total!N21*1000/Gasto_o_ing_total!N$485</f>
        <v>0.65900995830397924</v>
      </c>
      <c r="P21" s="332">
        <f>Gasto_o_ing_total!O21*1000/Gasto_o_ing_total!O$485</f>
        <v>0.65900995830397935</v>
      </c>
      <c r="Q21" s="332">
        <f>Gasto_o_ing_total!P21*1000/Gasto_o_ing_total!P$485</f>
        <v>0.65900995830397924</v>
      </c>
      <c r="R21" s="332">
        <f>Gasto_o_ing_total!Q21*1000/Gasto_o_ing_total!Q$485</f>
        <v>0.65900995830397924</v>
      </c>
      <c r="S21" s="332">
        <f>Gasto_o_ing_total!R21*1000/Gasto_o_ing_total!R$485</f>
        <v>0.65900995830397913</v>
      </c>
      <c r="T21" s="332">
        <f>Gasto_o_ing_total!S21*1000/Gasto_o_ing_total!S$485</f>
        <v>0.65900995830397924</v>
      </c>
      <c r="U21" s="332">
        <f>Gasto_o_ing_total!T21*1000/Gasto_o_ing_total!T$485</f>
        <v>0.65900995830397924</v>
      </c>
      <c r="V21" s="332">
        <f>Gasto_o_ing_total!U21*1000/Gasto_o_ing_total!U$485</f>
        <v>0.65900995830397935</v>
      </c>
      <c r="W21" s="105"/>
    </row>
    <row r="22" spans="1:23" s="102" customFormat="1">
      <c r="A22" s="351" t="str">
        <f>IF(B22="","",(IF(ISERROR(MATCH(B22,Tot_res!C:C,0)),"Eliminar!!!","")))</f>
        <v/>
      </c>
      <c r="B22" s="115" t="s">
        <v>126</v>
      </c>
      <c r="C22" s="329" t="str">
        <f>VLOOKUP(B22,Tot_res!C:D,2,FALSE)</f>
        <v>Asesoramiento del gobierno en materia social, económica y laboral</v>
      </c>
      <c r="D22" s="332">
        <f>Gasto_o_ing_total!V22*1000/Gasto_o_ing_total!V$485</f>
        <v>0.14459782039483754</v>
      </c>
      <c r="E22" s="332">
        <f>Gasto_o_ing_total!D22*1000/Gasto_o_ing_total!D$485</f>
        <v>0.14459782039483757</v>
      </c>
      <c r="F22" s="332">
        <f>Gasto_o_ing_total!E22*1000/Gasto_o_ing_total!E$485</f>
        <v>0.1445978203948376</v>
      </c>
      <c r="G22" s="332">
        <f>Gasto_o_ing_total!F22*1000/Gasto_o_ing_total!F$485</f>
        <v>0.1445978203948376</v>
      </c>
      <c r="H22" s="332">
        <f>Gasto_o_ing_total!G22*1000/Gasto_o_ing_total!G$485</f>
        <v>0.1445978203948376</v>
      </c>
      <c r="I22" s="332">
        <f>Gasto_o_ing_total!H22*1000/Gasto_o_ing_total!H$485</f>
        <v>0.14459782039483757</v>
      </c>
      <c r="J22" s="332">
        <f>Gasto_o_ing_total!I22*1000/Gasto_o_ing_total!I$485</f>
        <v>0.1445978203948376</v>
      </c>
      <c r="K22" s="332">
        <f>Gasto_o_ing_total!J22*1000/Gasto_o_ing_total!J$485</f>
        <v>0.14459782039483757</v>
      </c>
      <c r="L22" s="332">
        <f>Gasto_o_ing_total!K22*1000/Gasto_o_ing_total!K$485</f>
        <v>0.1445978203948376</v>
      </c>
      <c r="M22" s="332">
        <f>Gasto_o_ing_total!L22*1000/Gasto_o_ing_total!L$485</f>
        <v>0.14459782039483757</v>
      </c>
      <c r="N22" s="332">
        <f>Gasto_o_ing_total!M22*1000/Gasto_o_ing_total!M$485</f>
        <v>0.1445978203948376</v>
      </c>
      <c r="O22" s="332">
        <f>Gasto_o_ing_total!N22*1000/Gasto_o_ing_total!N$485</f>
        <v>0.1445978203948376</v>
      </c>
      <c r="P22" s="332">
        <f>Gasto_o_ing_total!O22*1000/Gasto_o_ing_total!O$485</f>
        <v>0.1445978203948376</v>
      </c>
      <c r="Q22" s="332">
        <f>Gasto_o_ing_total!P22*1000/Gasto_o_ing_total!P$485</f>
        <v>0.14459782039483757</v>
      </c>
      <c r="R22" s="332">
        <f>Gasto_o_ing_total!Q22*1000/Gasto_o_ing_total!Q$485</f>
        <v>0.1445978203948376</v>
      </c>
      <c r="S22" s="332">
        <f>Gasto_o_ing_total!R22*1000/Gasto_o_ing_total!R$485</f>
        <v>0.14459782039483757</v>
      </c>
      <c r="T22" s="332">
        <f>Gasto_o_ing_total!S22*1000/Gasto_o_ing_total!S$485</f>
        <v>0.1445978203948376</v>
      </c>
      <c r="U22" s="332">
        <f>Gasto_o_ing_total!T22*1000/Gasto_o_ing_total!T$485</f>
        <v>0.1445978203948376</v>
      </c>
      <c r="V22" s="332">
        <f>Gasto_o_ing_total!U22*1000/Gasto_o_ing_total!U$485</f>
        <v>0.1445978203948376</v>
      </c>
      <c r="W22" s="105"/>
    </row>
    <row r="23" spans="1:23" s="102" customFormat="1">
      <c r="A23" s="351" t="str">
        <f>IF(B23="","",(IF(ISERROR(MATCH(B23,Tot_res!C:C,0)),"Eliminar!!!","")))</f>
        <v/>
      </c>
      <c r="B23" s="115" t="s">
        <v>127</v>
      </c>
      <c r="C23" s="329" t="str">
        <f>VLOOKUP(B23,Tot_res!C:D,2,FALSE)</f>
        <v>Cobertura informativa</v>
      </c>
      <c r="D23" s="332">
        <f>Gasto_o_ing_total!V23*1000/Gasto_o_ing_total!V$485</f>
        <v>1.1332549746416116</v>
      </c>
      <c r="E23" s="332">
        <f>Gasto_o_ing_total!D23*1000/Gasto_o_ing_total!D$485</f>
        <v>1.1332549746416118</v>
      </c>
      <c r="F23" s="332">
        <f>Gasto_o_ing_total!E23*1000/Gasto_o_ing_total!E$485</f>
        <v>1.1332549746416118</v>
      </c>
      <c r="G23" s="332">
        <f>Gasto_o_ing_total!F23*1000/Gasto_o_ing_total!F$485</f>
        <v>1.1332549746416118</v>
      </c>
      <c r="H23" s="332">
        <f>Gasto_o_ing_total!G23*1000/Gasto_o_ing_total!G$485</f>
        <v>1.1332549746416118</v>
      </c>
      <c r="I23" s="332">
        <f>Gasto_o_ing_total!H23*1000/Gasto_o_ing_total!H$485</f>
        <v>1.1332549746416116</v>
      </c>
      <c r="J23" s="332">
        <f>Gasto_o_ing_total!I23*1000/Gasto_o_ing_total!I$485</f>
        <v>1.1332549746416118</v>
      </c>
      <c r="K23" s="332">
        <f>Gasto_o_ing_total!J23*1000/Gasto_o_ing_total!J$485</f>
        <v>1.1332549746416118</v>
      </c>
      <c r="L23" s="332">
        <f>Gasto_o_ing_total!K23*1000/Gasto_o_ing_total!K$485</f>
        <v>1.1332549746416118</v>
      </c>
      <c r="M23" s="332">
        <f>Gasto_o_ing_total!L23*1000/Gasto_o_ing_total!L$485</f>
        <v>1.1332549746416118</v>
      </c>
      <c r="N23" s="332">
        <f>Gasto_o_ing_total!M23*1000/Gasto_o_ing_total!M$485</f>
        <v>1.1332549746416121</v>
      </c>
      <c r="O23" s="332">
        <f>Gasto_o_ing_total!N23*1000/Gasto_o_ing_total!N$485</f>
        <v>1.1332549746416121</v>
      </c>
      <c r="P23" s="332">
        <f>Gasto_o_ing_total!O23*1000/Gasto_o_ing_total!O$485</f>
        <v>1.1332549746416116</v>
      </c>
      <c r="Q23" s="332">
        <f>Gasto_o_ing_total!P23*1000/Gasto_o_ing_total!P$485</f>
        <v>1.1332549746416118</v>
      </c>
      <c r="R23" s="332">
        <f>Gasto_o_ing_total!Q23*1000/Gasto_o_ing_total!Q$485</f>
        <v>1.1332549746416118</v>
      </c>
      <c r="S23" s="332">
        <f>Gasto_o_ing_total!R23*1000/Gasto_o_ing_total!R$485</f>
        <v>1.1332549746416118</v>
      </c>
      <c r="T23" s="332">
        <f>Gasto_o_ing_total!S23*1000/Gasto_o_ing_total!S$485</f>
        <v>1.1332549746416118</v>
      </c>
      <c r="U23" s="332">
        <f>Gasto_o_ing_total!T23*1000/Gasto_o_ing_total!T$485</f>
        <v>1.1332549746416116</v>
      </c>
      <c r="V23" s="332">
        <f>Gasto_o_ing_total!U23*1000/Gasto_o_ing_total!U$485</f>
        <v>1.1332549746416118</v>
      </c>
      <c r="W23" s="105"/>
    </row>
    <row r="24" spans="1:23">
      <c r="A24" s="352"/>
      <c r="D24" s="19"/>
      <c r="E24" s="19"/>
      <c r="F24" s="19"/>
      <c r="G24" s="19"/>
      <c r="H24" s="19"/>
      <c r="I24" s="19"/>
      <c r="J24" s="19"/>
      <c r="K24" s="19"/>
      <c r="L24" s="19"/>
      <c r="M24" s="19"/>
      <c r="N24" s="19"/>
      <c r="O24" s="19"/>
      <c r="P24" s="19"/>
      <c r="Q24" s="19"/>
      <c r="R24" s="19"/>
      <c r="S24" s="19"/>
      <c r="T24" s="19"/>
      <c r="U24" s="19"/>
      <c r="V24" s="19"/>
      <c r="W24" s="2"/>
    </row>
    <row r="25" spans="1:23" s="102" customFormat="1" ht="13.5">
      <c r="A25" s="352"/>
      <c r="B25" s="115"/>
      <c r="C25" s="117" t="s">
        <v>47</v>
      </c>
      <c r="D25" s="113">
        <f>Gasto_o_ing_total!V25*1000/Gasto_o_ing_total!V$485</f>
        <v>36.357478294375426</v>
      </c>
      <c r="E25" s="113">
        <f>Gasto_o_ing_total!D25*1000/Gasto_o_ing_total!D$485</f>
        <v>36.357478294375426</v>
      </c>
      <c r="F25" s="113">
        <f>Gasto_o_ing_total!E25*1000/Gasto_o_ing_total!E$485</f>
        <v>36.357478294375433</v>
      </c>
      <c r="G25" s="113">
        <f>Gasto_o_ing_total!F25*1000/Gasto_o_ing_total!F$485</f>
        <v>36.357478294375426</v>
      </c>
      <c r="H25" s="113">
        <f>Gasto_o_ing_total!G25*1000/Gasto_o_ing_total!G$485</f>
        <v>36.357478294375433</v>
      </c>
      <c r="I25" s="113">
        <f>Gasto_o_ing_total!H25*1000/Gasto_o_ing_total!H$485</f>
        <v>36.357478294375433</v>
      </c>
      <c r="J25" s="113">
        <f>Gasto_o_ing_total!I25*1000/Gasto_o_ing_total!I$485</f>
        <v>36.357478294375426</v>
      </c>
      <c r="K25" s="113">
        <f>Gasto_o_ing_total!J25*1000/Gasto_o_ing_total!J$485</f>
        <v>36.357478294375426</v>
      </c>
      <c r="L25" s="113">
        <f>Gasto_o_ing_total!K25*1000/Gasto_o_ing_total!K$485</f>
        <v>36.357478294375433</v>
      </c>
      <c r="M25" s="113">
        <f>Gasto_o_ing_total!L25*1000/Gasto_o_ing_total!L$485</f>
        <v>36.357478294375426</v>
      </c>
      <c r="N25" s="113">
        <f>Gasto_o_ing_total!M25*1000/Gasto_o_ing_total!M$485</f>
        <v>36.357478294375433</v>
      </c>
      <c r="O25" s="113">
        <f>Gasto_o_ing_total!N25*1000/Gasto_o_ing_total!N$485</f>
        <v>36.357478294375433</v>
      </c>
      <c r="P25" s="113">
        <f>Gasto_o_ing_total!O25*1000/Gasto_o_ing_total!O$485</f>
        <v>36.35747829437544</v>
      </c>
      <c r="Q25" s="113">
        <f>Gasto_o_ing_total!P25*1000/Gasto_o_ing_total!P$485</f>
        <v>36.357478294375433</v>
      </c>
      <c r="R25" s="113">
        <f>Gasto_o_ing_total!Q25*1000/Gasto_o_ing_total!Q$485</f>
        <v>36.357478294375433</v>
      </c>
      <c r="S25" s="113">
        <f>Gasto_o_ing_total!R25*1000/Gasto_o_ing_total!R$485</f>
        <v>36.357478294375426</v>
      </c>
      <c r="T25" s="113">
        <f>Gasto_o_ing_total!S25*1000/Gasto_o_ing_total!S$485</f>
        <v>36.357478294375426</v>
      </c>
      <c r="U25" s="113">
        <f>Gasto_o_ing_total!T25*1000/Gasto_o_ing_total!T$485</f>
        <v>36.357478294375433</v>
      </c>
      <c r="V25" s="113">
        <f>Gasto_o_ing_total!U25*1000/Gasto_o_ing_total!U$485</f>
        <v>36.357478294375433</v>
      </c>
      <c r="W25" s="105"/>
    </row>
    <row r="26" spans="1:23" s="102" customFormat="1">
      <c r="A26" s="351" t="str">
        <f>IF(B26="","",(IF(ISERROR(MATCH(B26,Tot_res!C:C,0)),"Eliminar!!!","")))</f>
        <v/>
      </c>
      <c r="B26" s="115" t="s">
        <v>129</v>
      </c>
      <c r="C26" s="329" t="str">
        <f>VLOOKUP(B26,Tot_res!C:D,2,FALSE)</f>
        <v>Dirección y servicios generales de asuntos exteriores</v>
      </c>
      <c r="D26" s="332">
        <f>Gasto_o_ing_total!V26*1000/Gasto_o_ing_total!V$485</f>
        <v>1.5301074050253884</v>
      </c>
      <c r="E26" s="332">
        <f>Gasto_o_ing_total!D26*1000/Gasto_o_ing_total!D$485</f>
        <v>1.5301074050253887</v>
      </c>
      <c r="F26" s="332">
        <f>Gasto_o_ing_total!E26*1000/Gasto_o_ing_total!E$485</f>
        <v>1.5301074050253889</v>
      </c>
      <c r="G26" s="332">
        <f>Gasto_o_ing_total!F26*1000/Gasto_o_ing_total!F$485</f>
        <v>1.5301074050253889</v>
      </c>
      <c r="H26" s="332">
        <f>Gasto_o_ing_total!G26*1000/Gasto_o_ing_total!G$485</f>
        <v>1.5301074050253889</v>
      </c>
      <c r="I26" s="332">
        <f>Gasto_o_ing_total!H26*1000/Gasto_o_ing_total!H$485</f>
        <v>1.5301074050253889</v>
      </c>
      <c r="J26" s="332">
        <f>Gasto_o_ing_total!I26*1000/Gasto_o_ing_total!I$485</f>
        <v>1.5301074050253891</v>
      </c>
      <c r="K26" s="332">
        <f>Gasto_o_ing_total!J26*1000/Gasto_o_ing_total!J$485</f>
        <v>1.5301074050253889</v>
      </c>
      <c r="L26" s="332">
        <f>Gasto_o_ing_total!K26*1000/Gasto_o_ing_total!K$485</f>
        <v>1.5301074050253889</v>
      </c>
      <c r="M26" s="332">
        <f>Gasto_o_ing_total!L26*1000/Gasto_o_ing_total!L$485</f>
        <v>1.5301074050253891</v>
      </c>
      <c r="N26" s="332">
        <f>Gasto_o_ing_total!M26*1000/Gasto_o_ing_total!M$485</f>
        <v>1.5301074050253891</v>
      </c>
      <c r="O26" s="332">
        <f>Gasto_o_ing_total!N26*1000/Gasto_o_ing_total!N$485</f>
        <v>1.5301074050253889</v>
      </c>
      <c r="P26" s="332">
        <f>Gasto_o_ing_total!O26*1000/Gasto_o_ing_total!O$485</f>
        <v>1.5301074050253889</v>
      </c>
      <c r="Q26" s="332">
        <f>Gasto_o_ing_total!P26*1000/Gasto_o_ing_total!P$485</f>
        <v>1.5301074050253889</v>
      </c>
      <c r="R26" s="332">
        <f>Gasto_o_ing_total!Q26*1000/Gasto_o_ing_total!Q$485</f>
        <v>1.5301074050253889</v>
      </c>
      <c r="S26" s="332">
        <f>Gasto_o_ing_total!R26*1000/Gasto_o_ing_total!R$485</f>
        <v>1.5301074050253889</v>
      </c>
      <c r="T26" s="332">
        <f>Gasto_o_ing_total!S26*1000/Gasto_o_ing_total!S$485</f>
        <v>1.5301074050253889</v>
      </c>
      <c r="U26" s="332">
        <f>Gasto_o_ing_total!T26*1000/Gasto_o_ing_total!T$485</f>
        <v>1.5301074050253891</v>
      </c>
      <c r="V26" s="332">
        <f>Gasto_o_ing_total!U26*1000/Gasto_o_ing_total!U$485</f>
        <v>1.5301074050253891</v>
      </c>
      <c r="W26" s="118"/>
    </row>
    <row r="27" spans="1:23" s="102" customFormat="1">
      <c r="A27" s="351" t="str">
        <f>IF(B27="","",(IF(ISERROR(MATCH(B27,Tot_res!C:C,0)),"Eliminar!!!","")))</f>
        <v/>
      </c>
      <c r="B27" s="115" t="s">
        <v>130</v>
      </c>
      <c r="C27" s="329" t="str">
        <f>VLOOKUP(B27,Tot_res!C:D,2,FALSE)</f>
        <v>Acción del estado en el exterior</v>
      </c>
      <c r="D27" s="332">
        <f>Gasto_o_ing_total!V27*1000/Gasto_o_ing_total!V$485</f>
        <v>14.915966168600676</v>
      </c>
      <c r="E27" s="332">
        <f>Gasto_o_ing_total!D27*1000/Gasto_o_ing_total!D$485</f>
        <v>14.915966168600677</v>
      </c>
      <c r="F27" s="332">
        <f>Gasto_o_ing_total!E27*1000/Gasto_o_ing_total!E$485</f>
        <v>14.915966168600677</v>
      </c>
      <c r="G27" s="332">
        <f>Gasto_o_ing_total!F27*1000/Gasto_o_ing_total!F$485</f>
        <v>14.915966168600679</v>
      </c>
      <c r="H27" s="332">
        <f>Gasto_o_ing_total!G27*1000/Gasto_o_ing_total!G$485</f>
        <v>14.915966168600679</v>
      </c>
      <c r="I27" s="332">
        <f>Gasto_o_ing_total!H27*1000/Gasto_o_ing_total!H$485</f>
        <v>14.915966168600677</v>
      </c>
      <c r="J27" s="332">
        <f>Gasto_o_ing_total!I27*1000/Gasto_o_ing_total!I$485</f>
        <v>14.915966168600677</v>
      </c>
      <c r="K27" s="332">
        <f>Gasto_o_ing_total!J27*1000/Gasto_o_ing_total!J$485</f>
        <v>14.915966168600676</v>
      </c>
      <c r="L27" s="332">
        <f>Gasto_o_ing_total!K27*1000/Gasto_o_ing_total!K$485</f>
        <v>14.915966168600677</v>
      </c>
      <c r="M27" s="332">
        <f>Gasto_o_ing_total!L27*1000/Gasto_o_ing_total!L$485</f>
        <v>14.915966168600679</v>
      </c>
      <c r="N27" s="332">
        <f>Gasto_o_ing_total!M27*1000/Gasto_o_ing_total!M$485</f>
        <v>14.915966168600681</v>
      </c>
      <c r="O27" s="332">
        <f>Gasto_o_ing_total!N27*1000/Gasto_o_ing_total!N$485</f>
        <v>14.915966168600677</v>
      </c>
      <c r="P27" s="332">
        <f>Gasto_o_ing_total!O27*1000/Gasto_o_ing_total!O$485</f>
        <v>14.915966168600677</v>
      </c>
      <c r="Q27" s="332">
        <f>Gasto_o_ing_total!P27*1000/Gasto_o_ing_total!P$485</f>
        <v>14.915966168600677</v>
      </c>
      <c r="R27" s="332">
        <f>Gasto_o_ing_total!Q27*1000/Gasto_o_ing_total!Q$485</f>
        <v>14.915966168600681</v>
      </c>
      <c r="S27" s="332">
        <f>Gasto_o_ing_total!R27*1000/Gasto_o_ing_total!R$485</f>
        <v>14.915966168600677</v>
      </c>
      <c r="T27" s="332">
        <f>Gasto_o_ing_total!S27*1000/Gasto_o_ing_total!S$485</f>
        <v>14.915966168600677</v>
      </c>
      <c r="U27" s="332">
        <f>Gasto_o_ing_total!T27*1000/Gasto_o_ing_total!T$485</f>
        <v>14.915966168600677</v>
      </c>
      <c r="V27" s="332">
        <f>Gasto_o_ing_total!U27*1000/Gasto_o_ing_total!U$485</f>
        <v>14.915966168600679</v>
      </c>
      <c r="W27" s="105"/>
    </row>
    <row r="28" spans="1:23" s="102" customFormat="1">
      <c r="A28" s="351" t="str">
        <f>IF(B28="","",(IF(ISERROR(MATCH(B28,Tot_res!C:C,0)),"Eliminar!!!","")))</f>
        <v/>
      </c>
      <c r="B28" s="115" t="s">
        <v>131</v>
      </c>
      <c r="C28" s="329" t="str">
        <f>VLOOKUP(B28,Tot_res!C:D,2,FALSE)</f>
        <v>Acción diplomática ante la unión europea</v>
      </c>
      <c r="D28" s="332">
        <f>Gasto_o_ing_total!V28*1000/Gasto_o_ing_total!V$485</f>
        <v>0.41427790713713941</v>
      </c>
      <c r="E28" s="332">
        <f>Gasto_o_ing_total!D28*1000/Gasto_o_ing_total!D$485</f>
        <v>0.41427790713713941</v>
      </c>
      <c r="F28" s="332">
        <f>Gasto_o_ing_total!E28*1000/Gasto_o_ing_total!E$485</f>
        <v>0.41427790713713941</v>
      </c>
      <c r="G28" s="332">
        <f>Gasto_o_ing_total!F28*1000/Gasto_o_ing_total!F$485</f>
        <v>0.41427790713713947</v>
      </c>
      <c r="H28" s="332">
        <f>Gasto_o_ing_total!G28*1000/Gasto_o_ing_total!G$485</f>
        <v>0.41427790713713941</v>
      </c>
      <c r="I28" s="332">
        <f>Gasto_o_ing_total!H28*1000/Gasto_o_ing_total!H$485</f>
        <v>0.41427790713713947</v>
      </c>
      <c r="J28" s="332">
        <f>Gasto_o_ing_total!I28*1000/Gasto_o_ing_total!I$485</f>
        <v>0.41427790713713947</v>
      </c>
      <c r="K28" s="332">
        <f>Gasto_o_ing_total!J28*1000/Gasto_o_ing_total!J$485</f>
        <v>0.41427790713713941</v>
      </c>
      <c r="L28" s="332">
        <f>Gasto_o_ing_total!K28*1000/Gasto_o_ing_total!K$485</f>
        <v>0.41427790713713947</v>
      </c>
      <c r="M28" s="332">
        <f>Gasto_o_ing_total!L28*1000/Gasto_o_ing_total!L$485</f>
        <v>0.41427790713713947</v>
      </c>
      <c r="N28" s="332">
        <f>Gasto_o_ing_total!M28*1000/Gasto_o_ing_total!M$485</f>
        <v>0.41427790713713952</v>
      </c>
      <c r="O28" s="332">
        <f>Gasto_o_ing_total!N28*1000/Gasto_o_ing_total!N$485</f>
        <v>0.41427790713713941</v>
      </c>
      <c r="P28" s="332">
        <f>Gasto_o_ing_total!O28*1000/Gasto_o_ing_total!O$485</f>
        <v>0.41427790713713947</v>
      </c>
      <c r="Q28" s="332">
        <f>Gasto_o_ing_total!P28*1000/Gasto_o_ing_total!P$485</f>
        <v>0.41427790713713941</v>
      </c>
      <c r="R28" s="332">
        <f>Gasto_o_ing_total!Q28*1000/Gasto_o_ing_total!Q$485</f>
        <v>0.41427790713713952</v>
      </c>
      <c r="S28" s="332">
        <f>Gasto_o_ing_total!R28*1000/Gasto_o_ing_total!R$485</f>
        <v>0.41427790713713952</v>
      </c>
      <c r="T28" s="332">
        <f>Gasto_o_ing_total!S28*1000/Gasto_o_ing_total!S$485</f>
        <v>0.41427790713713941</v>
      </c>
      <c r="U28" s="332">
        <f>Gasto_o_ing_total!T28*1000/Gasto_o_ing_total!T$485</f>
        <v>0.41427790713713941</v>
      </c>
      <c r="V28" s="332">
        <f>Gasto_o_ing_total!U28*1000/Gasto_o_ing_total!U$485</f>
        <v>0.41427790713713952</v>
      </c>
      <c r="W28" s="105"/>
    </row>
    <row r="29" spans="1:23" s="102" customFormat="1">
      <c r="A29" s="351" t="str">
        <f>IF(B29="","",(IF(ISERROR(MATCH(B29,Tot_res!C:C,0)),"Eliminar!!!","")))</f>
        <v/>
      </c>
      <c r="B29" s="115" t="s">
        <v>132</v>
      </c>
      <c r="C29" s="329" t="str">
        <f>VLOOKUP(B29,Tot_res!C:D,2,FALSE)</f>
        <v>Cooperación para el desarrollo</v>
      </c>
      <c r="D29" s="332">
        <f>Gasto_o_ing_total!V29*1000/Gasto_o_ing_total!V$485</f>
        <v>6.2642127027594174</v>
      </c>
      <c r="E29" s="332">
        <f>Gasto_o_ing_total!D29*1000/Gasto_o_ing_total!D$485</f>
        <v>6.2642127027594183</v>
      </c>
      <c r="F29" s="332">
        <f>Gasto_o_ing_total!E29*1000/Gasto_o_ing_total!E$485</f>
        <v>6.2642127027594192</v>
      </c>
      <c r="G29" s="332">
        <f>Gasto_o_ing_total!F29*1000/Gasto_o_ing_total!F$485</f>
        <v>6.2642127027594192</v>
      </c>
      <c r="H29" s="332">
        <f>Gasto_o_ing_total!G29*1000/Gasto_o_ing_total!G$485</f>
        <v>6.2642127027594192</v>
      </c>
      <c r="I29" s="332">
        <f>Gasto_o_ing_total!H29*1000/Gasto_o_ing_total!H$485</f>
        <v>6.2642127027594192</v>
      </c>
      <c r="J29" s="332">
        <f>Gasto_o_ing_total!I29*1000/Gasto_o_ing_total!I$485</f>
        <v>6.2642127027594192</v>
      </c>
      <c r="K29" s="332">
        <f>Gasto_o_ing_total!J29*1000/Gasto_o_ing_total!J$485</f>
        <v>6.2642127027594192</v>
      </c>
      <c r="L29" s="332">
        <f>Gasto_o_ing_total!K29*1000/Gasto_o_ing_total!K$485</f>
        <v>6.2642127027594192</v>
      </c>
      <c r="M29" s="332">
        <f>Gasto_o_ing_total!L29*1000/Gasto_o_ing_total!L$485</f>
        <v>6.2642127027594201</v>
      </c>
      <c r="N29" s="332">
        <f>Gasto_o_ing_total!M29*1000/Gasto_o_ing_total!M$485</f>
        <v>6.2642127027594192</v>
      </c>
      <c r="O29" s="332">
        <f>Gasto_o_ing_total!N29*1000/Gasto_o_ing_total!N$485</f>
        <v>6.2642127027594183</v>
      </c>
      <c r="P29" s="332">
        <f>Gasto_o_ing_total!O29*1000/Gasto_o_ing_total!O$485</f>
        <v>6.2642127027594183</v>
      </c>
      <c r="Q29" s="332">
        <f>Gasto_o_ing_total!P29*1000/Gasto_o_ing_total!P$485</f>
        <v>6.2642127027594192</v>
      </c>
      <c r="R29" s="332">
        <f>Gasto_o_ing_total!Q29*1000/Gasto_o_ing_total!Q$485</f>
        <v>6.2642127027594192</v>
      </c>
      <c r="S29" s="332">
        <f>Gasto_o_ing_total!R29*1000/Gasto_o_ing_total!R$485</f>
        <v>6.2642127027594192</v>
      </c>
      <c r="T29" s="332">
        <f>Gasto_o_ing_total!S29*1000/Gasto_o_ing_total!S$485</f>
        <v>6.2642127027594192</v>
      </c>
      <c r="U29" s="332">
        <f>Gasto_o_ing_total!T29*1000/Gasto_o_ing_total!T$485</f>
        <v>6.2642127027594192</v>
      </c>
      <c r="V29" s="332">
        <f>Gasto_o_ing_total!U29*1000/Gasto_o_ing_total!U$485</f>
        <v>6.2642127027594201</v>
      </c>
      <c r="W29" s="105"/>
    </row>
    <row r="30" spans="1:23" s="102" customFormat="1">
      <c r="A30" s="351" t="str">
        <f>IF(B30="","",(IF(ISERROR(MATCH(B30,Tot_res!C:C,0)),"Eliminar!!!","")))</f>
        <v/>
      </c>
      <c r="B30" s="115" t="s">
        <v>134</v>
      </c>
      <c r="C30" s="329" t="str">
        <f>VLOOKUP(B30,Tot_res!C:D,2,FALSE)</f>
        <v>Cooperación, promoción y difusión cultural en el exterior</v>
      </c>
      <c r="D30" s="332">
        <f>Gasto_o_ing_total!V30*1000/Gasto_o_ing_total!V$485</f>
        <v>2.4851098252111612</v>
      </c>
      <c r="E30" s="332">
        <f>Gasto_o_ing_total!D30*1000/Gasto_o_ing_total!D$485</f>
        <v>2.4851098252111608</v>
      </c>
      <c r="F30" s="332">
        <f>Gasto_o_ing_total!E30*1000/Gasto_o_ing_total!E$485</f>
        <v>2.4851098252111612</v>
      </c>
      <c r="G30" s="332">
        <f>Gasto_o_ing_total!F30*1000/Gasto_o_ing_total!F$485</f>
        <v>2.4851098252111608</v>
      </c>
      <c r="H30" s="332">
        <f>Gasto_o_ing_total!G30*1000/Gasto_o_ing_total!G$485</f>
        <v>2.4851098252111612</v>
      </c>
      <c r="I30" s="332">
        <f>Gasto_o_ing_total!H30*1000/Gasto_o_ing_total!H$485</f>
        <v>2.4851098252111608</v>
      </c>
      <c r="J30" s="332">
        <f>Gasto_o_ing_total!I30*1000/Gasto_o_ing_total!I$485</f>
        <v>2.4851098252111608</v>
      </c>
      <c r="K30" s="332">
        <f>Gasto_o_ing_total!J30*1000/Gasto_o_ing_total!J$485</f>
        <v>2.4851098252111612</v>
      </c>
      <c r="L30" s="332">
        <f>Gasto_o_ing_total!K30*1000/Gasto_o_ing_total!K$485</f>
        <v>2.4851098252111612</v>
      </c>
      <c r="M30" s="332">
        <f>Gasto_o_ing_total!L30*1000/Gasto_o_ing_total!L$485</f>
        <v>2.4851098252111612</v>
      </c>
      <c r="N30" s="332">
        <f>Gasto_o_ing_total!M30*1000/Gasto_o_ing_total!M$485</f>
        <v>2.4851098252111608</v>
      </c>
      <c r="O30" s="332">
        <f>Gasto_o_ing_total!N30*1000/Gasto_o_ing_total!N$485</f>
        <v>2.4851098252111608</v>
      </c>
      <c r="P30" s="332">
        <f>Gasto_o_ing_total!O30*1000/Gasto_o_ing_total!O$485</f>
        <v>2.4851098252111608</v>
      </c>
      <c r="Q30" s="332">
        <f>Gasto_o_ing_total!P30*1000/Gasto_o_ing_total!P$485</f>
        <v>2.4851098252111608</v>
      </c>
      <c r="R30" s="332">
        <f>Gasto_o_ing_total!Q30*1000/Gasto_o_ing_total!Q$485</f>
        <v>2.4851098252111612</v>
      </c>
      <c r="S30" s="332">
        <f>Gasto_o_ing_total!R30*1000/Gasto_o_ing_total!R$485</f>
        <v>2.4851098252111608</v>
      </c>
      <c r="T30" s="332">
        <f>Gasto_o_ing_total!S30*1000/Gasto_o_ing_total!S$485</f>
        <v>2.4851098252111612</v>
      </c>
      <c r="U30" s="332">
        <f>Gasto_o_ing_total!T30*1000/Gasto_o_ing_total!T$485</f>
        <v>2.4851098252111608</v>
      </c>
      <c r="V30" s="332">
        <f>Gasto_o_ing_total!U30*1000/Gasto_o_ing_total!U$485</f>
        <v>2.4851098252111612</v>
      </c>
      <c r="W30" s="105"/>
    </row>
    <row r="31" spans="1:23" s="102" customFormat="1">
      <c r="A31" s="351" t="str">
        <f>IF(B31="","",(IF(ISERROR(MATCH(B31,Tot_res!C:C,0)),"Eliminar!!!","")))</f>
        <v/>
      </c>
      <c r="B31" s="115" t="s">
        <v>136</v>
      </c>
      <c r="C31" s="329" t="str">
        <f>VLOOKUP(B31,Tot_res!C:D,2,FALSE)</f>
        <v>Educación en el exterior</v>
      </c>
      <c r="D31" s="332">
        <f>Gasto_o_ing_total!V31*1000/Gasto_o_ing_total!V$485</f>
        <v>1.9722877656828033</v>
      </c>
      <c r="E31" s="332">
        <f>Gasto_o_ing_total!D31*1000/Gasto_o_ing_total!D$485</f>
        <v>1.9722877656828031</v>
      </c>
      <c r="F31" s="332">
        <f>Gasto_o_ing_total!E31*1000/Gasto_o_ing_total!E$485</f>
        <v>1.9722877656828033</v>
      </c>
      <c r="G31" s="332">
        <f>Gasto_o_ing_total!F31*1000/Gasto_o_ing_total!F$485</f>
        <v>1.9722877656828035</v>
      </c>
      <c r="H31" s="332">
        <f>Gasto_o_ing_total!G31*1000/Gasto_o_ing_total!G$485</f>
        <v>1.9722877656828033</v>
      </c>
      <c r="I31" s="332">
        <f>Gasto_o_ing_total!H31*1000/Gasto_o_ing_total!H$485</f>
        <v>1.9722877656828033</v>
      </c>
      <c r="J31" s="332">
        <f>Gasto_o_ing_total!I31*1000/Gasto_o_ing_total!I$485</f>
        <v>1.9722877656828033</v>
      </c>
      <c r="K31" s="332">
        <f>Gasto_o_ing_total!J31*1000/Gasto_o_ing_total!J$485</f>
        <v>1.9722877656828035</v>
      </c>
      <c r="L31" s="332">
        <f>Gasto_o_ing_total!K31*1000/Gasto_o_ing_total!K$485</f>
        <v>1.9722877656828033</v>
      </c>
      <c r="M31" s="332">
        <f>Gasto_o_ing_total!L31*1000/Gasto_o_ing_total!L$485</f>
        <v>1.9722877656828035</v>
      </c>
      <c r="N31" s="332">
        <f>Gasto_o_ing_total!M31*1000/Gasto_o_ing_total!M$485</f>
        <v>1.9722877656828033</v>
      </c>
      <c r="O31" s="332">
        <f>Gasto_o_ing_total!N31*1000/Gasto_o_ing_total!N$485</f>
        <v>1.9722877656828031</v>
      </c>
      <c r="P31" s="332">
        <f>Gasto_o_ing_total!O31*1000/Gasto_o_ing_total!O$485</f>
        <v>1.9722877656828035</v>
      </c>
      <c r="Q31" s="332">
        <f>Gasto_o_ing_total!P31*1000/Gasto_o_ing_total!P$485</f>
        <v>1.9722877656828035</v>
      </c>
      <c r="R31" s="332">
        <f>Gasto_o_ing_total!Q31*1000/Gasto_o_ing_total!Q$485</f>
        <v>1.9722877656828033</v>
      </c>
      <c r="S31" s="332">
        <f>Gasto_o_ing_total!R31*1000/Gasto_o_ing_total!R$485</f>
        <v>1.9722877656828033</v>
      </c>
      <c r="T31" s="332">
        <f>Gasto_o_ing_total!S31*1000/Gasto_o_ing_total!S$485</f>
        <v>1.9722877656828033</v>
      </c>
      <c r="U31" s="332">
        <f>Gasto_o_ing_total!T31*1000/Gasto_o_ing_total!T$485</f>
        <v>1.9722877656828031</v>
      </c>
      <c r="V31" s="332">
        <f>Gasto_o_ing_total!U31*1000/Gasto_o_ing_total!U$485</f>
        <v>1.9722877656828031</v>
      </c>
      <c r="W31" s="105"/>
    </row>
    <row r="32" spans="1:23" s="102" customFormat="1">
      <c r="A32" s="351" t="str">
        <f>IF(B32="","",(IF(ISERROR(MATCH(B32,Tot_res!C:C,0)),"Eliminar!!!","")))</f>
        <v/>
      </c>
      <c r="B32" s="115" t="s">
        <v>138</v>
      </c>
      <c r="C32" s="329" t="str">
        <f>VLOOKUP(B32,Tot_res!C:D,2,FALSE)</f>
        <v>Relaciones con los organismos financieros multilaterales</v>
      </c>
      <c r="D32" s="332">
        <f>Gasto_o_ing_total!V32*1000/Gasto_o_ing_total!V$485</f>
        <v>3.357696553620555</v>
      </c>
      <c r="E32" s="332">
        <f>Gasto_o_ing_total!D32*1000/Gasto_o_ing_total!D$485</f>
        <v>3.357696553620555</v>
      </c>
      <c r="F32" s="332">
        <f>Gasto_o_ing_total!E32*1000/Gasto_o_ing_total!E$485</f>
        <v>3.3576965536205554</v>
      </c>
      <c r="G32" s="332">
        <f>Gasto_o_ing_total!F32*1000/Gasto_o_ing_total!F$485</f>
        <v>3.357696553620555</v>
      </c>
      <c r="H32" s="332">
        <f>Gasto_o_ing_total!G32*1000/Gasto_o_ing_total!G$485</f>
        <v>3.3576965536205554</v>
      </c>
      <c r="I32" s="332">
        <f>Gasto_o_ing_total!H32*1000/Gasto_o_ing_total!H$485</f>
        <v>3.357696553620555</v>
      </c>
      <c r="J32" s="332">
        <f>Gasto_o_ing_total!I32*1000/Gasto_o_ing_total!I$485</f>
        <v>3.357696553620555</v>
      </c>
      <c r="K32" s="332">
        <f>Gasto_o_ing_total!J32*1000/Gasto_o_ing_total!J$485</f>
        <v>3.357696553620555</v>
      </c>
      <c r="L32" s="332">
        <f>Gasto_o_ing_total!K32*1000/Gasto_o_ing_total!K$485</f>
        <v>3.357696553620555</v>
      </c>
      <c r="M32" s="332">
        <f>Gasto_o_ing_total!L32*1000/Gasto_o_ing_total!L$485</f>
        <v>3.357696553620555</v>
      </c>
      <c r="N32" s="332">
        <f>Gasto_o_ing_total!M32*1000/Gasto_o_ing_total!M$485</f>
        <v>3.3576965536205554</v>
      </c>
      <c r="O32" s="332">
        <f>Gasto_o_ing_total!N32*1000/Gasto_o_ing_total!N$485</f>
        <v>3.357696553620555</v>
      </c>
      <c r="P32" s="332">
        <f>Gasto_o_ing_total!O32*1000/Gasto_o_ing_total!O$485</f>
        <v>3.3576965536205545</v>
      </c>
      <c r="Q32" s="332">
        <f>Gasto_o_ing_total!P32*1000/Gasto_o_ing_total!P$485</f>
        <v>3.3576965536205554</v>
      </c>
      <c r="R32" s="332">
        <f>Gasto_o_ing_total!Q32*1000/Gasto_o_ing_total!Q$485</f>
        <v>3.357696553620555</v>
      </c>
      <c r="S32" s="332">
        <f>Gasto_o_ing_total!R32*1000/Gasto_o_ing_total!R$485</f>
        <v>3.3576965536205545</v>
      </c>
      <c r="T32" s="332">
        <f>Gasto_o_ing_total!S32*1000/Gasto_o_ing_total!S$485</f>
        <v>3.357696553620555</v>
      </c>
      <c r="U32" s="332">
        <f>Gasto_o_ing_total!T32*1000/Gasto_o_ing_total!T$485</f>
        <v>3.357696553620555</v>
      </c>
      <c r="V32" s="332">
        <f>Gasto_o_ing_total!U32*1000/Gasto_o_ing_total!U$485</f>
        <v>3.3576965536205554</v>
      </c>
      <c r="W32" s="105"/>
    </row>
    <row r="33" spans="1:23" s="102" customFormat="1">
      <c r="A33" s="351" t="str">
        <f>IF(B33="","",(IF(ISERROR(MATCH(B33,Tot_res!C:C,0)),"Eliminar!!!","")))</f>
        <v/>
      </c>
      <c r="B33" s="115" t="s">
        <v>139</v>
      </c>
      <c r="C33" s="329" t="str">
        <f>VLOOKUP(B33,Tot_res!C:D,2,FALSE)</f>
        <v>Cooperación al desarrollo a través del fondo europeo de desarrollo</v>
      </c>
      <c r="D33" s="332">
        <f>Gasto_o_ing_total!V33*1000/Gasto_o_ing_total!V$485</f>
        <v>5.4178199663382873</v>
      </c>
      <c r="E33" s="332">
        <f>Gasto_o_ing_total!D33*1000/Gasto_o_ing_total!D$485</f>
        <v>5.4178199663382873</v>
      </c>
      <c r="F33" s="332">
        <f>Gasto_o_ing_total!E33*1000/Gasto_o_ing_total!E$485</f>
        <v>5.4178199663382873</v>
      </c>
      <c r="G33" s="332">
        <f>Gasto_o_ing_total!F33*1000/Gasto_o_ing_total!F$485</f>
        <v>5.4178199663382873</v>
      </c>
      <c r="H33" s="332">
        <f>Gasto_o_ing_total!G33*1000/Gasto_o_ing_total!G$485</f>
        <v>5.4178199663382873</v>
      </c>
      <c r="I33" s="332">
        <f>Gasto_o_ing_total!H33*1000/Gasto_o_ing_total!H$485</f>
        <v>5.4178199663382873</v>
      </c>
      <c r="J33" s="332">
        <f>Gasto_o_ing_total!I33*1000/Gasto_o_ing_total!I$485</f>
        <v>5.4178199663382873</v>
      </c>
      <c r="K33" s="332">
        <f>Gasto_o_ing_total!J33*1000/Gasto_o_ing_total!J$485</f>
        <v>5.4178199663382873</v>
      </c>
      <c r="L33" s="332">
        <f>Gasto_o_ing_total!K33*1000/Gasto_o_ing_total!K$485</f>
        <v>5.4178199663382873</v>
      </c>
      <c r="M33" s="332">
        <f>Gasto_o_ing_total!L33*1000/Gasto_o_ing_total!L$485</f>
        <v>5.4178199663382882</v>
      </c>
      <c r="N33" s="332">
        <f>Gasto_o_ing_total!M33*1000/Gasto_o_ing_total!M$485</f>
        <v>5.4178199663382873</v>
      </c>
      <c r="O33" s="332">
        <f>Gasto_o_ing_total!N33*1000/Gasto_o_ing_total!N$485</f>
        <v>5.4178199663382873</v>
      </c>
      <c r="P33" s="332">
        <f>Gasto_o_ing_total!O33*1000/Gasto_o_ing_total!O$485</f>
        <v>5.4178199663382864</v>
      </c>
      <c r="Q33" s="332">
        <f>Gasto_o_ing_total!P33*1000/Gasto_o_ing_total!P$485</f>
        <v>5.4178199663382864</v>
      </c>
      <c r="R33" s="332">
        <f>Gasto_o_ing_total!Q33*1000/Gasto_o_ing_total!Q$485</f>
        <v>5.4178199663382873</v>
      </c>
      <c r="S33" s="332">
        <f>Gasto_o_ing_total!R33*1000/Gasto_o_ing_total!R$485</f>
        <v>5.4178199663382873</v>
      </c>
      <c r="T33" s="332">
        <f>Gasto_o_ing_total!S33*1000/Gasto_o_ing_total!S$485</f>
        <v>5.4178199663382873</v>
      </c>
      <c r="U33" s="332">
        <f>Gasto_o_ing_total!T33*1000/Gasto_o_ing_total!T$485</f>
        <v>5.4178199663382864</v>
      </c>
      <c r="V33" s="332">
        <f>Gasto_o_ing_total!U33*1000/Gasto_o_ing_total!U$485</f>
        <v>5.4178199663382873</v>
      </c>
      <c r="W33" s="105"/>
    </row>
    <row r="34" spans="1:23">
      <c r="A34" s="352"/>
      <c r="D34" s="19"/>
      <c r="E34" s="19"/>
      <c r="F34" s="19"/>
      <c r="G34" s="19"/>
      <c r="H34" s="19"/>
      <c r="I34" s="19"/>
      <c r="J34" s="19"/>
      <c r="K34" s="19"/>
      <c r="L34" s="19"/>
      <c r="M34" s="19"/>
      <c r="N34" s="19"/>
      <c r="O34" s="19"/>
      <c r="P34" s="19"/>
      <c r="Q34" s="19"/>
      <c r="R34" s="19"/>
      <c r="S34" s="19"/>
      <c r="T34" s="19"/>
      <c r="U34" s="19"/>
      <c r="V34" s="19"/>
      <c r="W34" s="2"/>
    </row>
    <row r="35" spans="1:23" s="102" customFormat="1" ht="13.5">
      <c r="A35" s="352"/>
      <c r="B35" s="115"/>
      <c r="C35" s="128" t="s">
        <v>35</v>
      </c>
      <c r="D35" s="113">
        <f>Gasto_o_ing_total!V35*1000/Gasto_o_ing_total!V$485</f>
        <v>171.1512014583366</v>
      </c>
      <c r="E35" s="113">
        <f>Gasto_o_ing_total!D35*1000/Gasto_o_ing_total!D$485</f>
        <v>171.1512014583366</v>
      </c>
      <c r="F35" s="113">
        <f>Gasto_o_ing_total!E35*1000/Gasto_o_ing_total!E$485</f>
        <v>171.1512014583366</v>
      </c>
      <c r="G35" s="113">
        <f>Gasto_o_ing_total!F35*1000/Gasto_o_ing_total!F$485</f>
        <v>171.1512014583366</v>
      </c>
      <c r="H35" s="113">
        <f>Gasto_o_ing_total!G35*1000/Gasto_o_ing_total!G$485</f>
        <v>171.1512014583366</v>
      </c>
      <c r="I35" s="113">
        <f>Gasto_o_ing_total!H35*1000/Gasto_o_ing_total!H$485</f>
        <v>171.1512014583366</v>
      </c>
      <c r="J35" s="113">
        <f>Gasto_o_ing_total!I35*1000/Gasto_o_ing_total!I$485</f>
        <v>171.1512014583366</v>
      </c>
      <c r="K35" s="113">
        <f>Gasto_o_ing_total!J35*1000/Gasto_o_ing_total!J$485</f>
        <v>171.15120145833657</v>
      </c>
      <c r="L35" s="113">
        <f>Gasto_o_ing_total!K35*1000/Gasto_o_ing_total!K$485</f>
        <v>171.1512014583366</v>
      </c>
      <c r="M35" s="113">
        <f>Gasto_o_ing_total!L35*1000/Gasto_o_ing_total!L$485</f>
        <v>171.1512014583366</v>
      </c>
      <c r="N35" s="113">
        <f>Gasto_o_ing_total!M35*1000/Gasto_o_ing_total!M$485</f>
        <v>171.1512014583366</v>
      </c>
      <c r="O35" s="113">
        <f>Gasto_o_ing_total!N35*1000/Gasto_o_ing_total!N$485</f>
        <v>171.15120145833654</v>
      </c>
      <c r="P35" s="113">
        <f>Gasto_o_ing_total!O35*1000/Gasto_o_ing_total!O$485</f>
        <v>171.1512014583366</v>
      </c>
      <c r="Q35" s="113">
        <f>Gasto_o_ing_total!P35*1000/Gasto_o_ing_total!P$485</f>
        <v>171.1512014583366</v>
      </c>
      <c r="R35" s="113">
        <f>Gasto_o_ing_total!Q35*1000/Gasto_o_ing_total!Q$485</f>
        <v>171.1512014583366</v>
      </c>
      <c r="S35" s="113">
        <f>Gasto_o_ing_total!R35*1000/Gasto_o_ing_total!R$485</f>
        <v>171.15120145833654</v>
      </c>
      <c r="T35" s="113">
        <f>Gasto_o_ing_total!S35*1000/Gasto_o_ing_total!S$485</f>
        <v>171.1512014583366</v>
      </c>
      <c r="U35" s="113">
        <f>Gasto_o_ing_total!T35*1000/Gasto_o_ing_total!T$485</f>
        <v>171.1512014583366</v>
      </c>
      <c r="V35" s="113">
        <f>Gasto_o_ing_total!U35*1000/Gasto_o_ing_total!U$485</f>
        <v>171.1512014583366</v>
      </c>
      <c r="W35" s="105"/>
    </row>
    <row r="36" spans="1:23" s="102" customFormat="1">
      <c r="A36" s="351" t="str">
        <f>IF(B36="","",(IF(ISERROR(MATCH(B36,Tot_res!C:C,0)),"Eliminar!!!","")))</f>
        <v/>
      </c>
      <c r="B36" s="115" t="s">
        <v>140</v>
      </c>
      <c r="C36" s="329" t="str">
        <f>VLOOKUP(B36,Tot_res!C:D,2,FALSE)</f>
        <v>Administración y servicios generales de defensa</v>
      </c>
      <c r="D36" s="332">
        <f>Gasto_o_ing_total!V36*1000/Gasto_o_ing_total!V$485</f>
        <v>24.863204938196166</v>
      </c>
      <c r="E36" s="332">
        <f>Gasto_o_ing_total!D36*1000/Gasto_o_ing_total!D$485</f>
        <v>24.863204938196155</v>
      </c>
      <c r="F36" s="332">
        <f>Gasto_o_ing_total!E36*1000/Gasto_o_ing_total!E$485</f>
        <v>24.863204938196162</v>
      </c>
      <c r="G36" s="332">
        <f>Gasto_o_ing_total!F36*1000/Gasto_o_ing_total!F$485</f>
        <v>24.863204938196162</v>
      </c>
      <c r="H36" s="332">
        <f>Gasto_o_ing_total!G36*1000/Gasto_o_ing_total!G$485</f>
        <v>24.863204938196159</v>
      </c>
      <c r="I36" s="332">
        <f>Gasto_o_ing_total!H36*1000/Gasto_o_ing_total!H$485</f>
        <v>24.863204938196162</v>
      </c>
      <c r="J36" s="332">
        <f>Gasto_o_ing_total!I36*1000/Gasto_o_ing_total!I$485</f>
        <v>24.863204938196155</v>
      </c>
      <c r="K36" s="332">
        <f>Gasto_o_ing_total!J36*1000/Gasto_o_ing_total!J$485</f>
        <v>24.863204938196159</v>
      </c>
      <c r="L36" s="332">
        <f>Gasto_o_ing_total!K36*1000/Gasto_o_ing_total!K$485</f>
        <v>24.863204938196159</v>
      </c>
      <c r="M36" s="332">
        <f>Gasto_o_ing_total!L36*1000/Gasto_o_ing_total!L$485</f>
        <v>24.863204938196159</v>
      </c>
      <c r="N36" s="332">
        <f>Gasto_o_ing_total!M36*1000/Gasto_o_ing_total!M$485</f>
        <v>24.863204938196162</v>
      </c>
      <c r="O36" s="332">
        <f>Gasto_o_ing_total!N36*1000/Gasto_o_ing_total!N$485</f>
        <v>24.863204938196159</v>
      </c>
      <c r="P36" s="332">
        <f>Gasto_o_ing_total!O36*1000/Gasto_o_ing_total!O$485</f>
        <v>24.863204938196155</v>
      </c>
      <c r="Q36" s="332">
        <f>Gasto_o_ing_total!P36*1000/Gasto_o_ing_total!P$485</f>
        <v>24.863204938196162</v>
      </c>
      <c r="R36" s="332">
        <f>Gasto_o_ing_total!Q36*1000/Gasto_o_ing_total!Q$485</f>
        <v>24.863204938196159</v>
      </c>
      <c r="S36" s="332">
        <f>Gasto_o_ing_total!R36*1000/Gasto_o_ing_total!R$485</f>
        <v>24.863204938196159</v>
      </c>
      <c r="T36" s="332">
        <f>Gasto_o_ing_total!S36*1000/Gasto_o_ing_total!S$485</f>
        <v>24.863204938196159</v>
      </c>
      <c r="U36" s="332">
        <f>Gasto_o_ing_total!T36*1000/Gasto_o_ing_total!T$485</f>
        <v>24.863204938196159</v>
      </c>
      <c r="V36" s="332">
        <f>Gasto_o_ing_total!U36*1000/Gasto_o_ing_total!U$485</f>
        <v>24.863204938196159</v>
      </c>
      <c r="W36" s="118"/>
    </row>
    <row r="37" spans="1:23" s="102" customFormat="1">
      <c r="A37" s="351" t="str">
        <f>IF(B37="","",(IF(ISERROR(MATCH(B37,Tot_res!C:C,0)),"Eliminar!!!","")))</f>
        <v/>
      </c>
      <c r="B37" s="115" t="s">
        <v>141</v>
      </c>
      <c r="C37" s="329" t="str">
        <f>VLOOKUP(B37,Tot_res!C:D,2,FALSE)</f>
        <v>Formación del personal de las fuerzas armadas</v>
      </c>
      <c r="D37" s="332">
        <f>Gasto_o_ing_total!V37*1000/Gasto_o_ing_total!V$485</f>
        <v>8.2119991274118629</v>
      </c>
      <c r="E37" s="332">
        <f>Gasto_o_ing_total!D37*1000/Gasto_o_ing_total!D$485</f>
        <v>8.2119991274118611</v>
      </c>
      <c r="F37" s="332">
        <f>Gasto_o_ing_total!E37*1000/Gasto_o_ing_total!E$485</f>
        <v>8.2119991274118629</v>
      </c>
      <c r="G37" s="332">
        <f>Gasto_o_ing_total!F37*1000/Gasto_o_ing_total!F$485</f>
        <v>8.2119991274118647</v>
      </c>
      <c r="H37" s="332">
        <f>Gasto_o_ing_total!G37*1000/Gasto_o_ing_total!G$485</f>
        <v>8.2119991274118611</v>
      </c>
      <c r="I37" s="332">
        <f>Gasto_o_ing_total!H37*1000/Gasto_o_ing_total!H$485</f>
        <v>8.2119991274118611</v>
      </c>
      <c r="J37" s="332">
        <f>Gasto_o_ing_total!I37*1000/Gasto_o_ing_total!I$485</f>
        <v>8.2119991274118629</v>
      </c>
      <c r="K37" s="332">
        <f>Gasto_o_ing_total!J37*1000/Gasto_o_ing_total!J$485</f>
        <v>8.2119991274118629</v>
      </c>
      <c r="L37" s="332">
        <f>Gasto_o_ing_total!K37*1000/Gasto_o_ing_total!K$485</f>
        <v>8.2119991274118611</v>
      </c>
      <c r="M37" s="332">
        <f>Gasto_o_ing_total!L37*1000/Gasto_o_ing_total!L$485</f>
        <v>8.2119991274118629</v>
      </c>
      <c r="N37" s="332">
        <f>Gasto_o_ing_total!M37*1000/Gasto_o_ing_total!M$485</f>
        <v>8.2119991274118611</v>
      </c>
      <c r="O37" s="332">
        <f>Gasto_o_ing_total!N37*1000/Gasto_o_ing_total!N$485</f>
        <v>8.2119991274118611</v>
      </c>
      <c r="P37" s="332">
        <f>Gasto_o_ing_total!O37*1000/Gasto_o_ing_total!O$485</f>
        <v>8.2119991274118629</v>
      </c>
      <c r="Q37" s="332">
        <f>Gasto_o_ing_total!P37*1000/Gasto_o_ing_total!P$485</f>
        <v>8.2119991274118611</v>
      </c>
      <c r="R37" s="332">
        <f>Gasto_o_ing_total!Q37*1000/Gasto_o_ing_total!Q$485</f>
        <v>8.2119991274118629</v>
      </c>
      <c r="S37" s="332">
        <f>Gasto_o_ing_total!R37*1000/Gasto_o_ing_total!R$485</f>
        <v>8.2119991274118611</v>
      </c>
      <c r="T37" s="332">
        <f>Gasto_o_ing_total!S37*1000/Gasto_o_ing_total!S$485</f>
        <v>8.2119991274118629</v>
      </c>
      <c r="U37" s="332">
        <f>Gasto_o_ing_total!T37*1000/Gasto_o_ing_total!T$485</f>
        <v>8.2119991274118629</v>
      </c>
      <c r="V37" s="332">
        <f>Gasto_o_ing_total!U37*1000/Gasto_o_ing_total!U$485</f>
        <v>8.2119991274118629</v>
      </c>
      <c r="W37" s="105"/>
    </row>
    <row r="38" spans="1:23" s="102" customFormat="1">
      <c r="A38" s="351" t="str">
        <f>IF(B38="","",(IF(ISERROR(MATCH(B38,Tot_res!C:C,0)),"Eliminar!!!","")))</f>
        <v/>
      </c>
      <c r="B38" s="115" t="s">
        <v>142</v>
      </c>
      <c r="C38" s="329" t="str">
        <f>VLOOKUP(B38,Tot_res!C:D,2,FALSE)</f>
        <v>Personal en reserva</v>
      </c>
      <c r="D38" s="332">
        <f>Gasto_o_ing_total!V38*1000/Gasto_o_ing_total!V$485</f>
        <v>12.169734958634033</v>
      </c>
      <c r="E38" s="332">
        <f>Gasto_o_ing_total!D38*1000/Gasto_o_ing_total!D$485</f>
        <v>12.169734958634029</v>
      </c>
      <c r="F38" s="332">
        <f>Gasto_o_ing_total!E38*1000/Gasto_o_ing_total!E$485</f>
        <v>12.169734958634031</v>
      </c>
      <c r="G38" s="332">
        <f>Gasto_o_ing_total!F38*1000/Gasto_o_ing_total!F$485</f>
        <v>12.169734958634029</v>
      </c>
      <c r="H38" s="332">
        <f>Gasto_o_ing_total!G38*1000/Gasto_o_ing_total!G$485</f>
        <v>12.169734958634029</v>
      </c>
      <c r="I38" s="332">
        <f>Gasto_o_ing_total!H38*1000/Gasto_o_ing_total!H$485</f>
        <v>12.169734958634029</v>
      </c>
      <c r="J38" s="332">
        <f>Gasto_o_ing_total!I38*1000/Gasto_o_ing_total!I$485</f>
        <v>12.169734958634029</v>
      </c>
      <c r="K38" s="332">
        <f>Gasto_o_ing_total!J38*1000/Gasto_o_ing_total!J$485</f>
        <v>12.169734958634029</v>
      </c>
      <c r="L38" s="332">
        <f>Gasto_o_ing_total!K38*1000/Gasto_o_ing_total!K$485</f>
        <v>12.169734958634029</v>
      </c>
      <c r="M38" s="332">
        <f>Gasto_o_ing_total!L38*1000/Gasto_o_ing_total!L$485</f>
        <v>12.169734958634031</v>
      </c>
      <c r="N38" s="332">
        <f>Gasto_o_ing_total!M38*1000/Gasto_o_ing_total!M$485</f>
        <v>12.169734958634029</v>
      </c>
      <c r="O38" s="332">
        <f>Gasto_o_ing_total!N38*1000/Gasto_o_ing_total!N$485</f>
        <v>12.169734958634029</v>
      </c>
      <c r="P38" s="332">
        <f>Gasto_o_ing_total!O38*1000/Gasto_o_ing_total!O$485</f>
        <v>12.169734958634029</v>
      </c>
      <c r="Q38" s="332">
        <f>Gasto_o_ing_total!P38*1000/Gasto_o_ing_total!P$485</f>
        <v>12.169734958634029</v>
      </c>
      <c r="R38" s="332">
        <f>Gasto_o_ing_total!Q38*1000/Gasto_o_ing_total!Q$485</f>
        <v>12.169734958634029</v>
      </c>
      <c r="S38" s="332">
        <f>Gasto_o_ing_total!R38*1000/Gasto_o_ing_total!R$485</f>
        <v>12.169734958634029</v>
      </c>
      <c r="T38" s="332">
        <f>Gasto_o_ing_total!S38*1000/Gasto_o_ing_total!S$485</f>
        <v>12.169734958634029</v>
      </c>
      <c r="U38" s="332">
        <f>Gasto_o_ing_total!T38*1000/Gasto_o_ing_total!T$485</f>
        <v>12.169734958634031</v>
      </c>
      <c r="V38" s="332">
        <f>Gasto_o_ing_total!U38*1000/Gasto_o_ing_total!U$485</f>
        <v>12.169734958634029</v>
      </c>
      <c r="W38" s="105"/>
    </row>
    <row r="39" spans="1:23" s="102" customFormat="1">
      <c r="A39" s="351" t="str">
        <f>IF(B39="","",(IF(ISERROR(MATCH(B39,Tot_res!C:C,0)),"Eliminar!!!","")))</f>
        <v/>
      </c>
      <c r="B39" s="115" t="s">
        <v>144</v>
      </c>
      <c r="C39" s="329" t="str">
        <f>VLOOKUP(B39,Tot_res!C:D,2,FALSE)</f>
        <v>Modernización de las fuerzas armadas</v>
      </c>
      <c r="D39" s="332">
        <f>Gasto_o_ing_total!V39*1000/Gasto_o_ing_total!V$485</f>
        <v>3.588717335161054</v>
      </c>
      <c r="E39" s="332">
        <f>Gasto_o_ing_total!D39*1000/Gasto_o_ing_total!D$485</f>
        <v>3.5887173351610535</v>
      </c>
      <c r="F39" s="332">
        <f>Gasto_o_ing_total!E39*1000/Gasto_o_ing_total!E$485</f>
        <v>3.5887173351610544</v>
      </c>
      <c r="G39" s="332">
        <f>Gasto_o_ing_total!F39*1000/Gasto_o_ing_total!F$485</f>
        <v>3.5887173351610544</v>
      </c>
      <c r="H39" s="332">
        <f>Gasto_o_ing_total!G39*1000/Gasto_o_ing_total!G$485</f>
        <v>3.588717335161054</v>
      </c>
      <c r="I39" s="332">
        <f>Gasto_o_ing_total!H39*1000/Gasto_o_ing_total!H$485</f>
        <v>3.5887173351610544</v>
      </c>
      <c r="J39" s="332">
        <f>Gasto_o_ing_total!I39*1000/Gasto_o_ing_total!I$485</f>
        <v>3.5887173351610544</v>
      </c>
      <c r="K39" s="332">
        <f>Gasto_o_ing_total!J39*1000/Gasto_o_ing_total!J$485</f>
        <v>3.5887173351610544</v>
      </c>
      <c r="L39" s="332">
        <f>Gasto_o_ing_total!K39*1000/Gasto_o_ing_total!K$485</f>
        <v>3.588717335161054</v>
      </c>
      <c r="M39" s="332">
        <f>Gasto_o_ing_total!L39*1000/Gasto_o_ing_total!L$485</f>
        <v>3.5887173351610544</v>
      </c>
      <c r="N39" s="332">
        <f>Gasto_o_ing_total!M39*1000/Gasto_o_ing_total!M$485</f>
        <v>3.588717335161054</v>
      </c>
      <c r="O39" s="332">
        <f>Gasto_o_ing_total!N39*1000/Gasto_o_ing_total!N$485</f>
        <v>3.5887173351610544</v>
      </c>
      <c r="P39" s="332">
        <f>Gasto_o_ing_total!O39*1000/Gasto_o_ing_total!O$485</f>
        <v>3.588717335161054</v>
      </c>
      <c r="Q39" s="332">
        <f>Gasto_o_ing_total!P39*1000/Gasto_o_ing_total!P$485</f>
        <v>3.588717335161054</v>
      </c>
      <c r="R39" s="332">
        <f>Gasto_o_ing_total!Q39*1000/Gasto_o_ing_total!Q$485</f>
        <v>3.5887173351610544</v>
      </c>
      <c r="S39" s="332">
        <f>Gasto_o_ing_total!R39*1000/Gasto_o_ing_total!R$485</f>
        <v>3.588717335161054</v>
      </c>
      <c r="T39" s="332">
        <f>Gasto_o_ing_total!S39*1000/Gasto_o_ing_total!S$485</f>
        <v>3.5887173351610544</v>
      </c>
      <c r="U39" s="332">
        <f>Gasto_o_ing_total!T39*1000/Gasto_o_ing_total!T$485</f>
        <v>3.5887173351610544</v>
      </c>
      <c r="V39" s="332">
        <f>Gasto_o_ing_total!U39*1000/Gasto_o_ing_total!U$485</f>
        <v>3.5887173351610548</v>
      </c>
      <c r="W39" s="105"/>
    </row>
    <row r="40" spans="1:23" s="102" customFormat="1">
      <c r="A40" s="351" t="str">
        <f>IF(B40="","",(IF(ISERROR(MATCH(B40,Tot_res!C:C,0)),"Eliminar!!!","")))</f>
        <v/>
      </c>
      <c r="B40" s="115" t="s">
        <v>145</v>
      </c>
      <c r="C40" s="329" t="str">
        <f>VLOOKUP(B40,Tot_res!C:D,2,FALSE)</f>
        <v>Programas especiales de modernización</v>
      </c>
      <c r="D40" s="332">
        <f>Gasto_o_ing_total!V40*1000/Gasto_o_ing_total!V$485</f>
        <v>19.042119006884285</v>
      </c>
      <c r="E40" s="332">
        <f>Gasto_o_ing_total!D40*1000/Gasto_o_ing_total!D$485</f>
        <v>19.042119006884285</v>
      </c>
      <c r="F40" s="332">
        <f>Gasto_o_ing_total!E40*1000/Gasto_o_ing_total!E$485</f>
        <v>19.042119006884288</v>
      </c>
      <c r="G40" s="332">
        <f>Gasto_o_ing_total!F40*1000/Gasto_o_ing_total!F$485</f>
        <v>19.042119006884288</v>
      </c>
      <c r="H40" s="332">
        <f>Gasto_o_ing_total!G40*1000/Gasto_o_ing_total!G$485</f>
        <v>19.042119006884285</v>
      </c>
      <c r="I40" s="332">
        <f>Gasto_o_ing_total!H40*1000/Gasto_o_ing_total!H$485</f>
        <v>19.042119006884288</v>
      </c>
      <c r="J40" s="332">
        <f>Gasto_o_ing_total!I40*1000/Gasto_o_ing_total!I$485</f>
        <v>19.042119006884285</v>
      </c>
      <c r="K40" s="332">
        <f>Gasto_o_ing_total!J40*1000/Gasto_o_ing_total!J$485</f>
        <v>19.042119006884285</v>
      </c>
      <c r="L40" s="332">
        <f>Gasto_o_ing_total!K40*1000/Gasto_o_ing_total!K$485</f>
        <v>19.042119006884285</v>
      </c>
      <c r="M40" s="332">
        <f>Gasto_o_ing_total!L40*1000/Gasto_o_ing_total!L$485</f>
        <v>19.042119006884288</v>
      </c>
      <c r="N40" s="332">
        <f>Gasto_o_ing_total!M40*1000/Gasto_o_ing_total!M$485</f>
        <v>19.042119006884288</v>
      </c>
      <c r="O40" s="332">
        <f>Gasto_o_ing_total!N40*1000/Gasto_o_ing_total!N$485</f>
        <v>19.042119006884285</v>
      </c>
      <c r="P40" s="332">
        <f>Gasto_o_ing_total!O40*1000/Gasto_o_ing_total!O$485</f>
        <v>19.042119006884288</v>
      </c>
      <c r="Q40" s="332">
        <f>Gasto_o_ing_total!P40*1000/Gasto_o_ing_total!P$485</f>
        <v>19.042119006884285</v>
      </c>
      <c r="R40" s="332">
        <f>Gasto_o_ing_total!Q40*1000/Gasto_o_ing_total!Q$485</f>
        <v>19.042119006884288</v>
      </c>
      <c r="S40" s="332">
        <f>Gasto_o_ing_total!R40*1000/Gasto_o_ing_total!R$485</f>
        <v>19.042119006884288</v>
      </c>
      <c r="T40" s="332">
        <f>Gasto_o_ing_total!S40*1000/Gasto_o_ing_total!S$485</f>
        <v>19.042119006884285</v>
      </c>
      <c r="U40" s="332">
        <f>Gasto_o_ing_total!T40*1000/Gasto_o_ing_total!T$485</f>
        <v>19.042119006884288</v>
      </c>
      <c r="V40" s="332">
        <f>Gasto_o_ing_total!U40*1000/Gasto_o_ing_total!U$485</f>
        <v>19.042119006884288</v>
      </c>
      <c r="W40" s="105"/>
    </row>
    <row r="41" spans="1:23" s="102" customFormat="1">
      <c r="A41" s="351" t="str">
        <f>IF(B41="","",(IF(ISERROR(MATCH(B41,Tot_res!C:C,0)),"Eliminar!!!","")))</f>
        <v/>
      </c>
      <c r="B41" s="115" t="s">
        <v>147</v>
      </c>
      <c r="C41" s="329" t="str">
        <f>VLOOKUP(B41,Tot_res!C:D,2,FALSE)</f>
        <v>Gastos operativos de las fuerzas armadas</v>
      </c>
      <c r="D41" s="332">
        <f>Gasto_o_ing_total!V41*1000/Gasto_o_ing_total!V$485</f>
        <v>63.185733908179074</v>
      </c>
      <c r="E41" s="332">
        <f>Gasto_o_ing_total!D41*1000/Gasto_o_ing_total!D$485</f>
        <v>63.185733908179067</v>
      </c>
      <c r="F41" s="332">
        <f>Gasto_o_ing_total!E41*1000/Gasto_o_ing_total!E$485</f>
        <v>63.185733908179074</v>
      </c>
      <c r="G41" s="332">
        <f>Gasto_o_ing_total!F41*1000/Gasto_o_ing_total!F$485</f>
        <v>63.185733908179088</v>
      </c>
      <c r="H41" s="332">
        <f>Gasto_o_ing_total!G41*1000/Gasto_o_ing_total!G$485</f>
        <v>63.185733908179074</v>
      </c>
      <c r="I41" s="332">
        <f>Gasto_o_ing_total!H41*1000/Gasto_o_ing_total!H$485</f>
        <v>63.185733908179074</v>
      </c>
      <c r="J41" s="332">
        <f>Gasto_o_ing_total!I41*1000/Gasto_o_ing_total!I$485</f>
        <v>63.185733908179081</v>
      </c>
      <c r="K41" s="332">
        <f>Gasto_o_ing_total!J41*1000/Gasto_o_ing_total!J$485</f>
        <v>63.185733908179067</v>
      </c>
      <c r="L41" s="332">
        <f>Gasto_o_ing_total!K41*1000/Gasto_o_ing_total!K$485</f>
        <v>63.185733908179081</v>
      </c>
      <c r="M41" s="332">
        <f>Gasto_o_ing_total!L41*1000/Gasto_o_ing_total!L$485</f>
        <v>63.185733908179074</v>
      </c>
      <c r="N41" s="332">
        <f>Gasto_o_ing_total!M41*1000/Gasto_o_ing_total!M$485</f>
        <v>63.185733908179081</v>
      </c>
      <c r="O41" s="332">
        <f>Gasto_o_ing_total!N41*1000/Gasto_o_ing_total!N$485</f>
        <v>63.185733908179067</v>
      </c>
      <c r="P41" s="332">
        <f>Gasto_o_ing_total!O41*1000/Gasto_o_ing_total!O$485</f>
        <v>63.185733908179067</v>
      </c>
      <c r="Q41" s="332">
        <f>Gasto_o_ing_total!P41*1000/Gasto_o_ing_total!P$485</f>
        <v>63.185733908179074</v>
      </c>
      <c r="R41" s="332">
        <f>Gasto_o_ing_total!Q41*1000/Gasto_o_ing_total!Q$485</f>
        <v>63.185733908179081</v>
      </c>
      <c r="S41" s="332">
        <f>Gasto_o_ing_total!R41*1000/Gasto_o_ing_total!R$485</f>
        <v>63.185733908179067</v>
      </c>
      <c r="T41" s="332">
        <f>Gasto_o_ing_total!S41*1000/Gasto_o_ing_total!S$485</f>
        <v>63.185733908179081</v>
      </c>
      <c r="U41" s="332">
        <f>Gasto_o_ing_total!T41*1000/Gasto_o_ing_total!T$485</f>
        <v>63.185733908179081</v>
      </c>
      <c r="V41" s="332">
        <f>Gasto_o_ing_total!U41*1000/Gasto_o_ing_total!U$485</f>
        <v>63.185733908179074</v>
      </c>
      <c r="W41" s="105"/>
    </row>
    <row r="42" spans="1:23" s="102" customFormat="1">
      <c r="A42" s="351" t="str">
        <f>IF(B42="","",(IF(ISERROR(MATCH(B42,Tot_res!C:C,0)),"Eliminar!!!","")))</f>
        <v/>
      </c>
      <c r="B42" s="115" t="s">
        <v>148</v>
      </c>
      <c r="C42" s="329" t="str">
        <f>VLOOKUP(B42,Tot_res!C:D,2,FALSE)</f>
        <v>Apoyo logístico</v>
      </c>
      <c r="D42" s="332">
        <f>Gasto_o_ing_total!V42*1000/Gasto_o_ing_total!V$485</f>
        <v>28.543899725686586</v>
      </c>
      <c r="E42" s="332">
        <f>Gasto_o_ing_total!D42*1000/Gasto_o_ing_total!D$485</f>
        <v>28.543899725686579</v>
      </c>
      <c r="F42" s="332">
        <f>Gasto_o_ing_total!E42*1000/Gasto_o_ing_total!E$485</f>
        <v>28.543899725686583</v>
      </c>
      <c r="G42" s="332">
        <f>Gasto_o_ing_total!F42*1000/Gasto_o_ing_total!F$485</f>
        <v>28.543899725686583</v>
      </c>
      <c r="H42" s="332">
        <f>Gasto_o_ing_total!G42*1000/Gasto_o_ing_total!G$485</f>
        <v>28.543899725686579</v>
      </c>
      <c r="I42" s="332">
        <f>Gasto_o_ing_total!H42*1000/Gasto_o_ing_total!H$485</f>
        <v>28.543899725686583</v>
      </c>
      <c r="J42" s="332">
        <f>Gasto_o_ing_total!I42*1000/Gasto_o_ing_total!I$485</f>
        <v>28.543899725686579</v>
      </c>
      <c r="K42" s="332">
        <f>Gasto_o_ing_total!J42*1000/Gasto_o_ing_total!J$485</f>
        <v>28.543899725686575</v>
      </c>
      <c r="L42" s="332">
        <f>Gasto_o_ing_total!K42*1000/Gasto_o_ing_total!K$485</f>
        <v>28.543899725686583</v>
      </c>
      <c r="M42" s="332">
        <f>Gasto_o_ing_total!L42*1000/Gasto_o_ing_total!L$485</f>
        <v>28.543899725686583</v>
      </c>
      <c r="N42" s="332">
        <f>Gasto_o_ing_total!M42*1000/Gasto_o_ing_total!M$485</f>
        <v>28.543899725686586</v>
      </c>
      <c r="O42" s="332">
        <f>Gasto_o_ing_total!N42*1000/Gasto_o_ing_total!N$485</f>
        <v>28.543899725686579</v>
      </c>
      <c r="P42" s="332">
        <f>Gasto_o_ing_total!O42*1000/Gasto_o_ing_total!O$485</f>
        <v>28.543899725686583</v>
      </c>
      <c r="Q42" s="332">
        <f>Gasto_o_ing_total!P42*1000/Gasto_o_ing_total!P$485</f>
        <v>28.543899725686579</v>
      </c>
      <c r="R42" s="332">
        <f>Gasto_o_ing_total!Q42*1000/Gasto_o_ing_total!Q$485</f>
        <v>28.543899725686583</v>
      </c>
      <c r="S42" s="332">
        <f>Gasto_o_ing_total!R42*1000/Gasto_o_ing_total!R$485</f>
        <v>28.543899725686579</v>
      </c>
      <c r="T42" s="332">
        <f>Gasto_o_ing_total!S42*1000/Gasto_o_ing_total!S$485</f>
        <v>28.543899725686583</v>
      </c>
      <c r="U42" s="332">
        <f>Gasto_o_ing_total!T42*1000/Gasto_o_ing_total!T$485</f>
        <v>28.543899725686579</v>
      </c>
      <c r="V42" s="332">
        <f>Gasto_o_ing_total!U42*1000/Gasto_o_ing_total!U$485</f>
        <v>28.543899725686583</v>
      </c>
      <c r="W42" s="105"/>
    </row>
    <row r="43" spans="1:23" s="102" customFormat="1">
      <c r="A43" s="351" t="str">
        <f>IF(B43="","",(IF(ISERROR(MATCH(B43,Tot_res!C:C,0)),"Eliminar!!!","")))</f>
        <v/>
      </c>
      <c r="B43" s="115" t="s">
        <v>149</v>
      </c>
      <c r="C43" s="329" t="str">
        <f>VLOOKUP(B43,Tot_res!C:D,2,FALSE)</f>
        <v>Asistencia hospitalaria en las fuerzas armadas</v>
      </c>
      <c r="D43" s="332">
        <f>Gasto_o_ing_total!V43*1000/Gasto_o_ing_total!V$485</f>
        <v>4.054139548124704</v>
      </c>
      <c r="E43" s="332">
        <f>Gasto_o_ing_total!D43*1000/Gasto_o_ing_total!D$485</f>
        <v>4.054139548124704</v>
      </c>
      <c r="F43" s="332">
        <f>Gasto_o_ing_total!E43*1000/Gasto_o_ing_total!E$485</f>
        <v>4.054139548124704</v>
      </c>
      <c r="G43" s="332">
        <f>Gasto_o_ing_total!F43*1000/Gasto_o_ing_total!F$485</f>
        <v>4.054139548124704</v>
      </c>
      <c r="H43" s="332">
        <f>Gasto_o_ing_total!G43*1000/Gasto_o_ing_total!G$485</f>
        <v>4.054139548124704</v>
      </c>
      <c r="I43" s="332">
        <f>Gasto_o_ing_total!H43*1000/Gasto_o_ing_total!H$485</f>
        <v>4.0541395481247031</v>
      </c>
      <c r="J43" s="332">
        <f>Gasto_o_ing_total!I43*1000/Gasto_o_ing_total!I$485</f>
        <v>4.054139548124704</v>
      </c>
      <c r="K43" s="332">
        <f>Gasto_o_ing_total!J43*1000/Gasto_o_ing_total!J$485</f>
        <v>4.054139548124704</v>
      </c>
      <c r="L43" s="332">
        <f>Gasto_o_ing_total!K43*1000/Gasto_o_ing_total!K$485</f>
        <v>4.054139548124704</v>
      </c>
      <c r="M43" s="332">
        <f>Gasto_o_ing_total!L43*1000/Gasto_o_ing_total!L$485</f>
        <v>4.054139548124704</v>
      </c>
      <c r="N43" s="332">
        <f>Gasto_o_ing_total!M43*1000/Gasto_o_ing_total!M$485</f>
        <v>4.054139548124704</v>
      </c>
      <c r="O43" s="332">
        <f>Gasto_o_ing_total!N43*1000/Gasto_o_ing_total!N$485</f>
        <v>4.0541395481247031</v>
      </c>
      <c r="P43" s="332">
        <f>Gasto_o_ing_total!O43*1000/Gasto_o_ing_total!O$485</f>
        <v>4.054139548124704</v>
      </c>
      <c r="Q43" s="332">
        <f>Gasto_o_ing_total!P43*1000/Gasto_o_ing_total!P$485</f>
        <v>4.0541395481247031</v>
      </c>
      <c r="R43" s="332">
        <f>Gasto_o_ing_total!Q43*1000/Gasto_o_ing_total!Q$485</f>
        <v>4.054139548124704</v>
      </c>
      <c r="S43" s="332">
        <f>Gasto_o_ing_total!R43*1000/Gasto_o_ing_total!R$485</f>
        <v>4.054139548124704</v>
      </c>
      <c r="T43" s="332">
        <f>Gasto_o_ing_total!S43*1000/Gasto_o_ing_total!S$485</f>
        <v>4.054139548124704</v>
      </c>
      <c r="U43" s="332">
        <f>Gasto_o_ing_total!T43*1000/Gasto_o_ing_total!T$485</f>
        <v>4.054139548124704</v>
      </c>
      <c r="V43" s="332">
        <f>Gasto_o_ing_total!U43*1000/Gasto_o_ing_total!U$485</f>
        <v>4.0541395481247049</v>
      </c>
      <c r="W43" s="105"/>
    </row>
    <row r="44" spans="1:23" s="102" customFormat="1">
      <c r="A44" s="351" t="str">
        <f>IF(B44="","",(IF(ISERROR(MATCH(B44,Tot_res!C:C,0)),"Eliminar!!!","")))</f>
        <v/>
      </c>
      <c r="B44" s="115" t="s">
        <v>150</v>
      </c>
      <c r="C44" s="329" t="str">
        <f>VLOOKUP(B44,Tot_res!C:D,2,FALSE)</f>
        <v>Investigación y estudios de las fuerzas armadas</v>
      </c>
      <c r="D44" s="332">
        <f>Gasto_o_ing_total!V44*1000/Gasto_o_ing_total!V$485</f>
        <v>3.1298433226969076</v>
      </c>
      <c r="E44" s="332">
        <f>Gasto_o_ing_total!D44*1000/Gasto_o_ing_total!D$485</f>
        <v>3.1298433226969071</v>
      </c>
      <c r="F44" s="332">
        <f>Gasto_o_ing_total!E44*1000/Gasto_o_ing_total!E$485</f>
        <v>3.1298433226969076</v>
      </c>
      <c r="G44" s="332">
        <f>Gasto_o_ing_total!F44*1000/Gasto_o_ing_total!F$485</f>
        <v>3.129843322696908</v>
      </c>
      <c r="H44" s="332">
        <f>Gasto_o_ing_total!G44*1000/Gasto_o_ing_total!G$485</f>
        <v>3.1298433226969076</v>
      </c>
      <c r="I44" s="332">
        <f>Gasto_o_ing_total!H44*1000/Gasto_o_ing_total!H$485</f>
        <v>3.1298433226969076</v>
      </c>
      <c r="J44" s="332">
        <f>Gasto_o_ing_total!I44*1000/Gasto_o_ing_total!I$485</f>
        <v>3.1298433226969076</v>
      </c>
      <c r="K44" s="332">
        <f>Gasto_o_ing_total!J44*1000/Gasto_o_ing_total!J$485</f>
        <v>3.1298433226969076</v>
      </c>
      <c r="L44" s="332">
        <f>Gasto_o_ing_total!K44*1000/Gasto_o_ing_total!K$485</f>
        <v>3.1298433226969076</v>
      </c>
      <c r="M44" s="332">
        <f>Gasto_o_ing_total!L44*1000/Gasto_o_ing_total!L$485</f>
        <v>3.1298433226969076</v>
      </c>
      <c r="N44" s="332">
        <f>Gasto_o_ing_total!M44*1000/Gasto_o_ing_total!M$485</f>
        <v>3.1298433226969076</v>
      </c>
      <c r="O44" s="332">
        <f>Gasto_o_ing_total!N44*1000/Gasto_o_ing_total!N$485</f>
        <v>3.1298433226969071</v>
      </c>
      <c r="P44" s="332">
        <f>Gasto_o_ing_total!O44*1000/Gasto_o_ing_total!O$485</f>
        <v>3.1298433226969076</v>
      </c>
      <c r="Q44" s="332">
        <f>Gasto_o_ing_total!P44*1000/Gasto_o_ing_total!P$485</f>
        <v>3.1298433226969076</v>
      </c>
      <c r="R44" s="332">
        <f>Gasto_o_ing_total!Q44*1000/Gasto_o_ing_total!Q$485</f>
        <v>3.129843322696908</v>
      </c>
      <c r="S44" s="332">
        <f>Gasto_o_ing_total!R44*1000/Gasto_o_ing_total!R$485</f>
        <v>3.1298433226969071</v>
      </c>
      <c r="T44" s="332">
        <f>Gasto_o_ing_total!S44*1000/Gasto_o_ing_total!S$485</f>
        <v>3.1298433226969071</v>
      </c>
      <c r="U44" s="332">
        <f>Gasto_o_ing_total!T44*1000/Gasto_o_ing_total!T$485</f>
        <v>3.1298433226969071</v>
      </c>
      <c r="V44" s="332">
        <f>Gasto_o_ing_total!U44*1000/Gasto_o_ing_total!U$485</f>
        <v>3.129843322696908</v>
      </c>
      <c r="W44" s="105"/>
    </row>
    <row r="45" spans="1:23" s="102" customFormat="1">
      <c r="A45" s="351" t="str">
        <f>IF(B45="","",(IF(ISERROR(MATCH(B45,Tot_res!C:C,0)),"Eliminar!!!","")))</f>
        <v/>
      </c>
      <c r="B45" s="115" t="s">
        <v>151</v>
      </c>
      <c r="C45" s="329" t="str">
        <f>VLOOKUP(B45,Tot_res!C:D,2,FALSE)</f>
        <v>Asesoramiento para la protección de los intereses nacionales</v>
      </c>
      <c r="D45" s="332">
        <f>Gasto_o_ing_total!V45*1000/Gasto_o_ing_total!V$485</f>
        <v>4.3618095873619396</v>
      </c>
      <c r="E45" s="332">
        <f>Gasto_o_ing_total!D45*1000/Gasto_o_ing_total!D$485</f>
        <v>4.3618095873619396</v>
      </c>
      <c r="F45" s="332">
        <f>Gasto_o_ing_total!E45*1000/Gasto_o_ing_total!E$485</f>
        <v>4.3618095873619396</v>
      </c>
      <c r="G45" s="332">
        <f>Gasto_o_ing_total!F45*1000/Gasto_o_ing_total!F$485</f>
        <v>4.3618095873619396</v>
      </c>
      <c r="H45" s="332">
        <f>Gasto_o_ing_total!G45*1000/Gasto_o_ing_total!G$485</f>
        <v>4.3618095873619396</v>
      </c>
      <c r="I45" s="332">
        <f>Gasto_o_ing_total!H45*1000/Gasto_o_ing_total!H$485</f>
        <v>4.3618095873619396</v>
      </c>
      <c r="J45" s="332">
        <f>Gasto_o_ing_total!I45*1000/Gasto_o_ing_total!I$485</f>
        <v>4.3618095873619396</v>
      </c>
      <c r="K45" s="332">
        <f>Gasto_o_ing_total!J45*1000/Gasto_o_ing_total!J$485</f>
        <v>4.3618095873619396</v>
      </c>
      <c r="L45" s="332">
        <f>Gasto_o_ing_total!K45*1000/Gasto_o_ing_total!K$485</f>
        <v>4.3618095873619396</v>
      </c>
      <c r="M45" s="332">
        <f>Gasto_o_ing_total!L45*1000/Gasto_o_ing_total!L$485</f>
        <v>4.3618095873619396</v>
      </c>
      <c r="N45" s="332">
        <f>Gasto_o_ing_total!M45*1000/Gasto_o_ing_total!M$485</f>
        <v>4.3618095873619396</v>
      </c>
      <c r="O45" s="332">
        <f>Gasto_o_ing_total!N45*1000/Gasto_o_ing_total!N$485</f>
        <v>4.3618095873619387</v>
      </c>
      <c r="P45" s="332">
        <f>Gasto_o_ing_total!O45*1000/Gasto_o_ing_total!O$485</f>
        <v>4.3618095873619396</v>
      </c>
      <c r="Q45" s="332">
        <f>Gasto_o_ing_total!P45*1000/Gasto_o_ing_total!P$485</f>
        <v>4.3618095873619396</v>
      </c>
      <c r="R45" s="332">
        <f>Gasto_o_ing_total!Q45*1000/Gasto_o_ing_total!Q$485</f>
        <v>4.3618095873619396</v>
      </c>
      <c r="S45" s="332">
        <f>Gasto_o_ing_total!R45*1000/Gasto_o_ing_total!R$485</f>
        <v>4.3618095873619387</v>
      </c>
      <c r="T45" s="332">
        <f>Gasto_o_ing_total!S45*1000/Gasto_o_ing_total!S$485</f>
        <v>4.3618095873619387</v>
      </c>
      <c r="U45" s="332">
        <f>Gasto_o_ing_total!T45*1000/Gasto_o_ing_total!T$485</f>
        <v>4.3618095873619396</v>
      </c>
      <c r="V45" s="332">
        <f>Gasto_o_ing_total!U45*1000/Gasto_o_ing_total!U$485</f>
        <v>4.3618095873619396</v>
      </c>
      <c r="W45" s="105"/>
    </row>
    <row r="46" spans="1:23"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ht="13.5">
      <c r="A47" s="352"/>
      <c r="B47" s="115"/>
      <c r="C47" s="128" t="s">
        <v>30</v>
      </c>
      <c r="D47" s="113">
        <f>Gasto_o_ing_total!V47*1000/Gasto_o_ing_total!V$485</f>
        <v>49.149655502266477</v>
      </c>
      <c r="E47" s="113">
        <f>Gasto_o_ing_total!D47*1000/Gasto_o_ing_total!D$485</f>
        <v>49.149655502266469</v>
      </c>
      <c r="F47" s="113">
        <f>Gasto_o_ing_total!E47*1000/Gasto_o_ing_total!E$485</f>
        <v>49.149655502266469</v>
      </c>
      <c r="G47" s="113">
        <f>Gasto_o_ing_total!F47*1000/Gasto_o_ing_total!F$485</f>
        <v>49.149655502266477</v>
      </c>
      <c r="H47" s="113">
        <f>Gasto_o_ing_total!G47*1000/Gasto_o_ing_total!G$485</f>
        <v>49.149655502266469</v>
      </c>
      <c r="I47" s="113">
        <f>Gasto_o_ing_total!H47*1000/Gasto_o_ing_total!H$485</f>
        <v>49.149655502266469</v>
      </c>
      <c r="J47" s="113">
        <f>Gasto_o_ing_total!I47*1000/Gasto_o_ing_total!I$485</f>
        <v>49.149655502266462</v>
      </c>
      <c r="K47" s="113">
        <f>Gasto_o_ing_total!J47*1000/Gasto_o_ing_total!J$485</f>
        <v>49.149655502266469</v>
      </c>
      <c r="L47" s="113">
        <f>Gasto_o_ing_total!K47*1000/Gasto_o_ing_total!K$485</f>
        <v>49.149655502266469</v>
      </c>
      <c r="M47" s="113">
        <f>Gasto_o_ing_total!L47*1000/Gasto_o_ing_total!L$485</f>
        <v>49.149655502266469</v>
      </c>
      <c r="N47" s="113">
        <f>Gasto_o_ing_total!M47*1000/Gasto_o_ing_total!M$485</f>
        <v>49.149655502266477</v>
      </c>
      <c r="O47" s="113">
        <f>Gasto_o_ing_total!N47*1000/Gasto_o_ing_total!N$485</f>
        <v>49.149655502266484</v>
      </c>
      <c r="P47" s="113">
        <f>Gasto_o_ing_total!O47*1000/Gasto_o_ing_total!O$485</f>
        <v>49.149655502266477</v>
      </c>
      <c r="Q47" s="113">
        <f>Gasto_o_ing_total!P47*1000/Gasto_o_ing_total!P$485</f>
        <v>49.149655502266462</v>
      </c>
      <c r="R47" s="113">
        <f>Gasto_o_ing_total!Q47*1000/Gasto_o_ing_total!Q$485</f>
        <v>49.149655502266469</v>
      </c>
      <c r="S47" s="113">
        <f>Gasto_o_ing_total!R47*1000/Gasto_o_ing_total!R$485</f>
        <v>49.149655502266462</v>
      </c>
      <c r="T47" s="113">
        <f>Gasto_o_ing_total!S47*1000/Gasto_o_ing_total!S$485</f>
        <v>49.149655502266484</v>
      </c>
      <c r="U47" s="113">
        <f>Gasto_o_ing_total!T47*1000/Gasto_o_ing_total!T$485</f>
        <v>49.149655502266477</v>
      </c>
      <c r="V47" s="113">
        <f>Gasto_o_ing_total!U47*1000/Gasto_o_ing_total!U$485</f>
        <v>49.149655502266469</v>
      </c>
      <c r="W47" s="130"/>
    </row>
    <row r="48" spans="1:23" s="102" customFormat="1">
      <c r="A48" s="351" t="str">
        <f>IF(B48="","",(IF(ISERROR(MATCH(B48,Tot_res!C:C,0)),"Eliminar!!!","")))</f>
        <v/>
      </c>
      <c r="B48" s="115" t="s">
        <v>152</v>
      </c>
      <c r="C48" s="329" t="str">
        <f>VLOOKUP(B48,Tot_res!C:D,2,FALSE)</f>
        <v>Coordinación y relaciones financieras con los entes territoriales</v>
      </c>
      <c r="D48" s="332">
        <f>Gasto_o_ing_total!V48*1000/Gasto_o_ing_total!V$485</f>
        <v>0.1508675338377112</v>
      </c>
      <c r="E48" s="332">
        <f>Gasto_o_ing_total!D48*1000/Gasto_o_ing_total!D$485</f>
        <v>0.15086753383771118</v>
      </c>
      <c r="F48" s="332">
        <f>Gasto_o_ing_total!E48*1000/Gasto_o_ing_total!E$485</f>
        <v>0.1508675338377112</v>
      </c>
      <c r="G48" s="332">
        <f>Gasto_o_ing_total!F48*1000/Gasto_o_ing_total!F$485</f>
        <v>0.1508675338377112</v>
      </c>
      <c r="H48" s="332">
        <f>Gasto_o_ing_total!G48*1000/Gasto_o_ing_total!G$485</f>
        <v>0.1508675338377112</v>
      </c>
      <c r="I48" s="332">
        <f>Gasto_o_ing_total!H48*1000/Gasto_o_ing_total!H$485</f>
        <v>0.1508675338377112</v>
      </c>
      <c r="J48" s="332">
        <f>Gasto_o_ing_total!I48*1000/Gasto_o_ing_total!I$485</f>
        <v>0.1508675338377112</v>
      </c>
      <c r="K48" s="332">
        <f>Gasto_o_ing_total!J48*1000/Gasto_o_ing_total!J$485</f>
        <v>0.1508675338377112</v>
      </c>
      <c r="L48" s="332">
        <f>Gasto_o_ing_total!K48*1000/Gasto_o_ing_total!K$485</f>
        <v>0.15086753383771123</v>
      </c>
      <c r="M48" s="332">
        <f>Gasto_o_ing_total!L48*1000/Gasto_o_ing_total!L$485</f>
        <v>0.15086753383771123</v>
      </c>
      <c r="N48" s="332">
        <f>Gasto_o_ing_total!M48*1000/Gasto_o_ing_total!M$485</f>
        <v>0.1508675338377112</v>
      </c>
      <c r="O48" s="332">
        <f>Gasto_o_ing_total!N48*1000/Gasto_o_ing_total!N$485</f>
        <v>0.1508675338377112</v>
      </c>
      <c r="P48" s="332">
        <f>Gasto_o_ing_total!O48*1000/Gasto_o_ing_total!O$485</f>
        <v>0.15086753383771118</v>
      </c>
      <c r="Q48" s="332">
        <f>Gasto_o_ing_total!P48*1000/Gasto_o_ing_total!P$485</f>
        <v>0.1508675338377112</v>
      </c>
      <c r="R48" s="332">
        <f>Gasto_o_ing_total!Q48*1000/Gasto_o_ing_total!Q$485</f>
        <v>0.15086753383771123</v>
      </c>
      <c r="S48" s="332">
        <f>Gasto_o_ing_total!R48*1000/Gasto_o_ing_total!R$485</f>
        <v>0.15086753383771118</v>
      </c>
      <c r="T48" s="332">
        <f>Gasto_o_ing_total!S48*1000/Gasto_o_ing_total!S$485</f>
        <v>0.1508675338377112</v>
      </c>
      <c r="U48" s="332">
        <f>Gasto_o_ing_total!T48*1000/Gasto_o_ing_total!T$485</f>
        <v>0.15086753383771118</v>
      </c>
      <c r="V48" s="332">
        <f>Gasto_o_ing_total!U48*1000/Gasto_o_ing_total!U$485</f>
        <v>0.1508675338377112</v>
      </c>
      <c r="W48" s="105"/>
    </row>
    <row r="49" spans="1:23" s="102" customFormat="1">
      <c r="A49" s="351" t="str">
        <f>IF(B49="","",(IF(ISERROR(MATCH(B49,Tot_res!C:C,0)),"Eliminar!!!","")))</f>
        <v/>
      </c>
      <c r="B49" s="115" t="s">
        <v>620</v>
      </c>
      <c r="C49" s="329" t="str">
        <f>VLOOKUP(B49,Tot_res!C:D,2,FALSE)</f>
        <v>Gestión del patrimonio del estado</v>
      </c>
      <c r="D49" s="332">
        <f>Gasto_o_ing_total!V49*1000/Gasto_o_ing_total!V$485</f>
        <v>0.67740546363134868</v>
      </c>
      <c r="E49" s="332">
        <f>Gasto_o_ing_total!D49*1000/Gasto_o_ing_total!D$485</f>
        <v>0.67740546363134857</v>
      </c>
      <c r="F49" s="332">
        <f>Gasto_o_ing_total!E49*1000/Gasto_o_ing_total!E$485</f>
        <v>0.67740546363134868</v>
      </c>
      <c r="G49" s="332">
        <f>Gasto_o_ing_total!F49*1000/Gasto_o_ing_total!F$485</f>
        <v>0.67740546363134868</v>
      </c>
      <c r="H49" s="332">
        <f>Gasto_o_ing_total!G49*1000/Gasto_o_ing_total!G$485</f>
        <v>0.67740546363134857</v>
      </c>
      <c r="I49" s="332">
        <f>Gasto_o_ing_total!H49*1000/Gasto_o_ing_total!H$485</f>
        <v>0.67740546363134857</v>
      </c>
      <c r="J49" s="332">
        <f>Gasto_o_ing_total!I49*1000/Gasto_o_ing_total!I$485</f>
        <v>0.67740546363134868</v>
      </c>
      <c r="K49" s="332">
        <f>Gasto_o_ing_total!J49*1000/Gasto_o_ing_total!J$485</f>
        <v>0.67740546363134857</v>
      </c>
      <c r="L49" s="332">
        <f>Gasto_o_ing_total!K49*1000/Gasto_o_ing_total!K$485</f>
        <v>0.67740546363134868</v>
      </c>
      <c r="M49" s="332">
        <f>Gasto_o_ing_total!L49*1000/Gasto_o_ing_total!L$485</f>
        <v>0.67740546363134868</v>
      </c>
      <c r="N49" s="332">
        <f>Gasto_o_ing_total!M49*1000/Gasto_o_ing_total!M$485</f>
        <v>0.67740546363134857</v>
      </c>
      <c r="O49" s="332">
        <f>Gasto_o_ing_total!N49*1000/Gasto_o_ing_total!N$485</f>
        <v>0.67740546363134857</v>
      </c>
      <c r="P49" s="332">
        <f>Gasto_o_ing_total!O49*1000/Gasto_o_ing_total!O$485</f>
        <v>0.67740546363134857</v>
      </c>
      <c r="Q49" s="332">
        <f>Gasto_o_ing_total!P49*1000/Gasto_o_ing_total!P$485</f>
        <v>0.67740546363134857</v>
      </c>
      <c r="R49" s="332">
        <f>Gasto_o_ing_total!Q49*1000/Gasto_o_ing_total!Q$485</f>
        <v>0.67740546363134868</v>
      </c>
      <c r="S49" s="332">
        <f>Gasto_o_ing_total!R49*1000/Gasto_o_ing_total!R$485</f>
        <v>0.67740546363134857</v>
      </c>
      <c r="T49" s="332">
        <f>Gasto_o_ing_total!S49*1000/Gasto_o_ing_total!S$485</f>
        <v>0.67740546363134857</v>
      </c>
      <c r="U49" s="332">
        <f>Gasto_o_ing_total!T49*1000/Gasto_o_ing_total!T$485</f>
        <v>0.67740546363134857</v>
      </c>
      <c r="V49" s="332">
        <f>Gasto_o_ing_total!U49*1000/Gasto_o_ing_total!U$485</f>
        <v>0.67740546363134868</v>
      </c>
      <c r="W49" s="105"/>
    </row>
    <row r="50" spans="1:23" s="102" customFormat="1">
      <c r="A50" s="351" t="str">
        <f>IF(B50="","",(IF(ISERROR(MATCH(B50,Tot_res!C:C,0)),"Eliminar!!!","")))</f>
        <v/>
      </c>
      <c r="B50" s="115" t="s">
        <v>683</v>
      </c>
      <c r="C50" s="329" t="str">
        <f>VLOOKUP(B50,Tot_res!C:D,2,FALSE)</f>
        <v>Dirección y servicios generales de hacienda y administraciones públicas</v>
      </c>
      <c r="D50" s="332">
        <f>Gasto_o_ing_total!V50*1000/Gasto_o_ing_total!V$485</f>
        <v>3.0919033457238725</v>
      </c>
      <c r="E50" s="332">
        <f>Gasto_o_ing_total!D50*1000/Gasto_o_ing_total!D$485</f>
        <v>3.091903345723872</v>
      </c>
      <c r="F50" s="332">
        <f>Gasto_o_ing_total!E50*1000/Gasto_o_ing_total!E$485</f>
        <v>3.0919033457238725</v>
      </c>
      <c r="G50" s="332">
        <f>Gasto_o_ing_total!F50*1000/Gasto_o_ing_total!F$485</f>
        <v>3.0919033457238729</v>
      </c>
      <c r="H50" s="332">
        <f>Gasto_o_ing_total!G50*1000/Gasto_o_ing_total!G$485</f>
        <v>3.0919033457238725</v>
      </c>
      <c r="I50" s="332">
        <f>Gasto_o_ing_total!H50*1000/Gasto_o_ing_total!H$485</f>
        <v>3.091903345723872</v>
      </c>
      <c r="J50" s="332">
        <f>Gasto_o_ing_total!I50*1000/Gasto_o_ing_total!I$485</f>
        <v>3.0919033457238725</v>
      </c>
      <c r="K50" s="332">
        <f>Gasto_o_ing_total!J50*1000/Gasto_o_ing_total!J$485</f>
        <v>3.0919033457238725</v>
      </c>
      <c r="L50" s="332">
        <f>Gasto_o_ing_total!K50*1000/Gasto_o_ing_total!K$485</f>
        <v>3.091903345723872</v>
      </c>
      <c r="M50" s="332">
        <f>Gasto_o_ing_total!L50*1000/Gasto_o_ing_total!L$485</f>
        <v>3.0919033457238729</v>
      </c>
      <c r="N50" s="332">
        <f>Gasto_o_ing_total!M50*1000/Gasto_o_ing_total!M$485</f>
        <v>3.091903345723872</v>
      </c>
      <c r="O50" s="332">
        <f>Gasto_o_ing_total!N50*1000/Gasto_o_ing_total!N$485</f>
        <v>3.0919033457238725</v>
      </c>
      <c r="P50" s="332">
        <f>Gasto_o_ing_total!O50*1000/Gasto_o_ing_total!O$485</f>
        <v>3.0919033457238725</v>
      </c>
      <c r="Q50" s="332">
        <f>Gasto_o_ing_total!P50*1000/Gasto_o_ing_total!P$485</f>
        <v>3.0919033457238725</v>
      </c>
      <c r="R50" s="332">
        <f>Gasto_o_ing_total!Q50*1000/Gasto_o_ing_total!Q$485</f>
        <v>3.091903345723872</v>
      </c>
      <c r="S50" s="332">
        <f>Gasto_o_ing_total!R50*1000/Gasto_o_ing_total!R$485</f>
        <v>3.091903345723872</v>
      </c>
      <c r="T50" s="332">
        <f>Gasto_o_ing_total!S50*1000/Gasto_o_ing_total!S$485</f>
        <v>3.0919033457238725</v>
      </c>
      <c r="U50" s="332">
        <f>Gasto_o_ing_total!T50*1000/Gasto_o_ing_total!T$485</f>
        <v>3.0919033457238725</v>
      </c>
      <c r="V50" s="332">
        <f>Gasto_o_ing_total!U50*1000/Gasto_o_ing_total!U$485</f>
        <v>3.0919033457238725</v>
      </c>
      <c r="W50" s="105"/>
    </row>
    <row r="51" spans="1:23" s="102" customFormat="1">
      <c r="A51" s="351" t="str">
        <f>IF(B51="","",(IF(ISERROR(MATCH(B51,Tot_res!C:C,0)),"Eliminar!!!","")))</f>
        <v/>
      </c>
      <c r="B51" s="115" t="s">
        <v>153</v>
      </c>
      <c r="C51" s="329" t="str">
        <f>VLOOKUP(B51,Tot_res!C:D,2,FALSE)</f>
        <v>Formación del personal de economía y hacienda</v>
      </c>
      <c r="D51" s="332">
        <f>Gasto_o_ing_total!V51*1000/Gasto_o_ing_total!V$485</f>
        <v>0.13427957081075331</v>
      </c>
      <c r="E51" s="332">
        <f>Gasto_o_ing_total!D51*1000/Gasto_o_ing_total!D$485</f>
        <v>0.13427957081075331</v>
      </c>
      <c r="F51" s="332">
        <f>Gasto_o_ing_total!E51*1000/Gasto_o_ing_total!E$485</f>
        <v>0.13427957081075331</v>
      </c>
      <c r="G51" s="332">
        <f>Gasto_o_ing_total!F51*1000/Gasto_o_ing_total!F$485</f>
        <v>0.13427957081075331</v>
      </c>
      <c r="H51" s="332">
        <f>Gasto_o_ing_total!G51*1000/Gasto_o_ing_total!G$485</f>
        <v>0.13427957081075331</v>
      </c>
      <c r="I51" s="332">
        <f>Gasto_o_ing_total!H51*1000/Gasto_o_ing_total!H$485</f>
        <v>0.13427957081075331</v>
      </c>
      <c r="J51" s="332">
        <f>Gasto_o_ing_total!I51*1000/Gasto_o_ing_total!I$485</f>
        <v>0.13427957081075331</v>
      </c>
      <c r="K51" s="332">
        <f>Gasto_o_ing_total!J51*1000/Gasto_o_ing_total!J$485</f>
        <v>0.13427957081075328</v>
      </c>
      <c r="L51" s="332">
        <f>Gasto_o_ing_total!K51*1000/Gasto_o_ing_total!K$485</f>
        <v>0.13427957081075331</v>
      </c>
      <c r="M51" s="332">
        <f>Gasto_o_ing_total!L51*1000/Gasto_o_ing_total!L$485</f>
        <v>0.13427957081075331</v>
      </c>
      <c r="N51" s="332">
        <f>Gasto_o_ing_total!M51*1000/Gasto_o_ing_total!M$485</f>
        <v>0.13427957081075334</v>
      </c>
      <c r="O51" s="332">
        <f>Gasto_o_ing_total!N51*1000/Gasto_o_ing_total!N$485</f>
        <v>0.13427957081075331</v>
      </c>
      <c r="P51" s="332">
        <f>Gasto_o_ing_total!O51*1000/Gasto_o_ing_total!O$485</f>
        <v>0.13427957081075331</v>
      </c>
      <c r="Q51" s="332">
        <f>Gasto_o_ing_total!P51*1000/Gasto_o_ing_total!P$485</f>
        <v>0.13427957081075331</v>
      </c>
      <c r="R51" s="332">
        <f>Gasto_o_ing_total!Q51*1000/Gasto_o_ing_total!Q$485</f>
        <v>0.13427957081075334</v>
      </c>
      <c r="S51" s="332">
        <f>Gasto_o_ing_total!R51*1000/Gasto_o_ing_total!R$485</f>
        <v>0.13427957081075328</v>
      </c>
      <c r="T51" s="332">
        <f>Gasto_o_ing_total!S51*1000/Gasto_o_ing_total!S$485</f>
        <v>0.13427957081075334</v>
      </c>
      <c r="U51" s="332">
        <f>Gasto_o_ing_total!T51*1000/Gasto_o_ing_total!T$485</f>
        <v>0.13427957081075331</v>
      </c>
      <c r="V51" s="332">
        <f>Gasto_o_ing_total!U51*1000/Gasto_o_ing_total!U$485</f>
        <v>0.13427957081075331</v>
      </c>
      <c r="W51" s="105"/>
    </row>
    <row r="52" spans="1:23" s="102" customFormat="1">
      <c r="A52" s="351" t="str">
        <f>IF(B52="","",(IF(ISERROR(MATCH(B52,Tot_res!C:C,0)),"Eliminar!!!","")))</f>
        <v/>
      </c>
      <c r="B52" s="115" t="s">
        <v>685</v>
      </c>
      <c r="C52" s="329" t="str">
        <f>VLOOKUP(B52,Tot_res!C:D,2,FALSE)</f>
        <v>Gestión de la deuda y de la tesorería del estado</v>
      </c>
      <c r="D52" s="332">
        <f>Gasto_o_ing_total!V52*1000/Gasto_o_ing_total!V$485</f>
        <v>1.5208620354060538</v>
      </c>
      <c r="E52" s="332">
        <f>Gasto_o_ing_total!D52*1000/Gasto_o_ing_total!D$485</f>
        <v>1.5208620354060538</v>
      </c>
      <c r="F52" s="332">
        <f>Gasto_o_ing_total!E52*1000/Gasto_o_ing_total!E$485</f>
        <v>1.5208620354060538</v>
      </c>
      <c r="G52" s="332">
        <f>Gasto_o_ing_total!F52*1000/Gasto_o_ing_total!F$485</f>
        <v>1.520862035406054</v>
      </c>
      <c r="H52" s="332">
        <f>Gasto_o_ing_total!G52*1000/Gasto_o_ing_total!G$485</f>
        <v>1.5208620354060538</v>
      </c>
      <c r="I52" s="332">
        <f>Gasto_o_ing_total!H52*1000/Gasto_o_ing_total!H$485</f>
        <v>1.520862035406054</v>
      </c>
      <c r="J52" s="332">
        <f>Gasto_o_ing_total!I52*1000/Gasto_o_ing_total!I$485</f>
        <v>1.520862035406054</v>
      </c>
      <c r="K52" s="332">
        <f>Gasto_o_ing_total!J52*1000/Gasto_o_ing_total!J$485</f>
        <v>1.5208620354060538</v>
      </c>
      <c r="L52" s="332">
        <f>Gasto_o_ing_total!K52*1000/Gasto_o_ing_total!K$485</f>
        <v>1.5208620354060538</v>
      </c>
      <c r="M52" s="332">
        <f>Gasto_o_ing_total!L52*1000/Gasto_o_ing_total!L$485</f>
        <v>1.520862035406054</v>
      </c>
      <c r="N52" s="332">
        <f>Gasto_o_ing_total!M52*1000/Gasto_o_ing_total!M$485</f>
        <v>1.520862035406054</v>
      </c>
      <c r="O52" s="332">
        <f>Gasto_o_ing_total!N52*1000/Gasto_o_ing_total!N$485</f>
        <v>1.520862035406054</v>
      </c>
      <c r="P52" s="332">
        <f>Gasto_o_ing_total!O52*1000/Gasto_o_ing_total!O$485</f>
        <v>1.5208620354060538</v>
      </c>
      <c r="Q52" s="332">
        <f>Gasto_o_ing_total!P52*1000/Gasto_o_ing_total!P$485</f>
        <v>1.5208620354060538</v>
      </c>
      <c r="R52" s="332">
        <f>Gasto_o_ing_total!Q52*1000/Gasto_o_ing_total!Q$485</f>
        <v>1.520862035406054</v>
      </c>
      <c r="S52" s="332">
        <f>Gasto_o_ing_total!R52*1000/Gasto_o_ing_total!R$485</f>
        <v>1.5208620354060538</v>
      </c>
      <c r="T52" s="332">
        <f>Gasto_o_ing_total!S52*1000/Gasto_o_ing_total!S$485</f>
        <v>1.520862035406054</v>
      </c>
      <c r="U52" s="332">
        <f>Gasto_o_ing_total!T52*1000/Gasto_o_ing_total!T$485</f>
        <v>1.5208620354060538</v>
      </c>
      <c r="V52" s="332">
        <f>Gasto_o_ing_total!U52*1000/Gasto_o_ing_total!U$485</f>
        <v>1.5208620354060538</v>
      </c>
      <c r="W52" s="105"/>
    </row>
    <row r="53" spans="1:23" s="102" customFormat="1">
      <c r="A53" s="351" t="str">
        <f>IF(B53="","",(IF(ISERROR(MATCH(B53,Tot_res!C:C,0)),"Eliminar!!!","")))</f>
        <v/>
      </c>
      <c r="B53" s="115" t="s">
        <v>1183</v>
      </c>
      <c r="C53" s="329" t="str">
        <f>VLOOKUP(B53,Tot_res!C:D,2,FALSE)</f>
        <v>Dirección y Servicios Generales de Economía y Competitividad</v>
      </c>
      <c r="D53" s="332">
        <f>Gasto_o_ing_total!V53*1000/Gasto_o_ing_total!V$485</f>
        <v>1.4716441357812502</v>
      </c>
      <c r="E53" s="332">
        <f>Gasto_o_ing_total!D53*1000/Gasto_o_ing_total!D$485</f>
        <v>1.4716441357812498</v>
      </c>
      <c r="F53" s="332">
        <f>Gasto_o_ing_total!E53*1000/Gasto_o_ing_total!E$485</f>
        <v>1.47164413578125</v>
      </c>
      <c r="G53" s="332">
        <f>Gasto_o_ing_total!F53*1000/Gasto_o_ing_total!F$485</f>
        <v>1.47164413578125</v>
      </c>
      <c r="H53" s="332">
        <f>Gasto_o_ing_total!G53*1000/Gasto_o_ing_total!G$485</f>
        <v>1.47164413578125</v>
      </c>
      <c r="I53" s="332">
        <f>Gasto_o_ing_total!H53*1000/Gasto_o_ing_total!H$485</f>
        <v>1.4716441357812498</v>
      </c>
      <c r="J53" s="332">
        <f>Gasto_o_ing_total!I53*1000/Gasto_o_ing_total!I$485</f>
        <v>1.47164413578125</v>
      </c>
      <c r="K53" s="332">
        <f>Gasto_o_ing_total!J53*1000/Gasto_o_ing_total!J$485</f>
        <v>1.4716441357812498</v>
      </c>
      <c r="L53" s="332">
        <f>Gasto_o_ing_total!K53*1000/Gasto_o_ing_total!K$485</f>
        <v>1.47164413578125</v>
      </c>
      <c r="M53" s="332">
        <f>Gasto_o_ing_total!L53*1000/Gasto_o_ing_total!L$485</f>
        <v>1.4716441357812498</v>
      </c>
      <c r="N53" s="332">
        <f>Gasto_o_ing_total!M53*1000/Gasto_o_ing_total!M$485</f>
        <v>1.47164413578125</v>
      </c>
      <c r="O53" s="332">
        <f>Gasto_o_ing_total!N53*1000/Gasto_o_ing_total!N$485</f>
        <v>1.4716441357812498</v>
      </c>
      <c r="P53" s="332">
        <f>Gasto_o_ing_total!O53*1000/Gasto_o_ing_total!O$485</f>
        <v>1.47164413578125</v>
      </c>
      <c r="Q53" s="332">
        <f>Gasto_o_ing_total!P53*1000/Gasto_o_ing_total!P$485</f>
        <v>1.47164413578125</v>
      </c>
      <c r="R53" s="332">
        <f>Gasto_o_ing_total!Q53*1000/Gasto_o_ing_total!Q$485</f>
        <v>1.47164413578125</v>
      </c>
      <c r="S53" s="332">
        <f>Gasto_o_ing_total!R53*1000/Gasto_o_ing_total!R$485</f>
        <v>1.47164413578125</v>
      </c>
      <c r="T53" s="332">
        <f>Gasto_o_ing_total!S53*1000/Gasto_o_ing_total!S$485</f>
        <v>1.4716441357812498</v>
      </c>
      <c r="U53" s="332">
        <f>Gasto_o_ing_total!T53*1000/Gasto_o_ing_total!T$485</f>
        <v>1.4716441357812498</v>
      </c>
      <c r="V53" s="332">
        <f>Gasto_o_ing_total!U53*1000/Gasto_o_ing_total!U$485</f>
        <v>1.47164413578125</v>
      </c>
      <c r="W53" s="105"/>
    </row>
    <row r="54" spans="1:23" s="102" customFormat="1">
      <c r="A54" s="351" t="str">
        <f>IF(B54="","",(IF(ISERROR(MATCH(B54,Tot_res!C:C,0)),"Eliminar!!!","")))</f>
        <v/>
      </c>
      <c r="B54" s="115" t="s">
        <v>1185</v>
      </c>
      <c r="C54" s="329" t="str">
        <f>VLOOKUP(B54,Tot_res!C:D,2,FALSE)</f>
        <v>Contratación centralizada</v>
      </c>
      <c r="D54" s="332">
        <f>Gasto_o_ing_total!V54*1000/Gasto_o_ing_total!V$485</f>
        <v>6.8679590391949721E-2</v>
      </c>
      <c r="E54" s="332">
        <f>Gasto_o_ing_total!D54*1000/Gasto_o_ing_total!D$485</f>
        <v>6.8679590391949749E-2</v>
      </c>
      <c r="F54" s="332">
        <f>Gasto_o_ing_total!E54*1000/Gasto_o_ing_total!E$485</f>
        <v>6.8679590391949749E-2</v>
      </c>
      <c r="G54" s="332">
        <f>Gasto_o_ing_total!F54*1000/Gasto_o_ing_total!F$485</f>
        <v>6.8679590391949749E-2</v>
      </c>
      <c r="H54" s="332">
        <f>Gasto_o_ing_total!G54*1000/Gasto_o_ing_total!G$485</f>
        <v>6.8679590391949749E-2</v>
      </c>
      <c r="I54" s="332">
        <f>Gasto_o_ing_total!H54*1000/Gasto_o_ing_total!H$485</f>
        <v>6.8679590391949749E-2</v>
      </c>
      <c r="J54" s="332">
        <f>Gasto_o_ing_total!I54*1000/Gasto_o_ing_total!I$485</f>
        <v>6.8679590391949749E-2</v>
      </c>
      <c r="K54" s="332">
        <f>Gasto_o_ing_total!J54*1000/Gasto_o_ing_total!J$485</f>
        <v>6.8679590391949749E-2</v>
      </c>
      <c r="L54" s="332">
        <f>Gasto_o_ing_total!K54*1000/Gasto_o_ing_total!K$485</f>
        <v>6.8679590391949749E-2</v>
      </c>
      <c r="M54" s="332">
        <f>Gasto_o_ing_total!L54*1000/Gasto_o_ing_total!L$485</f>
        <v>6.8679590391949749E-2</v>
      </c>
      <c r="N54" s="332">
        <f>Gasto_o_ing_total!M54*1000/Gasto_o_ing_total!M$485</f>
        <v>6.8679590391949749E-2</v>
      </c>
      <c r="O54" s="332">
        <f>Gasto_o_ing_total!N54*1000/Gasto_o_ing_total!N$485</f>
        <v>6.8679590391949749E-2</v>
      </c>
      <c r="P54" s="332">
        <f>Gasto_o_ing_total!O54*1000/Gasto_o_ing_total!O$485</f>
        <v>6.8679590391949749E-2</v>
      </c>
      <c r="Q54" s="332">
        <f>Gasto_o_ing_total!P54*1000/Gasto_o_ing_total!P$485</f>
        <v>6.8679590391949749E-2</v>
      </c>
      <c r="R54" s="332">
        <f>Gasto_o_ing_total!Q54*1000/Gasto_o_ing_total!Q$485</f>
        <v>6.8679590391949749E-2</v>
      </c>
      <c r="S54" s="332">
        <f>Gasto_o_ing_total!R54*1000/Gasto_o_ing_total!R$485</f>
        <v>6.8679590391949735E-2</v>
      </c>
      <c r="T54" s="332">
        <f>Gasto_o_ing_total!S54*1000/Gasto_o_ing_total!S$485</f>
        <v>6.8679590391949749E-2</v>
      </c>
      <c r="U54" s="332">
        <f>Gasto_o_ing_total!T54*1000/Gasto_o_ing_total!T$485</f>
        <v>6.8679590391949749E-2</v>
      </c>
      <c r="V54" s="332">
        <f>Gasto_o_ing_total!U54*1000/Gasto_o_ing_total!U$485</f>
        <v>6.8679590391949749E-2</v>
      </c>
      <c r="W54" s="105"/>
    </row>
    <row r="55" spans="1:23" s="102" customFormat="1">
      <c r="A55" s="351" t="str">
        <f>IF(B55="","",(IF(ISERROR(MATCH(B55,Tot_res!C:C,0)),"Eliminar!!!","")))</f>
        <v/>
      </c>
      <c r="B55" s="115" t="s">
        <v>687</v>
      </c>
      <c r="C55" s="329" t="str">
        <f>VLOOKUP(B55,Tot_res!C:D,2,FALSE)</f>
        <v>Previsión y política económica</v>
      </c>
      <c r="D55" s="332">
        <f>Gasto_o_ing_total!V55*1000/Gasto_o_ing_total!V$485</f>
        <v>5.8366909506123754</v>
      </c>
      <c r="E55" s="332">
        <f>Gasto_o_ing_total!D55*1000/Gasto_o_ing_total!D$485</f>
        <v>5.8366909506123736</v>
      </c>
      <c r="F55" s="332">
        <f>Gasto_o_ing_total!E55*1000/Gasto_o_ing_total!E$485</f>
        <v>5.8366909506123745</v>
      </c>
      <c r="G55" s="332">
        <f>Gasto_o_ing_total!F55*1000/Gasto_o_ing_total!F$485</f>
        <v>5.8366909506123745</v>
      </c>
      <c r="H55" s="332">
        <f>Gasto_o_ing_total!G55*1000/Gasto_o_ing_total!G$485</f>
        <v>5.8366909506123754</v>
      </c>
      <c r="I55" s="332">
        <f>Gasto_o_ing_total!H55*1000/Gasto_o_ing_total!H$485</f>
        <v>5.8366909506123745</v>
      </c>
      <c r="J55" s="332">
        <f>Gasto_o_ing_total!I55*1000/Gasto_o_ing_total!I$485</f>
        <v>5.8366909506123745</v>
      </c>
      <c r="K55" s="332">
        <f>Gasto_o_ing_total!J55*1000/Gasto_o_ing_total!J$485</f>
        <v>5.8366909506123745</v>
      </c>
      <c r="L55" s="332">
        <f>Gasto_o_ing_total!K55*1000/Gasto_o_ing_total!K$485</f>
        <v>5.8366909506123754</v>
      </c>
      <c r="M55" s="332">
        <f>Gasto_o_ing_total!L55*1000/Gasto_o_ing_total!L$485</f>
        <v>5.8366909506123745</v>
      </c>
      <c r="N55" s="332">
        <f>Gasto_o_ing_total!M55*1000/Gasto_o_ing_total!M$485</f>
        <v>5.8366909506123745</v>
      </c>
      <c r="O55" s="332">
        <f>Gasto_o_ing_total!N55*1000/Gasto_o_ing_total!N$485</f>
        <v>5.8366909506123754</v>
      </c>
      <c r="P55" s="332">
        <f>Gasto_o_ing_total!O55*1000/Gasto_o_ing_total!O$485</f>
        <v>5.8366909506123745</v>
      </c>
      <c r="Q55" s="332">
        <f>Gasto_o_ing_total!P55*1000/Gasto_o_ing_total!P$485</f>
        <v>5.8366909506123745</v>
      </c>
      <c r="R55" s="332">
        <f>Gasto_o_ing_total!Q55*1000/Gasto_o_ing_total!Q$485</f>
        <v>5.8366909506123745</v>
      </c>
      <c r="S55" s="332">
        <f>Gasto_o_ing_total!R55*1000/Gasto_o_ing_total!R$485</f>
        <v>5.8366909506123745</v>
      </c>
      <c r="T55" s="332">
        <f>Gasto_o_ing_total!S55*1000/Gasto_o_ing_total!S$485</f>
        <v>5.8366909506123745</v>
      </c>
      <c r="U55" s="332">
        <f>Gasto_o_ing_total!T55*1000/Gasto_o_ing_total!T$485</f>
        <v>5.8366909506123745</v>
      </c>
      <c r="V55" s="332">
        <f>Gasto_o_ing_total!U55*1000/Gasto_o_ing_total!U$485</f>
        <v>5.8366909506123745</v>
      </c>
      <c r="W55" s="105"/>
    </row>
    <row r="56" spans="1:23" s="102" customFormat="1">
      <c r="A56" s="351" t="str">
        <f>IF(B56="","",(IF(ISERROR(MATCH(B56,Tot_res!C:C,0)),"Eliminar!!!","")))</f>
        <v/>
      </c>
      <c r="B56" s="115" t="s">
        <v>155</v>
      </c>
      <c r="C56" s="329" t="str">
        <f>VLOOKUP(B56,Tot_res!C:D,2,FALSE)</f>
        <v>Política presupuestaria</v>
      </c>
      <c r="D56" s="332">
        <f>Gasto_o_ing_total!V56*1000/Gasto_o_ing_total!V$485</f>
        <v>1.2925066724950562</v>
      </c>
      <c r="E56" s="332">
        <f>Gasto_o_ing_total!D56*1000/Gasto_o_ing_total!D$485</f>
        <v>1.2925066724950562</v>
      </c>
      <c r="F56" s="332">
        <f>Gasto_o_ing_total!E56*1000/Gasto_o_ing_total!E$485</f>
        <v>1.2925066724950562</v>
      </c>
      <c r="G56" s="332">
        <f>Gasto_o_ing_total!F56*1000/Gasto_o_ing_total!F$485</f>
        <v>1.2925066724950565</v>
      </c>
      <c r="H56" s="332">
        <f>Gasto_o_ing_total!G56*1000/Gasto_o_ing_total!G$485</f>
        <v>1.2925066724950565</v>
      </c>
      <c r="I56" s="332">
        <f>Gasto_o_ing_total!H56*1000/Gasto_o_ing_total!H$485</f>
        <v>1.2925066724950562</v>
      </c>
      <c r="J56" s="332">
        <f>Gasto_o_ing_total!I56*1000/Gasto_o_ing_total!I$485</f>
        <v>1.2925066724950565</v>
      </c>
      <c r="K56" s="332">
        <f>Gasto_o_ing_total!J56*1000/Gasto_o_ing_total!J$485</f>
        <v>1.2925066724950565</v>
      </c>
      <c r="L56" s="332">
        <f>Gasto_o_ing_total!K56*1000/Gasto_o_ing_total!K$485</f>
        <v>1.2925066724950562</v>
      </c>
      <c r="M56" s="332">
        <f>Gasto_o_ing_total!L56*1000/Gasto_o_ing_total!L$485</f>
        <v>1.2925066724950565</v>
      </c>
      <c r="N56" s="332">
        <f>Gasto_o_ing_total!M56*1000/Gasto_o_ing_total!M$485</f>
        <v>1.2925066724950565</v>
      </c>
      <c r="O56" s="332">
        <f>Gasto_o_ing_total!N56*1000/Gasto_o_ing_total!N$485</f>
        <v>1.2925066724950562</v>
      </c>
      <c r="P56" s="332">
        <f>Gasto_o_ing_total!O56*1000/Gasto_o_ing_total!O$485</f>
        <v>1.2925066724950562</v>
      </c>
      <c r="Q56" s="332">
        <f>Gasto_o_ing_total!P56*1000/Gasto_o_ing_total!P$485</f>
        <v>1.2925066724950565</v>
      </c>
      <c r="R56" s="332">
        <f>Gasto_o_ing_total!Q56*1000/Gasto_o_ing_total!Q$485</f>
        <v>1.2925066724950562</v>
      </c>
      <c r="S56" s="332">
        <f>Gasto_o_ing_total!R56*1000/Gasto_o_ing_total!R$485</f>
        <v>1.2925066724950562</v>
      </c>
      <c r="T56" s="332">
        <f>Gasto_o_ing_total!S56*1000/Gasto_o_ing_total!S$485</f>
        <v>1.2925066724950562</v>
      </c>
      <c r="U56" s="332">
        <f>Gasto_o_ing_total!T56*1000/Gasto_o_ing_total!T$485</f>
        <v>1.2925066724950562</v>
      </c>
      <c r="V56" s="332">
        <f>Gasto_o_ing_total!U56*1000/Gasto_o_ing_total!U$485</f>
        <v>1.2925066724950562</v>
      </c>
      <c r="W56" s="105"/>
    </row>
    <row r="57" spans="1:23" s="102" customFormat="1">
      <c r="A57" s="351" t="str">
        <f>IF(B57="","",(IF(ISERROR(MATCH(B57,Tot_res!C:C,0)),"Eliminar!!!","")))</f>
        <v/>
      </c>
      <c r="B57" s="115" t="s">
        <v>157</v>
      </c>
      <c r="C57" s="329" t="str">
        <f>VLOOKUP(B57,Tot_res!C:D,2,FALSE)</f>
        <v>Política tributaria</v>
      </c>
      <c r="D57" s="332">
        <f>Gasto_o_ing_total!V57*1000/Gasto_o_ing_total!V$485</f>
        <v>0.12175473859761222</v>
      </c>
      <c r="E57" s="332">
        <f>Gasto_o_ing_total!D57*1000/Gasto_o_ing_total!D$485</f>
        <v>0.12175473859761224</v>
      </c>
      <c r="F57" s="332">
        <f>Gasto_o_ing_total!E57*1000/Gasto_o_ing_total!E$485</f>
        <v>0.12175473859761225</v>
      </c>
      <c r="G57" s="332">
        <f>Gasto_o_ing_total!F57*1000/Gasto_o_ing_total!F$485</f>
        <v>0.12175473859761225</v>
      </c>
      <c r="H57" s="332">
        <f>Gasto_o_ing_total!G57*1000/Gasto_o_ing_total!G$485</f>
        <v>0.12175473859761224</v>
      </c>
      <c r="I57" s="332">
        <f>Gasto_o_ing_total!H57*1000/Gasto_o_ing_total!H$485</f>
        <v>0.12175473859761225</v>
      </c>
      <c r="J57" s="332">
        <f>Gasto_o_ing_total!I57*1000/Gasto_o_ing_total!I$485</f>
        <v>0.12175473859761225</v>
      </c>
      <c r="K57" s="332">
        <f>Gasto_o_ing_total!J57*1000/Gasto_o_ing_total!J$485</f>
        <v>0.12175473859761225</v>
      </c>
      <c r="L57" s="332">
        <f>Gasto_o_ing_total!K57*1000/Gasto_o_ing_total!K$485</f>
        <v>0.12175473859761225</v>
      </c>
      <c r="M57" s="332">
        <f>Gasto_o_ing_total!L57*1000/Gasto_o_ing_total!L$485</f>
        <v>0.12175473859761227</v>
      </c>
      <c r="N57" s="332">
        <f>Gasto_o_ing_total!M57*1000/Gasto_o_ing_total!M$485</f>
        <v>0.12175473859761225</v>
      </c>
      <c r="O57" s="332">
        <f>Gasto_o_ing_total!N57*1000/Gasto_o_ing_total!N$485</f>
        <v>0.12175473859761224</v>
      </c>
      <c r="P57" s="332">
        <f>Gasto_o_ing_total!O57*1000/Gasto_o_ing_total!O$485</f>
        <v>0.12175473859761224</v>
      </c>
      <c r="Q57" s="332">
        <f>Gasto_o_ing_total!P57*1000/Gasto_o_ing_total!P$485</f>
        <v>0.12175473859761225</v>
      </c>
      <c r="R57" s="332">
        <f>Gasto_o_ing_total!Q57*1000/Gasto_o_ing_total!Q$485</f>
        <v>0.12175473859761225</v>
      </c>
      <c r="S57" s="332">
        <f>Gasto_o_ing_total!R57*1000/Gasto_o_ing_total!R$485</f>
        <v>0.12175473859761225</v>
      </c>
      <c r="T57" s="332">
        <f>Gasto_o_ing_total!S57*1000/Gasto_o_ing_total!S$485</f>
        <v>0.12175473859761224</v>
      </c>
      <c r="U57" s="332">
        <f>Gasto_o_ing_total!T57*1000/Gasto_o_ing_total!T$485</f>
        <v>0.12175473859761222</v>
      </c>
      <c r="V57" s="332">
        <f>Gasto_o_ing_total!U57*1000/Gasto_o_ing_total!U$485</f>
        <v>0.12175473859761225</v>
      </c>
      <c r="W57" s="105"/>
    </row>
    <row r="58" spans="1:23" s="102" customFormat="1">
      <c r="A58" s="351" t="str">
        <f>IF(B58="","",(IF(ISERROR(MATCH(B58,Tot_res!C:C,0)),"Eliminar!!!","")))</f>
        <v/>
      </c>
      <c r="B58" s="115" t="s">
        <v>159</v>
      </c>
      <c r="C58" s="329" t="str">
        <f>VLOOKUP(B58,Tot_res!C:D,2,FALSE)</f>
        <v>Control interno y contabilidad pública</v>
      </c>
      <c r="D58" s="332">
        <f>Gasto_o_ing_total!V58*1000/Gasto_o_ing_total!V$485</f>
        <v>1.5169872164274587</v>
      </c>
      <c r="E58" s="332">
        <f>Gasto_o_ing_total!D58*1000/Gasto_o_ing_total!D$485</f>
        <v>1.5169872164274587</v>
      </c>
      <c r="F58" s="332">
        <f>Gasto_o_ing_total!E58*1000/Gasto_o_ing_total!E$485</f>
        <v>1.5169872164274589</v>
      </c>
      <c r="G58" s="332">
        <f>Gasto_o_ing_total!F58*1000/Gasto_o_ing_total!F$485</f>
        <v>1.5169872164274592</v>
      </c>
      <c r="H58" s="332">
        <f>Gasto_o_ing_total!G58*1000/Gasto_o_ing_total!G$485</f>
        <v>1.5169872164274589</v>
      </c>
      <c r="I58" s="332">
        <f>Gasto_o_ing_total!H58*1000/Gasto_o_ing_total!H$485</f>
        <v>1.5169872164274589</v>
      </c>
      <c r="J58" s="332">
        <f>Gasto_o_ing_total!I58*1000/Gasto_o_ing_total!I$485</f>
        <v>1.5169872164274587</v>
      </c>
      <c r="K58" s="332">
        <f>Gasto_o_ing_total!J58*1000/Gasto_o_ing_total!J$485</f>
        <v>1.5169872164274589</v>
      </c>
      <c r="L58" s="332">
        <f>Gasto_o_ing_total!K58*1000/Gasto_o_ing_total!K$485</f>
        <v>1.5169872164274589</v>
      </c>
      <c r="M58" s="332">
        <f>Gasto_o_ing_total!L58*1000/Gasto_o_ing_total!L$485</f>
        <v>1.5169872164274589</v>
      </c>
      <c r="N58" s="332">
        <f>Gasto_o_ing_total!M58*1000/Gasto_o_ing_total!M$485</f>
        <v>1.5169872164274589</v>
      </c>
      <c r="O58" s="332">
        <f>Gasto_o_ing_total!N58*1000/Gasto_o_ing_total!N$485</f>
        <v>1.5169872164274589</v>
      </c>
      <c r="P58" s="332">
        <f>Gasto_o_ing_total!O58*1000/Gasto_o_ing_total!O$485</f>
        <v>1.5169872164274589</v>
      </c>
      <c r="Q58" s="332">
        <f>Gasto_o_ing_total!P58*1000/Gasto_o_ing_total!P$485</f>
        <v>1.5169872164274587</v>
      </c>
      <c r="R58" s="332">
        <f>Gasto_o_ing_total!Q58*1000/Gasto_o_ing_total!Q$485</f>
        <v>1.5169872164274589</v>
      </c>
      <c r="S58" s="332">
        <f>Gasto_o_ing_total!R58*1000/Gasto_o_ing_total!R$485</f>
        <v>1.5169872164274589</v>
      </c>
      <c r="T58" s="332">
        <f>Gasto_o_ing_total!S58*1000/Gasto_o_ing_total!S$485</f>
        <v>1.5169872164274589</v>
      </c>
      <c r="U58" s="332">
        <f>Gasto_o_ing_total!T58*1000/Gasto_o_ing_total!T$485</f>
        <v>1.5169872164274589</v>
      </c>
      <c r="V58" s="332">
        <f>Gasto_o_ing_total!U58*1000/Gasto_o_ing_total!U$485</f>
        <v>1.5169872164274589</v>
      </c>
      <c r="W58" s="105"/>
    </row>
    <row r="59" spans="1:23" s="102" customFormat="1">
      <c r="A59" s="351" t="str">
        <f>IF(B59="","",(IF(ISERROR(MATCH(B59,Tot_res!C:C,0)),"Eliminar!!!","")))</f>
        <v/>
      </c>
      <c r="B59" s="115" t="s">
        <v>160</v>
      </c>
      <c r="C59" s="329" t="str">
        <f>VLOOKUP(B59,Tot_res!C:D,2,FALSE)</f>
        <v>Aplicación del sistema tributario estatal +  AF01: ajuste forales, gestión tributaria</v>
      </c>
      <c r="D59" s="332">
        <f>Gasto_o_ing_total!V59*1000/Gasto_o_ing_total!V$485</f>
        <v>29.83837448273956</v>
      </c>
      <c r="E59" s="332">
        <f>Gasto_o_ing_total!D59*1000/Gasto_o_ing_total!D$485</f>
        <v>29.838374482739557</v>
      </c>
      <c r="F59" s="332">
        <f>Gasto_o_ing_total!E59*1000/Gasto_o_ing_total!E$485</f>
        <v>29.83837448273956</v>
      </c>
      <c r="G59" s="332">
        <f>Gasto_o_ing_total!F59*1000/Gasto_o_ing_total!F$485</f>
        <v>29.838374482739557</v>
      </c>
      <c r="H59" s="332">
        <f>Gasto_o_ing_total!G59*1000/Gasto_o_ing_total!G$485</f>
        <v>29.838374482739553</v>
      </c>
      <c r="I59" s="332">
        <f>Gasto_o_ing_total!H59*1000/Gasto_o_ing_total!H$485</f>
        <v>29.83837448273956</v>
      </c>
      <c r="J59" s="332">
        <f>Gasto_o_ing_total!I59*1000/Gasto_o_ing_total!I$485</f>
        <v>29.838374482739553</v>
      </c>
      <c r="K59" s="332">
        <f>Gasto_o_ing_total!J59*1000/Gasto_o_ing_total!J$485</f>
        <v>29.838374482739553</v>
      </c>
      <c r="L59" s="332">
        <f>Gasto_o_ing_total!K59*1000/Gasto_o_ing_total!K$485</f>
        <v>29.838374482739553</v>
      </c>
      <c r="M59" s="332">
        <f>Gasto_o_ing_total!L59*1000/Gasto_o_ing_total!L$485</f>
        <v>29.83837448273956</v>
      </c>
      <c r="N59" s="332">
        <f>Gasto_o_ing_total!M59*1000/Gasto_o_ing_total!M$485</f>
        <v>29.838374482739564</v>
      </c>
      <c r="O59" s="332">
        <f>Gasto_o_ing_total!N59*1000/Gasto_o_ing_total!N$485</f>
        <v>29.83837448273956</v>
      </c>
      <c r="P59" s="332">
        <f>Gasto_o_ing_total!O59*1000/Gasto_o_ing_total!O$485</f>
        <v>29.838374482739557</v>
      </c>
      <c r="Q59" s="332">
        <f>Gasto_o_ing_total!P59*1000/Gasto_o_ing_total!P$485</f>
        <v>29.838374482739553</v>
      </c>
      <c r="R59" s="332">
        <f>Gasto_o_ing_total!Q59*1000/Gasto_o_ing_total!Q$485</f>
        <v>29.838374482739557</v>
      </c>
      <c r="S59" s="332">
        <f>Gasto_o_ing_total!R59*1000/Gasto_o_ing_total!R$485</f>
        <v>29.83837448273956</v>
      </c>
      <c r="T59" s="332">
        <f>Gasto_o_ing_total!S59*1000/Gasto_o_ing_total!S$485</f>
        <v>29.838374482739567</v>
      </c>
      <c r="U59" s="332">
        <f>Gasto_o_ing_total!T59*1000/Gasto_o_ing_total!T$485</f>
        <v>29.838374482739557</v>
      </c>
      <c r="V59" s="332">
        <f>Gasto_o_ing_total!U59*1000/Gasto_o_ing_total!U$485</f>
        <v>29.838374482739553</v>
      </c>
      <c r="W59" s="105"/>
    </row>
    <row r="60" spans="1:23" s="102" customFormat="1">
      <c r="A60" s="351" t="str">
        <f>IF(B60="","",(IF(ISERROR(MATCH(B60,Tot_res!C:C,0)),"Eliminar!!!","")))</f>
        <v/>
      </c>
      <c r="B60" s="115" t="s">
        <v>161</v>
      </c>
      <c r="C60" s="329" t="str">
        <f>VLOOKUP(B60,Tot_res!C:D,2,FALSE)</f>
        <v>Gestión del catastro inmobiliario + AF02: corrección forales, catastro</v>
      </c>
      <c r="D60" s="332">
        <f>Gasto_o_ing_total!V60*1000/Gasto_o_ing_total!V$485</f>
        <v>2.8200143890410594</v>
      </c>
      <c r="E60" s="332">
        <f>Gasto_o_ing_total!D60*1000/Gasto_o_ing_total!D$485</f>
        <v>2.8200143890410594</v>
      </c>
      <c r="F60" s="332">
        <f>Gasto_o_ing_total!E60*1000/Gasto_o_ing_total!E$485</f>
        <v>2.8200143890410594</v>
      </c>
      <c r="G60" s="332">
        <f>Gasto_o_ing_total!F60*1000/Gasto_o_ing_total!F$485</f>
        <v>2.8200143890410598</v>
      </c>
      <c r="H60" s="332">
        <f>Gasto_o_ing_total!G60*1000/Gasto_o_ing_total!G$485</f>
        <v>2.8200143890410589</v>
      </c>
      <c r="I60" s="332">
        <f>Gasto_o_ing_total!H60*1000/Gasto_o_ing_total!H$485</f>
        <v>2.8200143890410598</v>
      </c>
      <c r="J60" s="332">
        <f>Gasto_o_ing_total!I60*1000/Gasto_o_ing_total!I$485</f>
        <v>2.8200143890410594</v>
      </c>
      <c r="K60" s="332">
        <f>Gasto_o_ing_total!J60*1000/Gasto_o_ing_total!J$485</f>
        <v>2.8200143890410594</v>
      </c>
      <c r="L60" s="332">
        <f>Gasto_o_ing_total!K60*1000/Gasto_o_ing_total!K$485</f>
        <v>2.8200143890410594</v>
      </c>
      <c r="M60" s="332">
        <f>Gasto_o_ing_total!L60*1000/Gasto_o_ing_total!L$485</f>
        <v>2.8200143890410594</v>
      </c>
      <c r="N60" s="332">
        <f>Gasto_o_ing_total!M60*1000/Gasto_o_ing_total!M$485</f>
        <v>2.8200143890410598</v>
      </c>
      <c r="O60" s="332">
        <f>Gasto_o_ing_total!N60*1000/Gasto_o_ing_total!N$485</f>
        <v>2.8200143890410594</v>
      </c>
      <c r="P60" s="332">
        <f>Gasto_o_ing_total!O60*1000/Gasto_o_ing_total!O$485</f>
        <v>2.8200143890410594</v>
      </c>
      <c r="Q60" s="332">
        <f>Gasto_o_ing_total!P60*1000/Gasto_o_ing_total!P$485</f>
        <v>2.8200143890410589</v>
      </c>
      <c r="R60" s="332">
        <f>Gasto_o_ing_total!Q60*1000/Gasto_o_ing_total!Q$485</f>
        <v>2.8200143890410589</v>
      </c>
      <c r="S60" s="332">
        <f>Gasto_o_ing_total!R60*1000/Gasto_o_ing_total!R$485</f>
        <v>2.8200143890410594</v>
      </c>
      <c r="T60" s="332">
        <f>Gasto_o_ing_total!S60*1000/Gasto_o_ing_total!S$485</f>
        <v>2.8200143890410594</v>
      </c>
      <c r="U60" s="332">
        <f>Gasto_o_ing_total!T60*1000/Gasto_o_ing_total!T$485</f>
        <v>2.8200143890410589</v>
      </c>
      <c r="V60" s="332">
        <f>Gasto_o_ing_total!U60*1000/Gasto_o_ing_total!U$485</f>
        <v>2.8200143890410594</v>
      </c>
      <c r="W60" s="105"/>
    </row>
    <row r="61" spans="1:23" s="102" customFormat="1">
      <c r="A61" s="351" t="str">
        <f>IF(B61="","",(IF(ISERROR(MATCH(B61,Tot_res!C:C,0)),"Eliminar!!!","")))</f>
        <v/>
      </c>
      <c r="B61" s="115" t="s">
        <v>162</v>
      </c>
      <c r="C61" s="329" t="str">
        <f>VLOOKUP(B61,Tot_res!C:D,2,FALSE)</f>
        <v>Resolución de reclamaciones económico-administrativas</v>
      </c>
      <c r="D61" s="332">
        <f>Gasto_o_ing_total!V61*1000/Gasto_o_ing_total!V$485</f>
        <v>0.60768537677041157</v>
      </c>
      <c r="E61" s="332">
        <f>Gasto_o_ing_total!D61*1000/Gasto_o_ing_total!D$485</f>
        <v>0.60768537677041157</v>
      </c>
      <c r="F61" s="332">
        <f>Gasto_o_ing_total!E61*1000/Gasto_o_ing_total!E$485</f>
        <v>0.60768537677041168</v>
      </c>
      <c r="G61" s="332">
        <f>Gasto_o_ing_total!F61*1000/Gasto_o_ing_total!F$485</f>
        <v>0.60768537677041168</v>
      </c>
      <c r="H61" s="332">
        <f>Gasto_o_ing_total!G61*1000/Gasto_o_ing_total!G$485</f>
        <v>0.60768537677041157</v>
      </c>
      <c r="I61" s="332">
        <f>Gasto_o_ing_total!H61*1000/Gasto_o_ing_total!H$485</f>
        <v>0.60768537677041157</v>
      </c>
      <c r="J61" s="332">
        <f>Gasto_o_ing_total!I61*1000/Gasto_o_ing_total!I$485</f>
        <v>0.60768537677041157</v>
      </c>
      <c r="K61" s="332">
        <f>Gasto_o_ing_total!J61*1000/Gasto_o_ing_total!J$485</f>
        <v>0.60768537677041157</v>
      </c>
      <c r="L61" s="332">
        <f>Gasto_o_ing_total!K61*1000/Gasto_o_ing_total!K$485</f>
        <v>0.60768537677041168</v>
      </c>
      <c r="M61" s="332">
        <f>Gasto_o_ing_total!L61*1000/Gasto_o_ing_total!L$485</f>
        <v>0.60768537677041146</v>
      </c>
      <c r="N61" s="332">
        <f>Gasto_o_ing_total!M61*1000/Gasto_o_ing_total!M$485</f>
        <v>0.60768537677041168</v>
      </c>
      <c r="O61" s="332">
        <f>Gasto_o_ing_total!N61*1000/Gasto_o_ing_total!N$485</f>
        <v>0.60768537677041157</v>
      </c>
      <c r="P61" s="332">
        <f>Gasto_o_ing_total!O61*1000/Gasto_o_ing_total!O$485</f>
        <v>0.60768537677041157</v>
      </c>
      <c r="Q61" s="332">
        <f>Gasto_o_ing_total!P61*1000/Gasto_o_ing_total!P$485</f>
        <v>0.60768537677041168</v>
      </c>
      <c r="R61" s="332">
        <f>Gasto_o_ing_total!Q61*1000/Gasto_o_ing_total!Q$485</f>
        <v>0.60768537677041157</v>
      </c>
      <c r="S61" s="332">
        <f>Gasto_o_ing_total!R61*1000/Gasto_o_ing_total!R$485</f>
        <v>0.60768537677041157</v>
      </c>
      <c r="T61" s="332">
        <f>Gasto_o_ing_total!S61*1000/Gasto_o_ing_total!S$485</f>
        <v>0.60768537677041157</v>
      </c>
      <c r="U61" s="332">
        <f>Gasto_o_ing_total!T61*1000/Gasto_o_ing_total!T$485</f>
        <v>0.60768537677041157</v>
      </c>
      <c r="V61" s="332">
        <f>Gasto_o_ing_total!U61*1000/Gasto_o_ing_total!U$485</f>
        <v>0.60768537677041157</v>
      </c>
      <c r="W61" s="105"/>
    </row>
    <row r="62" spans="1:23">
      <c r="A62" s="352"/>
      <c r="D62" s="19"/>
      <c r="E62" s="19"/>
      <c r="F62" s="19"/>
      <c r="G62" s="19"/>
      <c r="H62" s="19"/>
      <c r="I62" s="19"/>
      <c r="J62" s="19"/>
      <c r="K62" s="19"/>
      <c r="L62" s="19"/>
      <c r="M62" s="19"/>
      <c r="N62" s="19"/>
      <c r="O62" s="19"/>
      <c r="P62" s="19"/>
      <c r="Q62" s="19"/>
      <c r="R62" s="19"/>
      <c r="S62" s="19"/>
      <c r="T62" s="19"/>
      <c r="U62" s="19"/>
      <c r="V62" s="19"/>
      <c r="W62" s="2"/>
    </row>
    <row r="63" spans="1:23" s="102" customFormat="1" ht="13.5">
      <c r="A63" s="352"/>
      <c r="B63" s="115"/>
      <c r="C63" s="128" t="s">
        <v>0</v>
      </c>
      <c r="D63" s="113">
        <f>Gasto_o_ing_total!V63*1000/Gasto_o_ing_total!V$485</f>
        <v>16.600653938510654</v>
      </c>
      <c r="E63" s="113">
        <f>Gasto_o_ing_total!D63*1000/Gasto_o_ing_total!D$485</f>
        <v>16.600653938510654</v>
      </c>
      <c r="F63" s="113">
        <f>Gasto_o_ing_total!E63*1000/Gasto_o_ing_total!E$485</f>
        <v>16.600653938510654</v>
      </c>
      <c r="G63" s="113">
        <f>Gasto_o_ing_total!F63*1000/Gasto_o_ing_total!F$485</f>
        <v>16.600653938510657</v>
      </c>
      <c r="H63" s="113">
        <f>Gasto_o_ing_total!G63*1000/Gasto_o_ing_total!G$485</f>
        <v>16.600653938510657</v>
      </c>
      <c r="I63" s="113">
        <f>Gasto_o_ing_total!H63*1000/Gasto_o_ing_total!H$485</f>
        <v>16.600653938510657</v>
      </c>
      <c r="J63" s="113">
        <f>Gasto_o_ing_total!I63*1000/Gasto_o_ing_total!I$485</f>
        <v>16.600653938510657</v>
      </c>
      <c r="K63" s="113">
        <f>Gasto_o_ing_total!J63*1000/Gasto_o_ing_total!J$485</f>
        <v>16.600653938510657</v>
      </c>
      <c r="L63" s="113">
        <f>Gasto_o_ing_total!K63*1000/Gasto_o_ing_total!K$485</f>
        <v>16.600653938510657</v>
      </c>
      <c r="M63" s="113">
        <f>Gasto_o_ing_total!L63*1000/Gasto_o_ing_total!L$485</f>
        <v>16.600653938510657</v>
      </c>
      <c r="N63" s="113">
        <f>Gasto_o_ing_total!M63*1000/Gasto_o_ing_total!M$485</f>
        <v>16.600653938510657</v>
      </c>
      <c r="O63" s="113">
        <f>Gasto_o_ing_total!N63*1000/Gasto_o_ing_total!N$485</f>
        <v>16.600653938510654</v>
      </c>
      <c r="P63" s="113">
        <f>Gasto_o_ing_total!O63*1000/Gasto_o_ing_total!O$485</f>
        <v>16.600653938510654</v>
      </c>
      <c r="Q63" s="113">
        <f>Gasto_o_ing_total!P63*1000/Gasto_o_ing_total!P$485</f>
        <v>16.600653938510657</v>
      </c>
      <c r="R63" s="113">
        <f>Gasto_o_ing_total!Q63*1000/Gasto_o_ing_total!Q$485</f>
        <v>16.600653938510654</v>
      </c>
      <c r="S63" s="113">
        <f>Gasto_o_ing_total!R63*1000/Gasto_o_ing_total!R$485</f>
        <v>16.600653938510654</v>
      </c>
      <c r="T63" s="113">
        <f>Gasto_o_ing_total!S63*1000/Gasto_o_ing_total!S$485</f>
        <v>16.600653938510657</v>
      </c>
      <c r="U63" s="113">
        <f>Gasto_o_ing_total!T63*1000/Gasto_o_ing_total!T$485</f>
        <v>16.60065393851065</v>
      </c>
      <c r="V63" s="113">
        <f>Gasto_o_ing_total!U63*1000/Gasto_o_ing_total!U$485</f>
        <v>16.600653938510657</v>
      </c>
      <c r="W63" s="130"/>
    </row>
    <row r="64" spans="1:23" s="102" customFormat="1">
      <c r="A64" s="351" t="str">
        <f>IF(B64="","",(IF(ISERROR(MATCH(B64,Tot_res!C:C,0)),"Eliminar!!!","")))</f>
        <v/>
      </c>
      <c r="B64" s="115" t="s">
        <v>163</v>
      </c>
      <c r="C64" s="329" t="str">
        <f>VLOOKUP(B64,Tot_res!C:D,2,FALSE)</f>
        <v>Registros vinculados con la fe pública</v>
      </c>
      <c r="D64" s="332">
        <f>Gasto_o_ing_total!V64*1000/Gasto_o_ing_total!V$485</f>
        <v>0.45346721776542159</v>
      </c>
      <c r="E64" s="332">
        <f>Gasto_o_ing_total!D64*1000/Gasto_o_ing_total!D$485</f>
        <v>0.45346721776542159</v>
      </c>
      <c r="F64" s="332">
        <f>Gasto_o_ing_total!E64*1000/Gasto_o_ing_total!E$485</f>
        <v>0.4534672177654217</v>
      </c>
      <c r="G64" s="332">
        <f>Gasto_o_ing_total!F64*1000/Gasto_o_ing_total!F$485</f>
        <v>0.45346721776542165</v>
      </c>
      <c r="H64" s="332">
        <f>Gasto_o_ing_total!G64*1000/Gasto_o_ing_total!G$485</f>
        <v>0.45346721776542165</v>
      </c>
      <c r="I64" s="332">
        <f>Gasto_o_ing_total!H64*1000/Gasto_o_ing_total!H$485</f>
        <v>0.4534672177654217</v>
      </c>
      <c r="J64" s="332">
        <f>Gasto_o_ing_total!I64*1000/Gasto_o_ing_total!I$485</f>
        <v>0.45346721776542159</v>
      </c>
      <c r="K64" s="332">
        <f>Gasto_o_ing_total!J64*1000/Gasto_o_ing_total!J$485</f>
        <v>0.45346721776542165</v>
      </c>
      <c r="L64" s="332">
        <f>Gasto_o_ing_total!K64*1000/Gasto_o_ing_total!K$485</f>
        <v>0.45346721776542165</v>
      </c>
      <c r="M64" s="332">
        <f>Gasto_o_ing_total!L64*1000/Gasto_o_ing_total!L$485</f>
        <v>0.45346721776542165</v>
      </c>
      <c r="N64" s="332">
        <f>Gasto_o_ing_total!M64*1000/Gasto_o_ing_total!M$485</f>
        <v>0.45346721776542176</v>
      </c>
      <c r="O64" s="332">
        <f>Gasto_o_ing_total!N64*1000/Gasto_o_ing_total!N$485</f>
        <v>0.45346721776542159</v>
      </c>
      <c r="P64" s="332">
        <f>Gasto_o_ing_total!O64*1000/Gasto_o_ing_total!O$485</f>
        <v>0.45346721776542165</v>
      </c>
      <c r="Q64" s="332">
        <f>Gasto_o_ing_total!P64*1000/Gasto_o_ing_total!P$485</f>
        <v>0.45346721776542165</v>
      </c>
      <c r="R64" s="332">
        <f>Gasto_o_ing_total!Q64*1000/Gasto_o_ing_total!Q$485</f>
        <v>0.45346721776542176</v>
      </c>
      <c r="S64" s="332">
        <f>Gasto_o_ing_total!R64*1000/Gasto_o_ing_total!R$485</f>
        <v>0.45346721776542165</v>
      </c>
      <c r="T64" s="332">
        <f>Gasto_o_ing_total!S64*1000/Gasto_o_ing_total!S$485</f>
        <v>0.45346721776542165</v>
      </c>
      <c r="U64" s="332">
        <f>Gasto_o_ing_total!T64*1000/Gasto_o_ing_total!T$485</f>
        <v>0.45346721776542165</v>
      </c>
      <c r="V64" s="332">
        <f>Gasto_o_ing_total!U64*1000/Gasto_o_ing_total!U$485</f>
        <v>0.45346721776542165</v>
      </c>
      <c r="W64" s="105"/>
    </row>
    <row r="65" spans="1:23" s="102" customFormat="1">
      <c r="A65" s="351" t="str">
        <f>IF(B65="","",(IF(ISERROR(MATCH(B65,Tot_res!C:C,0)),"Eliminar!!!","")))</f>
        <v/>
      </c>
      <c r="B65" s="115" t="s">
        <v>164</v>
      </c>
      <c r="C65" s="329" t="str">
        <f>VLOOKUP(B65,Tot_res!C:D,2,FALSE)</f>
        <v>Derecho de asilo y apátridas</v>
      </c>
      <c r="D65" s="332">
        <f>Gasto_o_ing_total!V65*1000/Gasto_o_ing_total!V$485</f>
        <v>5.2850424210539065E-2</v>
      </c>
      <c r="E65" s="332">
        <f>Gasto_o_ing_total!D65*1000/Gasto_o_ing_total!D$485</f>
        <v>5.2850424210539051E-2</v>
      </c>
      <c r="F65" s="332">
        <f>Gasto_o_ing_total!E65*1000/Gasto_o_ing_total!E$485</f>
        <v>5.2850424210539058E-2</v>
      </c>
      <c r="G65" s="332">
        <f>Gasto_o_ing_total!F65*1000/Gasto_o_ing_total!F$485</f>
        <v>5.2850424210539058E-2</v>
      </c>
      <c r="H65" s="332">
        <f>Gasto_o_ing_total!G65*1000/Gasto_o_ing_total!G$485</f>
        <v>5.2850424210539058E-2</v>
      </c>
      <c r="I65" s="332">
        <f>Gasto_o_ing_total!H65*1000/Gasto_o_ing_total!H$485</f>
        <v>5.2850424210539058E-2</v>
      </c>
      <c r="J65" s="332">
        <f>Gasto_o_ing_total!I65*1000/Gasto_o_ing_total!I$485</f>
        <v>5.2850424210539058E-2</v>
      </c>
      <c r="K65" s="332">
        <f>Gasto_o_ing_total!J65*1000/Gasto_o_ing_total!J$485</f>
        <v>5.2850424210539058E-2</v>
      </c>
      <c r="L65" s="332">
        <f>Gasto_o_ing_total!K65*1000/Gasto_o_ing_total!K$485</f>
        <v>5.2850424210539065E-2</v>
      </c>
      <c r="M65" s="332">
        <f>Gasto_o_ing_total!L65*1000/Gasto_o_ing_total!L$485</f>
        <v>5.2850424210539058E-2</v>
      </c>
      <c r="N65" s="332">
        <f>Gasto_o_ing_total!M65*1000/Gasto_o_ing_total!M$485</f>
        <v>5.2850424210539058E-2</v>
      </c>
      <c r="O65" s="332">
        <f>Gasto_o_ing_total!N65*1000/Gasto_o_ing_total!N$485</f>
        <v>5.2850424210539058E-2</v>
      </c>
      <c r="P65" s="332">
        <f>Gasto_o_ing_total!O65*1000/Gasto_o_ing_total!O$485</f>
        <v>5.2850424210539065E-2</v>
      </c>
      <c r="Q65" s="332">
        <f>Gasto_o_ing_total!P65*1000/Gasto_o_ing_total!P$485</f>
        <v>5.2850424210539065E-2</v>
      </c>
      <c r="R65" s="332">
        <f>Gasto_o_ing_total!Q65*1000/Gasto_o_ing_total!Q$485</f>
        <v>5.2850424210539065E-2</v>
      </c>
      <c r="S65" s="332">
        <f>Gasto_o_ing_total!R65*1000/Gasto_o_ing_total!R$485</f>
        <v>5.2850424210539058E-2</v>
      </c>
      <c r="T65" s="332">
        <f>Gasto_o_ing_total!S65*1000/Gasto_o_ing_total!S$485</f>
        <v>5.2850424210539065E-2</v>
      </c>
      <c r="U65" s="332">
        <f>Gasto_o_ing_total!T65*1000/Gasto_o_ing_total!T$485</f>
        <v>5.2850424210539058E-2</v>
      </c>
      <c r="V65" s="332">
        <f>Gasto_o_ing_total!U65*1000/Gasto_o_ing_total!U$485</f>
        <v>5.2850424210539058E-2</v>
      </c>
      <c r="W65" s="105"/>
    </row>
    <row r="66" spans="1:23" s="102" customFormat="1">
      <c r="A66" s="351" t="str">
        <f>IF(B66="","",(IF(ISERROR(MATCH(B66,Tot_res!C:C,0)),"Eliminar!!!","")))</f>
        <v/>
      </c>
      <c r="B66" s="115" t="s">
        <v>165</v>
      </c>
      <c r="C66" s="329" t="str">
        <f>VLOOKUP(B66,Tot_res!C:D,2,FALSE)</f>
        <v>Protección de datos de carácter personal</v>
      </c>
      <c r="D66" s="332">
        <f>Gasto_o_ing_total!V66*1000/Gasto_o_ing_total!V$485</f>
        <v>0.24693248362133247</v>
      </c>
      <c r="E66" s="332">
        <f>Gasto_o_ing_total!D66*1000/Gasto_o_ing_total!D$485</f>
        <v>0.24693248362133247</v>
      </c>
      <c r="F66" s="332">
        <f>Gasto_o_ing_total!E66*1000/Gasto_o_ing_total!E$485</f>
        <v>0.24693248362133247</v>
      </c>
      <c r="G66" s="332">
        <f>Gasto_o_ing_total!F66*1000/Gasto_o_ing_total!F$485</f>
        <v>0.24693248362133247</v>
      </c>
      <c r="H66" s="332">
        <f>Gasto_o_ing_total!G66*1000/Gasto_o_ing_total!G$485</f>
        <v>0.24693248362133247</v>
      </c>
      <c r="I66" s="332">
        <f>Gasto_o_ing_total!H66*1000/Gasto_o_ing_total!H$485</f>
        <v>0.24693248362133244</v>
      </c>
      <c r="J66" s="332">
        <f>Gasto_o_ing_total!I66*1000/Gasto_o_ing_total!I$485</f>
        <v>0.24693248362133241</v>
      </c>
      <c r="K66" s="332">
        <f>Gasto_o_ing_total!J66*1000/Gasto_o_ing_total!J$485</f>
        <v>0.24693248362133247</v>
      </c>
      <c r="L66" s="332">
        <f>Gasto_o_ing_total!K66*1000/Gasto_o_ing_total!K$485</f>
        <v>0.24693248362133249</v>
      </c>
      <c r="M66" s="332">
        <f>Gasto_o_ing_total!L66*1000/Gasto_o_ing_total!L$485</f>
        <v>0.24693248362133247</v>
      </c>
      <c r="N66" s="332">
        <f>Gasto_o_ing_total!M66*1000/Gasto_o_ing_total!M$485</f>
        <v>0.24693248362133247</v>
      </c>
      <c r="O66" s="332">
        <f>Gasto_o_ing_total!N66*1000/Gasto_o_ing_total!N$485</f>
        <v>0.24693248362133241</v>
      </c>
      <c r="P66" s="332">
        <f>Gasto_o_ing_total!O66*1000/Gasto_o_ing_total!O$485</f>
        <v>0.24693248362133241</v>
      </c>
      <c r="Q66" s="332">
        <f>Gasto_o_ing_total!P66*1000/Gasto_o_ing_total!P$485</f>
        <v>0.24693248362133244</v>
      </c>
      <c r="R66" s="332">
        <f>Gasto_o_ing_total!Q66*1000/Gasto_o_ing_total!Q$485</f>
        <v>0.24693248362133249</v>
      </c>
      <c r="S66" s="332">
        <f>Gasto_o_ing_total!R66*1000/Gasto_o_ing_total!R$485</f>
        <v>0.24693248362133241</v>
      </c>
      <c r="T66" s="332">
        <f>Gasto_o_ing_total!S66*1000/Gasto_o_ing_total!S$485</f>
        <v>0.24693248362133249</v>
      </c>
      <c r="U66" s="332">
        <f>Gasto_o_ing_total!T66*1000/Gasto_o_ing_total!T$485</f>
        <v>0.24693248362133247</v>
      </c>
      <c r="V66" s="332">
        <f>Gasto_o_ing_total!U66*1000/Gasto_o_ing_total!U$485</f>
        <v>0.24693248362133249</v>
      </c>
      <c r="W66" s="105"/>
    </row>
    <row r="67" spans="1:23" s="102" customFormat="1">
      <c r="A67" s="351" t="str">
        <f>IF(B67="","",(IF(ISERROR(MATCH(B67,Tot_res!C:C,0)),"Eliminar!!!","")))</f>
        <v/>
      </c>
      <c r="B67" s="115" t="s">
        <v>166</v>
      </c>
      <c r="C67" s="329" t="str">
        <f>VLOOKUP(B67,Tot_res!C:D,2,FALSE)</f>
        <v>Meteorología</v>
      </c>
      <c r="D67" s="332">
        <f>Gasto_o_ing_total!V67*1000/Gasto_o_ing_total!V$485</f>
        <v>1.9336637843683706</v>
      </c>
      <c r="E67" s="332">
        <f>Gasto_o_ing_total!D67*1000/Gasto_o_ing_total!D$485</f>
        <v>1.9336637843683702</v>
      </c>
      <c r="F67" s="332">
        <f>Gasto_o_ing_total!E67*1000/Gasto_o_ing_total!E$485</f>
        <v>1.9336637843683702</v>
      </c>
      <c r="G67" s="332">
        <f>Gasto_o_ing_total!F67*1000/Gasto_o_ing_total!F$485</f>
        <v>1.9336637843683704</v>
      </c>
      <c r="H67" s="332">
        <f>Gasto_o_ing_total!G67*1000/Gasto_o_ing_total!G$485</f>
        <v>1.9336637843683706</v>
      </c>
      <c r="I67" s="332">
        <f>Gasto_o_ing_total!H67*1000/Gasto_o_ing_total!H$485</f>
        <v>1.9336637843683702</v>
      </c>
      <c r="J67" s="332">
        <f>Gasto_o_ing_total!I67*1000/Gasto_o_ing_total!I$485</f>
        <v>1.9336637843683702</v>
      </c>
      <c r="K67" s="332">
        <f>Gasto_o_ing_total!J67*1000/Gasto_o_ing_total!J$485</f>
        <v>1.9336637843683704</v>
      </c>
      <c r="L67" s="332">
        <f>Gasto_o_ing_total!K67*1000/Gasto_o_ing_total!K$485</f>
        <v>1.9336637843683702</v>
      </c>
      <c r="M67" s="332">
        <f>Gasto_o_ing_total!L67*1000/Gasto_o_ing_total!L$485</f>
        <v>1.9336637843683706</v>
      </c>
      <c r="N67" s="332">
        <f>Gasto_o_ing_total!M67*1000/Gasto_o_ing_total!M$485</f>
        <v>1.9336637843683704</v>
      </c>
      <c r="O67" s="332">
        <f>Gasto_o_ing_total!N67*1000/Gasto_o_ing_total!N$485</f>
        <v>1.9336637843683702</v>
      </c>
      <c r="P67" s="332">
        <f>Gasto_o_ing_total!O67*1000/Gasto_o_ing_total!O$485</f>
        <v>1.9336637843683699</v>
      </c>
      <c r="Q67" s="332">
        <f>Gasto_o_ing_total!P67*1000/Gasto_o_ing_total!P$485</f>
        <v>1.9336637843683702</v>
      </c>
      <c r="R67" s="332">
        <f>Gasto_o_ing_total!Q67*1000/Gasto_o_ing_total!Q$485</f>
        <v>1.9336637843683704</v>
      </c>
      <c r="S67" s="332">
        <f>Gasto_o_ing_total!R67*1000/Gasto_o_ing_total!R$485</f>
        <v>1.9336637843683702</v>
      </c>
      <c r="T67" s="332">
        <f>Gasto_o_ing_total!S67*1000/Gasto_o_ing_total!S$485</f>
        <v>1.9336637843683702</v>
      </c>
      <c r="U67" s="332">
        <f>Gasto_o_ing_total!T67*1000/Gasto_o_ing_total!T$485</f>
        <v>1.9336637843683702</v>
      </c>
      <c r="V67" s="332">
        <f>Gasto_o_ing_total!U67*1000/Gasto_o_ing_total!U$485</f>
        <v>1.9336637843683706</v>
      </c>
      <c r="W67" s="105"/>
    </row>
    <row r="68" spans="1:23" s="102" customFormat="1">
      <c r="A68" s="351" t="str">
        <f>IF(B68="","",(IF(ISERROR(MATCH(B68,Tot_res!C:C,0)),"Eliminar!!!","")))</f>
        <v/>
      </c>
      <c r="B68" s="115" t="s">
        <v>168</v>
      </c>
      <c r="C68" s="329" t="str">
        <f>VLOOKUP(B68,Tot_res!C:D,2,FALSE)</f>
        <v>Metrología</v>
      </c>
      <c r="D68" s="332">
        <f>Gasto_o_ing_total!V68*1000/Gasto_o_ing_total!V$485</f>
        <v>0.11701371314401619</v>
      </c>
      <c r="E68" s="332">
        <f>Gasto_o_ing_total!D68*1000/Gasto_o_ing_total!D$485</f>
        <v>0.11701371314401621</v>
      </c>
      <c r="F68" s="332">
        <f>Gasto_o_ing_total!E68*1000/Gasto_o_ing_total!E$485</f>
        <v>0.11701371314401622</v>
      </c>
      <c r="G68" s="332">
        <f>Gasto_o_ing_total!F68*1000/Gasto_o_ing_total!F$485</f>
        <v>0.11701371314401622</v>
      </c>
      <c r="H68" s="332">
        <f>Gasto_o_ing_total!G68*1000/Gasto_o_ing_total!G$485</f>
        <v>0.11701371314401622</v>
      </c>
      <c r="I68" s="332">
        <f>Gasto_o_ing_total!H68*1000/Gasto_o_ing_total!H$485</f>
        <v>0.11701371314401621</v>
      </c>
      <c r="J68" s="332">
        <f>Gasto_o_ing_total!I68*1000/Gasto_o_ing_total!I$485</f>
        <v>0.11701371314401621</v>
      </c>
      <c r="K68" s="332">
        <f>Gasto_o_ing_total!J68*1000/Gasto_o_ing_total!J$485</f>
        <v>0.11701371314401622</v>
      </c>
      <c r="L68" s="332">
        <f>Gasto_o_ing_total!K68*1000/Gasto_o_ing_total!K$485</f>
        <v>0.11701371314401621</v>
      </c>
      <c r="M68" s="332">
        <f>Gasto_o_ing_total!L68*1000/Gasto_o_ing_total!L$485</f>
        <v>0.11701371314401622</v>
      </c>
      <c r="N68" s="332">
        <f>Gasto_o_ing_total!M68*1000/Gasto_o_ing_total!M$485</f>
        <v>0.11701371314401619</v>
      </c>
      <c r="O68" s="332">
        <f>Gasto_o_ing_total!N68*1000/Gasto_o_ing_total!N$485</f>
        <v>0.11701371314401619</v>
      </c>
      <c r="P68" s="332">
        <f>Gasto_o_ing_total!O68*1000/Gasto_o_ing_total!O$485</f>
        <v>0.11701371314401621</v>
      </c>
      <c r="Q68" s="332">
        <f>Gasto_o_ing_total!P68*1000/Gasto_o_ing_total!P$485</f>
        <v>0.11701371314401621</v>
      </c>
      <c r="R68" s="332">
        <f>Gasto_o_ing_total!Q68*1000/Gasto_o_ing_total!Q$485</f>
        <v>0.11701371314401621</v>
      </c>
      <c r="S68" s="332">
        <f>Gasto_o_ing_total!R68*1000/Gasto_o_ing_total!R$485</f>
        <v>0.11701371314401621</v>
      </c>
      <c r="T68" s="332">
        <f>Gasto_o_ing_total!S68*1000/Gasto_o_ing_total!S$485</f>
        <v>0.11701371314401619</v>
      </c>
      <c r="U68" s="332">
        <f>Gasto_o_ing_total!T68*1000/Gasto_o_ing_total!T$485</f>
        <v>0.11701371314401622</v>
      </c>
      <c r="V68" s="332">
        <f>Gasto_o_ing_total!U68*1000/Gasto_o_ing_total!U$485</f>
        <v>0.11701371314401621</v>
      </c>
      <c r="W68" s="105"/>
    </row>
    <row r="69" spans="1:23" s="102" customFormat="1">
      <c r="A69" s="351" t="str">
        <f>IF(B69="","",(IF(ISERROR(MATCH(B69,Tot_res!C:C,0)),"Eliminar!!!","")))</f>
        <v/>
      </c>
      <c r="B69" s="115" t="s">
        <v>169</v>
      </c>
      <c r="C69" s="329" t="str">
        <f>VLOOKUP(B69,Tot_res!C:D,2,FALSE)</f>
        <v>Dirección y organización de la administración pública</v>
      </c>
      <c r="D69" s="332">
        <f>Gasto_o_ing_total!V69*1000/Gasto_o_ing_total!V$485</f>
        <v>0.96579578702977664</v>
      </c>
      <c r="E69" s="332">
        <f>Gasto_o_ing_total!D69*1000/Gasto_o_ing_total!D$485</f>
        <v>0.96579578702977664</v>
      </c>
      <c r="F69" s="332">
        <f>Gasto_o_ing_total!E69*1000/Gasto_o_ing_total!E$485</f>
        <v>0.96579578702977675</v>
      </c>
      <c r="G69" s="332">
        <f>Gasto_o_ing_total!F69*1000/Gasto_o_ing_total!F$485</f>
        <v>0.96579578702977675</v>
      </c>
      <c r="H69" s="332">
        <f>Gasto_o_ing_total!G69*1000/Gasto_o_ing_total!G$485</f>
        <v>0.96579578702977675</v>
      </c>
      <c r="I69" s="332">
        <f>Gasto_o_ing_total!H69*1000/Gasto_o_ing_total!H$485</f>
        <v>0.96579578702977664</v>
      </c>
      <c r="J69" s="332">
        <f>Gasto_o_ing_total!I69*1000/Gasto_o_ing_total!I$485</f>
        <v>0.96579578702977664</v>
      </c>
      <c r="K69" s="332">
        <f>Gasto_o_ing_total!J69*1000/Gasto_o_ing_total!J$485</f>
        <v>0.96579578702977675</v>
      </c>
      <c r="L69" s="332">
        <f>Gasto_o_ing_total!K69*1000/Gasto_o_ing_total!K$485</f>
        <v>0.96579578702977675</v>
      </c>
      <c r="M69" s="332">
        <f>Gasto_o_ing_total!L69*1000/Gasto_o_ing_total!L$485</f>
        <v>0.96579578702977675</v>
      </c>
      <c r="N69" s="332">
        <f>Gasto_o_ing_total!M69*1000/Gasto_o_ing_total!M$485</f>
        <v>0.96579578702977664</v>
      </c>
      <c r="O69" s="332">
        <f>Gasto_o_ing_total!N69*1000/Gasto_o_ing_total!N$485</f>
        <v>0.96579578702977664</v>
      </c>
      <c r="P69" s="332">
        <f>Gasto_o_ing_total!O69*1000/Gasto_o_ing_total!O$485</f>
        <v>0.96579578702977664</v>
      </c>
      <c r="Q69" s="332">
        <f>Gasto_o_ing_total!P69*1000/Gasto_o_ing_total!P$485</f>
        <v>0.96579578702977675</v>
      </c>
      <c r="R69" s="332">
        <f>Gasto_o_ing_total!Q69*1000/Gasto_o_ing_total!Q$485</f>
        <v>0.96579578702977675</v>
      </c>
      <c r="S69" s="332">
        <f>Gasto_o_ing_total!R69*1000/Gasto_o_ing_total!R$485</f>
        <v>0.96579578702977653</v>
      </c>
      <c r="T69" s="332">
        <f>Gasto_o_ing_total!S69*1000/Gasto_o_ing_total!S$485</f>
        <v>0.96579578702977664</v>
      </c>
      <c r="U69" s="332">
        <f>Gasto_o_ing_total!T69*1000/Gasto_o_ing_total!T$485</f>
        <v>0.96579578702977664</v>
      </c>
      <c r="V69" s="332">
        <f>Gasto_o_ing_total!U69*1000/Gasto_o_ing_total!U$485</f>
        <v>0.96579578702977675</v>
      </c>
      <c r="W69" s="105"/>
    </row>
    <row r="70" spans="1:23" s="102" customFormat="1">
      <c r="A70" s="351" t="str">
        <f>IF(B70="","",(IF(ISERROR(MATCH(B70,Tot_res!C:C,0)),"Eliminar!!!","")))</f>
        <v/>
      </c>
      <c r="B70" s="115" t="s">
        <v>698</v>
      </c>
      <c r="C70" s="329" t="str">
        <f>VLOOKUP(B70,Tot_res!C:D,2,FALSE)</f>
        <v>Formación del personal de las administraciones públicas</v>
      </c>
      <c r="D70" s="332">
        <f>Gasto_o_ing_total!V70*1000/Gasto_o_ing_total!V$485</f>
        <v>0.31830518491730075</v>
      </c>
      <c r="E70" s="332">
        <f>Gasto_o_ing_total!D70*1000/Gasto_o_ing_total!D$485</f>
        <v>0.31830518491730075</v>
      </c>
      <c r="F70" s="332">
        <f>Gasto_o_ing_total!E70*1000/Gasto_o_ing_total!E$485</f>
        <v>0.31830518491730075</v>
      </c>
      <c r="G70" s="332">
        <f>Gasto_o_ing_total!F70*1000/Gasto_o_ing_total!F$485</f>
        <v>0.31830518491730075</v>
      </c>
      <c r="H70" s="332">
        <f>Gasto_o_ing_total!G70*1000/Gasto_o_ing_total!G$485</f>
        <v>0.31830518491730075</v>
      </c>
      <c r="I70" s="332">
        <f>Gasto_o_ing_total!H70*1000/Gasto_o_ing_total!H$485</f>
        <v>0.31830518491730081</v>
      </c>
      <c r="J70" s="332">
        <f>Gasto_o_ing_total!I70*1000/Gasto_o_ing_total!I$485</f>
        <v>0.31830518491730081</v>
      </c>
      <c r="K70" s="332">
        <f>Gasto_o_ing_total!J70*1000/Gasto_o_ing_total!J$485</f>
        <v>0.31830518491730075</v>
      </c>
      <c r="L70" s="332">
        <f>Gasto_o_ing_total!K70*1000/Gasto_o_ing_total!K$485</f>
        <v>0.31830518491730075</v>
      </c>
      <c r="M70" s="332">
        <f>Gasto_o_ing_total!L70*1000/Gasto_o_ing_total!L$485</f>
        <v>0.31830518491730081</v>
      </c>
      <c r="N70" s="332">
        <f>Gasto_o_ing_total!M70*1000/Gasto_o_ing_total!M$485</f>
        <v>0.31830518491730075</v>
      </c>
      <c r="O70" s="332">
        <f>Gasto_o_ing_total!N70*1000/Gasto_o_ing_total!N$485</f>
        <v>0.31830518491730075</v>
      </c>
      <c r="P70" s="332">
        <f>Gasto_o_ing_total!O70*1000/Gasto_o_ing_total!O$485</f>
        <v>0.31830518491730075</v>
      </c>
      <c r="Q70" s="332">
        <f>Gasto_o_ing_total!P70*1000/Gasto_o_ing_total!P$485</f>
        <v>0.31830518491730081</v>
      </c>
      <c r="R70" s="332">
        <f>Gasto_o_ing_total!Q70*1000/Gasto_o_ing_total!Q$485</f>
        <v>0.31830518491730081</v>
      </c>
      <c r="S70" s="332">
        <f>Gasto_o_ing_total!R70*1000/Gasto_o_ing_total!R$485</f>
        <v>0.31830518491730075</v>
      </c>
      <c r="T70" s="332">
        <f>Gasto_o_ing_total!S70*1000/Gasto_o_ing_total!S$485</f>
        <v>0.31830518491730075</v>
      </c>
      <c r="U70" s="332">
        <f>Gasto_o_ing_total!T70*1000/Gasto_o_ing_total!T$485</f>
        <v>0.31830518491730075</v>
      </c>
      <c r="V70" s="332">
        <f>Gasto_o_ing_total!U70*1000/Gasto_o_ing_total!U$485</f>
        <v>0.31830518491730075</v>
      </c>
      <c r="W70" s="105"/>
    </row>
    <row r="71" spans="1:23" s="102" customFormat="1">
      <c r="A71" s="351" t="str">
        <f>IF(B71="","",(IF(ISERROR(MATCH(B71,Tot_res!C:C,0)),"Eliminar!!!","")))</f>
        <v/>
      </c>
      <c r="B71" s="115" t="s">
        <v>170</v>
      </c>
      <c r="C71" s="329" t="str">
        <f>VLOOKUP(B71,Tot_res!C:D,2,FALSE)</f>
        <v>Administración periférica del estado</v>
      </c>
      <c r="D71" s="332">
        <f>Gasto_o_ing_total!V71*1000/Gasto_o_ing_total!V$485</f>
        <v>6.0061866886559674</v>
      </c>
      <c r="E71" s="332">
        <f>Gasto_o_ing_total!D71*1000/Gasto_o_ing_total!D$485</f>
        <v>6.0061866886559683</v>
      </c>
      <c r="F71" s="332">
        <f>Gasto_o_ing_total!E71*1000/Gasto_o_ing_total!E$485</f>
        <v>6.0061866886559683</v>
      </c>
      <c r="G71" s="332">
        <f>Gasto_o_ing_total!F71*1000/Gasto_o_ing_total!F$485</f>
        <v>6.0061866886559683</v>
      </c>
      <c r="H71" s="332">
        <f>Gasto_o_ing_total!G71*1000/Gasto_o_ing_total!G$485</f>
        <v>6.0061866886559683</v>
      </c>
      <c r="I71" s="332">
        <f>Gasto_o_ing_total!H71*1000/Gasto_o_ing_total!H$485</f>
        <v>6.0061866886559683</v>
      </c>
      <c r="J71" s="332">
        <f>Gasto_o_ing_total!I71*1000/Gasto_o_ing_total!I$485</f>
        <v>6.0061866886559683</v>
      </c>
      <c r="K71" s="332">
        <f>Gasto_o_ing_total!J71*1000/Gasto_o_ing_total!J$485</f>
        <v>6.0061866886559674</v>
      </c>
      <c r="L71" s="332">
        <f>Gasto_o_ing_total!K71*1000/Gasto_o_ing_total!K$485</f>
        <v>6.0061866886559683</v>
      </c>
      <c r="M71" s="332">
        <f>Gasto_o_ing_total!L71*1000/Gasto_o_ing_total!L$485</f>
        <v>6.0061866886559692</v>
      </c>
      <c r="N71" s="332">
        <f>Gasto_o_ing_total!M71*1000/Gasto_o_ing_total!M$485</f>
        <v>6.0061866886559683</v>
      </c>
      <c r="O71" s="332">
        <f>Gasto_o_ing_total!N71*1000/Gasto_o_ing_total!N$485</f>
        <v>6.0061866886559683</v>
      </c>
      <c r="P71" s="332">
        <f>Gasto_o_ing_total!O71*1000/Gasto_o_ing_total!O$485</f>
        <v>6.0061866886559674</v>
      </c>
      <c r="Q71" s="332">
        <f>Gasto_o_ing_total!P71*1000/Gasto_o_ing_total!P$485</f>
        <v>6.0061866886559674</v>
      </c>
      <c r="R71" s="332">
        <f>Gasto_o_ing_total!Q71*1000/Gasto_o_ing_total!Q$485</f>
        <v>6.0061866886559692</v>
      </c>
      <c r="S71" s="332">
        <f>Gasto_o_ing_total!R71*1000/Gasto_o_ing_total!R$485</f>
        <v>6.0061866886559683</v>
      </c>
      <c r="T71" s="332">
        <f>Gasto_o_ing_total!S71*1000/Gasto_o_ing_total!S$485</f>
        <v>6.0061866886559692</v>
      </c>
      <c r="U71" s="332">
        <f>Gasto_o_ing_total!T71*1000/Gasto_o_ing_total!T$485</f>
        <v>6.0061866886559683</v>
      </c>
      <c r="V71" s="332">
        <f>Gasto_o_ing_total!U71*1000/Gasto_o_ing_total!U$485</f>
        <v>6.0061866886559683</v>
      </c>
      <c r="W71" s="105"/>
    </row>
    <row r="72" spans="1:23" s="102" customFormat="1">
      <c r="A72" s="351" t="str">
        <f>IF(B72="","",(IF(ISERROR(MATCH(B72,Tot_res!C:C,0)),"Eliminar!!!","")))</f>
        <v/>
      </c>
      <c r="B72" s="115" t="s">
        <v>171</v>
      </c>
      <c r="C72" s="329" t="str">
        <f>VLOOKUP(B72,Tot_res!C:D,2,FALSE)</f>
        <v>Publicidad de las normas legales</v>
      </c>
      <c r="D72" s="332">
        <f>Gasto_o_ing_total!V72*1000/Gasto_o_ing_total!V$485</f>
        <v>0.55927498029005041</v>
      </c>
      <c r="E72" s="332">
        <f>Gasto_o_ing_total!D72*1000/Gasto_o_ing_total!D$485</f>
        <v>0.55927498029005041</v>
      </c>
      <c r="F72" s="332">
        <f>Gasto_o_ing_total!E72*1000/Gasto_o_ing_total!E$485</f>
        <v>0.55927498029005041</v>
      </c>
      <c r="G72" s="332">
        <f>Gasto_o_ing_total!F72*1000/Gasto_o_ing_total!F$485</f>
        <v>0.55927498029005041</v>
      </c>
      <c r="H72" s="332">
        <f>Gasto_o_ing_total!G72*1000/Gasto_o_ing_total!G$485</f>
        <v>0.55927498029005041</v>
      </c>
      <c r="I72" s="332">
        <f>Gasto_o_ing_total!H72*1000/Gasto_o_ing_total!H$485</f>
        <v>0.55927498029005041</v>
      </c>
      <c r="J72" s="332">
        <f>Gasto_o_ing_total!I72*1000/Gasto_o_ing_total!I$485</f>
        <v>0.55927498029005041</v>
      </c>
      <c r="K72" s="332">
        <f>Gasto_o_ing_total!J72*1000/Gasto_o_ing_total!J$485</f>
        <v>0.55927498029005029</v>
      </c>
      <c r="L72" s="332">
        <f>Gasto_o_ing_total!K72*1000/Gasto_o_ing_total!K$485</f>
        <v>0.55927498029005052</v>
      </c>
      <c r="M72" s="332">
        <f>Gasto_o_ing_total!L72*1000/Gasto_o_ing_total!L$485</f>
        <v>0.55927498029005041</v>
      </c>
      <c r="N72" s="332">
        <f>Gasto_o_ing_total!M72*1000/Gasto_o_ing_total!M$485</f>
        <v>0.55927498029005041</v>
      </c>
      <c r="O72" s="332">
        <f>Gasto_o_ing_total!N72*1000/Gasto_o_ing_total!N$485</f>
        <v>0.55927498029005041</v>
      </c>
      <c r="P72" s="332">
        <f>Gasto_o_ing_total!O72*1000/Gasto_o_ing_total!O$485</f>
        <v>0.55927498029005041</v>
      </c>
      <c r="Q72" s="332">
        <f>Gasto_o_ing_total!P72*1000/Gasto_o_ing_total!P$485</f>
        <v>0.55927498029005041</v>
      </c>
      <c r="R72" s="332">
        <f>Gasto_o_ing_total!Q72*1000/Gasto_o_ing_total!Q$485</f>
        <v>0.55927498029005041</v>
      </c>
      <c r="S72" s="332">
        <f>Gasto_o_ing_total!R72*1000/Gasto_o_ing_total!R$485</f>
        <v>0.55927498029005041</v>
      </c>
      <c r="T72" s="332">
        <f>Gasto_o_ing_total!S72*1000/Gasto_o_ing_total!S$485</f>
        <v>0.55927498029005052</v>
      </c>
      <c r="U72" s="332">
        <f>Gasto_o_ing_total!T72*1000/Gasto_o_ing_total!T$485</f>
        <v>0.55927498029005041</v>
      </c>
      <c r="V72" s="332">
        <f>Gasto_o_ing_total!U72*1000/Gasto_o_ing_total!U$485</f>
        <v>0.55927498029005052</v>
      </c>
      <c r="W72" s="105"/>
    </row>
    <row r="73" spans="1:23" s="102" customFormat="1">
      <c r="A73" s="351" t="str">
        <f>IF(B73="","",(IF(ISERROR(MATCH(B73,Tot_res!C:C,0)),"Eliminar!!!","")))</f>
        <v/>
      </c>
      <c r="B73" s="115" t="s">
        <v>173</v>
      </c>
      <c r="C73" s="329" t="str">
        <f>VLOOKUP(B73,Tot_res!C:D,2,FALSE)</f>
        <v>Asesoramiento y defensa intereses del estado</v>
      </c>
      <c r="D73" s="332">
        <f>Gasto_o_ing_total!V73*1000/Gasto_o_ing_total!V$485</f>
        <v>0.65135918825747519</v>
      </c>
      <c r="E73" s="332">
        <f>Gasto_o_ing_total!D73*1000/Gasto_o_ing_total!D$485</f>
        <v>0.65135918825747519</v>
      </c>
      <c r="F73" s="332">
        <f>Gasto_o_ing_total!E73*1000/Gasto_o_ing_total!E$485</f>
        <v>0.6513591882574753</v>
      </c>
      <c r="G73" s="332">
        <f>Gasto_o_ing_total!F73*1000/Gasto_o_ing_total!F$485</f>
        <v>0.65135918825747519</v>
      </c>
      <c r="H73" s="332">
        <f>Gasto_o_ing_total!G73*1000/Gasto_o_ing_total!G$485</f>
        <v>0.65135918825747507</v>
      </c>
      <c r="I73" s="332">
        <f>Gasto_o_ing_total!H73*1000/Gasto_o_ing_total!H$485</f>
        <v>0.65135918825747507</v>
      </c>
      <c r="J73" s="332">
        <f>Gasto_o_ing_total!I73*1000/Gasto_o_ing_total!I$485</f>
        <v>0.65135918825747519</v>
      </c>
      <c r="K73" s="332">
        <f>Gasto_o_ing_total!J73*1000/Gasto_o_ing_total!J$485</f>
        <v>0.65135918825747519</v>
      </c>
      <c r="L73" s="332">
        <f>Gasto_o_ing_total!K73*1000/Gasto_o_ing_total!K$485</f>
        <v>0.65135918825747519</v>
      </c>
      <c r="M73" s="332">
        <f>Gasto_o_ing_total!L73*1000/Gasto_o_ing_total!L$485</f>
        <v>0.65135918825747519</v>
      </c>
      <c r="N73" s="332">
        <f>Gasto_o_ing_total!M73*1000/Gasto_o_ing_total!M$485</f>
        <v>0.6513591882574753</v>
      </c>
      <c r="O73" s="332">
        <f>Gasto_o_ing_total!N73*1000/Gasto_o_ing_total!N$485</f>
        <v>0.65135918825747519</v>
      </c>
      <c r="P73" s="332">
        <f>Gasto_o_ing_total!O73*1000/Gasto_o_ing_total!O$485</f>
        <v>0.65135918825747507</v>
      </c>
      <c r="Q73" s="332">
        <f>Gasto_o_ing_total!P73*1000/Gasto_o_ing_total!P$485</f>
        <v>0.6513591882574753</v>
      </c>
      <c r="R73" s="332">
        <f>Gasto_o_ing_total!Q73*1000/Gasto_o_ing_total!Q$485</f>
        <v>0.65135918825747519</v>
      </c>
      <c r="S73" s="332">
        <f>Gasto_o_ing_total!R73*1000/Gasto_o_ing_total!R$485</f>
        <v>0.65135918825747519</v>
      </c>
      <c r="T73" s="332">
        <f>Gasto_o_ing_total!S73*1000/Gasto_o_ing_total!S$485</f>
        <v>0.65135918825747519</v>
      </c>
      <c r="U73" s="332">
        <f>Gasto_o_ing_total!T73*1000/Gasto_o_ing_total!T$485</f>
        <v>0.65135918825747519</v>
      </c>
      <c r="V73" s="332">
        <f>Gasto_o_ing_total!U73*1000/Gasto_o_ing_total!U$485</f>
        <v>0.6513591882574753</v>
      </c>
      <c r="W73" s="105"/>
    </row>
    <row r="74" spans="1:23" s="102" customFormat="1">
      <c r="A74" s="351" t="str">
        <f>IF(B74="","",(IF(ISERROR(MATCH(B74,Tot_res!C:C,0)),"Eliminar!!!","")))</f>
        <v/>
      </c>
      <c r="B74" s="115" t="s">
        <v>174</v>
      </c>
      <c r="C74" s="329" t="str">
        <f>VLOOKUP(B74,Tot_res!C:D,2,FALSE)</f>
        <v>Servicios de transportes de ministerios</v>
      </c>
      <c r="D74" s="332">
        <f>Gasto_o_ing_total!V74*1000/Gasto_o_ing_total!V$485</f>
        <v>0.76916162338611593</v>
      </c>
      <c r="E74" s="332">
        <f>Gasto_o_ing_total!D74*1000/Gasto_o_ing_total!D$485</f>
        <v>0.76916162338611593</v>
      </c>
      <c r="F74" s="332">
        <f>Gasto_o_ing_total!E74*1000/Gasto_o_ing_total!E$485</f>
        <v>0.76916162338611593</v>
      </c>
      <c r="G74" s="332">
        <f>Gasto_o_ing_total!F74*1000/Gasto_o_ing_total!F$485</f>
        <v>0.76916162338611593</v>
      </c>
      <c r="H74" s="332">
        <f>Gasto_o_ing_total!G74*1000/Gasto_o_ing_total!G$485</f>
        <v>0.76916162338611593</v>
      </c>
      <c r="I74" s="332">
        <f>Gasto_o_ing_total!H74*1000/Gasto_o_ing_total!H$485</f>
        <v>0.76916162338611593</v>
      </c>
      <c r="J74" s="332">
        <f>Gasto_o_ing_total!I74*1000/Gasto_o_ing_total!I$485</f>
        <v>0.76916162338611593</v>
      </c>
      <c r="K74" s="332">
        <f>Gasto_o_ing_total!J74*1000/Gasto_o_ing_total!J$485</f>
        <v>0.76916162338611593</v>
      </c>
      <c r="L74" s="332">
        <f>Gasto_o_ing_total!K74*1000/Gasto_o_ing_total!K$485</f>
        <v>0.76916162338611593</v>
      </c>
      <c r="M74" s="332">
        <f>Gasto_o_ing_total!L74*1000/Gasto_o_ing_total!L$485</f>
        <v>0.76916162338611604</v>
      </c>
      <c r="N74" s="332">
        <f>Gasto_o_ing_total!M74*1000/Gasto_o_ing_total!M$485</f>
        <v>0.76916162338611593</v>
      </c>
      <c r="O74" s="332">
        <f>Gasto_o_ing_total!N74*1000/Gasto_o_ing_total!N$485</f>
        <v>0.76916162338611593</v>
      </c>
      <c r="P74" s="332">
        <f>Gasto_o_ing_total!O74*1000/Gasto_o_ing_total!O$485</f>
        <v>0.76916162338611604</v>
      </c>
      <c r="Q74" s="332">
        <f>Gasto_o_ing_total!P74*1000/Gasto_o_ing_total!P$485</f>
        <v>0.76916162338611593</v>
      </c>
      <c r="R74" s="332">
        <f>Gasto_o_ing_total!Q74*1000/Gasto_o_ing_total!Q$485</f>
        <v>0.76916162338611604</v>
      </c>
      <c r="S74" s="332">
        <f>Gasto_o_ing_total!R74*1000/Gasto_o_ing_total!R$485</f>
        <v>0.76916162338611593</v>
      </c>
      <c r="T74" s="332">
        <f>Gasto_o_ing_total!S74*1000/Gasto_o_ing_total!S$485</f>
        <v>0.76916162338611593</v>
      </c>
      <c r="U74" s="332">
        <f>Gasto_o_ing_total!T74*1000/Gasto_o_ing_total!T$485</f>
        <v>0.76916162338611593</v>
      </c>
      <c r="V74" s="332">
        <f>Gasto_o_ing_total!U74*1000/Gasto_o_ing_total!U$485</f>
        <v>0.76916162338611593</v>
      </c>
      <c r="W74" s="105"/>
    </row>
    <row r="75" spans="1:23" s="102" customFormat="1">
      <c r="A75" s="351" t="str">
        <f>IF(B75="","",(IF(ISERROR(MATCH(B75,Tot_res!C:C,0)),"Eliminar!!!","")))</f>
        <v/>
      </c>
      <c r="B75" s="115" t="s">
        <v>175</v>
      </c>
      <c r="C75" s="329" t="str">
        <f>VLOOKUP(B75,Tot_res!C:D,2,FALSE)</f>
        <v>Evaluación de políticas y programas públicos, calidad de los servicios e impacto normativo</v>
      </c>
      <c r="D75" s="332">
        <f>Gasto_o_ing_total!V75*1000/Gasto_o_ing_total!V$485</f>
        <v>6.5020423044425721E-2</v>
      </c>
      <c r="E75" s="332">
        <f>Gasto_o_ing_total!D75*1000/Gasto_o_ing_total!D$485</f>
        <v>6.5020423044425707E-2</v>
      </c>
      <c r="F75" s="332">
        <f>Gasto_o_ing_total!E75*1000/Gasto_o_ing_total!E$485</f>
        <v>6.5020423044425721E-2</v>
      </c>
      <c r="G75" s="332">
        <f>Gasto_o_ing_total!F75*1000/Gasto_o_ing_total!F$485</f>
        <v>6.5020423044425721E-2</v>
      </c>
      <c r="H75" s="332">
        <f>Gasto_o_ing_total!G75*1000/Gasto_o_ing_total!G$485</f>
        <v>6.5020423044425707E-2</v>
      </c>
      <c r="I75" s="332">
        <f>Gasto_o_ing_total!H75*1000/Gasto_o_ing_total!H$485</f>
        <v>6.5020423044425721E-2</v>
      </c>
      <c r="J75" s="332">
        <f>Gasto_o_ing_total!I75*1000/Gasto_o_ing_total!I$485</f>
        <v>6.5020423044425707E-2</v>
      </c>
      <c r="K75" s="332">
        <f>Gasto_o_ing_total!J75*1000/Gasto_o_ing_total!J$485</f>
        <v>6.5020423044425707E-2</v>
      </c>
      <c r="L75" s="332">
        <f>Gasto_o_ing_total!K75*1000/Gasto_o_ing_total!K$485</f>
        <v>6.5020423044425721E-2</v>
      </c>
      <c r="M75" s="332">
        <f>Gasto_o_ing_total!L75*1000/Gasto_o_ing_total!L$485</f>
        <v>6.5020423044425721E-2</v>
      </c>
      <c r="N75" s="332">
        <f>Gasto_o_ing_total!M75*1000/Gasto_o_ing_total!M$485</f>
        <v>6.5020423044425707E-2</v>
      </c>
      <c r="O75" s="332">
        <f>Gasto_o_ing_total!N75*1000/Gasto_o_ing_total!N$485</f>
        <v>6.5020423044425693E-2</v>
      </c>
      <c r="P75" s="332">
        <f>Gasto_o_ing_total!O75*1000/Gasto_o_ing_total!O$485</f>
        <v>6.5020423044425707E-2</v>
      </c>
      <c r="Q75" s="332">
        <f>Gasto_o_ing_total!P75*1000/Gasto_o_ing_total!P$485</f>
        <v>6.5020423044425707E-2</v>
      </c>
      <c r="R75" s="332">
        <f>Gasto_o_ing_total!Q75*1000/Gasto_o_ing_total!Q$485</f>
        <v>6.5020423044425721E-2</v>
      </c>
      <c r="S75" s="332">
        <f>Gasto_o_ing_total!R75*1000/Gasto_o_ing_total!R$485</f>
        <v>6.5020423044425707E-2</v>
      </c>
      <c r="T75" s="332">
        <f>Gasto_o_ing_total!S75*1000/Gasto_o_ing_total!S$485</f>
        <v>6.5020423044425707E-2</v>
      </c>
      <c r="U75" s="332">
        <f>Gasto_o_ing_total!T75*1000/Gasto_o_ing_total!T$485</f>
        <v>6.5020423044425707E-2</v>
      </c>
      <c r="V75" s="332">
        <f>Gasto_o_ing_total!U75*1000/Gasto_o_ing_total!U$485</f>
        <v>6.5020423044425721E-2</v>
      </c>
      <c r="W75" s="105"/>
    </row>
    <row r="76" spans="1:23" s="102" customFormat="1">
      <c r="A76" s="351" t="str">
        <f>IF(B76="","",(IF(ISERROR(MATCH(B76,Tot_res!C:C,0)),"Eliminar!!!","")))</f>
        <v/>
      </c>
      <c r="B76" s="115" t="s">
        <v>176</v>
      </c>
      <c r="C76" s="329" t="str">
        <f>VLOOKUP(B76,Tot_res!C:D,2,FALSE)</f>
        <v>Organización territorial del estado y desarrollo de sus sistemas de colaboración</v>
      </c>
      <c r="D76" s="332">
        <f>Gasto_o_ing_total!V76*1000/Gasto_o_ing_total!V$485</f>
        <v>5.4350781352161058E-2</v>
      </c>
      <c r="E76" s="332">
        <f>Gasto_o_ing_total!D76*1000/Gasto_o_ing_total!D$485</f>
        <v>5.4350781352161051E-2</v>
      </c>
      <c r="F76" s="332">
        <f>Gasto_o_ing_total!E76*1000/Gasto_o_ing_total!E$485</f>
        <v>5.4350781352161065E-2</v>
      </c>
      <c r="G76" s="332">
        <f>Gasto_o_ing_total!F76*1000/Gasto_o_ing_total!F$485</f>
        <v>5.4350781352161058E-2</v>
      </c>
      <c r="H76" s="332">
        <f>Gasto_o_ing_total!G76*1000/Gasto_o_ing_total!G$485</f>
        <v>5.4350781352161058E-2</v>
      </c>
      <c r="I76" s="332">
        <f>Gasto_o_ing_total!H76*1000/Gasto_o_ing_total!H$485</f>
        <v>5.4350781352161058E-2</v>
      </c>
      <c r="J76" s="332">
        <f>Gasto_o_ing_total!I76*1000/Gasto_o_ing_total!I$485</f>
        <v>5.4350781352161058E-2</v>
      </c>
      <c r="K76" s="332">
        <f>Gasto_o_ing_total!J76*1000/Gasto_o_ing_total!J$485</f>
        <v>5.4350781352161065E-2</v>
      </c>
      <c r="L76" s="332">
        <f>Gasto_o_ing_total!K76*1000/Gasto_o_ing_total!K$485</f>
        <v>5.4350781352161065E-2</v>
      </c>
      <c r="M76" s="332">
        <f>Gasto_o_ing_total!L76*1000/Gasto_o_ing_total!L$485</f>
        <v>5.4350781352161065E-2</v>
      </c>
      <c r="N76" s="332">
        <f>Gasto_o_ing_total!M76*1000/Gasto_o_ing_total!M$485</f>
        <v>5.4350781352161058E-2</v>
      </c>
      <c r="O76" s="332">
        <f>Gasto_o_ing_total!N76*1000/Gasto_o_ing_total!N$485</f>
        <v>5.4350781352161058E-2</v>
      </c>
      <c r="P76" s="332">
        <f>Gasto_o_ing_total!O76*1000/Gasto_o_ing_total!O$485</f>
        <v>5.4350781352161065E-2</v>
      </c>
      <c r="Q76" s="332">
        <f>Gasto_o_ing_total!P76*1000/Gasto_o_ing_total!P$485</f>
        <v>5.4350781352161058E-2</v>
      </c>
      <c r="R76" s="332">
        <f>Gasto_o_ing_total!Q76*1000/Gasto_o_ing_total!Q$485</f>
        <v>5.4350781352161065E-2</v>
      </c>
      <c r="S76" s="332">
        <f>Gasto_o_ing_total!R76*1000/Gasto_o_ing_total!R$485</f>
        <v>5.4350781352161065E-2</v>
      </c>
      <c r="T76" s="332">
        <f>Gasto_o_ing_total!S76*1000/Gasto_o_ing_total!S$485</f>
        <v>5.4350781352161065E-2</v>
      </c>
      <c r="U76" s="332">
        <f>Gasto_o_ing_total!T76*1000/Gasto_o_ing_total!T$485</f>
        <v>5.4350781352161058E-2</v>
      </c>
      <c r="V76" s="332">
        <f>Gasto_o_ing_total!U76*1000/Gasto_o_ing_total!U$485</f>
        <v>5.4350781352161065E-2</v>
      </c>
      <c r="W76" s="105"/>
    </row>
    <row r="77" spans="1:23" s="102" customFormat="1">
      <c r="A77" s="351" t="str">
        <f>IF(B77="","",(IF(ISERROR(MATCH(B77,Tot_res!C:C,0)),"Eliminar!!!","")))</f>
        <v/>
      </c>
      <c r="B77" s="115" t="s">
        <v>177</v>
      </c>
      <c r="C77" s="329" t="str">
        <f>VLOOKUP(B77,Tot_res!C:D,2,FALSE)</f>
        <v>Elecciones y partidos políticos</v>
      </c>
      <c r="D77" s="332">
        <f>Gasto_o_ing_total!V77*1000/Gasto_o_ing_total!V$485</f>
        <v>4.4072716584677023</v>
      </c>
      <c r="E77" s="332">
        <f>Gasto_o_ing_total!D77*1000/Gasto_o_ing_total!D$485</f>
        <v>4.4072716584677005</v>
      </c>
      <c r="F77" s="332">
        <f>Gasto_o_ing_total!E77*1000/Gasto_o_ing_total!E$485</f>
        <v>4.4072716584677014</v>
      </c>
      <c r="G77" s="332">
        <f>Gasto_o_ing_total!F77*1000/Gasto_o_ing_total!F$485</f>
        <v>4.4072716584677014</v>
      </c>
      <c r="H77" s="332">
        <f>Gasto_o_ing_total!G77*1000/Gasto_o_ing_total!G$485</f>
        <v>4.4072716584677023</v>
      </c>
      <c r="I77" s="332">
        <f>Gasto_o_ing_total!H77*1000/Gasto_o_ing_total!H$485</f>
        <v>4.4072716584677014</v>
      </c>
      <c r="J77" s="332">
        <f>Gasto_o_ing_total!I77*1000/Gasto_o_ing_total!I$485</f>
        <v>4.4072716584677014</v>
      </c>
      <c r="K77" s="332">
        <f>Gasto_o_ing_total!J77*1000/Gasto_o_ing_total!J$485</f>
        <v>4.4072716584677014</v>
      </c>
      <c r="L77" s="332">
        <f>Gasto_o_ing_total!K77*1000/Gasto_o_ing_total!K$485</f>
        <v>4.4072716584677014</v>
      </c>
      <c r="M77" s="332">
        <f>Gasto_o_ing_total!L77*1000/Gasto_o_ing_total!L$485</f>
        <v>4.4072716584677014</v>
      </c>
      <c r="N77" s="332">
        <f>Gasto_o_ing_total!M77*1000/Gasto_o_ing_total!M$485</f>
        <v>4.4072716584677023</v>
      </c>
      <c r="O77" s="332">
        <f>Gasto_o_ing_total!N77*1000/Gasto_o_ing_total!N$485</f>
        <v>4.4072716584677014</v>
      </c>
      <c r="P77" s="332">
        <f>Gasto_o_ing_total!O77*1000/Gasto_o_ing_total!O$485</f>
        <v>4.4072716584677005</v>
      </c>
      <c r="Q77" s="332">
        <f>Gasto_o_ing_total!P77*1000/Gasto_o_ing_total!P$485</f>
        <v>4.4072716584677014</v>
      </c>
      <c r="R77" s="332">
        <f>Gasto_o_ing_total!Q77*1000/Gasto_o_ing_total!Q$485</f>
        <v>4.4072716584677014</v>
      </c>
      <c r="S77" s="332">
        <f>Gasto_o_ing_total!R77*1000/Gasto_o_ing_total!R$485</f>
        <v>4.4072716584677005</v>
      </c>
      <c r="T77" s="332">
        <f>Gasto_o_ing_total!S77*1000/Gasto_o_ing_total!S$485</f>
        <v>4.4072716584677014</v>
      </c>
      <c r="U77" s="332">
        <f>Gasto_o_ing_total!T77*1000/Gasto_o_ing_total!T$485</f>
        <v>4.4072716584677005</v>
      </c>
      <c r="V77" s="332">
        <f>Gasto_o_ing_total!U77*1000/Gasto_o_ing_total!U$485</f>
        <v>4.4072716584677014</v>
      </c>
      <c r="W77" s="105"/>
    </row>
    <row r="78" spans="1:23"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30"/>
    </row>
    <row r="79" spans="1:23" s="102" customFormat="1" ht="13.5">
      <c r="A79" s="352"/>
      <c r="B79" s="115"/>
      <c r="C79" s="128" t="s">
        <v>25</v>
      </c>
      <c r="D79" s="113">
        <f>Gasto_o_ing_total!V79*1000/Gasto_o_ing_total!V$485</f>
        <v>45.577586412602642</v>
      </c>
      <c r="E79" s="113">
        <f>Gasto_o_ing_total!D79*1000/Gasto_o_ing_total!D$485</f>
        <v>45.577586412602642</v>
      </c>
      <c r="F79" s="113">
        <f>Gasto_o_ing_total!E79*1000/Gasto_o_ing_total!E$485</f>
        <v>45.577586412602649</v>
      </c>
      <c r="G79" s="113">
        <f>Gasto_o_ing_total!F79*1000/Gasto_o_ing_total!F$485</f>
        <v>45.577586412602649</v>
      </c>
      <c r="H79" s="113">
        <f>Gasto_o_ing_total!G79*1000/Gasto_o_ing_total!G$485</f>
        <v>45.577586412602635</v>
      </c>
      <c r="I79" s="113">
        <f>Gasto_o_ing_total!H79*1000/Gasto_o_ing_total!H$485</f>
        <v>45.577586412602635</v>
      </c>
      <c r="J79" s="113">
        <f>Gasto_o_ing_total!I79*1000/Gasto_o_ing_total!I$485</f>
        <v>45.577586412602649</v>
      </c>
      <c r="K79" s="113">
        <f>Gasto_o_ing_total!J79*1000/Gasto_o_ing_total!J$485</f>
        <v>45.577586412602649</v>
      </c>
      <c r="L79" s="113">
        <f>Gasto_o_ing_total!K79*1000/Gasto_o_ing_total!K$485</f>
        <v>45.577586412602642</v>
      </c>
      <c r="M79" s="113">
        <f>Gasto_o_ing_total!L79*1000/Gasto_o_ing_total!L$485</f>
        <v>45.577586412602635</v>
      </c>
      <c r="N79" s="113">
        <f>Gasto_o_ing_total!M79*1000/Gasto_o_ing_total!M$485</f>
        <v>45.577586412602642</v>
      </c>
      <c r="O79" s="113">
        <f>Gasto_o_ing_total!N79*1000/Gasto_o_ing_total!N$485</f>
        <v>45.577586412602635</v>
      </c>
      <c r="P79" s="113">
        <f>Gasto_o_ing_total!O79*1000/Gasto_o_ing_total!O$485</f>
        <v>45.577586412602635</v>
      </c>
      <c r="Q79" s="113">
        <f>Gasto_o_ing_total!P79*1000/Gasto_o_ing_total!P$485</f>
        <v>45.577586412602649</v>
      </c>
      <c r="R79" s="113">
        <f>Gasto_o_ing_total!Q79*1000/Gasto_o_ing_total!Q$485</f>
        <v>45.577586412602642</v>
      </c>
      <c r="S79" s="113">
        <f>Gasto_o_ing_total!R79*1000/Gasto_o_ing_total!R$485</f>
        <v>45.577586412602642</v>
      </c>
      <c r="T79" s="113">
        <f>Gasto_o_ing_total!S79*1000/Gasto_o_ing_total!S$485</f>
        <v>45.577586412602635</v>
      </c>
      <c r="U79" s="113">
        <f>Gasto_o_ing_total!T79*1000/Gasto_o_ing_total!T$485</f>
        <v>45.577586412602635</v>
      </c>
      <c r="V79" s="113">
        <f>Gasto_o_ing_total!U79*1000/Gasto_o_ing_total!U$485</f>
        <v>45.577586412602642</v>
      </c>
      <c r="W79" s="105"/>
    </row>
    <row r="80" spans="1:23" s="102" customFormat="1">
      <c r="A80" s="351" t="str">
        <f>IF(B80="","",(IF(ISERROR(MATCH(B80,Tot_res!C:C,0)),"Eliminar!!!","")))</f>
        <v/>
      </c>
      <c r="B80" s="115" t="s">
        <v>178</v>
      </c>
      <c r="C80" s="329" t="str">
        <f>VLOOKUP(B80,Tot_res!C:D,2,FALSE)</f>
        <v>Investigación y estudios sociológicos y constitucionales</v>
      </c>
      <c r="D80" s="332">
        <f>Gasto_o_ing_total!V80*1000/Gasto_o_ing_total!V$485</f>
        <v>0.23531758643808565</v>
      </c>
      <c r="E80" s="332">
        <f>Gasto_o_ing_total!D80*1000/Gasto_o_ing_total!D$485</f>
        <v>0.23531758643808559</v>
      </c>
      <c r="F80" s="332">
        <f>Gasto_o_ing_total!E80*1000/Gasto_o_ing_total!E$485</f>
        <v>0.23531758643808559</v>
      </c>
      <c r="G80" s="332">
        <f>Gasto_o_ing_total!F80*1000/Gasto_o_ing_total!F$485</f>
        <v>0.23531758643808559</v>
      </c>
      <c r="H80" s="332">
        <f>Gasto_o_ing_total!G80*1000/Gasto_o_ing_total!G$485</f>
        <v>0.23531758643808559</v>
      </c>
      <c r="I80" s="332">
        <f>Gasto_o_ing_total!H80*1000/Gasto_o_ing_total!H$485</f>
        <v>0.23531758643808562</v>
      </c>
      <c r="J80" s="332">
        <f>Gasto_o_ing_total!I80*1000/Gasto_o_ing_total!I$485</f>
        <v>0.23531758643808565</v>
      </c>
      <c r="K80" s="332">
        <f>Gasto_o_ing_total!J80*1000/Gasto_o_ing_total!J$485</f>
        <v>0.23531758643808559</v>
      </c>
      <c r="L80" s="332">
        <f>Gasto_o_ing_total!K80*1000/Gasto_o_ing_total!K$485</f>
        <v>0.23531758643808565</v>
      </c>
      <c r="M80" s="332">
        <f>Gasto_o_ing_total!L80*1000/Gasto_o_ing_total!L$485</f>
        <v>0.23531758643808562</v>
      </c>
      <c r="N80" s="332">
        <f>Gasto_o_ing_total!M80*1000/Gasto_o_ing_total!M$485</f>
        <v>0.23531758643808562</v>
      </c>
      <c r="O80" s="332">
        <f>Gasto_o_ing_total!N80*1000/Gasto_o_ing_total!N$485</f>
        <v>0.23531758643808559</v>
      </c>
      <c r="P80" s="332">
        <f>Gasto_o_ing_total!O80*1000/Gasto_o_ing_total!O$485</f>
        <v>0.23531758643808562</v>
      </c>
      <c r="Q80" s="332">
        <f>Gasto_o_ing_total!P80*1000/Gasto_o_ing_total!P$485</f>
        <v>0.23531758643808562</v>
      </c>
      <c r="R80" s="332">
        <f>Gasto_o_ing_total!Q80*1000/Gasto_o_ing_total!Q$485</f>
        <v>0.23531758643808562</v>
      </c>
      <c r="S80" s="332">
        <f>Gasto_o_ing_total!R80*1000/Gasto_o_ing_total!R$485</f>
        <v>0.23531758643808559</v>
      </c>
      <c r="T80" s="332">
        <f>Gasto_o_ing_total!S80*1000/Gasto_o_ing_total!S$485</f>
        <v>0.23531758643808562</v>
      </c>
      <c r="U80" s="332">
        <f>Gasto_o_ing_total!T80*1000/Gasto_o_ing_total!T$485</f>
        <v>0.23531758643808562</v>
      </c>
      <c r="V80" s="332">
        <f>Gasto_o_ing_total!U80*1000/Gasto_o_ing_total!U$485</f>
        <v>0.23531758643808565</v>
      </c>
      <c r="W80" s="105"/>
    </row>
    <row r="81" spans="1:23" s="102" customFormat="1">
      <c r="A81" s="351" t="str">
        <f>IF(B81="","",(IF(ISERROR(MATCH(B81,Tot_res!C:C,0)),"Eliminar!!!","")))</f>
        <v/>
      </c>
      <c r="B81" s="115" t="s">
        <v>180</v>
      </c>
      <c r="C81" s="329" t="str">
        <f>VLOOKUP(B81,Tot_res!C:D,2,FALSE)</f>
        <v>Investigación y estudios estadísticos y económicos</v>
      </c>
      <c r="D81" s="332">
        <f>Gasto_o_ing_total!V81*1000/Gasto_o_ing_total!V$485</f>
        <v>0.13370679447494616</v>
      </c>
      <c r="E81" s="332">
        <f>Gasto_o_ing_total!D81*1000/Gasto_o_ing_total!D$485</f>
        <v>0.13370679447494616</v>
      </c>
      <c r="F81" s="332">
        <f>Gasto_o_ing_total!E81*1000/Gasto_o_ing_total!E$485</f>
        <v>0.13370679447494616</v>
      </c>
      <c r="G81" s="332">
        <f>Gasto_o_ing_total!F81*1000/Gasto_o_ing_total!F$485</f>
        <v>0.13370679447494618</v>
      </c>
      <c r="H81" s="332">
        <f>Gasto_o_ing_total!G81*1000/Gasto_o_ing_total!G$485</f>
        <v>0.13370679447494616</v>
      </c>
      <c r="I81" s="332">
        <f>Gasto_o_ing_total!H81*1000/Gasto_o_ing_total!H$485</f>
        <v>0.13370679447494616</v>
      </c>
      <c r="J81" s="332">
        <f>Gasto_o_ing_total!I81*1000/Gasto_o_ing_total!I$485</f>
        <v>0.13370679447494616</v>
      </c>
      <c r="K81" s="332">
        <f>Gasto_o_ing_total!J81*1000/Gasto_o_ing_total!J$485</f>
        <v>0.13370679447494616</v>
      </c>
      <c r="L81" s="332">
        <f>Gasto_o_ing_total!K81*1000/Gasto_o_ing_total!K$485</f>
        <v>0.13370679447494616</v>
      </c>
      <c r="M81" s="332">
        <f>Gasto_o_ing_total!L81*1000/Gasto_o_ing_total!L$485</f>
        <v>0.13370679447494616</v>
      </c>
      <c r="N81" s="332">
        <f>Gasto_o_ing_total!M81*1000/Gasto_o_ing_total!M$485</f>
        <v>0.13370679447494616</v>
      </c>
      <c r="O81" s="332">
        <f>Gasto_o_ing_total!N81*1000/Gasto_o_ing_total!N$485</f>
        <v>0.13370679447494616</v>
      </c>
      <c r="P81" s="332">
        <f>Gasto_o_ing_total!O81*1000/Gasto_o_ing_total!O$485</f>
        <v>0.13370679447494616</v>
      </c>
      <c r="Q81" s="332">
        <f>Gasto_o_ing_total!P81*1000/Gasto_o_ing_total!P$485</f>
        <v>0.13370679447494616</v>
      </c>
      <c r="R81" s="332">
        <f>Gasto_o_ing_total!Q81*1000/Gasto_o_ing_total!Q$485</f>
        <v>0.13370679447494618</v>
      </c>
      <c r="S81" s="332">
        <f>Gasto_o_ing_total!R81*1000/Gasto_o_ing_total!R$485</f>
        <v>0.13370679447494616</v>
      </c>
      <c r="T81" s="332">
        <f>Gasto_o_ing_total!S81*1000/Gasto_o_ing_total!S$485</f>
        <v>0.13370679447494616</v>
      </c>
      <c r="U81" s="332">
        <f>Gasto_o_ing_total!T81*1000/Gasto_o_ing_total!T$485</f>
        <v>0.13370679447494616</v>
      </c>
      <c r="V81" s="332">
        <f>Gasto_o_ing_total!U81*1000/Gasto_o_ing_total!U$485</f>
        <v>0.13370679447494618</v>
      </c>
      <c r="W81" s="105"/>
    </row>
    <row r="82" spans="1:23" s="102" customFormat="1">
      <c r="A82" s="351" t="str">
        <f>IF(B82="","",(IF(ISERROR(MATCH(B82,Tot_res!C:C,0)),"Eliminar!!!","")))</f>
        <v/>
      </c>
      <c r="B82" s="115" t="s">
        <v>182</v>
      </c>
      <c r="C82" s="329" t="str">
        <f>VLOOKUP(B82,Tot_res!C:D,2,FALSE)</f>
        <v>Investigación científica</v>
      </c>
      <c r="D82" s="332">
        <f>Gasto_o_ing_total!V82*1000/Gasto_o_ing_total!V$485</f>
        <v>15.385784419057394</v>
      </c>
      <c r="E82" s="332">
        <f>Gasto_o_ing_total!D82*1000/Gasto_o_ing_total!D$485</f>
        <v>15.385784419057391</v>
      </c>
      <c r="F82" s="332">
        <f>Gasto_o_ing_total!E82*1000/Gasto_o_ing_total!E$485</f>
        <v>15.385784419057391</v>
      </c>
      <c r="G82" s="332">
        <f>Gasto_o_ing_total!F82*1000/Gasto_o_ing_total!F$485</f>
        <v>15.385784419057392</v>
      </c>
      <c r="H82" s="332">
        <f>Gasto_o_ing_total!G82*1000/Gasto_o_ing_total!G$485</f>
        <v>15.385784419057391</v>
      </c>
      <c r="I82" s="332">
        <f>Gasto_o_ing_total!H82*1000/Gasto_o_ing_total!H$485</f>
        <v>15.385784419057391</v>
      </c>
      <c r="J82" s="332">
        <f>Gasto_o_ing_total!I82*1000/Gasto_o_ing_total!I$485</f>
        <v>15.385784419057396</v>
      </c>
      <c r="K82" s="332">
        <f>Gasto_o_ing_total!J82*1000/Gasto_o_ing_total!J$485</f>
        <v>15.385784419057391</v>
      </c>
      <c r="L82" s="332">
        <f>Gasto_o_ing_total!K82*1000/Gasto_o_ing_total!K$485</f>
        <v>15.385784419057394</v>
      </c>
      <c r="M82" s="332">
        <f>Gasto_o_ing_total!L82*1000/Gasto_o_ing_total!L$485</f>
        <v>15.385784419057392</v>
      </c>
      <c r="N82" s="332">
        <f>Gasto_o_ing_total!M82*1000/Gasto_o_ing_total!M$485</f>
        <v>15.385784419057392</v>
      </c>
      <c r="O82" s="332">
        <f>Gasto_o_ing_total!N82*1000/Gasto_o_ing_total!N$485</f>
        <v>15.385784419057389</v>
      </c>
      <c r="P82" s="332">
        <f>Gasto_o_ing_total!O82*1000/Gasto_o_ing_total!O$485</f>
        <v>15.385784419057392</v>
      </c>
      <c r="Q82" s="332">
        <f>Gasto_o_ing_total!P82*1000/Gasto_o_ing_total!P$485</f>
        <v>15.385784419057392</v>
      </c>
      <c r="R82" s="332">
        <f>Gasto_o_ing_total!Q82*1000/Gasto_o_ing_total!Q$485</f>
        <v>15.385784419057392</v>
      </c>
      <c r="S82" s="332">
        <f>Gasto_o_ing_total!R82*1000/Gasto_o_ing_total!R$485</f>
        <v>15.385784419057392</v>
      </c>
      <c r="T82" s="332">
        <f>Gasto_o_ing_total!S82*1000/Gasto_o_ing_total!S$485</f>
        <v>15.385784419057394</v>
      </c>
      <c r="U82" s="332">
        <f>Gasto_o_ing_total!T82*1000/Gasto_o_ing_total!T$485</f>
        <v>15.385784419057392</v>
      </c>
      <c r="V82" s="332">
        <f>Gasto_o_ing_total!U82*1000/Gasto_o_ing_total!U$485</f>
        <v>15.385784419057391</v>
      </c>
      <c r="W82" s="105"/>
    </row>
    <row r="83" spans="1:23" s="102" customFormat="1">
      <c r="A83" s="351" t="str">
        <f>IF(B83="","",(IF(ISERROR(MATCH(B83,Tot_res!C:C,0)),"Eliminar!!!","")))</f>
        <v/>
      </c>
      <c r="B83" s="115" t="s">
        <v>184</v>
      </c>
      <c r="C83" s="329" t="str">
        <f>VLOOKUP(B83,Tot_res!C:D,2,FALSE)</f>
        <v>Fomento y coordinación de la investigación científica y técnica</v>
      </c>
      <c r="D83" s="332">
        <f>Gasto_o_ing_total!V83*1000/Gasto_o_ing_total!V$485</f>
        <v>12.253157380236779</v>
      </c>
      <c r="E83" s="332">
        <f>Gasto_o_ing_total!D83*1000/Gasto_o_ing_total!D$485</f>
        <v>12.253157380236779</v>
      </c>
      <c r="F83" s="332">
        <f>Gasto_o_ing_total!E83*1000/Gasto_o_ing_total!E$485</f>
        <v>12.253157380236781</v>
      </c>
      <c r="G83" s="332">
        <f>Gasto_o_ing_total!F83*1000/Gasto_o_ing_total!F$485</f>
        <v>12.253157380236781</v>
      </c>
      <c r="H83" s="332">
        <f>Gasto_o_ing_total!G83*1000/Gasto_o_ing_total!G$485</f>
        <v>12.253157380236779</v>
      </c>
      <c r="I83" s="332">
        <f>Gasto_o_ing_total!H83*1000/Gasto_o_ing_total!H$485</f>
        <v>12.253157380236781</v>
      </c>
      <c r="J83" s="332">
        <f>Gasto_o_ing_total!I83*1000/Gasto_o_ing_total!I$485</f>
        <v>12.253157380236779</v>
      </c>
      <c r="K83" s="332">
        <f>Gasto_o_ing_total!J83*1000/Gasto_o_ing_total!J$485</f>
        <v>12.253157380236779</v>
      </c>
      <c r="L83" s="332">
        <f>Gasto_o_ing_total!K83*1000/Gasto_o_ing_total!K$485</f>
        <v>12.253157380236781</v>
      </c>
      <c r="M83" s="332">
        <f>Gasto_o_ing_total!L83*1000/Gasto_o_ing_total!L$485</f>
        <v>12.253157380236781</v>
      </c>
      <c r="N83" s="332">
        <f>Gasto_o_ing_total!M83*1000/Gasto_o_ing_total!M$485</f>
        <v>12.253157380236781</v>
      </c>
      <c r="O83" s="332">
        <f>Gasto_o_ing_total!N83*1000/Gasto_o_ing_total!N$485</f>
        <v>12.253157380236779</v>
      </c>
      <c r="P83" s="332">
        <f>Gasto_o_ing_total!O83*1000/Gasto_o_ing_total!O$485</f>
        <v>12.253157380236779</v>
      </c>
      <c r="Q83" s="332">
        <f>Gasto_o_ing_total!P83*1000/Gasto_o_ing_total!P$485</f>
        <v>12.253157380236781</v>
      </c>
      <c r="R83" s="332">
        <f>Gasto_o_ing_total!Q83*1000/Gasto_o_ing_total!Q$485</f>
        <v>12.253157380236781</v>
      </c>
      <c r="S83" s="332">
        <f>Gasto_o_ing_total!R83*1000/Gasto_o_ing_total!R$485</f>
        <v>12.253157380236779</v>
      </c>
      <c r="T83" s="332">
        <f>Gasto_o_ing_total!S83*1000/Gasto_o_ing_total!S$485</f>
        <v>12.253157380236779</v>
      </c>
      <c r="U83" s="332">
        <f>Gasto_o_ing_total!T83*1000/Gasto_o_ing_total!T$485</f>
        <v>12.253157380236781</v>
      </c>
      <c r="V83" s="332">
        <f>Gasto_o_ing_total!U83*1000/Gasto_o_ing_total!U$485</f>
        <v>12.253157380236779</v>
      </c>
      <c r="W83" s="105"/>
    </row>
    <row r="84" spans="1:23" s="102" customFormat="1">
      <c r="A84" s="351" t="str">
        <f>IF(B84="","",(IF(ISERROR(MATCH(B84,Tot_res!C:C,0)),"Eliminar!!!","")))</f>
        <v/>
      </c>
      <c r="B84" s="115" t="s">
        <v>185</v>
      </c>
      <c r="C84" s="329" t="str">
        <f>VLOOKUP(B84,Tot_res!C:D,2,FALSE)</f>
        <v>Investigación sanitaria</v>
      </c>
      <c r="D84" s="332">
        <f>Gasto_o_ing_total!V84*1000/Gasto_o_ing_total!V$485</f>
        <v>5.7558580338844862</v>
      </c>
      <c r="E84" s="332">
        <f>Gasto_o_ing_total!D84*1000/Gasto_o_ing_total!D$485</f>
        <v>5.7558580338844862</v>
      </c>
      <c r="F84" s="332">
        <f>Gasto_o_ing_total!E84*1000/Gasto_o_ing_total!E$485</f>
        <v>5.7558580338844871</v>
      </c>
      <c r="G84" s="332">
        <f>Gasto_o_ing_total!F84*1000/Gasto_o_ing_total!F$485</f>
        <v>5.7558580338844862</v>
      </c>
      <c r="H84" s="332">
        <f>Gasto_o_ing_total!G84*1000/Gasto_o_ing_total!G$485</f>
        <v>5.7558580338844862</v>
      </c>
      <c r="I84" s="332">
        <f>Gasto_o_ing_total!H84*1000/Gasto_o_ing_total!H$485</f>
        <v>5.7558580338844862</v>
      </c>
      <c r="J84" s="332">
        <f>Gasto_o_ing_total!I84*1000/Gasto_o_ing_total!I$485</f>
        <v>5.7558580338844862</v>
      </c>
      <c r="K84" s="332">
        <f>Gasto_o_ing_total!J84*1000/Gasto_o_ing_total!J$485</f>
        <v>5.7558580338844862</v>
      </c>
      <c r="L84" s="332">
        <f>Gasto_o_ing_total!K84*1000/Gasto_o_ing_total!K$485</f>
        <v>5.7558580338844862</v>
      </c>
      <c r="M84" s="332">
        <f>Gasto_o_ing_total!L84*1000/Gasto_o_ing_total!L$485</f>
        <v>5.7558580338844862</v>
      </c>
      <c r="N84" s="332">
        <f>Gasto_o_ing_total!M84*1000/Gasto_o_ing_total!M$485</f>
        <v>5.7558580338844862</v>
      </c>
      <c r="O84" s="332">
        <f>Gasto_o_ing_total!N84*1000/Gasto_o_ing_total!N$485</f>
        <v>5.7558580338844862</v>
      </c>
      <c r="P84" s="332">
        <f>Gasto_o_ing_total!O84*1000/Gasto_o_ing_total!O$485</f>
        <v>5.7558580338844862</v>
      </c>
      <c r="Q84" s="332">
        <f>Gasto_o_ing_total!P84*1000/Gasto_o_ing_total!P$485</f>
        <v>5.7558580338844862</v>
      </c>
      <c r="R84" s="332">
        <f>Gasto_o_ing_total!Q84*1000/Gasto_o_ing_total!Q$485</f>
        <v>5.7558580338844871</v>
      </c>
      <c r="S84" s="332">
        <f>Gasto_o_ing_total!R84*1000/Gasto_o_ing_total!R$485</f>
        <v>5.7558580338844862</v>
      </c>
      <c r="T84" s="332">
        <f>Gasto_o_ing_total!S84*1000/Gasto_o_ing_total!S$485</f>
        <v>5.7558580338844862</v>
      </c>
      <c r="U84" s="332">
        <f>Gasto_o_ing_total!T84*1000/Gasto_o_ing_total!T$485</f>
        <v>5.7558580338844862</v>
      </c>
      <c r="V84" s="332">
        <f>Gasto_o_ing_total!U84*1000/Gasto_o_ing_total!U$485</f>
        <v>5.7558580338844854</v>
      </c>
      <c r="W84" s="105"/>
    </row>
    <row r="85" spans="1:23" s="102" customFormat="1">
      <c r="A85" s="351" t="str">
        <f>IF(B85="","",(IF(ISERROR(MATCH(B85,Tot_res!C:C,0)),"Eliminar!!!","")))</f>
        <v/>
      </c>
      <c r="B85" s="115" t="s">
        <v>709</v>
      </c>
      <c r="C85" s="329" t="str">
        <f>VLOOKUP(B85,Tot_res!C:D,2,FALSE)</f>
        <v>Investigación y desarrollo tecnológico-industrial</v>
      </c>
      <c r="D85" s="332">
        <f>Gasto_o_ing_total!V85*1000/Gasto_o_ing_total!V$485</f>
        <v>3.3196171276494111</v>
      </c>
      <c r="E85" s="332">
        <f>Gasto_o_ing_total!D85*1000/Gasto_o_ing_total!D$485</f>
        <v>3.3196171276494102</v>
      </c>
      <c r="F85" s="332">
        <f>Gasto_o_ing_total!E85*1000/Gasto_o_ing_total!E$485</f>
        <v>3.3196171276494102</v>
      </c>
      <c r="G85" s="332">
        <f>Gasto_o_ing_total!F85*1000/Gasto_o_ing_total!F$485</f>
        <v>3.3196171276494106</v>
      </c>
      <c r="H85" s="332">
        <f>Gasto_o_ing_total!G85*1000/Gasto_o_ing_total!G$485</f>
        <v>3.3196171276494106</v>
      </c>
      <c r="I85" s="332">
        <f>Gasto_o_ing_total!H85*1000/Gasto_o_ing_total!H$485</f>
        <v>3.3196171276494106</v>
      </c>
      <c r="J85" s="332">
        <f>Gasto_o_ing_total!I85*1000/Gasto_o_ing_total!I$485</f>
        <v>3.3196171276494106</v>
      </c>
      <c r="K85" s="332">
        <f>Gasto_o_ing_total!J85*1000/Gasto_o_ing_total!J$485</f>
        <v>3.3196171276494102</v>
      </c>
      <c r="L85" s="332">
        <f>Gasto_o_ing_total!K85*1000/Gasto_o_ing_total!K$485</f>
        <v>3.3196171276494106</v>
      </c>
      <c r="M85" s="332">
        <f>Gasto_o_ing_total!L85*1000/Gasto_o_ing_total!L$485</f>
        <v>3.3196171276494106</v>
      </c>
      <c r="N85" s="332">
        <f>Gasto_o_ing_total!M85*1000/Gasto_o_ing_total!M$485</f>
        <v>3.3196171276494111</v>
      </c>
      <c r="O85" s="332">
        <f>Gasto_o_ing_total!N85*1000/Gasto_o_ing_total!N$485</f>
        <v>3.3196171276494106</v>
      </c>
      <c r="P85" s="332">
        <f>Gasto_o_ing_total!O85*1000/Gasto_o_ing_total!O$485</f>
        <v>3.3196171276494106</v>
      </c>
      <c r="Q85" s="332">
        <f>Gasto_o_ing_total!P85*1000/Gasto_o_ing_total!P$485</f>
        <v>3.3196171276494106</v>
      </c>
      <c r="R85" s="332">
        <f>Gasto_o_ing_total!Q85*1000/Gasto_o_ing_total!Q$485</f>
        <v>3.3196171276494111</v>
      </c>
      <c r="S85" s="332">
        <f>Gasto_o_ing_total!R85*1000/Gasto_o_ing_total!R$485</f>
        <v>3.3196171276494106</v>
      </c>
      <c r="T85" s="332">
        <f>Gasto_o_ing_total!S85*1000/Gasto_o_ing_total!S$485</f>
        <v>3.3196171276494106</v>
      </c>
      <c r="U85" s="332">
        <f>Gasto_o_ing_total!T85*1000/Gasto_o_ing_total!T$485</f>
        <v>3.3196171276494102</v>
      </c>
      <c r="V85" s="332">
        <f>Gasto_o_ing_total!U85*1000/Gasto_o_ing_total!U$485</f>
        <v>3.3196171276494111</v>
      </c>
      <c r="W85" s="105"/>
    </row>
    <row r="86" spans="1:23" s="102" customFormat="1">
      <c r="A86" s="351" t="str">
        <f>IF(B86="","",(IF(ISERROR(MATCH(B86,Tot_res!C:C,0)),"Eliminar!!!","")))</f>
        <v/>
      </c>
      <c r="B86" s="115" t="s">
        <v>186</v>
      </c>
      <c r="C86" s="329" t="str">
        <f>VLOOKUP(B86,Tot_res!C:D,2,FALSE)</f>
        <v>Investigación y experimentación agraria</v>
      </c>
      <c r="D86" s="332">
        <f>Gasto_o_ing_total!V86*1000/Gasto_o_ing_total!V$485</f>
        <v>1.1840669738163492</v>
      </c>
      <c r="E86" s="332">
        <f>Gasto_o_ing_total!D86*1000/Gasto_o_ing_total!D$485</f>
        <v>1.184066973816349</v>
      </c>
      <c r="F86" s="332">
        <f>Gasto_o_ing_total!E86*1000/Gasto_o_ing_total!E$485</f>
        <v>1.1840669738163492</v>
      </c>
      <c r="G86" s="332">
        <f>Gasto_o_ing_total!F86*1000/Gasto_o_ing_total!F$485</f>
        <v>1.1840669738163492</v>
      </c>
      <c r="H86" s="332">
        <f>Gasto_o_ing_total!G86*1000/Gasto_o_ing_total!G$485</f>
        <v>1.1840669738163492</v>
      </c>
      <c r="I86" s="332">
        <f>Gasto_o_ing_total!H86*1000/Gasto_o_ing_total!H$485</f>
        <v>1.1840669738163492</v>
      </c>
      <c r="J86" s="332">
        <f>Gasto_o_ing_total!I86*1000/Gasto_o_ing_total!I$485</f>
        <v>1.184066973816349</v>
      </c>
      <c r="K86" s="332">
        <f>Gasto_o_ing_total!J86*1000/Gasto_o_ing_total!J$485</f>
        <v>1.1840669738163492</v>
      </c>
      <c r="L86" s="332">
        <f>Gasto_o_ing_total!K86*1000/Gasto_o_ing_total!K$485</f>
        <v>1.1840669738163492</v>
      </c>
      <c r="M86" s="332">
        <f>Gasto_o_ing_total!L86*1000/Gasto_o_ing_total!L$485</f>
        <v>1.1840669738163492</v>
      </c>
      <c r="N86" s="332">
        <f>Gasto_o_ing_total!M86*1000/Gasto_o_ing_total!M$485</f>
        <v>1.1840669738163492</v>
      </c>
      <c r="O86" s="332">
        <f>Gasto_o_ing_total!N86*1000/Gasto_o_ing_total!N$485</f>
        <v>1.1840669738163492</v>
      </c>
      <c r="P86" s="332">
        <f>Gasto_o_ing_total!O86*1000/Gasto_o_ing_total!O$485</f>
        <v>1.184066973816349</v>
      </c>
      <c r="Q86" s="332">
        <f>Gasto_o_ing_total!P86*1000/Gasto_o_ing_total!P$485</f>
        <v>1.184066973816349</v>
      </c>
      <c r="R86" s="332">
        <f>Gasto_o_ing_total!Q86*1000/Gasto_o_ing_total!Q$485</f>
        <v>1.1840669738163492</v>
      </c>
      <c r="S86" s="332">
        <f>Gasto_o_ing_total!R86*1000/Gasto_o_ing_total!R$485</f>
        <v>1.184066973816349</v>
      </c>
      <c r="T86" s="332">
        <f>Gasto_o_ing_total!S86*1000/Gasto_o_ing_total!S$485</f>
        <v>1.184066973816349</v>
      </c>
      <c r="U86" s="332">
        <f>Gasto_o_ing_total!T86*1000/Gasto_o_ing_total!T$485</f>
        <v>1.184066973816349</v>
      </c>
      <c r="V86" s="332">
        <f>Gasto_o_ing_total!U86*1000/Gasto_o_ing_total!U$485</f>
        <v>1.1840669738163492</v>
      </c>
      <c r="W86" s="105"/>
    </row>
    <row r="87" spans="1:23" s="102" customFormat="1">
      <c r="A87" s="351" t="str">
        <f>IF(B87="","",(IF(ISERROR(MATCH(B87,Tot_res!C:C,0)),"Eliminar!!!","")))</f>
        <v/>
      </c>
      <c r="B87" s="115" t="s">
        <v>187</v>
      </c>
      <c r="C87" s="329" t="str">
        <f>VLOOKUP(B87,Tot_res!C:D,2,FALSE)</f>
        <v>Investigación oceanográfica y pesquera</v>
      </c>
      <c r="D87" s="332">
        <f>Gasto_o_ing_total!V87*1000/Gasto_o_ing_total!V$485</f>
        <v>0.9939819481883555</v>
      </c>
      <c r="E87" s="332">
        <f>Gasto_o_ing_total!D87*1000/Gasto_o_ing_total!D$485</f>
        <v>0.9939819481883555</v>
      </c>
      <c r="F87" s="332">
        <f>Gasto_o_ing_total!E87*1000/Gasto_o_ing_total!E$485</f>
        <v>0.99398194818835561</v>
      </c>
      <c r="G87" s="332">
        <f>Gasto_o_ing_total!F87*1000/Gasto_o_ing_total!F$485</f>
        <v>0.99398194818835561</v>
      </c>
      <c r="H87" s="332">
        <f>Gasto_o_ing_total!G87*1000/Gasto_o_ing_total!G$485</f>
        <v>0.9939819481883555</v>
      </c>
      <c r="I87" s="332">
        <f>Gasto_o_ing_total!H87*1000/Gasto_o_ing_total!H$485</f>
        <v>0.9939819481883555</v>
      </c>
      <c r="J87" s="332">
        <f>Gasto_o_ing_total!I87*1000/Gasto_o_ing_total!I$485</f>
        <v>0.9939819481883555</v>
      </c>
      <c r="K87" s="332">
        <f>Gasto_o_ing_total!J87*1000/Gasto_o_ing_total!J$485</f>
        <v>0.9939819481883555</v>
      </c>
      <c r="L87" s="332">
        <f>Gasto_o_ing_total!K87*1000/Gasto_o_ing_total!K$485</f>
        <v>0.99398194818835539</v>
      </c>
      <c r="M87" s="332">
        <f>Gasto_o_ing_total!L87*1000/Gasto_o_ing_total!L$485</f>
        <v>0.9939819481883555</v>
      </c>
      <c r="N87" s="332">
        <f>Gasto_o_ing_total!M87*1000/Gasto_o_ing_total!M$485</f>
        <v>0.99398194818835561</v>
      </c>
      <c r="O87" s="332">
        <f>Gasto_o_ing_total!N87*1000/Gasto_o_ing_total!N$485</f>
        <v>0.99398194818835539</v>
      </c>
      <c r="P87" s="332">
        <f>Gasto_o_ing_total!O87*1000/Gasto_o_ing_total!O$485</f>
        <v>0.9939819481883555</v>
      </c>
      <c r="Q87" s="332">
        <f>Gasto_o_ing_total!P87*1000/Gasto_o_ing_total!P$485</f>
        <v>0.9939819481883555</v>
      </c>
      <c r="R87" s="332">
        <f>Gasto_o_ing_total!Q87*1000/Gasto_o_ing_total!Q$485</f>
        <v>0.99398194818835539</v>
      </c>
      <c r="S87" s="332">
        <f>Gasto_o_ing_total!R87*1000/Gasto_o_ing_total!R$485</f>
        <v>0.9939819481883555</v>
      </c>
      <c r="T87" s="332">
        <f>Gasto_o_ing_total!S87*1000/Gasto_o_ing_total!S$485</f>
        <v>0.99398194818835561</v>
      </c>
      <c r="U87" s="332">
        <f>Gasto_o_ing_total!T87*1000/Gasto_o_ing_total!T$485</f>
        <v>0.99398194818835561</v>
      </c>
      <c r="V87" s="332">
        <f>Gasto_o_ing_total!U87*1000/Gasto_o_ing_total!U$485</f>
        <v>0.99398194818835561</v>
      </c>
      <c r="W87" s="105"/>
    </row>
    <row r="88" spans="1:23" s="102" customFormat="1">
      <c r="A88" s="351" t="str">
        <f>IF(B88="","",(IF(ISERROR(MATCH(B88,Tot_res!C:C,0)),"Eliminar!!!","")))</f>
        <v/>
      </c>
      <c r="B88" s="115" t="s">
        <v>188</v>
      </c>
      <c r="C88" s="329" t="str">
        <f>VLOOKUP(B88,Tot_res!C:D,2,FALSE)</f>
        <v>Investigación geológico-minera y medioambiental</v>
      </c>
      <c r="D88" s="332">
        <f>Gasto_o_ing_total!V88*1000/Gasto_o_ing_total!V$485</f>
        <v>0.46856814545993725</v>
      </c>
      <c r="E88" s="332">
        <f>Gasto_o_ing_total!D88*1000/Gasto_o_ing_total!D$485</f>
        <v>0.46856814545993719</v>
      </c>
      <c r="F88" s="332">
        <f>Gasto_o_ing_total!E88*1000/Gasto_o_ing_total!E$485</f>
        <v>0.46856814545993725</v>
      </c>
      <c r="G88" s="332">
        <f>Gasto_o_ing_total!F88*1000/Gasto_o_ing_total!F$485</f>
        <v>0.46856814545993725</v>
      </c>
      <c r="H88" s="332">
        <f>Gasto_o_ing_total!G88*1000/Gasto_o_ing_total!G$485</f>
        <v>0.46856814545993725</v>
      </c>
      <c r="I88" s="332">
        <f>Gasto_o_ing_total!H88*1000/Gasto_o_ing_total!H$485</f>
        <v>0.46856814545993725</v>
      </c>
      <c r="J88" s="332">
        <f>Gasto_o_ing_total!I88*1000/Gasto_o_ing_total!I$485</f>
        <v>0.46856814545993719</v>
      </c>
      <c r="K88" s="332">
        <f>Gasto_o_ing_total!J88*1000/Gasto_o_ing_total!J$485</f>
        <v>0.46856814545993719</v>
      </c>
      <c r="L88" s="332">
        <f>Gasto_o_ing_total!K88*1000/Gasto_o_ing_total!K$485</f>
        <v>0.46856814545993725</v>
      </c>
      <c r="M88" s="332">
        <f>Gasto_o_ing_total!L88*1000/Gasto_o_ing_total!L$485</f>
        <v>0.46856814545993725</v>
      </c>
      <c r="N88" s="332">
        <f>Gasto_o_ing_total!M88*1000/Gasto_o_ing_total!M$485</f>
        <v>0.4685681454599373</v>
      </c>
      <c r="O88" s="332">
        <f>Gasto_o_ing_total!N88*1000/Gasto_o_ing_total!N$485</f>
        <v>0.46856814545993719</v>
      </c>
      <c r="P88" s="332">
        <f>Gasto_o_ing_total!O88*1000/Gasto_o_ing_total!O$485</f>
        <v>0.46856814545993714</v>
      </c>
      <c r="Q88" s="332">
        <f>Gasto_o_ing_total!P88*1000/Gasto_o_ing_total!P$485</f>
        <v>0.46856814545993725</v>
      </c>
      <c r="R88" s="332">
        <f>Gasto_o_ing_total!Q88*1000/Gasto_o_ing_total!Q$485</f>
        <v>0.46856814545993725</v>
      </c>
      <c r="S88" s="332">
        <f>Gasto_o_ing_total!R88*1000/Gasto_o_ing_total!R$485</f>
        <v>0.46856814545993725</v>
      </c>
      <c r="T88" s="332">
        <f>Gasto_o_ing_total!S88*1000/Gasto_o_ing_total!S$485</f>
        <v>0.4685681454599373</v>
      </c>
      <c r="U88" s="332">
        <f>Gasto_o_ing_total!T88*1000/Gasto_o_ing_total!T$485</f>
        <v>0.46856814545993725</v>
      </c>
      <c r="V88" s="332">
        <f>Gasto_o_ing_total!U88*1000/Gasto_o_ing_total!U$485</f>
        <v>0.46856814545993725</v>
      </c>
      <c r="W88" s="105"/>
    </row>
    <row r="89" spans="1:23" s="102" customFormat="1">
      <c r="A89" s="351" t="str">
        <f>IF(B89="","",(IF(ISERROR(MATCH(B89,Tot_res!C:C,0)),"Eliminar!!!","")))</f>
        <v/>
      </c>
      <c r="B89" s="115" t="s">
        <v>190</v>
      </c>
      <c r="C89" s="329" t="str">
        <f>VLOOKUP(B89,Tot_res!C:D,2,FALSE)</f>
        <v>Investigación energética, medioambiental y tecnológica</v>
      </c>
      <c r="D89" s="332">
        <f>Gasto_o_ing_total!V89*1000/Gasto_o_ing_total!V$485</f>
        <v>1.7968513883660389</v>
      </c>
      <c r="E89" s="332">
        <f>Gasto_o_ing_total!D89*1000/Gasto_o_ing_total!D$485</f>
        <v>1.7968513883660386</v>
      </c>
      <c r="F89" s="332">
        <f>Gasto_o_ing_total!E89*1000/Gasto_o_ing_total!E$485</f>
        <v>1.7968513883660389</v>
      </c>
      <c r="G89" s="332">
        <f>Gasto_o_ing_total!F89*1000/Gasto_o_ing_total!F$485</f>
        <v>1.7968513883660389</v>
      </c>
      <c r="H89" s="332">
        <f>Gasto_o_ing_total!G89*1000/Gasto_o_ing_total!G$485</f>
        <v>1.7968513883660389</v>
      </c>
      <c r="I89" s="332">
        <f>Gasto_o_ing_total!H89*1000/Gasto_o_ing_total!H$485</f>
        <v>1.7968513883660389</v>
      </c>
      <c r="J89" s="332">
        <f>Gasto_o_ing_total!I89*1000/Gasto_o_ing_total!I$485</f>
        <v>1.7968513883660386</v>
      </c>
      <c r="K89" s="332">
        <f>Gasto_o_ing_total!J89*1000/Gasto_o_ing_total!J$485</f>
        <v>1.7968513883660386</v>
      </c>
      <c r="L89" s="332">
        <f>Gasto_o_ing_total!K89*1000/Gasto_o_ing_total!K$485</f>
        <v>1.7968513883660389</v>
      </c>
      <c r="M89" s="332">
        <f>Gasto_o_ing_total!L89*1000/Gasto_o_ing_total!L$485</f>
        <v>1.7968513883660389</v>
      </c>
      <c r="N89" s="332">
        <f>Gasto_o_ing_total!M89*1000/Gasto_o_ing_total!M$485</f>
        <v>1.7968513883660389</v>
      </c>
      <c r="O89" s="332">
        <f>Gasto_o_ing_total!N89*1000/Gasto_o_ing_total!N$485</f>
        <v>1.7968513883660386</v>
      </c>
      <c r="P89" s="332">
        <f>Gasto_o_ing_total!O89*1000/Gasto_o_ing_total!O$485</f>
        <v>1.7968513883660389</v>
      </c>
      <c r="Q89" s="332">
        <f>Gasto_o_ing_total!P89*1000/Gasto_o_ing_total!P$485</f>
        <v>1.7968513883660389</v>
      </c>
      <c r="R89" s="332">
        <f>Gasto_o_ing_total!Q89*1000/Gasto_o_ing_total!Q$485</f>
        <v>1.7968513883660389</v>
      </c>
      <c r="S89" s="332">
        <f>Gasto_o_ing_total!R89*1000/Gasto_o_ing_total!R$485</f>
        <v>1.7968513883660386</v>
      </c>
      <c r="T89" s="332">
        <f>Gasto_o_ing_total!S89*1000/Gasto_o_ing_total!S$485</f>
        <v>1.7968513883660386</v>
      </c>
      <c r="U89" s="332">
        <f>Gasto_o_ing_total!T89*1000/Gasto_o_ing_total!T$485</f>
        <v>1.7968513883660389</v>
      </c>
      <c r="V89" s="332">
        <f>Gasto_o_ing_total!U89*1000/Gasto_o_ing_total!U$485</f>
        <v>1.7968513883660389</v>
      </c>
      <c r="W89" s="105"/>
    </row>
    <row r="90" spans="1:23" s="102" customFormat="1">
      <c r="A90" s="351" t="str">
        <f>IF(B90="","",(IF(ISERROR(MATCH(B90,Tot_res!C:C,0)),"Eliminar!!!","")))</f>
        <v/>
      </c>
      <c r="B90" s="115" t="s">
        <v>191</v>
      </c>
      <c r="C90" s="329" t="str">
        <f>VLOOKUP(B90,Tot_res!C:D,2,FALSE)</f>
        <v>Desarrollo y aplicación de la información geográfica española</v>
      </c>
      <c r="D90" s="332">
        <f>Gasto_o_ing_total!V90*1000/Gasto_o_ing_total!V$485</f>
        <v>0.6072904629690592</v>
      </c>
      <c r="E90" s="332">
        <f>Gasto_o_ing_total!D90*1000/Gasto_o_ing_total!D$485</f>
        <v>0.60729046296905909</v>
      </c>
      <c r="F90" s="332">
        <f>Gasto_o_ing_total!E90*1000/Gasto_o_ing_total!E$485</f>
        <v>0.6072904629690592</v>
      </c>
      <c r="G90" s="332">
        <f>Gasto_o_ing_total!F90*1000/Gasto_o_ing_total!F$485</f>
        <v>0.6072904629690592</v>
      </c>
      <c r="H90" s="332">
        <f>Gasto_o_ing_total!G90*1000/Gasto_o_ing_total!G$485</f>
        <v>0.6072904629690592</v>
      </c>
      <c r="I90" s="332">
        <f>Gasto_o_ing_total!H90*1000/Gasto_o_ing_total!H$485</f>
        <v>0.60729046296905909</v>
      </c>
      <c r="J90" s="332">
        <f>Gasto_o_ing_total!I90*1000/Gasto_o_ing_total!I$485</f>
        <v>0.6072904629690592</v>
      </c>
      <c r="K90" s="332">
        <f>Gasto_o_ing_total!J90*1000/Gasto_o_ing_total!J$485</f>
        <v>0.6072904629690592</v>
      </c>
      <c r="L90" s="332">
        <f>Gasto_o_ing_total!K90*1000/Gasto_o_ing_total!K$485</f>
        <v>0.6072904629690592</v>
      </c>
      <c r="M90" s="332">
        <f>Gasto_o_ing_total!L90*1000/Gasto_o_ing_total!L$485</f>
        <v>0.6072904629690592</v>
      </c>
      <c r="N90" s="332">
        <f>Gasto_o_ing_total!M90*1000/Gasto_o_ing_total!M$485</f>
        <v>0.6072904629690592</v>
      </c>
      <c r="O90" s="332">
        <f>Gasto_o_ing_total!N90*1000/Gasto_o_ing_total!N$485</f>
        <v>0.6072904629690592</v>
      </c>
      <c r="P90" s="332">
        <f>Gasto_o_ing_total!O90*1000/Gasto_o_ing_total!O$485</f>
        <v>0.6072904629690592</v>
      </c>
      <c r="Q90" s="332">
        <f>Gasto_o_ing_total!P90*1000/Gasto_o_ing_total!P$485</f>
        <v>0.6072904629690592</v>
      </c>
      <c r="R90" s="332">
        <f>Gasto_o_ing_total!Q90*1000/Gasto_o_ing_total!Q$485</f>
        <v>0.6072904629690592</v>
      </c>
      <c r="S90" s="332">
        <f>Gasto_o_ing_total!R90*1000/Gasto_o_ing_total!R$485</f>
        <v>0.6072904629690592</v>
      </c>
      <c r="T90" s="332">
        <f>Gasto_o_ing_total!S90*1000/Gasto_o_ing_total!S$485</f>
        <v>0.60729046296905909</v>
      </c>
      <c r="U90" s="332">
        <f>Gasto_o_ing_total!T90*1000/Gasto_o_ing_total!T$485</f>
        <v>0.60729046296905909</v>
      </c>
      <c r="V90" s="332">
        <f>Gasto_o_ing_total!U90*1000/Gasto_o_ing_total!U$485</f>
        <v>0.60729046296905909</v>
      </c>
      <c r="W90" s="105"/>
    </row>
    <row r="91" spans="1:23" s="102" customFormat="1">
      <c r="A91" s="351" t="str">
        <f>IF(B91="","",(IF(ISERROR(MATCH(B91,Tot_res!C:C,0)),"Eliminar!!!","")))</f>
        <v/>
      </c>
      <c r="B91" s="115" t="s">
        <v>192</v>
      </c>
      <c r="C91" s="329" t="str">
        <f>VLOOKUP(B91,Tot_res!C:D,2,FALSE)</f>
        <v>Elaboración y difusión estadística</v>
      </c>
      <c r="D91" s="332">
        <f>Gasto_o_ing_total!V91*1000/Gasto_o_ing_total!V$485</f>
        <v>3.4433861520618034</v>
      </c>
      <c r="E91" s="332">
        <f>Gasto_o_ing_total!D91*1000/Gasto_o_ing_total!D$485</f>
        <v>3.4433861520618025</v>
      </c>
      <c r="F91" s="332">
        <f>Gasto_o_ing_total!E91*1000/Gasto_o_ing_total!E$485</f>
        <v>3.443386152061803</v>
      </c>
      <c r="G91" s="332">
        <f>Gasto_o_ing_total!F91*1000/Gasto_o_ing_total!F$485</f>
        <v>3.443386152061803</v>
      </c>
      <c r="H91" s="332">
        <f>Gasto_o_ing_total!G91*1000/Gasto_o_ing_total!G$485</f>
        <v>3.4433861520618025</v>
      </c>
      <c r="I91" s="332">
        <f>Gasto_o_ing_total!H91*1000/Gasto_o_ing_total!H$485</f>
        <v>3.443386152061803</v>
      </c>
      <c r="J91" s="332">
        <f>Gasto_o_ing_total!I91*1000/Gasto_o_ing_total!I$485</f>
        <v>3.443386152061803</v>
      </c>
      <c r="K91" s="332">
        <f>Gasto_o_ing_total!J91*1000/Gasto_o_ing_total!J$485</f>
        <v>3.4433861520618025</v>
      </c>
      <c r="L91" s="332">
        <f>Gasto_o_ing_total!K91*1000/Gasto_o_ing_total!K$485</f>
        <v>3.4433861520618034</v>
      </c>
      <c r="M91" s="332">
        <f>Gasto_o_ing_total!L91*1000/Gasto_o_ing_total!L$485</f>
        <v>3.443386152061803</v>
      </c>
      <c r="N91" s="332">
        <f>Gasto_o_ing_total!M91*1000/Gasto_o_ing_total!M$485</f>
        <v>3.443386152061803</v>
      </c>
      <c r="O91" s="332">
        <f>Gasto_o_ing_total!N91*1000/Gasto_o_ing_total!N$485</f>
        <v>3.4433861520618025</v>
      </c>
      <c r="P91" s="332">
        <f>Gasto_o_ing_total!O91*1000/Gasto_o_ing_total!O$485</f>
        <v>3.443386152061803</v>
      </c>
      <c r="Q91" s="332">
        <f>Gasto_o_ing_total!P91*1000/Gasto_o_ing_total!P$485</f>
        <v>3.443386152061803</v>
      </c>
      <c r="R91" s="332">
        <f>Gasto_o_ing_total!Q91*1000/Gasto_o_ing_total!Q$485</f>
        <v>3.443386152061803</v>
      </c>
      <c r="S91" s="332">
        <f>Gasto_o_ing_total!R91*1000/Gasto_o_ing_total!R$485</f>
        <v>3.443386152061803</v>
      </c>
      <c r="T91" s="332">
        <f>Gasto_o_ing_total!S91*1000/Gasto_o_ing_total!S$485</f>
        <v>3.4433861520618025</v>
      </c>
      <c r="U91" s="332">
        <f>Gasto_o_ing_total!T91*1000/Gasto_o_ing_total!T$485</f>
        <v>3.443386152061803</v>
      </c>
      <c r="V91" s="332">
        <f>Gasto_o_ing_total!U91*1000/Gasto_o_ing_total!U$485</f>
        <v>3.443386152061803</v>
      </c>
      <c r="W91" s="105"/>
    </row>
    <row r="92" spans="1:23"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14"/>
    </row>
    <row r="93" spans="1:23" s="102" customFormat="1" ht="13.5">
      <c r="A93" s="352"/>
      <c r="B93" s="115"/>
      <c r="C93" s="128" t="s">
        <v>21</v>
      </c>
      <c r="D93" s="113">
        <f>Gasto_o_ing_total!V93*1000/Gasto_o_ing_total!V$485</f>
        <v>12.250023021289742</v>
      </c>
      <c r="E93" s="113">
        <f>Gasto_o_ing_total!D93*1000/Gasto_o_ing_total!D$485</f>
        <v>12.250023021289744</v>
      </c>
      <c r="F93" s="113">
        <f>Gasto_o_ing_total!E93*1000/Gasto_o_ing_total!E$485</f>
        <v>12.250023021289746</v>
      </c>
      <c r="G93" s="113">
        <f>Gasto_o_ing_total!F93*1000/Gasto_o_ing_total!F$485</f>
        <v>12.250023021289744</v>
      </c>
      <c r="H93" s="113">
        <f>Gasto_o_ing_total!G93*1000/Gasto_o_ing_total!G$485</f>
        <v>12.250023021289744</v>
      </c>
      <c r="I93" s="113">
        <f>Gasto_o_ing_total!H93*1000/Gasto_o_ing_total!H$485</f>
        <v>12.250023021289744</v>
      </c>
      <c r="J93" s="113">
        <f>Gasto_o_ing_total!I93*1000/Gasto_o_ing_total!I$485</f>
        <v>12.250023021289744</v>
      </c>
      <c r="K93" s="113">
        <f>Gasto_o_ing_total!J93*1000/Gasto_o_ing_total!J$485</f>
        <v>12.250023021289742</v>
      </c>
      <c r="L93" s="113">
        <f>Gasto_o_ing_total!K93*1000/Gasto_o_ing_total!K$485</f>
        <v>12.250023021289744</v>
      </c>
      <c r="M93" s="113">
        <f>Gasto_o_ing_total!L93*1000/Gasto_o_ing_total!L$485</f>
        <v>12.250023021289746</v>
      </c>
      <c r="N93" s="113">
        <f>Gasto_o_ing_total!M93*1000/Gasto_o_ing_total!M$485</f>
        <v>12.250023021289746</v>
      </c>
      <c r="O93" s="113">
        <f>Gasto_o_ing_total!N93*1000/Gasto_o_ing_total!N$485</f>
        <v>12.250023021289744</v>
      </c>
      <c r="P93" s="113">
        <f>Gasto_o_ing_total!O93*1000/Gasto_o_ing_total!O$485</f>
        <v>12.250023021289746</v>
      </c>
      <c r="Q93" s="113">
        <f>Gasto_o_ing_total!P93*1000/Gasto_o_ing_total!P$485</f>
        <v>12.250023021289744</v>
      </c>
      <c r="R93" s="113">
        <f>Gasto_o_ing_total!Q93*1000/Gasto_o_ing_total!Q$485</f>
        <v>12.250023021289746</v>
      </c>
      <c r="S93" s="113">
        <f>Gasto_o_ing_total!R93*1000/Gasto_o_ing_total!R$485</f>
        <v>12.250023021289746</v>
      </c>
      <c r="T93" s="113">
        <f>Gasto_o_ing_total!S93*1000/Gasto_o_ing_total!S$485</f>
        <v>12.250023021289744</v>
      </c>
      <c r="U93" s="113">
        <f>Gasto_o_ing_total!T93*1000/Gasto_o_ing_total!T$485</f>
        <v>12.250023021289744</v>
      </c>
      <c r="V93" s="113">
        <f>Gasto_o_ing_total!U93*1000/Gasto_o_ing_total!U$485</f>
        <v>12.250023021289744</v>
      </c>
      <c r="W93" s="105"/>
    </row>
    <row r="94" spans="1:23" s="102" customFormat="1">
      <c r="A94" s="351" t="str">
        <f>IF(B94="","",(IF(ISERROR(MATCH(B94,Tot_res!C:C,0)),"Eliminar!!!","")))</f>
        <v/>
      </c>
      <c r="B94" s="115" t="s">
        <v>1188</v>
      </c>
      <c r="C94" s="329" t="str">
        <f>VLOOKUP(B94,Tot_res!C:D,2,FALSE)</f>
        <v>Defensa de la competencia en los mercados y regulación de sectores productivos </v>
      </c>
      <c r="D94" s="332">
        <f>Gasto_o_ing_total!V94*1000/Gasto_o_ing_total!V$485</f>
        <v>0.9204371444289805</v>
      </c>
      <c r="E94" s="332">
        <f>Gasto_o_ing_total!D94*1000/Gasto_o_ing_total!D$485</f>
        <v>0.92043714442898039</v>
      </c>
      <c r="F94" s="332">
        <f>Gasto_o_ing_total!E94*1000/Gasto_o_ing_total!E$485</f>
        <v>0.92043714442898061</v>
      </c>
      <c r="G94" s="332">
        <f>Gasto_o_ing_total!F94*1000/Gasto_o_ing_total!F$485</f>
        <v>0.92043714442898061</v>
      </c>
      <c r="H94" s="332">
        <f>Gasto_o_ing_total!G94*1000/Gasto_o_ing_total!G$485</f>
        <v>0.9204371444289805</v>
      </c>
      <c r="I94" s="332">
        <f>Gasto_o_ing_total!H94*1000/Gasto_o_ing_total!H$485</f>
        <v>0.92043714442898061</v>
      </c>
      <c r="J94" s="332">
        <f>Gasto_o_ing_total!I94*1000/Gasto_o_ing_total!I$485</f>
        <v>0.9204371444289805</v>
      </c>
      <c r="K94" s="332">
        <f>Gasto_o_ing_total!J94*1000/Gasto_o_ing_total!J$485</f>
        <v>0.92043714442898039</v>
      </c>
      <c r="L94" s="332">
        <f>Gasto_o_ing_total!K94*1000/Gasto_o_ing_total!K$485</f>
        <v>0.92043714442898061</v>
      </c>
      <c r="M94" s="332">
        <f>Gasto_o_ing_total!L94*1000/Gasto_o_ing_total!L$485</f>
        <v>0.92043714442898061</v>
      </c>
      <c r="N94" s="332">
        <f>Gasto_o_ing_total!M94*1000/Gasto_o_ing_total!M$485</f>
        <v>0.92043714442898061</v>
      </c>
      <c r="O94" s="332">
        <f>Gasto_o_ing_total!N94*1000/Gasto_o_ing_total!N$485</f>
        <v>0.9204371444289805</v>
      </c>
      <c r="P94" s="332">
        <f>Gasto_o_ing_total!O94*1000/Gasto_o_ing_total!O$485</f>
        <v>0.92043714442898039</v>
      </c>
      <c r="Q94" s="332">
        <f>Gasto_o_ing_total!P94*1000/Gasto_o_ing_total!P$485</f>
        <v>0.9204371444289805</v>
      </c>
      <c r="R94" s="332">
        <f>Gasto_o_ing_total!Q94*1000/Gasto_o_ing_total!Q$485</f>
        <v>0.9204371444289805</v>
      </c>
      <c r="S94" s="332">
        <f>Gasto_o_ing_total!R94*1000/Gasto_o_ing_total!R$485</f>
        <v>0.9204371444289805</v>
      </c>
      <c r="T94" s="332">
        <f>Gasto_o_ing_total!S94*1000/Gasto_o_ing_total!S$485</f>
        <v>0.92043714442898061</v>
      </c>
      <c r="U94" s="332">
        <f>Gasto_o_ing_total!T94*1000/Gasto_o_ing_total!T$485</f>
        <v>0.9204371444289805</v>
      </c>
      <c r="V94" s="332">
        <f>Gasto_o_ing_total!U94*1000/Gasto_o_ing_total!U$485</f>
        <v>0.92043714442898072</v>
      </c>
      <c r="W94" s="105"/>
    </row>
    <row r="95" spans="1:23" s="102" customFormat="1">
      <c r="A95" s="351" t="str">
        <f>IF(B95="","",(IF(ISERROR(MATCH(B95,Tot_res!C:C,0)),"Eliminar!!!","")))</f>
        <v/>
      </c>
      <c r="B95" s="115" t="s">
        <v>194</v>
      </c>
      <c r="C95" s="329" t="str">
        <f>VLOOKUP(B95,Tot_res!C:D,2,FALSE)</f>
        <v>Dirección, control y gestión de seguros</v>
      </c>
      <c r="D95" s="332">
        <f>Gasto_o_ing_total!V95*1000/Gasto_o_ing_total!V$485</f>
        <v>0.25370301592932692</v>
      </c>
      <c r="E95" s="332">
        <f>Gasto_o_ing_total!D95*1000/Gasto_o_ing_total!D$485</f>
        <v>0.25370301592932692</v>
      </c>
      <c r="F95" s="332">
        <f>Gasto_o_ing_total!E95*1000/Gasto_o_ing_total!E$485</f>
        <v>0.25370301592932687</v>
      </c>
      <c r="G95" s="332">
        <f>Gasto_o_ing_total!F95*1000/Gasto_o_ing_total!F$485</f>
        <v>0.25370301592932692</v>
      </c>
      <c r="H95" s="332">
        <f>Gasto_o_ing_total!G95*1000/Gasto_o_ing_total!G$485</f>
        <v>0.25370301592932687</v>
      </c>
      <c r="I95" s="332">
        <f>Gasto_o_ing_total!H95*1000/Gasto_o_ing_total!H$485</f>
        <v>0.25370301592932687</v>
      </c>
      <c r="J95" s="332">
        <f>Gasto_o_ing_total!I95*1000/Gasto_o_ing_total!I$485</f>
        <v>0.25370301592932692</v>
      </c>
      <c r="K95" s="332">
        <f>Gasto_o_ing_total!J95*1000/Gasto_o_ing_total!J$485</f>
        <v>0.25370301592932687</v>
      </c>
      <c r="L95" s="332">
        <f>Gasto_o_ing_total!K95*1000/Gasto_o_ing_total!K$485</f>
        <v>0.25370301592932692</v>
      </c>
      <c r="M95" s="332">
        <f>Gasto_o_ing_total!L95*1000/Gasto_o_ing_total!L$485</f>
        <v>0.25370301592932692</v>
      </c>
      <c r="N95" s="332">
        <f>Gasto_o_ing_total!M95*1000/Gasto_o_ing_total!M$485</f>
        <v>0.25370301592932687</v>
      </c>
      <c r="O95" s="332">
        <f>Gasto_o_ing_total!N95*1000/Gasto_o_ing_total!N$485</f>
        <v>0.25370301592932681</v>
      </c>
      <c r="P95" s="332">
        <f>Gasto_o_ing_total!O95*1000/Gasto_o_ing_total!O$485</f>
        <v>0.25370301592932687</v>
      </c>
      <c r="Q95" s="332">
        <f>Gasto_o_ing_total!P95*1000/Gasto_o_ing_total!P$485</f>
        <v>0.25370301592932692</v>
      </c>
      <c r="R95" s="332">
        <f>Gasto_o_ing_total!Q95*1000/Gasto_o_ing_total!Q$485</f>
        <v>0.25370301592932692</v>
      </c>
      <c r="S95" s="332">
        <f>Gasto_o_ing_total!R95*1000/Gasto_o_ing_total!R$485</f>
        <v>0.25370301592932687</v>
      </c>
      <c r="T95" s="332">
        <f>Gasto_o_ing_total!S95*1000/Gasto_o_ing_total!S$485</f>
        <v>0.25370301592932692</v>
      </c>
      <c r="U95" s="332">
        <f>Gasto_o_ing_total!T95*1000/Gasto_o_ing_total!T$485</f>
        <v>0.25370301592932687</v>
      </c>
      <c r="V95" s="332">
        <f>Gasto_o_ing_total!U95*1000/Gasto_o_ing_total!U$485</f>
        <v>0.25370301592932687</v>
      </c>
      <c r="W95" s="105"/>
    </row>
    <row r="96" spans="1:23" s="102" customFormat="1">
      <c r="A96" s="351" t="str">
        <f>IF(B96="","",(IF(ISERROR(MATCH(B96,Tot_res!C:C,0)),"Eliminar!!!","")))</f>
        <v/>
      </c>
      <c r="B96" s="115" t="s">
        <v>196</v>
      </c>
      <c r="C96" s="329" t="str">
        <f>VLOOKUP(B96,Tot_res!C:D,2,FALSE)</f>
        <v>Regulación contable y de auditorias</v>
      </c>
      <c r="D96" s="332">
        <f>Gasto_o_ing_total!V96*1000/Gasto_o_ing_total!V$485</f>
        <v>0.12014848260235639</v>
      </c>
      <c r="E96" s="332">
        <f>Gasto_o_ing_total!D96*1000/Gasto_o_ing_total!D$485</f>
        <v>0.12014848260235642</v>
      </c>
      <c r="F96" s="332">
        <f>Gasto_o_ing_total!E96*1000/Gasto_o_ing_total!E$485</f>
        <v>0.12014848260235644</v>
      </c>
      <c r="G96" s="332">
        <f>Gasto_o_ing_total!F96*1000/Gasto_o_ing_total!F$485</f>
        <v>0.12014848260235644</v>
      </c>
      <c r="H96" s="332">
        <f>Gasto_o_ing_total!G96*1000/Gasto_o_ing_total!G$485</f>
        <v>0.12014848260235642</v>
      </c>
      <c r="I96" s="332">
        <f>Gasto_o_ing_total!H96*1000/Gasto_o_ing_total!H$485</f>
        <v>0.12014848260235643</v>
      </c>
      <c r="J96" s="332">
        <f>Gasto_o_ing_total!I96*1000/Gasto_o_ing_total!I$485</f>
        <v>0.12014848260235642</v>
      </c>
      <c r="K96" s="332">
        <f>Gasto_o_ing_total!J96*1000/Gasto_o_ing_total!J$485</f>
        <v>0.12014848260235642</v>
      </c>
      <c r="L96" s="332">
        <f>Gasto_o_ing_total!K96*1000/Gasto_o_ing_total!K$485</f>
        <v>0.12014848260235643</v>
      </c>
      <c r="M96" s="332">
        <f>Gasto_o_ing_total!L96*1000/Gasto_o_ing_total!L$485</f>
        <v>0.12014848260235644</v>
      </c>
      <c r="N96" s="332">
        <f>Gasto_o_ing_total!M96*1000/Gasto_o_ing_total!M$485</f>
        <v>0.12014848260235642</v>
      </c>
      <c r="O96" s="332">
        <f>Gasto_o_ing_total!N96*1000/Gasto_o_ing_total!N$485</f>
        <v>0.12014848260235644</v>
      </c>
      <c r="P96" s="332">
        <f>Gasto_o_ing_total!O96*1000/Gasto_o_ing_total!O$485</f>
        <v>0.12014848260235642</v>
      </c>
      <c r="Q96" s="332">
        <f>Gasto_o_ing_total!P96*1000/Gasto_o_ing_total!P$485</f>
        <v>0.12014848260235643</v>
      </c>
      <c r="R96" s="332">
        <f>Gasto_o_ing_total!Q96*1000/Gasto_o_ing_total!Q$485</f>
        <v>0.12014848260235644</v>
      </c>
      <c r="S96" s="332">
        <f>Gasto_o_ing_total!R96*1000/Gasto_o_ing_total!R$485</f>
        <v>0.12014848260235643</v>
      </c>
      <c r="T96" s="332">
        <f>Gasto_o_ing_total!S96*1000/Gasto_o_ing_total!S$485</f>
        <v>0.12014848260235642</v>
      </c>
      <c r="U96" s="332">
        <f>Gasto_o_ing_total!T96*1000/Gasto_o_ing_total!T$485</f>
        <v>0.12014848260235643</v>
      </c>
      <c r="V96" s="332">
        <f>Gasto_o_ing_total!U96*1000/Gasto_o_ing_total!U$485</f>
        <v>0.12014848260235643</v>
      </c>
      <c r="W96" s="105"/>
    </row>
    <row r="97" spans="1:23" s="102" customFormat="1">
      <c r="A97" s="351" t="str">
        <f>IF(B97="","",(IF(ISERROR(MATCH(B97,Tot_res!C:C,0)),"Eliminar!!!","")))</f>
        <v/>
      </c>
      <c r="B97" s="115" t="s">
        <v>468</v>
      </c>
      <c r="C97" s="329" t="str">
        <f>VLOOKUP(B97,Tot_res!C:D,2,FALSE)</f>
        <v>Regulación del juego</v>
      </c>
      <c r="D97" s="332">
        <f>Gasto_o_ing_total!V97*1000/Gasto_o_ing_total!V$485</f>
        <v>0.1351355369881338</v>
      </c>
      <c r="E97" s="332">
        <f>Gasto_o_ing_total!D97*1000/Gasto_o_ing_total!D$485</f>
        <v>0.13513553698813383</v>
      </c>
      <c r="F97" s="332">
        <f>Gasto_o_ing_total!E97*1000/Gasto_o_ing_total!E$485</f>
        <v>0.13513553698813383</v>
      </c>
      <c r="G97" s="332">
        <f>Gasto_o_ing_total!F97*1000/Gasto_o_ing_total!F$485</f>
        <v>0.13513553698813385</v>
      </c>
      <c r="H97" s="332">
        <f>Gasto_o_ing_total!G97*1000/Gasto_o_ing_total!G$485</f>
        <v>0.13513553698813383</v>
      </c>
      <c r="I97" s="332">
        <f>Gasto_o_ing_total!H97*1000/Gasto_o_ing_total!H$485</f>
        <v>0.13513553698813383</v>
      </c>
      <c r="J97" s="332">
        <f>Gasto_o_ing_total!I97*1000/Gasto_o_ing_total!I$485</f>
        <v>0.13513553698813385</v>
      </c>
      <c r="K97" s="332">
        <f>Gasto_o_ing_total!J97*1000/Gasto_o_ing_total!J$485</f>
        <v>0.13513553698813383</v>
      </c>
      <c r="L97" s="332">
        <f>Gasto_o_ing_total!K97*1000/Gasto_o_ing_total!K$485</f>
        <v>0.13513553698813385</v>
      </c>
      <c r="M97" s="332">
        <f>Gasto_o_ing_total!L97*1000/Gasto_o_ing_total!L$485</f>
        <v>0.13513553698813383</v>
      </c>
      <c r="N97" s="332">
        <f>Gasto_o_ing_total!M97*1000/Gasto_o_ing_total!M$485</f>
        <v>0.13513553698813383</v>
      </c>
      <c r="O97" s="332">
        <f>Gasto_o_ing_total!N97*1000/Gasto_o_ing_total!N$485</f>
        <v>0.13513553698813383</v>
      </c>
      <c r="P97" s="332">
        <f>Gasto_o_ing_total!O97*1000/Gasto_o_ing_total!O$485</f>
        <v>0.1351355369881338</v>
      </c>
      <c r="Q97" s="332">
        <f>Gasto_o_ing_total!P97*1000/Gasto_o_ing_total!P$485</f>
        <v>0.13513553698813385</v>
      </c>
      <c r="R97" s="332">
        <f>Gasto_o_ing_total!Q97*1000/Gasto_o_ing_total!Q$485</f>
        <v>0.13513553698813383</v>
      </c>
      <c r="S97" s="332">
        <f>Gasto_o_ing_total!R97*1000/Gasto_o_ing_total!R$485</f>
        <v>0.13513553698813383</v>
      </c>
      <c r="T97" s="332">
        <f>Gasto_o_ing_total!S97*1000/Gasto_o_ing_total!S$485</f>
        <v>0.13513553698813383</v>
      </c>
      <c r="U97" s="332">
        <f>Gasto_o_ing_total!T97*1000/Gasto_o_ing_total!T$485</f>
        <v>0.13513553698813383</v>
      </c>
      <c r="V97" s="332">
        <f>Gasto_o_ing_total!U97*1000/Gasto_o_ing_total!U$485</f>
        <v>0.13513553698813385</v>
      </c>
      <c r="W97" s="105"/>
    </row>
    <row r="98" spans="1:23" s="102" customFormat="1">
      <c r="A98" s="351" t="str">
        <f>IF(B98="","",(IF(ISERROR(MATCH(B98,Tot_res!C:C,0)),"Eliminar!!!","")))</f>
        <v/>
      </c>
      <c r="B98" s="115" t="s">
        <v>197</v>
      </c>
      <c r="C98" s="329" t="str">
        <f>VLOOKUP(B98,Tot_res!C:D,2,FALSE)</f>
        <v>Comisión Nacional del Mercado de Valores, CNMV</v>
      </c>
      <c r="D98" s="332">
        <f>Gasto_o_ing_total!V98*1000/Gasto_o_ing_total!V$485</f>
        <v>0.86438647731224283</v>
      </c>
      <c r="E98" s="332">
        <f>Gasto_o_ing_total!D98*1000/Gasto_o_ing_total!D$485</f>
        <v>0.86438647731224261</v>
      </c>
      <c r="F98" s="332">
        <f>Gasto_o_ing_total!E98*1000/Gasto_o_ing_total!E$485</f>
        <v>0.86438647731224283</v>
      </c>
      <c r="G98" s="332">
        <f>Gasto_o_ing_total!F98*1000/Gasto_o_ing_total!F$485</f>
        <v>0.86438647731224272</v>
      </c>
      <c r="H98" s="332">
        <f>Gasto_o_ing_total!G98*1000/Gasto_o_ing_total!G$485</f>
        <v>0.86438647731224261</v>
      </c>
      <c r="I98" s="332">
        <f>Gasto_o_ing_total!H98*1000/Gasto_o_ing_total!H$485</f>
        <v>0.86438647731224261</v>
      </c>
      <c r="J98" s="332">
        <f>Gasto_o_ing_total!I98*1000/Gasto_o_ing_total!I$485</f>
        <v>0.86438647731224272</v>
      </c>
      <c r="K98" s="332">
        <f>Gasto_o_ing_total!J98*1000/Gasto_o_ing_total!J$485</f>
        <v>0.86438647731224261</v>
      </c>
      <c r="L98" s="332">
        <f>Gasto_o_ing_total!K98*1000/Gasto_o_ing_total!K$485</f>
        <v>0.86438647731224272</v>
      </c>
      <c r="M98" s="332">
        <f>Gasto_o_ing_total!L98*1000/Gasto_o_ing_total!L$485</f>
        <v>0.86438647731224272</v>
      </c>
      <c r="N98" s="332">
        <f>Gasto_o_ing_total!M98*1000/Gasto_o_ing_total!M$485</f>
        <v>0.86438647731224272</v>
      </c>
      <c r="O98" s="332">
        <f>Gasto_o_ing_total!N98*1000/Gasto_o_ing_total!N$485</f>
        <v>0.86438647731224261</v>
      </c>
      <c r="P98" s="332">
        <f>Gasto_o_ing_total!O98*1000/Gasto_o_ing_total!O$485</f>
        <v>0.86438647731224261</v>
      </c>
      <c r="Q98" s="332">
        <f>Gasto_o_ing_total!P98*1000/Gasto_o_ing_total!P$485</f>
        <v>0.86438647731224261</v>
      </c>
      <c r="R98" s="332">
        <f>Gasto_o_ing_total!Q98*1000/Gasto_o_ing_total!Q$485</f>
        <v>0.86438647731224272</v>
      </c>
      <c r="S98" s="332">
        <f>Gasto_o_ing_total!R98*1000/Gasto_o_ing_total!R$485</f>
        <v>0.86438647731224272</v>
      </c>
      <c r="T98" s="332">
        <f>Gasto_o_ing_total!S98*1000/Gasto_o_ing_total!S$485</f>
        <v>0.86438647731224272</v>
      </c>
      <c r="U98" s="332">
        <f>Gasto_o_ing_total!T98*1000/Gasto_o_ing_total!T$485</f>
        <v>0.86438647731224272</v>
      </c>
      <c r="V98" s="332">
        <f>Gasto_o_ing_total!U98*1000/Gasto_o_ing_total!U$485</f>
        <v>0.86438647731224272</v>
      </c>
      <c r="W98" s="105"/>
    </row>
    <row r="99" spans="1:23" s="102" customFormat="1">
      <c r="A99" s="351" t="str">
        <f>IF(B99="","",(IF(ISERROR(MATCH(B99,Tot_res!C:C,0)),"Eliminar!!!","")))</f>
        <v/>
      </c>
      <c r="B99" s="115" t="s">
        <v>198</v>
      </c>
      <c r="C99" s="329" t="str">
        <f>VLOOKUP(B99,Tot_res!C:D,2,FALSE)</f>
        <v>Banco de España</v>
      </c>
      <c r="D99" s="332">
        <f>Gasto_o_ing_total!V99*1000/Gasto_o_ing_total!V$485</f>
        <v>9.9229383341247868</v>
      </c>
      <c r="E99" s="332">
        <f>Gasto_o_ing_total!D99*1000/Gasto_o_ing_total!D$485</f>
        <v>9.922938334124785</v>
      </c>
      <c r="F99" s="332">
        <f>Gasto_o_ing_total!E99*1000/Gasto_o_ing_total!E$485</f>
        <v>9.9229383341247868</v>
      </c>
      <c r="G99" s="332">
        <f>Gasto_o_ing_total!F99*1000/Gasto_o_ing_total!F$485</f>
        <v>9.9229383341247868</v>
      </c>
      <c r="H99" s="332">
        <f>Gasto_o_ing_total!G99*1000/Gasto_o_ing_total!G$485</f>
        <v>9.9229383341247868</v>
      </c>
      <c r="I99" s="332">
        <f>Gasto_o_ing_total!H99*1000/Gasto_o_ing_total!H$485</f>
        <v>9.9229383341247868</v>
      </c>
      <c r="J99" s="332">
        <f>Gasto_o_ing_total!I99*1000/Gasto_o_ing_total!I$485</f>
        <v>9.9229383341247868</v>
      </c>
      <c r="K99" s="332">
        <f>Gasto_o_ing_total!J99*1000/Gasto_o_ing_total!J$485</f>
        <v>9.9229383341247868</v>
      </c>
      <c r="L99" s="332">
        <f>Gasto_o_ing_total!K99*1000/Gasto_o_ing_total!K$485</f>
        <v>9.9229383341247868</v>
      </c>
      <c r="M99" s="332">
        <f>Gasto_o_ing_total!L99*1000/Gasto_o_ing_total!L$485</f>
        <v>9.9229383341247885</v>
      </c>
      <c r="N99" s="332">
        <f>Gasto_o_ing_total!M99*1000/Gasto_o_ing_total!M$485</f>
        <v>9.9229383341247868</v>
      </c>
      <c r="O99" s="332">
        <f>Gasto_o_ing_total!N99*1000/Gasto_o_ing_total!N$485</f>
        <v>9.9229383341247868</v>
      </c>
      <c r="P99" s="332">
        <f>Gasto_o_ing_total!O99*1000/Gasto_o_ing_total!O$485</f>
        <v>9.9229383341247868</v>
      </c>
      <c r="Q99" s="332">
        <f>Gasto_o_ing_total!P99*1000/Gasto_o_ing_total!P$485</f>
        <v>9.9229383341247868</v>
      </c>
      <c r="R99" s="332">
        <f>Gasto_o_ing_total!Q99*1000/Gasto_o_ing_total!Q$485</f>
        <v>9.9229383341247868</v>
      </c>
      <c r="S99" s="332">
        <f>Gasto_o_ing_total!R99*1000/Gasto_o_ing_total!R$485</f>
        <v>9.9229383341247868</v>
      </c>
      <c r="T99" s="332">
        <f>Gasto_o_ing_total!S99*1000/Gasto_o_ing_total!S$485</f>
        <v>9.9229383341247868</v>
      </c>
      <c r="U99" s="332">
        <f>Gasto_o_ing_total!T99*1000/Gasto_o_ing_total!T$485</f>
        <v>9.922938334124785</v>
      </c>
      <c r="V99" s="332">
        <f>Gasto_o_ing_total!U99*1000/Gasto_o_ing_total!U$485</f>
        <v>9.9229383341247868</v>
      </c>
      <c r="W99" s="105"/>
    </row>
    <row r="100" spans="1:23" s="102" customFormat="1">
      <c r="A100" s="351" t="str">
        <f>IF(B100="","",(IF(ISERROR(MATCH(B100,Tot_res!C:C,0)),"Eliminar!!!","")))</f>
        <v/>
      </c>
      <c r="B100" s="115" t="s">
        <v>1191</v>
      </c>
      <c r="C100" s="329" t="str">
        <f>VLOOKUP(B100,Tot_res!C:D,2,FALSE)</f>
        <v>Control y supervisión de la política fiscal</v>
      </c>
      <c r="D100" s="332">
        <f>Gasto_o_ing_total!V100*1000/Gasto_o_ing_total!V$485</f>
        <v>3.3274029903917549E-2</v>
      </c>
      <c r="E100" s="332">
        <f>Gasto_o_ing_total!D100*1000/Gasto_o_ing_total!D$485</f>
        <v>3.3274029903917542E-2</v>
      </c>
      <c r="F100" s="332">
        <f>Gasto_o_ing_total!E100*1000/Gasto_o_ing_total!E$485</f>
        <v>3.3274029903917555E-2</v>
      </c>
      <c r="G100" s="332">
        <f>Gasto_o_ing_total!F100*1000/Gasto_o_ing_total!F$485</f>
        <v>3.3274029903917555E-2</v>
      </c>
      <c r="H100" s="332">
        <f>Gasto_o_ing_total!G100*1000/Gasto_o_ing_total!G$485</f>
        <v>3.3274029903917549E-2</v>
      </c>
      <c r="I100" s="332">
        <f>Gasto_o_ing_total!H100*1000/Gasto_o_ing_total!H$485</f>
        <v>3.3274029903917549E-2</v>
      </c>
      <c r="J100" s="332">
        <f>Gasto_o_ing_total!I100*1000/Gasto_o_ing_total!I$485</f>
        <v>3.3274029903917549E-2</v>
      </c>
      <c r="K100" s="332">
        <f>Gasto_o_ing_total!J100*1000/Gasto_o_ing_total!J$485</f>
        <v>3.3274029903917542E-2</v>
      </c>
      <c r="L100" s="332">
        <f>Gasto_o_ing_total!K100*1000/Gasto_o_ing_total!K$485</f>
        <v>3.3274029903917549E-2</v>
      </c>
      <c r="M100" s="332">
        <f>Gasto_o_ing_total!L100*1000/Gasto_o_ing_total!L$485</f>
        <v>3.3274029903917549E-2</v>
      </c>
      <c r="N100" s="332">
        <f>Gasto_o_ing_total!M100*1000/Gasto_o_ing_total!M$485</f>
        <v>3.3274029903917549E-2</v>
      </c>
      <c r="O100" s="332">
        <f>Gasto_o_ing_total!N100*1000/Gasto_o_ing_total!N$485</f>
        <v>3.3274029903917549E-2</v>
      </c>
      <c r="P100" s="332">
        <f>Gasto_o_ing_total!O100*1000/Gasto_o_ing_total!O$485</f>
        <v>3.3274029903917549E-2</v>
      </c>
      <c r="Q100" s="332">
        <f>Gasto_o_ing_total!P100*1000/Gasto_o_ing_total!P$485</f>
        <v>3.3274029903917549E-2</v>
      </c>
      <c r="R100" s="332">
        <f>Gasto_o_ing_total!Q100*1000/Gasto_o_ing_total!Q$485</f>
        <v>3.3274029903917549E-2</v>
      </c>
      <c r="S100" s="332">
        <f>Gasto_o_ing_total!R100*1000/Gasto_o_ing_total!R$485</f>
        <v>3.3274029903917549E-2</v>
      </c>
      <c r="T100" s="332">
        <f>Gasto_o_ing_total!S100*1000/Gasto_o_ing_total!S$485</f>
        <v>3.3274029903917549E-2</v>
      </c>
      <c r="U100" s="332">
        <f>Gasto_o_ing_total!T100*1000/Gasto_o_ing_total!T$485</f>
        <v>3.3274029903917549E-2</v>
      </c>
      <c r="V100" s="332">
        <f>Gasto_o_ing_total!U100*1000/Gasto_o_ing_total!U$485</f>
        <v>3.3274029903917555E-2</v>
      </c>
      <c r="W100" s="105"/>
    </row>
    <row r="101" spans="1:23"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2"/>
      <c r="B103" s="115"/>
      <c r="C103" s="134" t="s">
        <v>77</v>
      </c>
      <c r="D103" s="110">
        <f>Gasto_o_ing_total!V103*1000/Gasto_o_ing_total!V$485</f>
        <v>3820.9652256926884</v>
      </c>
      <c r="E103" s="110">
        <f>Gasto_o_ing_total!D103*1000/Gasto_o_ing_total!D$485</f>
        <v>3473.5770430151993</v>
      </c>
      <c r="F103" s="110">
        <f>Gasto_o_ing_total!E103*1000/Gasto_o_ing_total!E$485</f>
        <v>4202.056996116421</v>
      </c>
      <c r="G103" s="110">
        <f>Gasto_o_ing_total!F103*1000/Gasto_o_ing_total!F$485</f>
        <v>3998.4093585672936</v>
      </c>
      <c r="H103" s="110">
        <f>Gasto_o_ing_total!G103*1000/Gasto_o_ing_total!G$485</f>
        <v>4078.6408715206353</v>
      </c>
      <c r="I103" s="110">
        <f>Gasto_o_ing_total!H103*1000/Gasto_o_ing_total!H$485</f>
        <v>4507.2506103596806</v>
      </c>
      <c r="J103" s="110">
        <f>Gasto_o_ing_total!I103*1000/Gasto_o_ing_total!I$485</f>
        <v>4216.1852675064065</v>
      </c>
      <c r="K103" s="110">
        <f>Gasto_o_ing_total!J103*1000/Gasto_o_ing_total!J$485</f>
        <v>4235.0301369080089</v>
      </c>
      <c r="L103" s="110">
        <f>Gasto_o_ing_total!K103*1000/Gasto_o_ing_total!K$485</f>
        <v>3625.0796019686632</v>
      </c>
      <c r="M103" s="110">
        <f>Gasto_o_ing_total!L103*1000/Gasto_o_ing_total!L$485</f>
        <v>3695.224831727046</v>
      </c>
      <c r="N103" s="110">
        <f>Gasto_o_ing_total!M103*1000/Gasto_o_ing_total!M$485</f>
        <v>3248.0669649972574</v>
      </c>
      <c r="O103" s="110">
        <f>Gasto_o_ing_total!N103*1000/Gasto_o_ing_total!N$485</f>
        <v>4182.5926092286136</v>
      </c>
      <c r="P103" s="110">
        <f>Gasto_o_ing_total!O103*1000/Gasto_o_ing_total!O$485</f>
        <v>3945.6725956758446</v>
      </c>
      <c r="Q103" s="110">
        <f>Gasto_o_ing_total!P103*1000/Gasto_o_ing_total!P$485</f>
        <v>3472.7980652144483</v>
      </c>
      <c r="R103" s="110">
        <f>Gasto_o_ing_total!Q103*1000/Gasto_o_ing_total!Q$485</f>
        <v>3312.8543511318694</v>
      </c>
      <c r="S103" s="110">
        <f>Gasto_o_ing_total!R103*1000/Gasto_o_ing_total!R$485</f>
        <v>4696.4917278133526</v>
      </c>
      <c r="T103" s="110">
        <f>Gasto_o_ing_total!S103*1000/Gasto_o_ing_total!S$485</f>
        <v>5922.7044313114866</v>
      </c>
      <c r="U103" s="110">
        <f>Gasto_o_ing_total!T103*1000/Gasto_o_ing_total!T$485</f>
        <v>4109.2579021568426</v>
      </c>
      <c r="V103" s="110">
        <f>Gasto_o_ing_total!U103*1000/Gasto_o_ing_total!U$485</f>
        <v>6459.8460085670977</v>
      </c>
      <c r="W103" s="114"/>
    </row>
    <row r="104" spans="1:23" s="102" customFormat="1">
      <c r="A104" s="352"/>
      <c r="B104" s="115"/>
      <c r="C104" s="134" t="s">
        <v>44</v>
      </c>
      <c r="D104" s="110">
        <f>Gasto_o_ing_total!V104*1000/Gasto_o_ing_total!V$485</f>
        <v>3787.00943581204</v>
      </c>
      <c r="E104" s="110">
        <f>Gasto_o_ing_total!D104*1000/Gasto_o_ing_total!D$485</f>
        <v>3401.6141391626538</v>
      </c>
      <c r="F104" s="110">
        <f>Gasto_o_ing_total!E104*1000/Gasto_o_ing_total!E$485</f>
        <v>4105.1170226395534</v>
      </c>
      <c r="G104" s="110">
        <f>Gasto_o_ing_total!F104*1000/Gasto_o_ing_total!F$485</f>
        <v>3906.4058631481835</v>
      </c>
      <c r="H104" s="110">
        <f>Gasto_o_ing_total!G104*1000/Gasto_o_ing_total!G$485</f>
        <v>3898.9243166193824</v>
      </c>
      <c r="I104" s="110">
        <f>Gasto_o_ing_total!H104*1000/Gasto_o_ing_total!H$485</f>
        <v>4458.8798822650251</v>
      </c>
      <c r="J104" s="110">
        <f>Gasto_o_ing_total!I104*1000/Gasto_o_ing_total!I$485</f>
        <v>4149.727149899446</v>
      </c>
      <c r="K104" s="110">
        <f>Gasto_o_ing_total!J104*1000/Gasto_o_ing_total!J$485</f>
        <v>4170.3785178184462</v>
      </c>
      <c r="L104" s="110">
        <f>Gasto_o_ing_total!K104*1000/Gasto_o_ing_total!K$485</f>
        <v>3614.8159979229522</v>
      </c>
      <c r="M104" s="110">
        <f>Gasto_o_ing_total!L104*1000/Gasto_o_ing_total!L$485</f>
        <v>3578.3445663219441</v>
      </c>
      <c r="N104" s="110">
        <f>Gasto_o_ing_total!M104*1000/Gasto_o_ing_total!M$485</f>
        <v>3139.7567408150317</v>
      </c>
      <c r="O104" s="110">
        <f>Gasto_o_ing_total!N104*1000/Gasto_o_ing_total!N$485</f>
        <v>4032.295022210335</v>
      </c>
      <c r="P104" s="110">
        <f>Gasto_o_ing_total!O104*1000/Gasto_o_ing_total!O$485</f>
        <v>3850.9203462843352</v>
      </c>
      <c r="Q104" s="110">
        <f>Gasto_o_ing_total!P104*1000/Gasto_o_ing_total!P$485</f>
        <v>3546.7666944441103</v>
      </c>
      <c r="R104" s="110">
        <f>Gasto_o_ing_total!Q104*1000/Gasto_o_ing_total!Q$485</f>
        <v>3195.2570206537011</v>
      </c>
      <c r="S104" s="110">
        <f>Gasto_o_ing_total!R104*1000/Gasto_o_ing_total!R$485</f>
        <v>5375.2714736054058</v>
      </c>
      <c r="T104" s="110">
        <f>Gasto_o_ing_total!S104*1000/Gasto_o_ing_total!S$485</f>
        <v>6328.8608357481708</v>
      </c>
      <c r="U104" s="110">
        <f>Gasto_o_ing_total!T104*1000/Gasto_o_ing_total!T$485</f>
        <v>4047.1572707682908</v>
      </c>
      <c r="V104" s="110">
        <f>Gasto_o_ing_total!U104*1000/Gasto_o_ing_total!U$485</f>
        <v>6459.8460085670977</v>
      </c>
      <c r="W104" s="105"/>
    </row>
    <row r="105" spans="1:23"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ht="13.5">
      <c r="A106" s="352"/>
      <c r="B106" s="115"/>
      <c r="C106" s="128" t="s">
        <v>43</v>
      </c>
      <c r="D106" s="113">
        <f>Gasto_o_ing_total!V106*1000/Gasto_o_ing_total!V$485</f>
        <v>2204.4947789051657</v>
      </c>
      <c r="E106" s="113">
        <f>Gasto_o_ing_total!D106*1000/Gasto_o_ing_total!D$485</f>
        <v>1987.0339972758625</v>
      </c>
      <c r="F106" s="113">
        <f>Gasto_o_ing_total!E106*1000/Gasto_o_ing_total!E$485</f>
        <v>2374.5601130190958</v>
      </c>
      <c r="G106" s="113">
        <f>Gasto_o_ing_total!F106*1000/Gasto_o_ing_total!F$485</f>
        <v>2340.6609987894954</v>
      </c>
      <c r="H106" s="113">
        <f>Gasto_o_ing_total!G106*1000/Gasto_o_ing_total!G$485</f>
        <v>2254.4064033537143</v>
      </c>
      <c r="I106" s="113">
        <f>Gasto_o_ing_total!H106*1000/Gasto_o_ing_total!H$485</f>
        <v>2292.8189478656336</v>
      </c>
      <c r="J106" s="113">
        <f>Gasto_o_ing_total!I106*1000/Gasto_o_ing_total!I$485</f>
        <v>2584.2686116186132</v>
      </c>
      <c r="K106" s="113">
        <f>Gasto_o_ing_total!J106*1000/Gasto_o_ing_total!J$485</f>
        <v>2404.7473924760316</v>
      </c>
      <c r="L106" s="113">
        <f>Gasto_o_ing_total!K106*1000/Gasto_o_ing_total!K$485</f>
        <v>2138.9930980204567</v>
      </c>
      <c r="M106" s="113">
        <f>Gasto_o_ing_total!L106*1000/Gasto_o_ing_total!L$485</f>
        <v>2039.200435852008</v>
      </c>
      <c r="N106" s="113">
        <f>Gasto_o_ing_total!M106*1000/Gasto_o_ing_total!M$485</f>
        <v>1906.1110379396566</v>
      </c>
      <c r="O106" s="113">
        <f>Gasto_o_ing_total!N106*1000/Gasto_o_ing_total!N$485</f>
        <v>2554.0190898667106</v>
      </c>
      <c r="P106" s="113">
        <f>Gasto_o_ing_total!O106*1000/Gasto_o_ing_total!O$485</f>
        <v>2376.7751386515783</v>
      </c>
      <c r="Q106" s="113">
        <f>Gasto_o_ing_total!P106*1000/Gasto_o_ing_total!P$485</f>
        <v>1808.9013210426333</v>
      </c>
      <c r="R106" s="113">
        <f>Gasto_o_ing_total!Q106*1000/Gasto_o_ing_total!Q$485</f>
        <v>1957.2464896067913</v>
      </c>
      <c r="S106" s="113">
        <f>Gasto_o_ing_total!R106*1000/Gasto_o_ing_total!R$485</f>
        <v>3054.9770791033657</v>
      </c>
      <c r="T106" s="113">
        <f>Gasto_o_ing_total!S106*1000/Gasto_o_ing_total!S$485</f>
        <v>4248.0882158988143</v>
      </c>
      <c r="U106" s="113">
        <f>Gasto_o_ing_total!T106*1000/Gasto_o_ing_total!T$485</f>
        <v>2481.226420420729</v>
      </c>
      <c r="V106" s="113">
        <f>Gasto_o_ing_total!U106*1000/Gasto_o_ing_total!U$485</f>
        <v>4062.0646567481826</v>
      </c>
      <c r="W106" s="105"/>
    </row>
    <row r="107" spans="1:23"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ht="13.5">
      <c r="A108" s="352"/>
      <c r="B108" s="115"/>
      <c r="C108" s="128" t="s">
        <v>200</v>
      </c>
      <c r="D108" s="113">
        <f>Gasto_o_ing_total!V108*1000/Gasto_o_ing_total!V$485</f>
        <v>1998.6306005074139</v>
      </c>
      <c r="E108" s="113">
        <f>Gasto_o_ing_total!D108*1000/Gasto_o_ing_total!D$485</f>
        <v>2011.9800592442252</v>
      </c>
      <c r="F108" s="113">
        <f>Gasto_o_ing_total!E108*1000/Gasto_o_ing_total!E$485</f>
        <v>2342.6643449635867</v>
      </c>
      <c r="G108" s="113">
        <f>Gasto_o_ing_total!F108*1000/Gasto_o_ing_total!F$485</f>
        <v>2320.6873979663142</v>
      </c>
      <c r="H108" s="113">
        <f>Gasto_o_ing_total!G108*1000/Gasto_o_ing_total!G$485</f>
        <v>2125.8888106530394</v>
      </c>
      <c r="I108" s="113">
        <f>Gasto_o_ing_total!H108*1000/Gasto_o_ing_total!H$485</f>
        <v>2376.3507833859931</v>
      </c>
      <c r="J108" s="113">
        <f>Gasto_o_ing_total!I108*1000/Gasto_o_ing_total!I$485</f>
        <v>2745.7801580961836</v>
      </c>
      <c r="K108" s="113">
        <f>Gasto_o_ing_total!J108*1000/Gasto_o_ing_total!J$485</f>
        <v>2346.3845064284214</v>
      </c>
      <c r="L108" s="113">
        <f>Gasto_o_ing_total!K108*1000/Gasto_o_ing_total!K$485</f>
        <v>2134.3117420244971</v>
      </c>
      <c r="M108" s="113">
        <f>Gasto_o_ing_total!L108*1000/Gasto_o_ing_total!L$485</f>
        <v>2208.0983059246951</v>
      </c>
      <c r="N108" s="113">
        <f>Gasto_o_ing_total!M108*1000/Gasto_o_ing_total!M$485</f>
        <v>1840.8966772220365</v>
      </c>
      <c r="O108" s="113">
        <f>Gasto_o_ing_total!N108*1000/Gasto_o_ing_total!N$485</f>
        <v>2410.9538301161292</v>
      </c>
      <c r="P108" s="113">
        <f>Gasto_o_ing_total!O108*1000/Gasto_o_ing_total!O$485</f>
        <v>2365.1831698919041</v>
      </c>
      <c r="Q108" s="113">
        <f>Gasto_o_ing_total!P108*1000/Gasto_o_ing_total!P$485</f>
        <v>2039.9321877347031</v>
      </c>
      <c r="R108" s="113">
        <f>Gasto_o_ing_total!Q108*1000/Gasto_o_ing_total!Q$485</f>
        <v>1852.1491189957082</v>
      </c>
      <c r="S108" s="113">
        <f>Gasto_o_ing_total!R108*1000/Gasto_o_ing_total!R$485</f>
        <v>0</v>
      </c>
      <c r="T108" s="113">
        <f>Gasto_o_ing_total!S108*1000/Gasto_o_ing_total!S$485</f>
        <v>0</v>
      </c>
      <c r="U108" s="113">
        <f>Gasto_o_ing_total!T108*1000/Gasto_o_ing_total!T$485</f>
        <v>2638.1020900742146</v>
      </c>
      <c r="V108" s="113">
        <f>Gasto_o_ing_total!U108*1000/Gasto_o_ing_total!U$485</f>
        <v>427.62403519991523</v>
      </c>
      <c r="W108" s="105"/>
    </row>
    <row r="109" spans="1:23" s="102" customFormat="1">
      <c r="A109" s="351" t="str">
        <f>IF(B109="","",(IF(ISERROR(MATCH(B109,Tot_res!C:C,0)),"Eliminar!!!","")))</f>
        <v/>
      </c>
      <c r="B109" s="102" t="s">
        <v>981</v>
      </c>
      <c r="C109" s="329" t="str">
        <f>VLOOKUP(B109,Tot_res!C:D,2,FALSE)</f>
        <v>Transferencias a Comunidades Autónomas por participación en ingresos del Estado</v>
      </c>
      <c r="D109" s="332">
        <f>Gasto_o_ing_total!V109*1000/Gasto_o_ing_total!V$485</f>
        <v>341.84448557071505</v>
      </c>
      <c r="E109" s="332">
        <f>Gasto_o_ing_total!D109*1000/Gasto_o_ing_total!D$485</f>
        <v>586.41523934270037</v>
      </c>
      <c r="F109" s="332">
        <f>Gasto_o_ing_total!E109*1000/Gasto_o_ing_total!E$485</f>
        <v>316.36154503274781</v>
      </c>
      <c r="G109" s="332">
        <f>Gasto_o_ing_total!F109*1000/Gasto_o_ing_total!F$485</f>
        <v>350.68762662300009</v>
      </c>
      <c r="H109" s="332">
        <f>Gasto_o_ing_total!G109*1000/Gasto_o_ing_total!G$485</f>
        <v>303.54406331567111</v>
      </c>
      <c r="I109" s="332">
        <f>Gasto_o_ing_total!H109*1000/Gasto_o_ing_total!H$485</f>
        <v>1292.4662243393232</v>
      </c>
      <c r="J109" s="332">
        <f>Gasto_o_ing_total!I109*1000/Gasto_o_ing_total!I$485</f>
        <v>789.90807830742824</v>
      </c>
      <c r="K109" s="332">
        <f>Gasto_o_ing_total!J109*1000/Gasto_o_ing_total!J$485</f>
        <v>539.62182426177435</v>
      </c>
      <c r="L109" s="332">
        <f>Gasto_o_ing_total!K109*1000/Gasto_o_ing_total!K$485</f>
        <v>567.18135263117961</v>
      </c>
      <c r="M109" s="332">
        <f>Gasto_o_ing_total!L109*1000/Gasto_o_ing_total!L$485</f>
        <v>64.207464872084643</v>
      </c>
      <c r="N109" s="332">
        <f>Gasto_o_ing_total!M109*1000/Gasto_o_ing_total!M$485</f>
        <v>442.14656180095744</v>
      </c>
      <c r="O109" s="332">
        <f>Gasto_o_ing_total!N109*1000/Gasto_o_ing_total!N$485</f>
        <v>1059.1274161930723</v>
      </c>
      <c r="P109" s="332">
        <f>Gasto_o_ing_total!O109*1000/Gasto_o_ing_total!O$485</f>
        <v>662.04992015751736</v>
      </c>
      <c r="Q109" s="332">
        <f>Gasto_o_ing_total!P109*1000/Gasto_o_ing_total!P$485</f>
        <v>-388.28499814140179</v>
      </c>
      <c r="R109" s="332">
        <f>Gasto_o_ing_total!Q109*1000/Gasto_o_ing_total!Q$485</f>
        <v>500.13175427199974</v>
      </c>
      <c r="S109" s="332">
        <f>Gasto_o_ing_total!R109*1000/Gasto_o_ing_total!R$485</f>
        <v>0</v>
      </c>
      <c r="T109" s="332">
        <f>Gasto_o_ing_total!S109*1000/Gasto_o_ing_total!S$485</f>
        <v>0</v>
      </c>
      <c r="U109" s="332">
        <f>Gasto_o_ing_total!T109*1000/Gasto_o_ing_total!T$485</f>
        <v>781.82475094134941</v>
      </c>
      <c r="V109" s="332">
        <f>Gasto_o_ing_total!U109*1000/Gasto_o_ing_total!U$485</f>
        <v>434.53876735461319</v>
      </c>
      <c r="W109" s="105"/>
    </row>
    <row r="110" spans="1:23" s="102" customFormat="1">
      <c r="A110" s="351" t="str">
        <f>IF(B110="","",(IF(ISERROR(MATCH(B110,Tot_res!C:C,0)),"Eliminar!!!","")))</f>
        <v/>
      </c>
      <c r="B110" s="115" t="s">
        <v>201</v>
      </c>
      <c r="C110" s="329" t="str">
        <f>VLOOKUP(B110,Tot_res!C:D,2,FALSE)</f>
        <v>Transferencias al Estado por Fondos de Suficiencia negativos</v>
      </c>
      <c r="D110" s="332">
        <f>Gasto_o_ing_total!V110*1000/Gasto_o_ing_total!V$485</f>
        <v>-90.481607584964038</v>
      </c>
      <c r="E110" s="332">
        <f>Gasto_o_ing_total!D110*1000/Gasto_o_ing_total!D$485</f>
        <v>-34.194483208133057</v>
      </c>
      <c r="F110" s="332">
        <f>Gasto_o_ing_total!E110*1000/Gasto_o_ing_total!E$485</f>
        <v>-35.626595607196037</v>
      </c>
      <c r="G110" s="332">
        <f>Gasto_o_ing_total!F110*1000/Gasto_o_ing_total!F$485</f>
        <v>-37.08189664384745</v>
      </c>
      <c r="H110" s="332">
        <f>Gasto_o_ing_total!G110*1000/Gasto_o_ing_total!G$485</f>
        <v>-608.5930572244207</v>
      </c>
      <c r="I110" s="332">
        <f>Gasto_o_ing_total!H110*1000/Gasto_o_ing_total!H$485</f>
        <v>-30.700662321012882</v>
      </c>
      <c r="J110" s="332">
        <f>Gasto_o_ing_total!I110*1000/Gasto_o_ing_total!I$485</f>
        <v>-20.697867025604111</v>
      </c>
      <c r="K110" s="332">
        <f>Gasto_o_ing_total!J110*1000/Gasto_o_ing_total!J$485</f>
        <v>-38.059191961411294</v>
      </c>
      <c r="L110" s="332">
        <f>Gasto_o_ing_total!K110*1000/Gasto_o_ing_total!K$485</f>
        <v>-37.352306166413953</v>
      </c>
      <c r="M110" s="332">
        <f>Gasto_o_ing_total!L110*1000/Gasto_o_ing_total!L$485</f>
        <v>-37.714888193651845</v>
      </c>
      <c r="N110" s="332">
        <f>Gasto_o_ing_total!M110*1000/Gasto_o_ing_total!M$485</f>
        <v>-291.48280035727686</v>
      </c>
      <c r="O110" s="332">
        <f>Gasto_o_ing_total!N110*1000/Gasto_o_ing_total!N$485</f>
        <v>-33.625372071609014</v>
      </c>
      <c r="P110" s="332">
        <f>Gasto_o_ing_total!O110*1000/Gasto_o_ing_total!O$485</f>
        <v>-37.067130684274993</v>
      </c>
      <c r="Q110" s="332">
        <f>Gasto_o_ing_total!P110*1000/Gasto_o_ing_total!P$485</f>
        <v>-128.07120416220505</v>
      </c>
      <c r="R110" s="332">
        <f>Gasto_o_ing_total!Q110*1000/Gasto_o_ing_total!Q$485</f>
        <v>-149.97585401481746</v>
      </c>
      <c r="S110" s="332">
        <f>Gasto_o_ing_total!R110*1000/Gasto_o_ing_total!R$485</f>
        <v>0</v>
      </c>
      <c r="T110" s="332">
        <f>Gasto_o_ing_total!S110*1000/Gasto_o_ing_total!S$485</f>
        <v>0</v>
      </c>
      <c r="U110" s="332">
        <f>Gasto_o_ing_total!T110*1000/Gasto_o_ing_total!T$485</f>
        <v>-27.564987241669353</v>
      </c>
      <c r="V110" s="332">
        <f>Gasto_o_ing_total!U110*1000/Gasto_o_ing_total!U$485</f>
        <v>0</v>
      </c>
      <c r="W110" s="105"/>
    </row>
    <row r="111" spans="1:23" s="102" customFormat="1">
      <c r="A111" s="351" t="str">
        <f>IF(B111="","",(IF(ISERROR(MATCH(B111,Tot_res!C:C,0)),"Eliminar!!!","")))</f>
        <v/>
      </c>
      <c r="B111" s="115" t="s">
        <v>202</v>
      </c>
      <c r="C111" s="329" t="str">
        <f>VLOOKUP(B111,Tot_res!C:D,2,FALSE)</f>
        <v>Otros Flujos de financiación regional, en parte extrapresupuestarios</v>
      </c>
      <c r="D111" s="332">
        <f>Gasto_o_ing_total!V111*1000/Gasto_o_ing_total!V$485</f>
        <v>-49.594457082365551</v>
      </c>
      <c r="E111" s="332">
        <f>Gasto_o_ing_total!D111*1000/Gasto_o_ing_total!D$485</f>
        <v>-69.258996599558571</v>
      </c>
      <c r="F111" s="332">
        <f>Gasto_o_ing_total!E111*1000/Gasto_o_ing_total!E$485</f>
        <v>-65.005092250699136</v>
      </c>
      <c r="G111" s="332">
        <f>Gasto_o_ing_total!F111*1000/Gasto_o_ing_total!F$485</f>
        <v>-68.622870488905519</v>
      </c>
      <c r="H111" s="332">
        <f>Gasto_o_ing_total!G111*1000/Gasto_o_ing_total!G$485</f>
        <v>-27.901295381492371</v>
      </c>
      <c r="I111" s="332">
        <f>Gasto_o_ing_total!H111*1000/Gasto_o_ing_total!H$485</f>
        <v>-65.367429855169448</v>
      </c>
      <c r="J111" s="332">
        <f>Gasto_o_ing_total!I111*1000/Gasto_o_ing_total!I$485</f>
        <v>-79.098588813589657</v>
      </c>
      <c r="K111" s="332">
        <f>Gasto_o_ing_total!J111*1000/Gasto_o_ing_total!J$485</f>
        <v>-72.241769720075652</v>
      </c>
      <c r="L111" s="332">
        <f>Gasto_o_ing_total!K111*1000/Gasto_o_ing_total!K$485</f>
        <v>-60.216431815732129</v>
      </c>
      <c r="M111" s="332">
        <f>Gasto_o_ing_total!L111*1000/Gasto_o_ing_total!L$485</f>
        <v>-40.336466957596159</v>
      </c>
      <c r="N111" s="332">
        <f>Gasto_o_ing_total!M111*1000/Gasto_o_ing_total!M$485</f>
        <v>-44.379564315695532</v>
      </c>
      <c r="O111" s="332">
        <f>Gasto_o_ing_total!N111*1000/Gasto_o_ing_total!N$485</f>
        <v>-88.136993536070193</v>
      </c>
      <c r="P111" s="332">
        <f>Gasto_o_ing_total!O111*1000/Gasto_o_ing_total!O$485</f>
        <v>-75.153561676776064</v>
      </c>
      <c r="Q111" s="332">
        <f>Gasto_o_ing_total!P111*1000/Gasto_o_ing_total!P$485</f>
        <v>-20.730412965630823</v>
      </c>
      <c r="R111" s="332">
        <f>Gasto_o_ing_total!Q111*1000/Gasto_o_ing_total!Q$485</f>
        <v>-48.422726377301977</v>
      </c>
      <c r="S111" s="332">
        <f>Gasto_o_ing_total!R111*1000/Gasto_o_ing_total!R$485</f>
        <v>0</v>
      </c>
      <c r="T111" s="332">
        <f>Gasto_o_ing_total!S111*1000/Gasto_o_ing_total!S$485</f>
        <v>0</v>
      </c>
      <c r="U111" s="332">
        <f>Gasto_o_ing_total!T111*1000/Gasto_o_ing_total!T$485</f>
        <v>-75.473492072226477</v>
      </c>
      <c r="V111" s="332">
        <f>Gasto_o_ing_total!U111*1000/Gasto_o_ing_total!U$485</f>
        <v>-6.9147321546980862</v>
      </c>
      <c r="W111" s="105"/>
    </row>
    <row r="112" spans="1:23"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Gasto_o_ing_total!V112*1000/Gasto_o_ing_total!V$485</f>
        <v>8.1360907927229178</v>
      </c>
      <c r="E112" s="332">
        <f>Gasto_o_ing_total!D112*1000/Gasto_o_ing_total!D$485</f>
        <v>34.0213572446687</v>
      </c>
      <c r="F112" s="332">
        <f>Gasto_o_ing_total!E112*1000/Gasto_o_ing_total!E$485</f>
        <v>0</v>
      </c>
      <c r="G112" s="332">
        <f>Gasto_o_ing_total!F112*1000/Gasto_o_ing_total!F$485</f>
        <v>0</v>
      </c>
      <c r="H112" s="332">
        <f>Gasto_o_ing_total!G112*1000/Gasto_o_ing_total!G$485</f>
        <v>0</v>
      </c>
      <c r="I112" s="332">
        <f>Gasto_o_ing_total!H112*1000/Gasto_o_ing_total!H$485</f>
        <v>44.771938662407102</v>
      </c>
      <c r="J112" s="332">
        <f>Gasto_o_ing_total!I112*1000/Gasto_o_ing_total!I$485</f>
        <v>0</v>
      </c>
      <c r="K112" s="332">
        <f>Gasto_o_ing_total!J112*1000/Gasto_o_ing_total!J$485</f>
        <v>0</v>
      </c>
      <c r="L112" s="332">
        <f>Gasto_o_ing_total!K112*1000/Gasto_o_ing_total!K$485</f>
        <v>0</v>
      </c>
      <c r="M112" s="332">
        <f>Gasto_o_ing_total!L112*1000/Gasto_o_ing_total!L$485</f>
        <v>0</v>
      </c>
      <c r="N112" s="332">
        <f>Gasto_o_ing_total!M112*1000/Gasto_o_ing_total!M$485</f>
        <v>0</v>
      </c>
      <c r="O112" s="332">
        <f>Gasto_o_ing_total!N112*1000/Gasto_o_ing_total!N$485</f>
        <v>0</v>
      </c>
      <c r="P112" s="332">
        <f>Gasto_o_ing_total!O112*1000/Gasto_o_ing_total!O$485</f>
        <v>0</v>
      </c>
      <c r="Q112" s="332">
        <f>Gasto_o_ing_total!P112*1000/Gasto_o_ing_total!P$485</f>
        <v>0</v>
      </c>
      <c r="R112" s="332">
        <f>Gasto_o_ing_total!Q112*1000/Gasto_o_ing_total!Q$485</f>
        <v>0</v>
      </c>
      <c r="S112" s="332">
        <f>Gasto_o_ing_total!R112*1000/Gasto_o_ing_total!R$485</f>
        <v>0</v>
      </c>
      <c r="T112" s="332">
        <f>Gasto_o_ing_total!S112*1000/Gasto_o_ing_total!S$485</f>
        <v>0</v>
      </c>
      <c r="U112" s="332">
        <f>Gasto_o_ing_total!T112*1000/Gasto_o_ing_total!T$485</f>
        <v>0</v>
      </c>
      <c r="V112" s="332">
        <f>Gasto_o_ing_total!U112*1000/Gasto_o_ing_total!U$485</f>
        <v>0</v>
      </c>
      <c r="W112" s="105"/>
    </row>
    <row r="113" spans="1:23" s="102" customFormat="1">
      <c r="A113" s="351" t="str">
        <f>IF(B113="","",(IF(ISERROR(MATCH(B113,Tot_res!C:C,0)),"Eliminar!!!","")))</f>
        <v/>
      </c>
      <c r="B113" s="115" t="s">
        <v>935</v>
      </c>
      <c r="C113" s="329" t="str">
        <f>VLOOKUP(B113,Tot_res!C:D,2,FALSE)</f>
        <v>Participación CCAARC en IRPF, sin ejercicio de la capacidad normativa</v>
      </c>
      <c r="D113" s="332">
        <f>Gasto_o_ing_total!V113*1000/Gasto_o_ing_total!V$485</f>
        <v>684.7491454566823</v>
      </c>
      <c r="E113" s="332">
        <f>Gasto_o_ing_total!D113*1000/Gasto_o_ing_total!D$485</f>
        <v>457.00957788509589</v>
      </c>
      <c r="F113" s="332">
        <f>Gasto_o_ing_total!E113*1000/Gasto_o_ing_total!E$485</f>
        <v>789.1206736679917</v>
      </c>
      <c r="G113" s="332">
        <f>Gasto_o_ing_total!F113*1000/Gasto_o_ing_total!F$485</f>
        <v>789.11360476725918</v>
      </c>
      <c r="H113" s="332">
        <f>Gasto_o_ing_total!G113*1000/Gasto_o_ing_total!G$485</f>
        <v>686.22687772125892</v>
      </c>
      <c r="I113" s="332">
        <f>Gasto_o_ing_total!H113*1000/Gasto_o_ing_total!H$485</f>
        <v>498.25613642302181</v>
      </c>
      <c r="J113" s="332">
        <f>Gasto_o_ing_total!I113*1000/Gasto_o_ing_total!I$485</f>
        <v>754.22657721487735</v>
      </c>
      <c r="K113" s="332">
        <f>Gasto_o_ing_total!J113*1000/Gasto_o_ing_total!J$485</f>
        <v>686.95943454424355</v>
      </c>
      <c r="L113" s="332">
        <f>Gasto_o_ing_total!K113*1000/Gasto_o_ing_total!K$485</f>
        <v>510.57581752982412</v>
      </c>
      <c r="M113" s="332">
        <f>Gasto_o_ing_total!L113*1000/Gasto_o_ing_total!L$485</f>
        <v>924.49550546742989</v>
      </c>
      <c r="N113" s="332">
        <f>Gasto_o_ing_total!M113*1000/Gasto_o_ing_total!M$485</f>
        <v>564.18176551784654</v>
      </c>
      <c r="O113" s="332">
        <f>Gasto_o_ing_total!N113*1000/Gasto_o_ing_total!N$485</f>
        <v>411.75630553039844</v>
      </c>
      <c r="P113" s="332">
        <f>Gasto_o_ing_total!O113*1000/Gasto_o_ing_total!O$485</f>
        <v>624.75434790700319</v>
      </c>
      <c r="Q113" s="332">
        <f>Gasto_o_ing_total!P113*1000/Gasto_o_ing_total!P$485</f>
        <v>1304.1540885340653</v>
      </c>
      <c r="R113" s="332">
        <f>Gasto_o_ing_total!Q113*1000/Gasto_o_ing_total!Q$485</f>
        <v>467.21265545793483</v>
      </c>
      <c r="S113" s="332">
        <f>Gasto_o_ing_total!R113*1000/Gasto_o_ing_total!R$485</f>
        <v>0</v>
      </c>
      <c r="T113" s="332">
        <f>Gasto_o_ing_total!S113*1000/Gasto_o_ing_total!S$485</f>
        <v>0</v>
      </c>
      <c r="U113" s="332">
        <f>Gasto_o_ing_total!T113*1000/Gasto_o_ing_total!T$485</f>
        <v>729.82385165503877</v>
      </c>
      <c r="V113" s="332">
        <f>Gasto_o_ing_total!U113*1000/Gasto_o_ing_total!U$485</f>
        <v>0</v>
      </c>
      <c r="W113" s="105"/>
    </row>
    <row r="114" spans="1:23" s="102" customFormat="1">
      <c r="A114" s="351" t="str">
        <f>IF(B114="","",(IF(ISERROR(MATCH(B114,Tot_res!C:C,0)),"Eliminar!!!","")))</f>
        <v/>
      </c>
      <c r="B114" s="115" t="s">
        <v>203</v>
      </c>
      <c r="C114" s="329" t="str">
        <f>VLOOKUP(B114,Tot_res!C:D,2,FALSE)</f>
        <v>Participación CCAARC en el IVA</v>
      </c>
      <c r="D114" s="332">
        <f>Gasto_o_ing_total!V114*1000/Gasto_o_ing_total!V$485</f>
        <v>615.42760946344413</v>
      </c>
      <c r="E114" s="332">
        <f>Gasto_o_ing_total!D114*1000/Gasto_o_ing_total!D$485</f>
        <v>598.27482771025279</v>
      </c>
      <c r="F114" s="332">
        <f>Gasto_o_ing_total!E114*1000/Gasto_o_ing_total!E$485</f>
        <v>746.69806509606417</v>
      </c>
      <c r="G114" s="332">
        <f>Gasto_o_ing_total!F114*1000/Gasto_o_ing_total!F$485</f>
        <v>752.23654687562851</v>
      </c>
      <c r="H114" s="332">
        <f>Gasto_o_ing_total!G114*1000/Gasto_o_ing_total!G$485</f>
        <v>1002.1882214082841</v>
      </c>
      <c r="I114" s="332">
        <f>Gasto_o_ing_total!H114*1000/Gasto_o_ing_total!H$485</f>
        <v>0</v>
      </c>
      <c r="J114" s="332">
        <f>Gasto_o_ing_total!I114*1000/Gasto_o_ing_total!I$485</f>
        <v>730.45593290368754</v>
      </c>
      <c r="K114" s="332">
        <f>Gasto_o_ing_total!J114*1000/Gasto_o_ing_total!J$485</f>
        <v>711.32147952360879</v>
      </c>
      <c r="L114" s="332">
        <f>Gasto_o_ing_total!K114*1000/Gasto_o_ing_total!K$485</f>
        <v>636.63769798554881</v>
      </c>
      <c r="M114" s="332">
        <f>Gasto_o_ing_total!L114*1000/Gasto_o_ing_total!L$485</f>
        <v>752.06018443191192</v>
      </c>
      <c r="N114" s="332">
        <f>Gasto_o_ing_total!M114*1000/Gasto_o_ing_total!M$485</f>
        <v>654.90904291238132</v>
      </c>
      <c r="O114" s="332">
        <f>Gasto_o_ing_total!N114*1000/Gasto_o_ing_total!N$485</f>
        <v>603.53910305847444</v>
      </c>
      <c r="P114" s="332">
        <f>Gasto_o_ing_total!O114*1000/Gasto_o_ing_total!O$485</f>
        <v>694.00358909856925</v>
      </c>
      <c r="Q114" s="332">
        <f>Gasto_o_ing_total!P114*1000/Gasto_o_ing_total!P$485</f>
        <v>737.73372958606012</v>
      </c>
      <c r="R114" s="332">
        <f>Gasto_o_ing_total!Q114*1000/Gasto_o_ing_total!Q$485</f>
        <v>574.66630721589468</v>
      </c>
      <c r="S114" s="332">
        <f>Gasto_o_ing_total!R114*1000/Gasto_o_ing_total!R$485</f>
        <v>0</v>
      </c>
      <c r="T114" s="332">
        <f>Gasto_o_ing_total!S114*1000/Gasto_o_ing_total!S$485</f>
        <v>0</v>
      </c>
      <c r="U114" s="332">
        <f>Gasto_o_ing_total!T114*1000/Gasto_o_ing_total!T$485</f>
        <v>725.13021672654099</v>
      </c>
      <c r="V114" s="332">
        <f>Gasto_o_ing_total!U114*1000/Gasto_o_ing_total!U$485</f>
        <v>0</v>
      </c>
      <c r="W114" s="105"/>
    </row>
    <row r="115" spans="1:23"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Gasto_o_ing_total!V115*1000/Gasto_o_ing_total!V$485</f>
        <v>231.0109665300198</v>
      </c>
      <c r="E115" s="332">
        <f>Gasto_o_ing_total!D115*1000/Gasto_o_ing_total!D$485</f>
        <v>213.93311774745692</v>
      </c>
      <c r="F115" s="332">
        <f>Gasto_o_ing_total!E115*1000/Gasto_o_ing_total!E$485</f>
        <v>333.44398070241283</v>
      </c>
      <c r="G115" s="332">
        <f>Gasto_o_ing_total!F115*1000/Gasto_o_ing_total!F$485</f>
        <v>271.77440445625501</v>
      </c>
      <c r="H115" s="332">
        <f>Gasto_o_ing_total!G115*1000/Gasto_o_ing_total!G$485</f>
        <v>330.08458183059992</v>
      </c>
      <c r="I115" s="332">
        <f>Gasto_o_ing_total!H115*1000/Gasto_o_ing_total!H$485</f>
        <v>13.117220645969523</v>
      </c>
      <c r="J115" s="332">
        <f>Gasto_o_ing_total!I115*1000/Gasto_o_ing_total!I$485</f>
        <v>285.67336976661966</v>
      </c>
      <c r="K115" s="332">
        <f>Gasto_o_ing_total!J115*1000/Gasto_o_ing_total!J$485</f>
        <v>292.60820859612608</v>
      </c>
      <c r="L115" s="332">
        <f>Gasto_o_ing_total!K115*1000/Gasto_o_ing_total!K$485</f>
        <v>290.19779100111606</v>
      </c>
      <c r="M115" s="332">
        <f>Gasto_o_ing_total!L115*1000/Gasto_o_ing_total!L$485</f>
        <v>271.94792789436673</v>
      </c>
      <c r="N115" s="332">
        <f>Gasto_o_ing_total!M115*1000/Gasto_o_ing_total!M$485</f>
        <v>254.88569112935684</v>
      </c>
      <c r="O115" s="332">
        <f>Gasto_o_ing_total!N115*1000/Gasto_o_ing_total!N$485</f>
        <v>287.9065997941284</v>
      </c>
      <c r="P115" s="332">
        <f>Gasto_o_ing_total!O115*1000/Gasto_o_ing_total!O$485</f>
        <v>275.39646658427353</v>
      </c>
      <c r="Q115" s="332">
        <f>Gasto_o_ing_total!P115*1000/Gasto_o_ing_total!P$485</f>
        <v>227.53663284679848</v>
      </c>
      <c r="R115" s="332">
        <f>Gasto_o_ing_total!Q115*1000/Gasto_o_ing_total!Q$485</f>
        <v>297.94579336942837</v>
      </c>
      <c r="S115" s="332">
        <f>Gasto_o_ing_total!R115*1000/Gasto_o_ing_total!R$485</f>
        <v>0</v>
      </c>
      <c r="T115" s="332">
        <f>Gasto_o_ing_total!S115*1000/Gasto_o_ing_total!S$485</f>
        <v>0</v>
      </c>
      <c r="U115" s="332">
        <f>Gasto_o_ing_total!T115*1000/Gasto_o_ing_total!T$485</f>
        <v>270.55716879829572</v>
      </c>
      <c r="V115" s="332">
        <f>Gasto_o_ing_total!U115*1000/Gasto_o_ing_total!U$485</f>
        <v>0</v>
      </c>
      <c r="W115" s="105"/>
    </row>
    <row r="116" spans="1:23" s="102" customFormat="1">
      <c r="A116" s="351" t="str">
        <f>IF(B116="","",(IF(ISERROR(MATCH(B116,Tot_res!C:C,0)),"Eliminar!!!","")))</f>
        <v/>
      </c>
      <c r="B116" s="115" t="s">
        <v>204</v>
      </c>
      <c r="C116" s="329" t="str">
        <f>VLOOKUP(B116,Tot_res!C:D,2,FALSE)</f>
        <v>Participación de las CCAARC en el impuesto sobre la electricidad</v>
      </c>
      <c r="D116" s="332">
        <f>Gasto_o_ing_total!V116*1000/Gasto_o_ing_total!V$485</f>
        <v>38.027840311274211</v>
      </c>
      <c r="E116" s="332">
        <f>Gasto_o_ing_total!D116*1000/Gasto_o_ing_total!D$485</f>
        <v>34.613398877280559</v>
      </c>
      <c r="F116" s="332">
        <f>Gasto_o_ing_total!E116*1000/Gasto_o_ing_total!E$485</f>
        <v>60.858343119332694</v>
      </c>
      <c r="G116" s="332">
        <f>Gasto_o_ing_total!F116*1000/Gasto_o_ing_total!F$485</f>
        <v>74.963750334242789</v>
      </c>
      <c r="H116" s="332">
        <f>Gasto_o_ing_total!G116*1000/Gasto_o_ing_total!G$485</f>
        <v>37.889489705474062</v>
      </c>
      <c r="I116" s="332">
        <f>Gasto_o_ing_total!H116*1000/Gasto_o_ing_total!H$485</f>
        <v>29.000078713549506</v>
      </c>
      <c r="J116" s="332">
        <f>Gasto_o_ing_total!I116*1000/Gasto_o_ing_total!I$485</f>
        <v>63.149931634343837</v>
      </c>
      <c r="K116" s="332">
        <f>Gasto_o_ing_total!J116*1000/Gasto_o_ing_total!J$485</f>
        <v>39.496416435231886</v>
      </c>
      <c r="L116" s="332">
        <f>Gasto_o_ing_total!K116*1000/Gasto_o_ing_total!K$485</f>
        <v>43.356501833582179</v>
      </c>
      <c r="M116" s="332">
        <f>Gasto_o_ing_total!L116*1000/Gasto_o_ing_total!L$485</f>
        <v>45.850051730187957</v>
      </c>
      <c r="N116" s="332">
        <f>Gasto_o_ing_total!M116*1000/Gasto_o_ing_total!M$485</f>
        <v>36.451167904607587</v>
      </c>
      <c r="O116" s="332">
        <f>Gasto_o_ing_total!N116*1000/Gasto_o_ing_total!N$485</f>
        <v>32.626878509770691</v>
      </c>
      <c r="P116" s="332">
        <f>Gasto_o_ing_total!O116*1000/Gasto_o_ing_total!O$485</f>
        <v>53.913909070574533</v>
      </c>
      <c r="Q116" s="332">
        <f>Gasto_o_ing_total!P116*1000/Gasto_o_ing_total!P$485</f>
        <v>33.79067933161209</v>
      </c>
      <c r="R116" s="332">
        <f>Gasto_o_ing_total!Q116*1000/Gasto_o_ing_total!Q$485</f>
        <v>39.679984295045919</v>
      </c>
      <c r="S116" s="332">
        <f>Gasto_o_ing_total!R116*1000/Gasto_o_ing_total!R$485</f>
        <v>0</v>
      </c>
      <c r="T116" s="332">
        <f>Gasto_o_ing_total!S116*1000/Gasto_o_ing_total!S$485</f>
        <v>0</v>
      </c>
      <c r="U116" s="332">
        <f>Gasto_o_ing_total!T116*1000/Gasto_o_ing_total!T$485</f>
        <v>36.894891165072202</v>
      </c>
      <c r="V116" s="332">
        <f>Gasto_o_ing_total!U116*1000/Gasto_o_ing_total!U$485</f>
        <v>0</v>
      </c>
      <c r="W116" s="105"/>
    </row>
    <row r="117" spans="1:23" s="102" customFormat="1">
      <c r="A117" s="351" t="str">
        <f>IF(B117="","",(IF(ISERROR(MATCH(B117,Tot_res!C:C,0)),"Eliminar!!!","")))</f>
        <v/>
      </c>
      <c r="B117" s="115" t="s">
        <v>936</v>
      </c>
      <c r="C117" s="329" t="str">
        <f>VLOOKUP(B117,Tot_res!C:D,2,FALSE)</f>
        <v>Sucesiones y donaciones, ingresos homogeneizados de las CCAARC</v>
      </c>
      <c r="D117" s="332">
        <f>Gasto_o_ing_total!V117*1000/Gasto_o_ing_total!V$485</f>
        <v>50.355303743405884</v>
      </c>
      <c r="E117" s="332">
        <f>Gasto_o_ing_total!D117*1000/Gasto_o_ing_total!D$485</f>
        <v>41.354695935772611</v>
      </c>
      <c r="F117" s="332">
        <f>Gasto_o_ing_total!E117*1000/Gasto_o_ing_total!E$485</f>
        <v>74.182516253434429</v>
      </c>
      <c r="G117" s="332">
        <f>Gasto_o_ing_total!F117*1000/Gasto_o_ing_total!F$485</f>
        <v>79.773900224707205</v>
      </c>
      <c r="H117" s="332">
        <f>Gasto_o_ing_total!G117*1000/Gasto_o_ing_total!G$485</f>
        <v>45.033564320399705</v>
      </c>
      <c r="I117" s="332">
        <f>Gasto_o_ing_total!H117*1000/Gasto_o_ing_total!H$485</f>
        <v>36.354723276591159</v>
      </c>
      <c r="J117" s="332">
        <f>Gasto_o_ing_total!I117*1000/Gasto_o_ing_total!I$485</f>
        <v>74.744390135350983</v>
      </c>
      <c r="K117" s="332">
        <f>Gasto_o_ing_total!J117*1000/Gasto_o_ing_total!J$485</f>
        <v>71.205241482016319</v>
      </c>
      <c r="L117" s="332">
        <f>Gasto_o_ing_total!K117*1000/Gasto_o_ing_total!K$485</f>
        <v>47.002495314048133</v>
      </c>
      <c r="M117" s="332">
        <f>Gasto_o_ing_total!L117*1000/Gasto_o_ing_total!L$485</f>
        <v>57.527494589720547</v>
      </c>
      <c r="N117" s="332">
        <f>Gasto_o_ing_total!M117*1000/Gasto_o_ing_total!M$485</f>
        <v>50.581797628996732</v>
      </c>
      <c r="O117" s="332">
        <f>Gasto_o_ing_total!N117*1000/Gasto_o_ing_total!N$485</f>
        <v>50.71967052748866</v>
      </c>
      <c r="P117" s="332">
        <f>Gasto_o_ing_total!O117*1000/Gasto_o_ing_total!O$485</f>
        <v>71.463874144226168</v>
      </c>
      <c r="Q117" s="332">
        <f>Gasto_o_ing_total!P117*1000/Gasto_o_ing_total!P$485</f>
        <v>56.574813160082492</v>
      </c>
      <c r="R117" s="332">
        <f>Gasto_o_ing_total!Q117*1000/Gasto_o_ing_total!Q$485</f>
        <v>37.915683265164461</v>
      </c>
      <c r="S117" s="332">
        <f>Gasto_o_ing_total!R117*1000/Gasto_o_ing_total!R$485</f>
        <v>0</v>
      </c>
      <c r="T117" s="332">
        <f>Gasto_o_ing_total!S117*1000/Gasto_o_ing_total!S$485</f>
        <v>0</v>
      </c>
      <c r="U117" s="332">
        <f>Gasto_o_ing_total!T117*1000/Gasto_o_ing_total!T$485</f>
        <v>66.470412866622368</v>
      </c>
      <c r="V117" s="332">
        <f>Gasto_o_ing_total!U117*1000/Gasto_o_ing_total!U$485</f>
        <v>0</v>
      </c>
      <c r="W117" s="105"/>
    </row>
    <row r="118" spans="1:23" s="102" customFormat="1">
      <c r="A118" s="351" t="str">
        <f>IF(B118="","",(IF(ISERROR(MATCH(B118,Tot_res!C:C,0)),"Eliminar!!!","")))</f>
        <v/>
      </c>
      <c r="B118" s="115" t="s">
        <v>937</v>
      </c>
      <c r="C118" s="329" t="str">
        <f>VLOOKUP(B118,Tot_res!C:D,2,FALSE)</f>
        <v>ITP y AJD, ingresos homogeneizados de las CCAARC</v>
      </c>
      <c r="D118" s="332">
        <f>Gasto_o_ing_total!V118*1000/Gasto_o_ing_total!V$485</f>
        <v>117.18389582449242</v>
      </c>
      <c r="E118" s="332">
        <f>Gasto_o_ing_total!D118*1000/Gasto_o_ing_total!D$485</f>
        <v>126.33813695685282</v>
      </c>
      <c r="F118" s="332">
        <f>Gasto_o_ing_total!E118*1000/Gasto_o_ing_total!E$485</f>
        <v>91.985871841745265</v>
      </c>
      <c r="G118" s="332">
        <f>Gasto_o_ing_total!F118*1000/Gasto_o_ing_total!F$485</f>
        <v>78.282864712933531</v>
      </c>
      <c r="H118" s="332">
        <f>Gasto_o_ing_total!G118*1000/Gasto_o_ing_total!G$485</f>
        <v>304.01721138107712</v>
      </c>
      <c r="I118" s="332">
        <f>Gasto_o_ing_total!H118*1000/Gasto_o_ing_total!H$485</f>
        <v>109.84147114651846</v>
      </c>
      <c r="J118" s="332">
        <f>Gasto_o_ing_total!I118*1000/Gasto_o_ing_total!I$485</f>
        <v>111.68410536415419</v>
      </c>
      <c r="K118" s="332">
        <f>Gasto_o_ing_total!J118*1000/Gasto_o_ing_total!J$485</f>
        <v>81.747914043976493</v>
      </c>
      <c r="L118" s="332">
        <f>Gasto_o_ing_total!K118*1000/Gasto_o_ing_total!K$485</f>
        <v>109.20291314037911</v>
      </c>
      <c r="M118" s="332">
        <f>Gasto_o_ing_total!L118*1000/Gasto_o_ing_total!L$485</f>
        <v>138.84521843675356</v>
      </c>
      <c r="N118" s="332">
        <f>Gasto_o_ing_total!M118*1000/Gasto_o_ing_total!M$485</f>
        <v>136.27255107701154</v>
      </c>
      <c r="O118" s="332">
        <f>Gasto_o_ing_total!N118*1000/Gasto_o_ing_total!N$485</f>
        <v>65.427284628900281</v>
      </c>
      <c r="P118" s="332">
        <f>Gasto_o_ing_total!O118*1000/Gasto_o_ing_total!O$485</f>
        <v>67.234303427062031</v>
      </c>
      <c r="Q118" s="332">
        <f>Gasto_o_ing_total!P118*1000/Gasto_o_ing_total!P$485</f>
        <v>150.52017631669756</v>
      </c>
      <c r="R118" s="332">
        <f>Gasto_o_ing_total!Q118*1000/Gasto_o_ing_total!Q$485</f>
        <v>110.91124394437568</v>
      </c>
      <c r="S118" s="332">
        <f>Gasto_o_ing_total!R118*1000/Gasto_o_ing_total!R$485</f>
        <v>0</v>
      </c>
      <c r="T118" s="332">
        <f>Gasto_o_ing_total!S118*1000/Gasto_o_ing_total!S$485</f>
        <v>0</v>
      </c>
      <c r="U118" s="332">
        <f>Gasto_o_ing_total!T118*1000/Gasto_o_ing_total!T$485</f>
        <v>103.98786268483072</v>
      </c>
      <c r="V118" s="332">
        <f>Gasto_o_ing_total!U118*1000/Gasto_o_ing_total!U$485</f>
        <v>0</v>
      </c>
      <c r="W118" s="105"/>
    </row>
    <row r="119" spans="1:23" s="102" customFormat="1">
      <c r="A119" s="351" t="str">
        <f>IF(B119="","",(IF(ISERROR(MATCH(B119,Tot_res!C:C,0)),"Eliminar!!!","")))</f>
        <v/>
      </c>
      <c r="B119" s="115" t="s">
        <v>938</v>
      </c>
      <c r="C119" s="329" t="str">
        <f>VLOOKUP(B119,Tot_res!C:D,2,FALSE)</f>
        <v>Tasas sobre el juego, ingresos homogeneizados de las CCAARC</v>
      </c>
      <c r="D119" s="332">
        <f>Gasto_o_ing_total!V119*1000/Gasto_o_ing_total!V$485</f>
        <v>21.426141751694562</v>
      </c>
      <c r="E119" s="332">
        <f>Gasto_o_ing_total!D119*1000/Gasto_o_ing_total!D$485</f>
        <v>17.007485330426611</v>
      </c>
      <c r="F119" s="332">
        <f>Gasto_o_ing_total!E119*1000/Gasto_o_ing_total!E$485</f>
        <v>21.180018524443199</v>
      </c>
      <c r="G119" s="332">
        <f>Gasto_o_ing_total!F119*1000/Gasto_o_ing_total!F$485</f>
        <v>19.207358426237573</v>
      </c>
      <c r="H119" s="332">
        <f>Gasto_o_ing_total!G119*1000/Gasto_o_ing_total!G$485</f>
        <v>32.584925709787662</v>
      </c>
      <c r="I119" s="332">
        <f>Gasto_o_ing_total!H119*1000/Gasto_o_ing_total!H$485</f>
        <v>17.814312193123641</v>
      </c>
      <c r="J119" s="332">
        <f>Gasto_o_ing_total!I119*1000/Gasto_o_ing_total!I$485</f>
        <v>23.286956911867644</v>
      </c>
      <c r="K119" s="332">
        <f>Gasto_o_ing_total!J119*1000/Gasto_o_ing_total!J$485</f>
        <v>23.666891596021671</v>
      </c>
      <c r="L119" s="332">
        <f>Gasto_o_ing_total!K119*1000/Gasto_o_ing_total!K$485</f>
        <v>20.451216492876789</v>
      </c>
      <c r="M119" s="332">
        <f>Gasto_o_ing_total!L119*1000/Gasto_o_ing_total!L$485</f>
        <v>18.449679799441142</v>
      </c>
      <c r="N119" s="332">
        <f>Gasto_o_ing_total!M119*1000/Gasto_o_ing_total!M$485</f>
        <v>27.347200790959036</v>
      </c>
      <c r="O119" s="332">
        <f>Gasto_o_ing_total!N119*1000/Gasto_o_ing_total!N$485</f>
        <v>15.646487834015037</v>
      </c>
      <c r="P119" s="332">
        <f>Gasto_o_ing_total!O119*1000/Gasto_o_ing_total!O$485</f>
        <v>16.985181764935248</v>
      </c>
      <c r="Q119" s="332">
        <f>Gasto_o_ing_total!P119*1000/Gasto_o_ing_total!P$485</f>
        <v>39.810552153595452</v>
      </c>
      <c r="R119" s="332">
        <f>Gasto_o_ing_total!Q119*1000/Gasto_o_ing_total!Q$485</f>
        <v>14.380720709560689</v>
      </c>
      <c r="S119" s="332">
        <f>Gasto_o_ing_total!R119*1000/Gasto_o_ing_total!R$485</f>
        <v>0</v>
      </c>
      <c r="T119" s="332">
        <f>Gasto_o_ing_total!S119*1000/Gasto_o_ing_total!S$485</f>
        <v>0</v>
      </c>
      <c r="U119" s="332">
        <f>Gasto_o_ing_total!T119*1000/Gasto_o_ing_total!T$485</f>
        <v>14.614419321960517</v>
      </c>
      <c r="V119" s="332">
        <f>Gasto_o_ing_total!U119*1000/Gasto_o_ing_total!U$485</f>
        <v>0</v>
      </c>
      <c r="W119" s="105"/>
    </row>
    <row r="120" spans="1:23" s="102" customFormat="1">
      <c r="A120" s="351" t="str">
        <f>IF(B120="","",(IF(ISERROR(MATCH(B120,Tot_res!C:C,0)),"Eliminar!!!","")))</f>
        <v/>
      </c>
      <c r="B120" s="115" t="s">
        <v>939</v>
      </c>
      <c r="C120" s="329" t="str">
        <f>VLOOKUP(B120,Tot_res!C:D,2,FALSE)</f>
        <v>Impuesto sobre la venta minorista de hidrocarburos (IVMH),  sin ejercicio capacidad normativa</v>
      </c>
      <c r="D120" s="332">
        <f>Gasto_o_ing_total!V120*1000/Gasto_o_ing_total!V$485</f>
        <v>7.7687931286691408E-2</v>
      </c>
      <c r="E120" s="332">
        <f>Gasto_o_ing_total!D120*1000/Gasto_o_ing_total!D$485</f>
        <v>0.11272962895646814</v>
      </c>
      <c r="F120" s="332">
        <f>Gasto_o_ing_total!E120*1000/Gasto_o_ing_total!E$485</f>
        <v>2.7019951332308327E-2</v>
      </c>
      <c r="G120" s="332">
        <f>Gasto_o_ing_total!F120*1000/Gasto_o_ing_total!F$485</f>
        <v>5.5689158550884896E-2</v>
      </c>
      <c r="H120" s="332">
        <f>Gasto_o_ing_total!G120*1000/Gasto_o_ing_total!G$485</f>
        <v>3.2415473655449251E-2</v>
      </c>
      <c r="I120" s="332">
        <f>Gasto_o_ing_total!H120*1000/Gasto_o_ing_total!H$485</f>
        <v>0</v>
      </c>
      <c r="J120" s="332">
        <f>Gasto_o_ing_total!I120*1000/Gasto_o_ing_total!I$485</f>
        <v>0.12836827365369441</v>
      </c>
      <c r="K120" s="332">
        <f>Gasto_o_ing_total!J120*1000/Gasto_o_ing_total!J$485</f>
        <v>0.1123094029874052</v>
      </c>
      <c r="L120" s="332">
        <f>Gasto_o_ing_total!K120*1000/Gasto_o_ing_total!K$485</f>
        <v>8.03672349962858E-2</v>
      </c>
      <c r="M120" s="332">
        <f>Gasto_o_ing_total!L120*1000/Gasto_o_ing_total!L$485</f>
        <v>3.8077325964446164E-2</v>
      </c>
      <c r="N120" s="332">
        <f>Gasto_o_ing_total!M120*1000/Gasto_o_ing_total!M$485</f>
        <v>0.11896845778460316</v>
      </c>
      <c r="O120" s="332">
        <f>Gasto_o_ing_total!N120*1000/Gasto_o_ing_total!N$485</f>
        <v>0.17882210090223363</v>
      </c>
      <c r="P120" s="332">
        <f>Gasto_o_ing_total!O120*1000/Gasto_o_ing_total!O$485</f>
        <v>0.13064481294445041</v>
      </c>
      <c r="Q120" s="332">
        <f>Gasto_o_ing_total!P120*1000/Gasto_o_ing_total!P$485</f>
        <v>5.5258023493762853E-2</v>
      </c>
      <c r="R120" s="332">
        <f>Gasto_o_ing_total!Q120*1000/Gasto_o_ing_total!Q$485</f>
        <v>0.16336574058355399</v>
      </c>
      <c r="S120" s="332">
        <f>Gasto_o_ing_total!R120*1000/Gasto_o_ing_total!R$485</f>
        <v>0</v>
      </c>
      <c r="T120" s="332">
        <f>Gasto_o_ing_total!S120*1000/Gasto_o_ing_total!S$485</f>
        <v>0</v>
      </c>
      <c r="U120" s="332">
        <f>Gasto_o_ing_total!T120*1000/Gasto_o_ing_total!T$485</f>
        <v>0</v>
      </c>
      <c r="V120" s="332">
        <f>Gasto_o_ing_total!U120*1000/Gasto_o_ing_total!U$485</f>
        <v>0</v>
      </c>
      <c r="W120" s="105"/>
    </row>
    <row r="121" spans="1:23" s="102" customFormat="1">
      <c r="A121" s="351" t="str">
        <f>IF(B121="","",(IF(ISERROR(MATCH(B121,Tot_res!C:C,0)),"Eliminar!!!","")))</f>
        <v/>
      </c>
      <c r="B121" s="115" t="s">
        <v>940</v>
      </c>
      <c r="C121" s="329" t="str">
        <f>VLOOKUP(B121,Tot_res!C:D,2,FALSE)</f>
        <v>Impuesto de matriculación, ingresos de las CCAARC sin ej cap normativa</v>
      </c>
      <c r="D121" s="332">
        <f>Gasto_o_ing_total!V121*1000/Gasto_o_ing_total!V$485</f>
        <v>6.1867597513003885</v>
      </c>
      <c r="E121" s="332">
        <f>Gasto_o_ing_total!D121*1000/Gasto_o_ing_total!D$485</f>
        <v>3.9064520299204566</v>
      </c>
      <c r="F121" s="332">
        <f>Gasto_o_ing_total!E121*1000/Gasto_o_ing_total!E$485</f>
        <v>4.393901102892217</v>
      </c>
      <c r="G121" s="332">
        <f>Gasto_o_ing_total!F121*1000/Gasto_o_ing_total!F$485</f>
        <v>4.270243281424146</v>
      </c>
      <c r="H121" s="332">
        <f>Gasto_o_ing_total!G121*1000/Gasto_o_ing_total!G$485</f>
        <v>16.541407052154494</v>
      </c>
      <c r="I121" s="332">
        <f>Gasto_o_ing_total!H121*1000/Gasto_o_ing_total!H$485</f>
        <v>0</v>
      </c>
      <c r="J121" s="332">
        <f>Gasto_o_ing_total!I121*1000/Gasto_o_ing_total!I$485</f>
        <v>7.6273241128437981</v>
      </c>
      <c r="K121" s="332">
        <f>Gasto_o_ing_total!J121*1000/Gasto_o_ing_total!J$485</f>
        <v>4.1168009773614704</v>
      </c>
      <c r="L121" s="332">
        <f>Gasto_o_ing_total!K121*1000/Gasto_o_ing_total!K$485</f>
        <v>3.6285013154326862</v>
      </c>
      <c r="M121" s="332">
        <f>Gasto_o_ing_total!L121*1000/Gasto_o_ing_total!L$485</f>
        <v>7.1617884836563288</v>
      </c>
      <c r="N121" s="332">
        <f>Gasto_o_ing_total!M121*1000/Gasto_o_ing_total!M$485</f>
        <v>5.8721552469958285</v>
      </c>
      <c r="O121" s="332">
        <f>Gasto_o_ing_total!N121*1000/Gasto_o_ing_total!N$485</f>
        <v>3.0003981521725747</v>
      </c>
      <c r="P121" s="332">
        <f>Gasto_o_ing_total!O121*1000/Gasto_o_ing_total!O$485</f>
        <v>5.9612095656263904</v>
      </c>
      <c r="Q121" s="332">
        <f>Gasto_o_ing_total!P121*1000/Gasto_o_ing_total!P$485</f>
        <v>14.593655819258615</v>
      </c>
      <c r="R121" s="332">
        <f>Gasto_o_ing_total!Q121*1000/Gasto_o_ing_total!Q$485</f>
        <v>4.5065652024841638</v>
      </c>
      <c r="S121" s="332">
        <f>Gasto_o_ing_total!R121*1000/Gasto_o_ing_total!R$485</f>
        <v>0</v>
      </c>
      <c r="T121" s="332">
        <f>Gasto_o_ing_total!S121*1000/Gasto_o_ing_total!S$485</f>
        <v>0</v>
      </c>
      <c r="U121" s="332">
        <f>Gasto_o_ing_total!T121*1000/Gasto_o_ing_total!T$485</f>
        <v>5.8865035256385063</v>
      </c>
      <c r="V121" s="332">
        <f>Gasto_o_ing_total!U121*1000/Gasto_o_ing_total!U$485</f>
        <v>0</v>
      </c>
      <c r="W121" s="105"/>
    </row>
    <row r="122" spans="1:23"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Gasto_o_ing_total!V122*1000/Gasto_o_ing_total!V$485</f>
        <v>19.285632864997641</v>
      </c>
      <c r="E122" s="332">
        <f>Gasto_o_ing_total!D122*1000/Gasto_o_ing_total!D$485</f>
        <v>0</v>
      </c>
      <c r="F122" s="332">
        <f>Gasto_o_ing_total!E122*1000/Gasto_o_ing_total!E$485</f>
        <v>0</v>
      </c>
      <c r="G122" s="332">
        <f>Gasto_o_ing_total!F122*1000/Gasto_o_ing_total!F$485</f>
        <v>0</v>
      </c>
      <c r="H122" s="332">
        <f>Gasto_o_ing_total!G122*1000/Gasto_o_ing_total!G$485</f>
        <v>0</v>
      </c>
      <c r="I122" s="332">
        <f>Gasto_o_ing_total!H122*1000/Gasto_o_ing_total!H$485</f>
        <v>428.3338398440892</v>
      </c>
      <c r="J122" s="332">
        <f>Gasto_o_ing_total!I122*1000/Gasto_o_ing_total!I$485</f>
        <v>0</v>
      </c>
      <c r="K122" s="332">
        <f>Gasto_o_ing_total!J122*1000/Gasto_o_ing_total!J$485</f>
        <v>0</v>
      </c>
      <c r="L122" s="332">
        <f>Gasto_o_ing_total!K122*1000/Gasto_o_ing_total!K$485</f>
        <v>0</v>
      </c>
      <c r="M122" s="332">
        <f>Gasto_o_ing_total!L122*1000/Gasto_o_ing_total!L$485</f>
        <v>0</v>
      </c>
      <c r="N122" s="332">
        <f>Gasto_o_ing_total!M122*1000/Gasto_o_ing_total!M$485</f>
        <v>0</v>
      </c>
      <c r="O122" s="332">
        <f>Gasto_o_ing_total!N122*1000/Gasto_o_ing_total!N$485</f>
        <v>0</v>
      </c>
      <c r="P122" s="332">
        <f>Gasto_o_ing_total!O122*1000/Gasto_o_ing_total!O$485</f>
        <v>0</v>
      </c>
      <c r="Q122" s="332">
        <f>Gasto_o_ing_total!P122*1000/Gasto_o_ing_total!P$485</f>
        <v>0</v>
      </c>
      <c r="R122" s="332">
        <f>Gasto_o_ing_total!Q122*1000/Gasto_o_ing_total!Q$485</f>
        <v>0</v>
      </c>
      <c r="S122" s="332">
        <f>Gasto_o_ing_total!R122*1000/Gasto_o_ing_total!R$485</f>
        <v>0</v>
      </c>
      <c r="T122" s="332">
        <f>Gasto_o_ing_total!S122*1000/Gasto_o_ing_total!S$485</f>
        <v>0</v>
      </c>
      <c r="U122" s="332">
        <f>Gasto_o_ing_total!T122*1000/Gasto_o_ing_total!T$485</f>
        <v>0</v>
      </c>
      <c r="V122" s="332">
        <f>Gasto_o_ing_total!U122*1000/Gasto_o_ing_total!U$485</f>
        <v>0</v>
      </c>
      <c r="W122" s="105"/>
    </row>
    <row r="123" spans="1:23"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Gasto_o_ing_total!V123*1000/Gasto_o_ing_total!V$485</f>
        <v>0.98635630241868766</v>
      </c>
      <c r="E123" s="332">
        <f>Gasto_o_ing_total!D123*1000/Gasto_o_ing_total!D$485</f>
        <v>0.30383514465625022</v>
      </c>
      <c r="F123" s="332">
        <f>Gasto_o_ing_total!E123*1000/Gasto_o_ing_total!E$485</f>
        <v>1.1851854093776104</v>
      </c>
      <c r="G123" s="332">
        <f>Gasto_o_ing_total!F123*1000/Gasto_o_ing_total!F$485</f>
        <v>1.7667991017446882</v>
      </c>
      <c r="H123" s="332">
        <f>Gasto_o_ing_total!G123*1000/Gasto_o_ing_total!G$485</f>
        <v>1.2511679539258878</v>
      </c>
      <c r="I123" s="332">
        <f>Gasto_o_ing_total!H123*1000/Gasto_o_ing_total!H$485</f>
        <v>0.65561014772226534</v>
      </c>
      <c r="J123" s="332">
        <f>Gasto_o_ing_total!I123*1000/Gasto_o_ing_total!I$485</f>
        <v>1.4543270561876243</v>
      </c>
      <c r="K123" s="332">
        <f>Gasto_o_ing_total!J123*1000/Gasto_o_ing_total!J$485</f>
        <v>1.4398404459010372</v>
      </c>
      <c r="L123" s="332">
        <f>Gasto_o_ing_total!K123*1000/Gasto_o_ing_total!K$485</f>
        <v>0.6174002525978769</v>
      </c>
      <c r="M123" s="332">
        <f>Gasto_o_ing_total!L123*1000/Gasto_o_ing_total!L$485</f>
        <v>1.2673420239516726</v>
      </c>
      <c r="N123" s="332">
        <f>Gasto_o_ing_total!M123*1000/Gasto_o_ing_total!M$485</f>
        <v>0.92770611243285661</v>
      </c>
      <c r="O123" s="332">
        <f>Gasto_o_ing_total!N123*1000/Gasto_o_ing_total!N$485</f>
        <v>0.32443245072467802</v>
      </c>
      <c r="P123" s="332">
        <f>Gasto_o_ing_total!O123*1000/Gasto_o_ing_total!O$485</f>
        <v>1.2411545104014894</v>
      </c>
      <c r="Q123" s="332">
        <f>Gasto_o_ing_total!P123*1000/Gasto_o_ing_total!P$485</f>
        <v>1.9012622022868515</v>
      </c>
      <c r="R123" s="332">
        <f>Gasto_o_ing_total!Q123*1000/Gasto_o_ing_total!Q$485</f>
        <v>0.5115629769340303</v>
      </c>
      <c r="S123" s="332">
        <f>Gasto_o_ing_total!R123*1000/Gasto_o_ing_total!R$485</f>
        <v>0</v>
      </c>
      <c r="T123" s="332">
        <f>Gasto_o_ing_total!S123*1000/Gasto_o_ing_total!S$485</f>
        <v>0</v>
      </c>
      <c r="U123" s="332">
        <f>Gasto_o_ing_total!T123*1000/Gasto_o_ing_total!T$485</f>
        <v>2.1772331009110846</v>
      </c>
      <c r="V123" s="332">
        <f>Gasto_o_ing_total!U123*1000/Gasto_o_ing_total!U$485</f>
        <v>0</v>
      </c>
      <c r="W123" s="105"/>
    </row>
    <row r="124" spans="1:23"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Gasto_o_ing_total!V124*1000/Gasto_o_ing_total!V$485</f>
        <v>4.0087488802886613</v>
      </c>
      <c r="E124" s="332">
        <f>Gasto_o_ing_total!D124*1000/Gasto_o_ing_total!D$485</f>
        <v>2.1426852178765654</v>
      </c>
      <c r="F124" s="332">
        <f>Gasto_o_ing_total!E124*1000/Gasto_o_ing_total!E$485</f>
        <v>3.8589121197079939</v>
      </c>
      <c r="G124" s="332">
        <f>Gasto_o_ing_total!F124*1000/Gasto_o_ing_total!F$485</f>
        <v>4.2593771370833204</v>
      </c>
      <c r="H124" s="332">
        <f>Gasto_o_ing_total!G124*1000/Gasto_o_ing_total!G$485</f>
        <v>2.9892373866637438</v>
      </c>
      <c r="I124" s="332">
        <f>Gasto_o_ing_total!H124*1000/Gasto_o_ing_total!H$485</f>
        <v>1.8073201698595593</v>
      </c>
      <c r="J124" s="332">
        <f>Gasto_o_ing_total!I124*1000/Gasto_o_ing_total!I$485</f>
        <v>3.2372522543628364</v>
      </c>
      <c r="K124" s="332">
        <f>Gasto_o_ing_total!J124*1000/Gasto_o_ing_total!J$485</f>
        <v>4.3891068006592517</v>
      </c>
      <c r="L124" s="332">
        <f>Gasto_o_ing_total!K124*1000/Gasto_o_ing_total!K$485</f>
        <v>2.9484252750614939</v>
      </c>
      <c r="M124" s="332">
        <f>Gasto_o_ing_total!L124*1000/Gasto_o_ing_total!L$485</f>
        <v>4.2989260204741999</v>
      </c>
      <c r="N124" s="332">
        <f>Gasto_o_ing_total!M124*1000/Gasto_o_ing_total!M$485</f>
        <v>3.0644333156777912</v>
      </c>
      <c r="O124" s="332">
        <f>Gasto_o_ing_total!N124*1000/Gasto_o_ing_total!N$485</f>
        <v>2.4627969437602073</v>
      </c>
      <c r="P124" s="332">
        <f>Gasto_o_ing_total!O124*1000/Gasto_o_ing_total!O$485</f>
        <v>4.2692612098210523</v>
      </c>
      <c r="Q124" s="332">
        <f>Gasto_o_ing_total!P124*1000/Gasto_o_ing_total!P$485</f>
        <v>10.347955029990452</v>
      </c>
      <c r="R124" s="332">
        <f>Gasto_o_ing_total!Q124*1000/Gasto_o_ing_total!Q$485</f>
        <v>2.5220629384214477</v>
      </c>
      <c r="S124" s="332">
        <f>Gasto_o_ing_total!R124*1000/Gasto_o_ing_total!R$485</f>
        <v>0</v>
      </c>
      <c r="T124" s="332">
        <f>Gasto_o_ing_total!S124*1000/Gasto_o_ing_total!S$485</f>
        <v>0</v>
      </c>
      <c r="U124" s="332">
        <f>Gasto_o_ing_total!T124*1000/Gasto_o_ing_total!T$485</f>
        <v>3.7732586018504688</v>
      </c>
      <c r="V124" s="332">
        <f>Gasto_o_ing_total!U124*1000/Gasto_o_ing_total!U$485</f>
        <v>0</v>
      </c>
      <c r="W124" s="114"/>
    </row>
    <row r="125" spans="1:23"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ht="13.5">
      <c r="A126" s="352"/>
      <c r="B126" s="115"/>
      <c r="C126" s="128" t="s">
        <v>36</v>
      </c>
      <c r="D126" s="113">
        <f>Gasto_o_ing_total!V126*1000/Gasto_o_ing_total!V$485</f>
        <v>-110.70176595749186</v>
      </c>
      <c r="E126" s="113">
        <f>Gasto_o_ing_total!D126*1000/Gasto_o_ing_total!D$485</f>
        <v>-96.90896582090798</v>
      </c>
      <c r="F126" s="113">
        <f>Gasto_o_ing_total!E126*1000/Gasto_o_ing_total!E$485</f>
        <v>-65.044205421358527</v>
      </c>
      <c r="G126" s="113">
        <f>Gasto_o_ing_total!F126*1000/Gasto_o_ing_total!F$485</f>
        <v>-72.029894595928809</v>
      </c>
      <c r="H126" s="113">
        <f>Gasto_o_ing_total!G126*1000/Gasto_o_ing_total!G$485</f>
        <v>-51.198962200578961</v>
      </c>
      <c r="I126" s="113">
        <f>Gasto_o_ing_total!H126*1000/Gasto_o_ing_total!H$485</f>
        <v>-131.90256361501423</v>
      </c>
      <c r="J126" s="113">
        <f>Gasto_o_ing_total!I126*1000/Gasto_o_ing_total!I$485</f>
        <v>-227.96966408453045</v>
      </c>
      <c r="K126" s="113">
        <f>Gasto_o_ing_total!J126*1000/Gasto_o_ing_total!J$485</f>
        <v>-6.2887330419539813</v>
      </c>
      <c r="L126" s="113">
        <f>Gasto_o_ing_total!K126*1000/Gasto_o_ing_total!K$485</f>
        <v>-5.5822480497508238</v>
      </c>
      <c r="M126" s="113">
        <f>Gasto_o_ing_total!L126*1000/Gasto_o_ing_total!L$485</f>
        <v>-285.77813547778874</v>
      </c>
      <c r="N126" s="113">
        <f>Gasto_o_ing_total!M126*1000/Gasto_o_ing_total!M$485</f>
        <v>-43.095863464605763</v>
      </c>
      <c r="O126" s="113">
        <f>Gasto_o_ing_total!N126*1000/Gasto_o_ing_total!N$485</f>
        <v>-7.2323272676973644</v>
      </c>
      <c r="P126" s="113">
        <f>Gasto_o_ing_total!O126*1000/Gasto_o_ing_total!O$485</f>
        <v>-83.160280631835704</v>
      </c>
      <c r="Q126" s="113">
        <f>Gasto_o_ing_total!P126*1000/Gasto_o_ing_total!P$485</f>
        <v>-157.06223746240789</v>
      </c>
      <c r="R126" s="113">
        <f>Gasto_o_ing_total!Q126*1000/Gasto_o_ing_total!Q$485</f>
        <v>-12.499959867085995</v>
      </c>
      <c r="S126" s="113">
        <f>Gasto_o_ing_total!R126*1000/Gasto_o_ing_total!R$485</f>
        <v>0</v>
      </c>
      <c r="T126" s="113">
        <f>Gasto_o_ing_total!S126*1000/Gasto_o_ing_total!S$485</f>
        <v>0</v>
      </c>
      <c r="U126" s="113">
        <f>Gasto_o_ing_total!T126*1000/Gasto_o_ing_total!T$485</f>
        <v>-218.97630104203733</v>
      </c>
      <c r="V126" s="113">
        <f>Gasto_o_ing_total!U126*1000/Gasto_o_ing_total!U$485</f>
        <v>0</v>
      </c>
      <c r="W126" s="105"/>
    </row>
    <row r="127" spans="1:23" s="102" customFormat="1">
      <c r="A127" s="351" t="str">
        <f>IF(B127="","",(IF(ISERROR(MATCH(B127,Tot_res!C:C,0)),"Eliminar!!!","")))</f>
        <v/>
      </c>
      <c r="B127" s="115" t="s">
        <v>942</v>
      </c>
      <c r="C127" s="329" t="str">
        <f>VLOOKUP(B127,Tot_res!C:D,2,FALSE)</f>
        <v>Financiación para competencias no homogéneas de las comunidades de régimen común (caja)</v>
      </c>
      <c r="D127" s="332">
        <f>Gasto_o_ing_total!V127*1000/Gasto_o_ing_total!V$485</f>
        <v>-110.70176595749186</v>
      </c>
      <c r="E127" s="332">
        <f>Gasto_o_ing_total!D127*1000/Gasto_o_ing_total!D$485</f>
        <v>-96.90896582090798</v>
      </c>
      <c r="F127" s="332">
        <f>Gasto_o_ing_total!E127*1000/Gasto_o_ing_total!E$485</f>
        <v>-65.044205421358527</v>
      </c>
      <c r="G127" s="332">
        <f>Gasto_o_ing_total!F127*1000/Gasto_o_ing_total!F$485</f>
        <v>-72.029894595928809</v>
      </c>
      <c r="H127" s="332">
        <f>Gasto_o_ing_total!G127*1000/Gasto_o_ing_total!G$485</f>
        <v>-51.198962200578961</v>
      </c>
      <c r="I127" s="332">
        <f>Gasto_o_ing_total!H127*1000/Gasto_o_ing_total!H$485</f>
        <v>-131.90256361501423</v>
      </c>
      <c r="J127" s="332">
        <f>Gasto_o_ing_total!I127*1000/Gasto_o_ing_total!I$485</f>
        <v>-227.96966408453045</v>
      </c>
      <c r="K127" s="332">
        <f>Gasto_o_ing_total!J127*1000/Gasto_o_ing_total!J$485</f>
        <v>-6.2887330419539813</v>
      </c>
      <c r="L127" s="332">
        <f>Gasto_o_ing_total!K127*1000/Gasto_o_ing_total!K$485</f>
        <v>-5.5822480497508238</v>
      </c>
      <c r="M127" s="332">
        <f>Gasto_o_ing_total!L127*1000/Gasto_o_ing_total!L$485</f>
        <v>-285.77813547778874</v>
      </c>
      <c r="N127" s="332">
        <f>Gasto_o_ing_total!M127*1000/Gasto_o_ing_total!M$485</f>
        <v>-43.095863464605763</v>
      </c>
      <c r="O127" s="332">
        <f>Gasto_o_ing_total!N127*1000/Gasto_o_ing_total!N$485</f>
        <v>-7.2323272676973644</v>
      </c>
      <c r="P127" s="332">
        <f>Gasto_o_ing_total!O127*1000/Gasto_o_ing_total!O$485</f>
        <v>-83.160280631835704</v>
      </c>
      <c r="Q127" s="332">
        <f>Gasto_o_ing_total!P127*1000/Gasto_o_ing_total!P$485</f>
        <v>-157.06223746240789</v>
      </c>
      <c r="R127" s="332">
        <f>Gasto_o_ing_total!Q127*1000/Gasto_o_ing_total!Q$485</f>
        <v>-12.499959867085995</v>
      </c>
      <c r="S127" s="332">
        <f>Gasto_o_ing_total!R127*1000/Gasto_o_ing_total!R$485</f>
        <v>0</v>
      </c>
      <c r="T127" s="332">
        <f>Gasto_o_ing_total!S127*1000/Gasto_o_ing_total!S$485</f>
        <v>0</v>
      </c>
      <c r="U127" s="332">
        <f>Gasto_o_ing_total!T127*1000/Gasto_o_ing_total!T$485</f>
        <v>-218.97630104203733</v>
      </c>
      <c r="V127" s="332">
        <f>Gasto_o_ing_total!U127*1000/Gasto_o_ing_total!U$485</f>
        <v>0</v>
      </c>
      <c r="W127" s="114"/>
    </row>
    <row r="128" spans="1:23"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05"/>
    </row>
    <row r="129" spans="1:23" s="102" customFormat="1" ht="13.5">
      <c r="A129" s="352"/>
      <c r="B129" s="115"/>
      <c r="C129" s="128" t="s">
        <v>70</v>
      </c>
      <c r="D129" s="113">
        <f>Gasto_o_ing_total!V129*1000/Gasto_o_ing_total!V$485</f>
        <v>13.204402917499088</v>
      </c>
      <c r="E129" s="113">
        <f>Gasto_o_ing_total!D129*1000/Gasto_o_ing_total!D$485</f>
        <v>0</v>
      </c>
      <c r="F129" s="113">
        <f>Gasto_o_ing_total!E129*1000/Gasto_o_ing_total!E$485</f>
        <v>0</v>
      </c>
      <c r="G129" s="113">
        <f>Gasto_o_ing_total!F129*1000/Gasto_o_ing_total!F$485</f>
        <v>0</v>
      </c>
      <c r="H129" s="113">
        <f>Gasto_o_ing_total!G129*1000/Gasto_o_ing_total!G$485</f>
        <v>0</v>
      </c>
      <c r="I129" s="113">
        <f>Gasto_o_ing_total!H129*1000/Gasto_o_ing_total!H$485</f>
        <v>0</v>
      </c>
      <c r="J129" s="113">
        <f>Gasto_o_ing_total!I129*1000/Gasto_o_ing_total!I$485</f>
        <v>0</v>
      </c>
      <c r="K129" s="113">
        <f>Gasto_o_ing_total!J129*1000/Gasto_o_ing_total!J$485</f>
        <v>0</v>
      </c>
      <c r="L129" s="113">
        <f>Gasto_o_ing_total!K129*1000/Gasto_o_ing_total!K$485</f>
        <v>0</v>
      </c>
      <c r="M129" s="113">
        <f>Gasto_o_ing_total!L129*1000/Gasto_o_ing_total!L$485</f>
        <v>0</v>
      </c>
      <c r="N129" s="113">
        <f>Gasto_o_ing_total!M129*1000/Gasto_o_ing_total!M$485</f>
        <v>0</v>
      </c>
      <c r="O129" s="113">
        <f>Gasto_o_ing_total!N129*1000/Gasto_o_ing_total!N$485</f>
        <v>0</v>
      </c>
      <c r="P129" s="113">
        <f>Gasto_o_ing_total!O129*1000/Gasto_o_ing_total!O$485</f>
        <v>0</v>
      </c>
      <c r="Q129" s="113">
        <f>Gasto_o_ing_total!P129*1000/Gasto_o_ing_total!P$485</f>
        <v>0</v>
      </c>
      <c r="R129" s="113">
        <f>Gasto_o_ing_total!Q129*1000/Gasto_o_ing_total!Q$485</f>
        <v>0</v>
      </c>
      <c r="S129" s="113">
        <f>Gasto_o_ing_total!R129*1000/Gasto_o_ing_total!R$485</f>
        <v>0</v>
      </c>
      <c r="T129" s="113">
        <f>Gasto_o_ing_total!S129*1000/Gasto_o_ing_total!S$485</f>
        <v>0</v>
      </c>
      <c r="U129" s="113">
        <f>Gasto_o_ing_total!T129*1000/Gasto_o_ing_total!T$485</f>
        <v>0</v>
      </c>
      <c r="V129" s="113">
        <f>Gasto_o_ing_total!U129*1000/Gasto_o_ing_total!U$485</f>
        <v>3634.4406215482677</v>
      </c>
      <c r="W129" s="105"/>
    </row>
    <row r="130" spans="1:23" s="102" customFormat="1">
      <c r="A130" s="351" t="str">
        <f>IF(B130="","",(IF(ISERROR(MATCH(B130,Tot_res!C:C,0)),"Eliminar!!!","")))</f>
        <v/>
      </c>
      <c r="B130" s="115" t="s">
        <v>943</v>
      </c>
      <c r="C130" s="329" t="str">
        <f>VLOOKUP(B130,Tot_res!C:D,2,FALSE)</f>
        <v>Dirección y Servicios Generales de la Educación, gasto directo en Ceuta y Melilla</v>
      </c>
      <c r="D130" s="332">
        <f>Gasto_o_ing_total!V130*1000/Gasto_o_ing_total!V$485</f>
        <v>0.10151024022567831</v>
      </c>
      <c r="E130" s="332">
        <f>Gasto_o_ing_total!D130*1000/Gasto_o_ing_total!D$485</f>
        <v>0</v>
      </c>
      <c r="F130" s="332">
        <f>Gasto_o_ing_total!E130*1000/Gasto_o_ing_total!E$485</f>
        <v>0</v>
      </c>
      <c r="G130" s="332">
        <f>Gasto_o_ing_total!F130*1000/Gasto_o_ing_total!F$485</f>
        <v>0</v>
      </c>
      <c r="H130" s="332">
        <f>Gasto_o_ing_total!G130*1000/Gasto_o_ing_total!G$485</f>
        <v>0</v>
      </c>
      <c r="I130" s="332">
        <f>Gasto_o_ing_total!H130*1000/Gasto_o_ing_total!H$485</f>
        <v>0</v>
      </c>
      <c r="J130" s="332">
        <f>Gasto_o_ing_total!I130*1000/Gasto_o_ing_total!I$485</f>
        <v>0</v>
      </c>
      <c r="K130" s="332">
        <f>Gasto_o_ing_total!J130*1000/Gasto_o_ing_total!J$485</f>
        <v>0</v>
      </c>
      <c r="L130" s="332">
        <f>Gasto_o_ing_total!K130*1000/Gasto_o_ing_total!K$485</f>
        <v>0</v>
      </c>
      <c r="M130" s="332">
        <f>Gasto_o_ing_total!L130*1000/Gasto_o_ing_total!L$485</f>
        <v>0</v>
      </c>
      <c r="N130" s="332">
        <f>Gasto_o_ing_total!M130*1000/Gasto_o_ing_total!M$485</f>
        <v>0</v>
      </c>
      <c r="O130" s="332">
        <f>Gasto_o_ing_total!N130*1000/Gasto_o_ing_total!N$485</f>
        <v>0</v>
      </c>
      <c r="P130" s="332">
        <f>Gasto_o_ing_total!O130*1000/Gasto_o_ing_total!O$485</f>
        <v>0</v>
      </c>
      <c r="Q130" s="332">
        <f>Gasto_o_ing_total!P130*1000/Gasto_o_ing_total!P$485</f>
        <v>0</v>
      </c>
      <c r="R130" s="332">
        <f>Gasto_o_ing_total!Q130*1000/Gasto_o_ing_total!Q$485</f>
        <v>0</v>
      </c>
      <c r="S130" s="332">
        <f>Gasto_o_ing_total!R130*1000/Gasto_o_ing_total!R$485</f>
        <v>0</v>
      </c>
      <c r="T130" s="332">
        <f>Gasto_o_ing_total!S130*1000/Gasto_o_ing_total!S$485</f>
        <v>0</v>
      </c>
      <c r="U130" s="332">
        <f>Gasto_o_ing_total!T130*1000/Gasto_o_ing_total!T$485</f>
        <v>0</v>
      </c>
      <c r="V130" s="332">
        <f>Gasto_o_ing_total!U130*1000/Gasto_o_ing_total!U$485</f>
        <v>27.940145638119024</v>
      </c>
      <c r="W130" s="105"/>
    </row>
    <row r="131" spans="1:23"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Gasto_o_ing_total!V131*1000/Gasto_o_ing_total!V$485</f>
        <v>9.9008135522437157E-3</v>
      </c>
      <c r="E131" s="332">
        <f>Gasto_o_ing_total!D131*1000/Gasto_o_ing_total!D$485</f>
        <v>0</v>
      </c>
      <c r="F131" s="332">
        <f>Gasto_o_ing_total!E131*1000/Gasto_o_ing_total!E$485</f>
        <v>0</v>
      </c>
      <c r="G131" s="332">
        <f>Gasto_o_ing_total!F131*1000/Gasto_o_ing_total!F$485</f>
        <v>0</v>
      </c>
      <c r="H131" s="332">
        <f>Gasto_o_ing_total!G131*1000/Gasto_o_ing_total!G$485</f>
        <v>0</v>
      </c>
      <c r="I131" s="332">
        <f>Gasto_o_ing_total!H131*1000/Gasto_o_ing_total!H$485</f>
        <v>0</v>
      </c>
      <c r="J131" s="332">
        <f>Gasto_o_ing_total!I131*1000/Gasto_o_ing_total!I$485</f>
        <v>0</v>
      </c>
      <c r="K131" s="332">
        <f>Gasto_o_ing_total!J131*1000/Gasto_o_ing_total!J$485</f>
        <v>0</v>
      </c>
      <c r="L131" s="332">
        <f>Gasto_o_ing_total!K131*1000/Gasto_o_ing_total!K$485</f>
        <v>0</v>
      </c>
      <c r="M131" s="332">
        <f>Gasto_o_ing_total!L131*1000/Gasto_o_ing_total!L$485</f>
        <v>0</v>
      </c>
      <c r="N131" s="332">
        <f>Gasto_o_ing_total!M131*1000/Gasto_o_ing_total!M$485</f>
        <v>0</v>
      </c>
      <c r="O131" s="332">
        <f>Gasto_o_ing_total!N131*1000/Gasto_o_ing_total!N$485</f>
        <v>0</v>
      </c>
      <c r="P131" s="332">
        <f>Gasto_o_ing_total!O131*1000/Gasto_o_ing_total!O$485</f>
        <v>0</v>
      </c>
      <c r="Q131" s="332">
        <f>Gasto_o_ing_total!P131*1000/Gasto_o_ing_total!P$485</f>
        <v>0</v>
      </c>
      <c r="R131" s="332">
        <f>Gasto_o_ing_total!Q131*1000/Gasto_o_ing_total!Q$485</f>
        <v>0</v>
      </c>
      <c r="S131" s="332">
        <f>Gasto_o_ing_total!R131*1000/Gasto_o_ing_total!R$485</f>
        <v>0</v>
      </c>
      <c r="T131" s="332">
        <f>Gasto_o_ing_total!S131*1000/Gasto_o_ing_total!S$485</f>
        <v>0</v>
      </c>
      <c r="U131" s="332">
        <f>Gasto_o_ing_total!T131*1000/Gasto_o_ing_total!T$485</f>
        <v>0</v>
      </c>
      <c r="V131" s="332">
        <f>Gasto_o_ing_total!U131*1000/Gasto_o_ing_total!U$485</f>
        <v>2.7251454825694998</v>
      </c>
      <c r="W131" s="105"/>
    </row>
    <row r="132" spans="1:23"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Gasto_o_ing_total!V132*1000/Gasto_o_ing_total!V$485</f>
        <v>1.2680605252127017</v>
      </c>
      <c r="E132" s="332">
        <f>Gasto_o_ing_total!D132*1000/Gasto_o_ing_total!D$485</f>
        <v>0</v>
      </c>
      <c r="F132" s="332">
        <f>Gasto_o_ing_total!E132*1000/Gasto_o_ing_total!E$485</f>
        <v>0</v>
      </c>
      <c r="G132" s="332">
        <f>Gasto_o_ing_total!F132*1000/Gasto_o_ing_total!F$485</f>
        <v>0</v>
      </c>
      <c r="H132" s="332">
        <f>Gasto_o_ing_total!G132*1000/Gasto_o_ing_total!G$485</f>
        <v>0</v>
      </c>
      <c r="I132" s="332">
        <f>Gasto_o_ing_total!H132*1000/Gasto_o_ing_total!H$485</f>
        <v>0</v>
      </c>
      <c r="J132" s="332">
        <f>Gasto_o_ing_total!I132*1000/Gasto_o_ing_total!I$485</f>
        <v>0</v>
      </c>
      <c r="K132" s="332">
        <f>Gasto_o_ing_total!J132*1000/Gasto_o_ing_total!J$485</f>
        <v>0</v>
      </c>
      <c r="L132" s="332">
        <f>Gasto_o_ing_total!K132*1000/Gasto_o_ing_total!K$485</f>
        <v>0</v>
      </c>
      <c r="M132" s="332">
        <f>Gasto_o_ing_total!L132*1000/Gasto_o_ing_total!L$485</f>
        <v>0</v>
      </c>
      <c r="N132" s="332">
        <f>Gasto_o_ing_total!M132*1000/Gasto_o_ing_total!M$485</f>
        <v>0</v>
      </c>
      <c r="O132" s="332">
        <f>Gasto_o_ing_total!N132*1000/Gasto_o_ing_total!N$485</f>
        <v>0</v>
      </c>
      <c r="P132" s="332">
        <f>Gasto_o_ing_total!O132*1000/Gasto_o_ing_total!O$485</f>
        <v>0</v>
      </c>
      <c r="Q132" s="332">
        <f>Gasto_o_ing_total!P132*1000/Gasto_o_ing_total!P$485</f>
        <v>0</v>
      </c>
      <c r="R132" s="332">
        <f>Gasto_o_ing_total!Q132*1000/Gasto_o_ing_total!Q$485</f>
        <v>0</v>
      </c>
      <c r="S132" s="332">
        <f>Gasto_o_ing_total!R132*1000/Gasto_o_ing_total!R$485</f>
        <v>0</v>
      </c>
      <c r="T132" s="332">
        <f>Gasto_o_ing_total!S132*1000/Gasto_o_ing_total!S$485</f>
        <v>0</v>
      </c>
      <c r="U132" s="332">
        <f>Gasto_o_ing_total!T132*1000/Gasto_o_ing_total!T$485</f>
        <v>0</v>
      </c>
      <c r="V132" s="332">
        <f>Gasto_o_ing_total!U132*1000/Gasto_o_ing_total!U$485</f>
        <v>349.02681417780911</v>
      </c>
      <c r="W132" s="105"/>
    </row>
    <row r="133" spans="1:23"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Gasto_o_ing_total!V133*1000/Gasto_o_ing_total!V$485</f>
        <v>1.3903643459133563</v>
      </c>
      <c r="E133" s="332">
        <f>Gasto_o_ing_total!D133*1000/Gasto_o_ing_total!D$485</f>
        <v>0</v>
      </c>
      <c r="F133" s="332">
        <f>Gasto_o_ing_total!E133*1000/Gasto_o_ing_total!E$485</f>
        <v>0</v>
      </c>
      <c r="G133" s="332">
        <f>Gasto_o_ing_total!F133*1000/Gasto_o_ing_total!F$485</f>
        <v>0</v>
      </c>
      <c r="H133" s="332">
        <f>Gasto_o_ing_total!G133*1000/Gasto_o_ing_total!G$485</f>
        <v>0</v>
      </c>
      <c r="I133" s="332">
        <f>Gasto_o_ing_total!H133*1000/Gasto_o_ing_total!H$485</f>
        <v>0</v>
      </c>
      <c r="J133" s="332">
        <f>Gasto_o_ing_total!I133*1000/Gasto_o_ing_total!I$485</f>
        <v>0</v>
      </c>
      <c r="K133" s="332">
        <f>Gasto_o_ing_total!J133*1000/Gasto_o_ing_total!J$485</f>
        <v>0</v>
      </c>
      <c r="L133" s="332">
        <f>Gasto_o_ing_total!K133*1000/Gasto_o_ing_total!K$485</f>
        <v>0</v>
      </c>
      <c r="M133" s="332">
        <f>Gasto_o_ing_total!L133*1000/Gasto_o_ing_total!L$485</f>
        <v>0</v>
      </c>
      <c r="N133" s="332">
        <f>Gasto_o_ing_total!M133*1000/Gasto_o_ing_total!M$485</f>
        <v>0</v>
      </c>
      <c r="O133" s="332">
        <f>Gasto_o_ing_total!N133*1000/Gasto_o_ing_total!N$485</f>
        <v>0</v>
      </c>
      <c r="P133" s="332">
        <f>Gasto_o_ing_total!O133*1000/Gasto_o_ing_total!O$485</f>
        <v>0</v>
      </c>
      <c r="Q133" s="332">
        <f>Gasto_o_ing_total!P133*1000/Gasto_o_ing_total!P$485</f>
        <v>0</v>
      </c>
      <c r="R133" s="332">
        <f>Gasto_o_ing_total!Q133*1000/Gasto_o_ing_total!Q$485</f>
        <v>0</v>
      </c>
      <c r="S133" s="332">
        <f>Gasto_o_ing_total!R133*1000/Gasto_o_ing_total!R$485</f>
        <v>0</v>
      </c>
      <c r="T133" s="332">
        <f>Gasto_o_ing_total!S133*1000/Gasto_o_ing_total!S$485</f>
        <v>0</v>
      </c>
      <c r="U133" s="332">
        <f>Gasto_o_ing_total!T133*1000/Gasto_o_ing_total!T$485</f>
        <v>0</v>
      </c>
      <c r="V133" s="332">
        <f>Gasto_o_ing_total!U133*1000/Gasto_o_ing_total!U$485</f>
        <v>382.69028059141988</v>
      </c>
      <c r="W133" s="105"/>
    </row>
    <row r="134" spans="1:23" s="102" customFormat="1">
      <c r="A134" s="351" t="str">
        <f>IF(B134="","",(IF(ISERROR(MATCH(B134,Tot_res!C:C,0)),"Eliminar!!!","")))</f>
        <v/>
      </c>
      <c r="B134" s="115" t="s">
        <v>947</v>
      </c>
      <c r="C134" s="329" t="str">
        <f>VLOOKUP(B134,Tot_res!C:D,2,FALSE)</f>
        <v>Enseñanzas universitarias, gasto directo del Estado en Ceuta y Melilla</v>
      </c>
      <c r="D134" s="332">
        <f>Gasto_o_ing_total!V134*1000/Gasto_o_ing_total!V$485</f>
        <v>0.17596094844728596</v>
      </c>
      <c r="E134" s="332">
        <f>Gasto_o_ing_total!D134*1000/Gasto_o_ing_total!D$485</f>
        <v>0</v>
      </c>
      <c r="F134" s="332">
        <f>Gasto_o_ing_total!E134*1000/Gasto_o_ing_total!E$485</f>
        <v>0</v>
      </c>
      <c r="G134" s="332">
        <f>Gasto_o_ing_total!F134*1000/Gasto_o_ing_total!F$485</f>
        <v>0</v>
      </c>
      <c r="H134" s="332">
        <f>Gasto_o_ing_total!G134*1000/Gasto_o_ing_total!G$485</f>
        <v>0</v>
      </c>
      <c r="I134" s="332">
        <f>Gasto_o_ing_total!H134*1000/Gasto_o_ing_total!H$485</f>
        <v>0</v>
      </c>
      <c r="J134" s="332">
        <f>Gasto_o_ing_total!I134*1000/Gasto_o_ing_total!I$485</f>
        <v>0</v>
      </c>
      <c r="K134" s="332">
        <f>Gasto_o_ing_total!J134*1000/Gasto_o_ing_total!J$485</f>
        <v>0</v>
      </c>
      <c r="L134" s="332">
        <f>Gasto_o_ing_total!K134*1000/Gasto_o_ing_total!K$485</f>
        <v>0</v>
      </c>
      <c r="M134" s="332">
        <f>Gasto_o_ing_total!L134*1000/Gasto_o_ing_total!L$485</f>
        <v>0</v>
      </c>
      <c r="N134" s="332">
        <f>Gasto_o_ing_total!M134*1000/Gasto_o_ing_total!M$485</f>
        <v>0</v>
      </c>
      <c r="O134" s="332">
        <f>Gasto_o_ing_total!N134*1000/Gasto_o_ing_total!N$485</f>
        <v>0</v>
      </c>
      <c r="P134" s="332">
        <f>Gasto_o_ing_total!O134*1000/Gasto_o_ing_total!O$485</f>
        <v>0</v>
      </c>
      <c r="Q134" s="332">
        <f>Gasto_o_ing_total!P134*1000/Gasto_o_ing_total!P$485</f>
        <v>0</v>
      </c>
      <c r="R134" s="332">
        <f>Gasto_o_ing_total!Q134*1000/Gasto_o_ing_total!Q$485</f>
        <v>0</v>
      </c>
      <c r="S134" s="332">
        <f>Gasto_o_ing_total!R134*1000/Gasto_o_ing_total!R$485</f>
        <v>0</v>
      </c>
      <c r="T134" s="332">
        <f>Gasto_o_ing_total!S134*1000/Gasto_o_ing_total!S$485</f>
        <v>0</v>
      </c>
      <c r="U134" s="332">
        <f>Gasto_o_ing_total!T134*1000/Gasto_o_ing_total!T$485</f>
        <v>0</v>
      </c>
      <c r="V134" s="332">
        <f>Gasto_o_ing_total!U134*1000/Gasto_o_ing_total!U$485</f>
        <v>48.432301167927527</v>
      </c>
      <c r="W134" s="105"/>
    </row>
    <row r="135" spans="1:23" s="102" customFormat="1">
      <c r="A135" s="351" t="str">
        <f>IF(B135="","",(IF(ISERROR(MATCH(B135,Tot_res!C:C,0)),"Eliminar!!!","")))</f>
        <v/>
      </c>
      <c r="B135" s="115" t="s">
        <v>948</v>
      </c>
      <c r="C135" s="329" t="str">
        <f>VLOOKUP(B135,Tot_res!C:D,2,FALSE)</f>
        <v>Enseñanzas artísticas, gasto directo del Estado en Ceuta y Melilla</v>
      </c>
      <c r="D135" s="332">
        <f>Gasto_o_ing_total!V135*1000/Gasto_o_ing_total!V$485</f>
        <v>0.11316029193328263</v>
      </c>
      <c r="E135" s="332">
        <f>Gasto_o_ing_total!D135*1000/Gasto_o_ing_total!D$485</f>
        <v>0</v>
      </c>
      <c r="F135" s="332">
        <f>Gasto_o_ing_total!E135*1000/Gasto_o_ing_total!E$485</f>
        <v>0</v>
      </c>
      <c r="G135" s="332">
        <f>Gasto_o_ing_total!F135*1000/Gasto_o_ing_total!F$485</f>
        <v>0</v>
      </c>
      <c r="H135" s="332">
        <f>Gasto_o_ing_total!G135*1000/Gasto_o_ing_total!G$485</f>
        <v>0</v>
      </c>
      <c r="I135" s="332">
        <f>Gasto_o_ing_total!H135*1000/Gasto_o_ing_total!H$485</f>
        <v>0</v>
      </c>
      <c r="J135" s="332">
        <f>Gasto_o_ing_total!I135*1000/Gasto_o_ing_total!I$485</f>
        <v>0</v>
      </c>
      <c r="K135" s="332">
        <f>Gasto_o_ing_total!J135*1000/Gasto_o_ing_total!J$485</f>
        <v>0</v>
      </c>
      <c r="L135" s="332">
        <f>Gasto_o_ing_total!K135*1000/Gasto_o_ing_total!K$485</f>
        <v>0</v>
      </c>
      <c r="M135" s="332">
        <f>Gasto_o_ing_total!L135*1000/Gasto_o_ing_total!L$485</f>
        <v>0</v>
      </c>
      <c r="N135" s="332">
        <f>Gasto_o_ing_total!M135*1000/Gasto_o_ing_total!M$485</f>
        <v>0</v>
      </c>
      <c r="O135" s="332">
        <f>Gasto_o_ing_total!N135*1000/Gasto_o_ing_total!N$485</f>
        <v>0</v>
      </c>
      <c r="P135" s="332">
        <f>Gasto_o_ing_total!O135*1000/Gasto_o_ing_total!O$485</f>
        <v>0</v>
      </c>
      <c r="Q135" s="332">
        <f>Gasto_o_ing_total!P135*1000/Gasto_o_ing_total!P$485</f>
        <v>0</v>
      </c>
      <c r="R135" s="332">
        <f>Gasto_o_ing_total!Q135*1000/Gasto_o_ing_total!Q$485</f>
        <v>0</v>
      </c>
      <c r="S135" s="332">
        <f>Gasto_o_ing_total!R135*1000/Gasto_o_ing_total!R$485</f>
        <v>0</v>
      </c>
      <c r="T135" s="332">
        <f>Gasto_o_ing_total!S135*1000/Gasto_o_ing_total!S$485</f>
        <v>0</v>
      </c>
      <c r="U135" s="332">
        <f>Gasto_o_ing_total!T135*1000/Gasto_o_ing_total!T$485</f>
        <v>0</v>
      </c>
      <c r="V135" s="332">
        <f>Gasto_o_ing_total!U135*1000/Gasto_o_ing_total!U$485</f>
        <v>31.146759480017327</v>
      </c>
      <c r="W135" s="105"/>
    </row>
    <row r="136" spans="1:23" s="102" customFormat="1">
      <c r="A136" s="351" t="str">
        <f>IF(B136="","",(IF(ISERROR(MATCH(B136,Tot_res!C:C,0)),"Eliminar!!!","")))</f>
        <v/>
      </c>
      <c r="B136" s="115" t="s">
        <v>949</v>
      </c>
      <c r="C136" s="329" t="str">
        <f>VLOOKUP(B136,Tot_res!C:D,2,FALSE)</f>
        <v>Educación compensatoria, gasto directo del Estado en Ceuta y Melilla</v>
      </c>
      <c r="D136" s="332">
        <f>Gasto_o_ing_total!V136*1000/Gasto_o_ing_total!V$485</f>
        <v>7.3537810291377056E-2</v>
      </c>
      <c r="E136" s="332">
        <f>Gasto_o_ing_total!D136*1000/Gasto_o_ing_total!D$485</f>
        <v>0</v>
      </c>
      <c r="F136" s="332">
        <f>Gasto_o_ing_total!E136*1000/Gasto_o_ing_total!E$485</f>
        <v>0</v>
      </c>
      <c r="G136" s="332">
        <f>Gasto_o_ing_total!F136*1000/Gasto_o_ing_total!F$485</f>
        <v>0</v>
      </c>
      <c r="H136" s="332">
        <f>Gasto_o_ing_total!G136*1000/Gasto_o_ing_total!G$485</f>
        <v>0</v>
      </c>
      <c r="I136" s="332">
        <f>Gasto_o_ing_total!H136*1000/Gasto_o_ing_total!H$485</f>
        <v>0</v>
      </c>
      <c r="J136" s="332">
        <f>Gasto_o_ing_total!I136*1000/Gasto_o_ing_total!I$485</f>
        <v>0</v>
      </c>
      <c r="K136" s="332">
        <f>Gasto_o_ing_total!J136*1000/Gasto_o_ing_total!J$485</f>
        <v>0</v>
      </c>
      <c r="L136" s="332">
        <f>Gasto_o_ing_total!K136*1000/Gasto_o_ing_total!K$485</f>
        <v>0</v>
      </c>
      <c r="M136" s="332">
        <f>Gasto_o_ing_total!L136*1000/Gasto_o_ing_total!L$485</f>
        <v>0</v>
      </c>
      <c r="N136" s="332">
        <f>Gasto_o_ing_total!M136*1000/Gasto_o_ing_total!M$485</f>
        <v>0</v>
      </c>
      <c r="O136" s="332">
        <f>Gasto_o_ing_total!N136*1000/Gasto_o_ing_total!N$485</f>
        <v>0</v>
      </c>
      <c r="P136" s="332">
        <f>Gasto_o_ing_total!O136*1000/Gasto_o_ing_total!O$485</f>
        <v>0</v>
      </c>
      <c r="Q136" s="332">
        <f>Gasto_o_ing_total!P136*1000/Gasto_o_ing_total!P$485</f>
        <v>0</v>
      </c>
      <c r="R136" s="332">
        <f>Gasto_o_ing_total!Q136*1000/Gasto_o_ing_total!Q$485</f>
        <v>0</v>
      </c>
      <c r="S136" s="332">
        <f>Gasto_o_ing_total!R136*1000/Gasto_o_ing_total!R$485</f>
        <v>0</v>
      </c>
      <c r="T136" s="332">
        <f>Gasto_o_ing_total!S136*1000/Gasto_o_ing_total!S$485</f>
        <v>0</v>
      </c>
      <c r="U136" s="332">
        <f>Gasto_o_ing_total!T136*1000/Gasto_o_ing_total!T$485</f>
        <v>0</v>
      </c>
      <c r="V136" s="332">
        <f>Gasto_o_ing_total!U136*1000/Gasto_o_ing_total!U$485</f>
        <v>20.240885302620839</v>
      </c>
      <c r="W136" s="105"/>
    </row>
    <row r="137" spans="1:23" s="102" customFormat="1">
      <c r="A137" s="351" t="str">
        <f>IF(B137="","",(IF(ISERROR(MATCH(B137,Tot_res!C:C,0)),"Eliminar!!!","")))</f>
        <v/>
      </c>
      <c r="B137" s="115" t="s">
        <v>950</v>
      </c>
      <c r="C137" s="329" t="str">
        <f>VLOOKUP(B137,Tot_res!C:D,2,FALSE)</f>
        <v>Otras enseñanzas y actividades educativas, gasto directo en Ceuta y Melilla</v>
      </c>
      <c r="D137" s="332">
        <f>Gasto_o_ing_total!V137*1000/Gasto_o_ing_total!V$485</f>
        <v>0.32855242139942531</v>
      </c>
      <c r="E137" s="332">
        <f>Gasto_o_ing_total!D137*1000/Gasto_o_ing_total!D$485</f>
        <v>0</v>
      </c>
      <c r="F137" s="332">
        <f>Gasto_o_ing_total!E137*1000/Gasto_o_ing_total!E$485</f>
        <v>0</v>
      </c>
      <c r="G137" s="332">
        <f>Gasto_o_ing_total!F137*1000/Gasto_o_ing_total!F$485</f>
        <v>0</v>
      </c>
      <c r="H137" s="332">
        <f>Gasto_o_ing_total!G137*1000/Gasto_o_ing_total!G$485</f>
        <v>0</v>
      </c>
      <c r="I137" s="332">
        <f>Gasto_o_ing_total!H137*1000/Gasto_o_ing_total!H$485</f>
        <v>0</v>
      </c>
      <c r="J137" s="332">
        <f>Gasto_o_ing_total!I137*1000/Gasto_o_ing_total!I$485</f>
        <v>0</v>
      </c>
      <c r="K137" s="332">
        <f>Gasto_o_ing_total!J137*1000/Gasto_o_ing_total!J$485</f>
        <v>0</v>
      </c>
      <c r="L137" s="332">
        <f>Gasto_o_ing_total!K137*1000/Gasto_o_ing_total!K$485</f>
        <v>0</v>
      </c>
      <c r="M137" s="332">
        <f>Gasto_o_ing_total!L137*1000/Gasto_o_ing_total!L$485</f>
        <v>0</v>
      </c>
      <c r="N137" s="332">
        <f>Gasto_o_ing_total!M137*1000/Gasto_o_ing_total!M$485</f>
        <v>0</v>
      </c>
      <c r="O137" s="332">
        <f>Gasto_o_ing_total!N137*1000/Gasto_o_ing_total!N$485</f>
        <v>0</v>
      </c>
      <c r="P137" s="332">
        <f>Gasto_o_ing_total!O137*1000/Gasto_o_ing_total!O$485</f>
        <v>0</v>
      </c>
      <c r="Q137" s="332">
        <f>Gasto_o_ing_total!P137*1000/Gasto_o_ing_total!P$485</f>
        <v>0</v>
      </c>
      <c r="R137" s="332">
        <f>Gasto_o_ing_total!Q137*1000/Gasto_o_ing_total!Q$485</f>
        <v>0</v>
      </c>
      <c r="S137" s="332">
        <f>Gasto_o_ing_total!R137*1000/Gasto_o_ing_total!R$485</f>
        <v>0</v>
      </c>
      <c r="T137" s="332">
        <f>Gasto_o_ing_total!S137*1000/Gasto_o_ing_total!S$485</f>
        <v>0</v>
      </c>
      <c r="U137" s="332">
        <f>Gasto_o_ing_total!T137*1000/Gasto_o_ing_total!T$485</f>
        <v>0</v>
      </c>
      <c r="V137" s="332">
        <f>Gasto_o_ing_total!U137*1000/Gasto_o_ing_total!U$485</f>
        <v>90.432280361547683</v>
      </c>
      <c r="W137" s="105"/>
    </row>
    <row r="138" spans="1:23" s="102" customFormat="1">
      <c r="A138" s="351" t="str">
        <f>IF(B138="","",(IF(ISERROR(MATCH(B138,Tot_res!C:C,0)),"Eliminar!!!","")))</f>
        <v/>
      </c>
      <c r="B138" s="115" t="s">
        <v>951</v>
      </c>
      <c r="C138" s="329" t="str">
        <f>VLOOKUP(B138,Tot_res!C:D,2,FALSE)</f>
        <v>Servicios complementarios de la enseñanza, gasto directo del Estado en Ceuta y Melilla</v>
      </c>
      <c r="D138" s="332">
        <f>Gasto_o_ing_total!V138*1000/Gasto_o_ing_total!V$485</f>
        <v>5.3487646324018492E-2</v>
      </c>
      <c r="E138" s="332">
        <f>Gasto_o_ing_total!D138*1000/Gasto_o_ing_total!D$485</f>
        <v>0</v>
      </c>
      <c r="F138" s="332">
        <f>Gasto_o_ing_total!E138*1000/Gasto_o_ing_total!E$485</f>
        <v>0</v>
      </c>
      <c r="G138" s="332">
        <f>Gasto_o_ing_total!F138*1000/Gasto_o_ing_total!F$485</f>
        <v>0</v>
      </c>
      <c r="H138" s="332">
        <f>Gasto_o_ing_total!G138*1000/Gasto_o_ing_total!G$485</f>
        <v>0</v>
      </c>
      <c r="I138" s="332">
        <f>Gasto_o_ing_total!H138*1000/Gasto_o_ing_total!H$485</f>
        <v>0</v>
      </c>
      <c r="J138" s="332">
        <f>Gasto_o_ing_total!I138*1000/Gasto_o_ing_total!I$485</f>
        <v>0</v>
      </c>
      <c r="K138" s="332">
        <f>Gasto_o_ing_total!J138*1000/Gasto_o_ing_total!J$485</f>
        <v>0</v>
      </c>
      <c r="L138" s="332">
        <f>Gasto_o_ing_total!K138*1000/Gasto_o_ing_total!K$485</f>
        <v>0</v>
      </c>
      <c r="M138" s="332">
        <f>Gasto_o_ing_total!L138*1000/Gasto_o_ing_total!L$485</f>
        <v>0</v>
      </c>
      <c r="N138" s="332">
        <f>Gasto_o_ing_total!M138*1000/Gasto_o_ing_total!M$485</f>
        <v>0</v>
      </c>
      <c r="O138" s="332">
        <f>Gasto_o_ing_total!N138*1000/Gasto_o_ing_total!N$485</f>
        <v>0</v>
      </c>
      <c r="P138" s="332">
        <f>Gasto_o_ing_total!O138*1000/Gasto_o_ing_total!O$485</f>
        <v>0</v>
      </c>
      <c r="Q138" s="332">
        <f>Gasto_o_ing_total!P138*1000/Gasto_o_ing_total!P$485</f>
        <v>0</v>
      </c>
      <c r="R138" s="332">
        <f>Gasto_o_ing_total!Q138*1000/Gasto_o_ing_total!Q$485</f>
        <v>0</v>
      </c>
      <c r="S138" s="332">
        <f>Gasto_o_ing_total!R138*1000/Gasto_o_ing_total!R$485</f>
        <v>0</v>
      </c>
      <c r="T138" s="332">
        <f>Gasto_o_ing_total!S138*1000/Gasto_o_ing_total!S$485</f>
        <v>0</v>
      </c>
      <c r="U138" s="332">
        <f>Gasto_o_ing_total!T138*1000/Gasto_o_ing_total!T$485</f>
        <v>0</v>
      </c>
      <c r="V138" s="332">
        <f>Gasto_o_ing_total!U138*1000/Gasto_o_ing_total!U$485</f>
        <v>14.722185907656216</v>
      </c>
      <c r="W138" s="105"/>
    </row>
    <row r="139" spans="1:23" s="102" customFormat="1">
      <c r="A139" s="351" t="str">
        <f>IF(B139="","",(IF(ISERROR(MATCH(B139,Tot_res!C:C,0)),"Eliminar!!!","")))</f>
        <v/>
      </c>
      <c r="B139" s="115" t="s">
        <v>982</v>
      </c>
      <c r="C139" s="329" t="str">
        <f>VLOOKUP(B139,Tot_res!C:D,2,FALSE)</f>
        <v xml:space="preserve">Atención Primaria de Salud, gasto directo del INGESA en Ceuta y Melilla </v>
      </c>
      <c r="D139" s="332">
        <f>Gasto_o_ing_total!V139*1000/Gasto_o_ing_total!V$485</f>
        <v>1.2448143855581053</v>
      </c>
      <c r="E139" s="332">
        <f>Gasto_o_ing_total!D139*1000/Gasto_o_ing_total!D$485</f>
        <v>0</v>
      </c>
      <c r="F139" s="332">
        <f>Gasto_o_ing_total!E139*1000/Gasto_o_ing_total!E$485</f>
        <v>0</v>
      </c>
      <c r="G139" s="332">
        <f>Gasto_o_ing_total!F139*1000/Gasto_o_ing_total!F$485</f>
        <v>0</v>
      </c>
      <c r="H139" s="332">
        <f>Gasto_o_ing_total!G139*1000/Gasto_o_ing_total!G$485</f>
        <v>0</v>
      </c>
      <c r="I139" s="332">
        <f>Gasto_o_ing_total!H139*1000/Gasto_o_ing_total!H$485</f>
        <v>0</v>
      </c>
      <c r="J139" s="332">
        <f>Gasto_o_ing_total!I139*1000/Gasto_o_ing_total!I$485</f>
        <v>0</v>
      </c>
      <c r="K139" s="332">
        <f>Gasto_o_ing_total!J139*1000/Gasto_o_ing_total!J$485</f>
        <v>0</v>
      </c>
      <c r="L139" s="332">
        <f>Gasto_o_ing_total!K139*1000/Gasto_o_ing_total!K$485</f>
        <v>0</v>
      </c>
      <c r="M139" s="332">
        <f>Gasto_o_ing_total!L139*1000/Gasto_o_ing_total!L$485</f>
        <v>0</v>
      </c>
      <c r="N139" s="332">
        <f>Gasto_o_ing_total!M139*1000/Gasto_o_ing_total!M$485</f>
        <v>0</v>
      </c>
      <c r="O139" s="332">
        <f>Gasto_o_ing_total!N139*1000/Gasto_o_ing_total!N$485</f>
        <v>0</v>
      </c>
      <c r="P139" s="332">
        <f>Gasto_o_ing_total!O139*1000/Gasto_o_ing_total!O$485</f>
        <v>0</v>
      </c>
      <c r="Q139" s="332">
        <f>Gasto_o_ing_total!P139*1000/Gasto_o_ing_total!P$485</f>
        <v>0</v>
      </c>
      <c r="R139" s="332">
        <f>Gasto_o_ing_total!Q139*1000/Gasto_o_ing_total!Q$485</f>
        <v>0</v>
      </c>
      <c r="S139" s="332">
        <f>Gasto_o_ing_total!R139*1000/Gasto_o_ing_total!R$485</f>
        <v>0</v>
      </c>
      <c r="T139" s="332">
        <f>Gasto_o_ing_total!S139*1000/Gasto_o_ing_total!S$485</f>
        <v>0</v>
      </c>
      <c r="U139" s="332">
        <f>Gasto_o_ing_total!T139*1000/Gasto_o_ing_total!T$485</f>
        <v>0</v>
      </c>
      <c r="V139" s="332">
        <f>Gasto_o_ing_total!U139*1000/Gasto_o_ing_total!U$485</f>
        <v>342.6284397278078</v>
      </c>
      <c r="W139" s="105"/>
    </row>
    <row r="140" spans="1:23" s="102" customFormat="1">
      <c r="A140" s="351" t="str">
        <f>IF(B140="","",(IF(ISERROR(MATCH(B140,Tot_res!C:C,0)),"Eliminar!!!","")))</f>
        <v/>
      </c>
      <c r="B140" s="115" t="s">
        <v>983</v>
      </c>
      <c r="C140" s="329" t="str">
        <f>VLOOKUP(B140,Tot_res!C:D,2,FALSE)</f>
        <v>Atención Especializada, gasto directo del INGESA en Ceuta y Melilla</v>
      </c>
      <c r="D140" s="332">
        <f>Gasto_o_ing_total!V140*1000/Gasto_o_ing_total!V$485</f>
        <v>3.0076308824071418</v>
      </c>
      <c r="E140" s="332">
        <f>Gasto_o_ing_total!D140*1000/Gasto_o_ing_total!D$485</f>
        <v>0</v>
      </c>
      <c r="F140" s="332">
        <f>Gasto_o_ing_total!E140*1000/Gasto_o_ing_total!E$485</f>
        <v>0</v>
      </c>
      <c r="G140" s="332">
        <f>Gasto_o_ing_total!F140*1000/Gasto_o_ing_total!F$485</f>
        <v>0</v>
      </c>
      <c r="H140" s="332">
        <f>Gasto_o_ing_total!G140*1000/Gasto_o_ing_total!G$485</f>
        <v>0</v>
      </c>
      <c r="I140" s="332">
        <f>Gasto_o_ing_total!H140*1000/Gasto_o_ing_total!H$485</f>
        <v>0</v>
      </c>
      <c r="J140" s="332">
        <f>Gasto_o_ing_total!I140*1000/Gasto_o_ing_total!I$485</f>
        <v>0</v>
      </c>
      <c r="K140" s="332">
        <f>Gasto_o_ing_total!J140*1000/Gasto_o_ing_total!J$485</f>
        <v>0</v>
      </c>
      <c r="L140" s="332">
        <f>Gasto_o_ing_total!K140*1000/Gasto_o_ing_total!K$485</f>
        <v>0</v>
      </c>
      <c r="M140" s="332">
        <f>Gasto_o_ing_total!L140*1000/Gasto_o_ing_total!L$485</f>
        <v>0</v>
      </c>
      <c r="N140" s="332">
        <f>Gasto_o_ing_total!M140*1000/Gasto_o_ing_total!M$485</f>
        <v>0</v>
      </c>
      <c r="O140" s="332">
        <f>Gasto_o_ing_total!N140*1000/Gasto_o_ing_total!N$485</f>
        <v>0</v>
      </c>
      <c r="P140" s="332">
        <f>Gasto_o_ing_total!O140*1000/Gasto_o_ing_total!O$485</f>
        <v>0</v>
      </c>
      <c r="Q140" s="332">
        <f>Gasto_o_ing_total!P140*1000/Gasto_o_ing_total!P$485</f>
        <v>0</v>
      </c>
      <c r="R140" s="332">
        <f>Gasto_o_ing_total!Q140*1000/Gasto_o_ing_total!Q$485</f>
        <v>0</v>
      </c>
      <c r="S140" s="332">
        <f>Gasto_o_ing_total!R140*1000/Gasto_o_ing_total!R$485</f>
        <v>0</v>
      </c>
      <c r="T140" s="332">
        <f>Gasto_o_ing_total!S140*1000/Gasto_o_ing_total!S$485</f>
        <v>0</v>
      </c>
      <c r="U140" s="332">
        <f>Gasto_o_ing_total!T140*1000/Gasto_o_ing_total!T$485</f>
        <v>0</v>
      </c>
      <c r="V140" s="332">
        <f>Gasto_o_ing_total!U140*1000/Gasto_o_ing_total!U$485</f>
        <v>827.83416425117071</v>
      </c>
      <c r="W140" s="105"/>
    </row>
    <row r="141" spans="1:23" s="102" customFormat="1">
      <c r="A141" s="351" t="str">
        <f>IF(B141="","",(IF(ISERROR(MATCH(B141,Tot_res!C:C,0)),"Eliminar!!!","")))</f>
        <v/>
      </c>
      <c r="B141" s="115" t="s">
        <v>952</v>
      </c>
      <c r="C141" s="329" t="str">
        <f>VLOOKUP(B141,Tot_res!C:D,2,FALSE)</f>
        <v>Admón.,Ser.Grales.y Cont.Int.Asist.San, gasto directo del INGESA en Ceuta y Melila</v>
      </c>
      <c r="D141" s="332">
        <f>Gasto_o_ing_total!V141*1000/Gasto_o_ing_total!V$485</f>
        <v>0.29971659257629363</v>
      </c>
      <c r="E141" s="332">
        <f>Gasto_o_ing_total!D141*1000/Gasto_o_ing_total!D$485</f>
        <v>0</v>
      </c>
      <c r="F141" s="332">
        <f>Gasto_o_ing_total!E141*1000/Gasto_o_ing_total!E$485</f>
        <v>0</v>
      </c>
      <c r="G141" s="332">
        <f>Gasto_o_ing_total!F141*1000/Gasto_o_ing_total!F$485</f>
        <v>0</v>
      </c>
      <c r="H141" s="332">
        <f>Gasto_o_ing_total!G141*1000/Gasto_o_ing_total!G$485</f>
        <v>0</v>
      </c>
      <c r="I141" s="332">
        <f>Gasto_o_ing_total!H141*1000/Gasto_o_ing_total!H$485</f>
        <v>0</v>
      </c>
      <c r="J141" s="332">
        <f>Gasto_o_ing_total!I141*1000/Gasto_o_ing_total!I$485</f>
        <v>0</v>
      </c>
      <c r="K141" s="332">
        <f>Gasto_o_ing_total!J141*1000/Gasto_o_ing_total!J$485</f>
        <v>0</v>
      </c>
      <c r="L141" s="332">
        <f>Gasto_o_ing_total!K141*1000/Gasto_o_ing_total!K$485</f>
        <v>0</v>
      </c>
      <c r="M141" s="332">
        <f>Gasto_o_ing_total!L141*1000/Gasto_o_ing_total!L$485</f>
        <v>0</v>
      </c>
      <c r="N141" s="332">
        <f>Gasto_o_ing_total!M141*1000/Gasto_o_ing_total!M$485</f>
        <v>0</v>
      </c>
      <c r="O141" s="332">
        <f>Gasto_o_ing_total!N141*1000/Gasto_o_ing_total!N$485</f>
        <v>0</v>
      </c>
      <c r="P141" s="332">
        <f>Gasto_o_ing_total!O141*1000/Gasto_o_ing_total!O$485</f>
        <v>0</v>
      </c>
      <c r="Q141" s="332">
        <f>Gasto_o_ing_total!P141*1000/Gasto_o_ing_total!P$485</f>
        <v>0</v>
      </c>
      <c r="R141" s="332">
        <f>Gasto_o_ing_total!Q141*1000/Gasto_o_ing_total!Q$485</f>
        <v>0</v>
      </c>
      <c r="S141" s="332">
        <f>Gasto_o_ing_total!R141*1000/Gasto_o_ing_total!R$485</f>
        <v>0</v>
      </c>
      <c r="T141" s="332">
        <f>Gasto_o_ing_total!S141*1000/Gasto_o_ing_total!S$485</f>
        <v>0</v>
      </c>
      <c r="U141" s="332">
        <f>Gasto_o_ing_total!T141*1000/Gasto_o_ing_total!T$485</f>
        <v>0</v>
      </c>
      <c r="V141" s="332">
        <f>Gasto_o_ing_total!U141*1000/Gasto_o_ing_total!U$485</f>
        <v>82.495374142795939</v>
      </c>
      <c r="W141" s="105"/>
    </row>
    <row r="142" spans="1:23" s="102" customFormat="1">
      <c r="A142" s="351" t="str">
        <f>IF(B142="","",(IF(ISERROR(MATCH(B142,Tot_res!C:C,0)),"Eliminar!!!","")))</f>
        <v/>
      </c>
      <c r="B142" s="115" t="s">
        <v>953</v>
      </c>
      <c r="C142" s="329" t="str">
        <f>VLOOKUP(B142,Tot_res!C:D,2,FALSE)</f>
        <v>Formación del Personal Sanitario, gasto directo del INGESA en Ceuta y Melilla</v>
      </c>
      <c r="D142" s="332">
        <f>Gasto_o_ing_total!V142*1000/Gasto_o_ing_total!V$485</f>
        <v>4.1066042606683388E-2</v>
      </c>
      <c r="E142" s="332">
        <f>Gasto_o_ing_total!D142*1000/Gasto_o_ing_total!D$485</f>
        <v>0</v>
      </c>
      <c r="F142" s="332">
        <f>Gasto_o_ing_total!E142*1000/Gasto_o_ing_total!E$485</f>
        <v>0</v>
      </c>
      <c r="G142" s="332">
        <f>Gasto_o_ing_total!F142*1000/Gasto_o_ing_total!F$485</f>
        <v>0</v>
      </c>
      <c r="H142" s="332">
        <f>Gasto_o_ing_total!G142*1000/Gasto_o_ing_total!G$485</f>
        <v>0</v>
      </c>
      <c r="I142" s="332">
        <f>Gasto_o_ing_total!H142*1000/Gasto_o_ing_total!H$485</f>
        <v>0</v>
      </c>
      <c r="J142" s="332">
        <f>Gasto_o_ing_total!I142*1000/Gasto_o_ing_total!I$485</f>
        <v>0</v>
      </c>
      <c r="K142" s="332">
        <f>Gasto_o_ing_total!J142*1000/Gasto_o_ing_total!J$485</f>
        <v>0</v>
      </c>
      <c r="L142" s="332">
        <f>Gasto_o_ing_total!K142*1000/Gasto_o_ing_total!K$485</f>
        <v>0</v>
      </c>
      <c r="M142" s="332">
        <f>Gasto_o_ing_total!L142*1000/Gasto_o_ing_total!L$485</f>
        <v>0</v>
      </c>
      <c r="N142" s="332">
        <f>Gasto_o_ing_total!M142*1000/Gasto_o_ing_total!M$485</f>
        <v>0</v>
      </c>
      <c r="O142" s="332">
        <f>Gasto_o_ing_total!N142*1000/Gasto_o_ing_total!N$485</f>
        <v>0</v>
      </c>
      <c r="P142" s="332">
        <f>Gasto_o_ing_total!O142*1000/Gasto_o_ing_total!O$485</f>
        <v>0</v>
      </c>
      <c r="Q142" s="332">
        <f>Gasto_o_ing_total!P142*1000/Gasto_o_ing_total!P$485</f>
        <v>0</v>
      </c>
      <c r="R142" s="332">
        <f>Gasto_o_ing_total!Q142*1000/Gasto_o_ing_total!Q$485</f>
        <v>0</v>
      </c>
      <c r="S142" s="332">
        <f>Gasto_o_ing_total!R142*1000/Gasto_o_ing_total!R$485</f>
        <v>0</v>
      </c>
      <c r="T142" s="332">
        <f>Gasto_o_ing_total!S142*1000/Gasto_o_ing_total!S$485</f>
        <v>0</v>
      </c>
      <c r="U142" s="332">
        <f>Gasto_o_ing_total!T142*1000/Gasto_o_ing_total!T$485</f>
        <v>0</v>
      </c>
      <c r="V142" s="332">
        <f>Gasto_o_ing_total!U142*1000/Gasto_o_ing_total!U$485</f>
        <v>11.303206540158376</v>
      </c>
      <c r="W142" s="105"/>
    </row>
    <row r="143" spans="1:23" s="102" customFormat="1">
      <c r="A143" s="351" t="str">
        <f>IF(B143="","",(IF(ISERROR(MATCH(B143,Tot_res!C:C,0)),"Eliminar!!!","")))</f>
        <v/>
      </c>
      <c r="B143" s="115" t="s">
        <v>954</v>
      </c>
      <c r="C143" s="329" t="str">
        <f>VLOOKUP(B143,Tot_res!C:D,2,FALSE)</f>
        <v>Servicios Sociales Generales, gasto directo del IMSERSO en Ceuta y Melilla</v>
      </c>
      <c r="D143" s="332">
        <f>Gasto_o_ing_total!V143*1000/Gasto_o_ing_total!V$485</f>
        <v>0.52627327428102166</v>
      </c>
      <c r="E143" s="332">
        <f>Gasto_o_ing_total!D143*1000/Gasto_o_ing_total!D$485</f>
        <v>0</v>
      </c>
      <c r="F143" s="332">
        <f>Gasto_o_ing_total!E143*1000/Gasto_o_ing_total!E$485</f>
        <v>0</v>
      </c>
      <c r="G143" s="332">
        <f>Gasto_o_ing_total!F143*1000/Gasto_o_ing_total!F$485</f>
        <v>0</v>
      </c>
      <c r="H143" s="332">
        <f>Gasto_o_ing_total!G143*1000/Gasto_o_ing_total!G$485</f>
        <v>0</v>
      </c>
      <c r="I143" s="332">
        <f>Gasto_o_ing_total!H143*1000/Gasto_o_ing_total!H$485</f>
        <v>0</v>
      </c>
      <c r="J143" s="332">
        <f>Gasto_o_ing_total!I143*1000/Gasto_o_ing_total!I$485</f>
        <v>0</v>
      </c>
      <c r="K143" s="332">
        <f>Gasto_o_ing_total!J143*1000/Gasto_o_ing_total!J$485</f>
        <v>0</v>
      </c>
      <c r="L143" s="332">
        <f>Gasto_o_ing_total!K143*1000/Gasto_o_ing_total!K$485</f>
        <v>0</v>
      </c>
      <c r="M143" s="332">
        <f>Gasto_o_ing_total!L143*1000/Gasto_o_ing_total!L$485</f>
        <v>0</v>
      </c>
      <c r="N143" s="332">
        <f>Gasto_o_ing_total!M143*1000/Gasto_o_ing_total!M$485</f>
        <v>0</v>
      </c>
      <c r="O143" s="332">
        <f>Gasto_o_ing_total!N143*1000/Gasto_o_ing_total!N$485</f>
        <v>0</v>
      </c>
      <c r="P143" s="332">
        <f>Gasto_o_ing_total!O143*1000/Gasto_o_ing_total!O$485</f>
        <v>0</v>
      </c>
      <c r="Q143" s="332">
        <f>Gasto_o_ing_total!P143*1000/Gasto_o_ing_total!P$485</f>
        <v>0</v>
      </c>
      <c r="R143" s="332">
        <f>Gasto_o_ing_total!Q143*1000/Gasto_o_ing_total!Q$485</f>
        <v>0</v>
      </c>
      <c r="S143" s="332">
        <f>Gasto_o_ing_total!R143*1000/Gasto_o_ing_total!R$485</f>
        <v>0</v>
      </c>
      <c r="T143" s="332">
        <f>Gasto_o_ing_total!S143*1000/Gasto_o_ing_total!S$485</f>
        <v>0</v>
      </c>
      <c r="U143" s="332">
        <f>Gasto_o_ing_total!T143*1000/Gasto_o_ing_total!T$485</f>
        <v>0</v>
      </c>
      <c r="V143" s="332">
        <f>Gasto_o_ing_total!U143*1000/Gasto_o_ing_total!U$485</f>
        <v>144.85387775825501</v>
      </c>
      <c r="W143" s="105"/>
    </row>
    <row r="144" spans="1:23"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Gasto_o_ing_total!V144*1000/Gasto_o_ing_total!V$485</f>
        <v>4.1891362412816269E-2</v>
      </c>
      <c r="E144" s="332">
        <f>Gasto_o_ing_total!D144*1000/Gasto_o_ing_total!D$485</f>
        <v>0</v>
      </c>
      <c r="F144" s="332">
        <f>Gasto_o_ing_total!E144*1000/Gasto_o_ing_total!E$485</f>
        <v>0</v>
      </c>
      <c r="G144" s="332">
        <f>Gasto_o_ing_total!F144*1000/Gasto_o_ing_total!F$485</f>
        <v>0</v>
      </c>
      <c r="H144" s="332">
        <f>Gasto_o_ing_total!G144*1000/Gasto_o_ing_total!G$485</f>
        <v>0</v>
      </c>
      <c r="I144" s="332">
        <f>Gasto_o_ing_total!H144*1000/Gasto_o_ing_total!H$485</f>
        <v>0</v>
      </c>
      <c r="J144" s="332">
        <f>Gasto_o_ing_total!I144*1000/Gasto_o_ing_total!I$485</f>
        <v>0</v>
      </c>
      <c r="K144" s="332">
        <f>Gasto_o_ing_total!J144*1000/Gasto_o_ing_total!J$485</f>
        <v>0</v>
      </c>
      <c r="L144" s="332">
        <f>Gasto_o_ing_total!K144*1000/Gasto_o_ing_total!K$485</f>
        <v>0</v>
      </c>
      <c r="M144" s="332">
        <f>Gasto_o_ing_total!L144*1000/Gasto_o_ing_total!L$485</f>
        <v>0</v>
      </c>
      <c r="N144" s="332">
        <f>Gasto_o_ing_total!M144*1000/Gasto_o_ing_total!M$485</f>
        <v>0</v>
      </c>
      <c r="O144" s="332">
        <f>Gasto_o_ing_total!N144*1000/Gasto_o_ing_total!N$485</f>
        <v>0</v>
      </c>
      <c r="P144" s="332">
        <f>Gasto_o_ing_total!O144*1000/Gasto_o_ing_total!O$485</f>
        <v>0</v>
      </c>
      <c r="Q144" s="332">
        <f>Gasto_o_ing_total!P144*1000/Gasto_o_ing_total!P$485</f>
        <v>0</v>
      </c>
      <c r="R144" s="332">
        <f>Gasto_o_ing_total!Q144*1000/Gasto_o_ing_total!Q$485</f>
        <v>0</v>
      </c>
      <c r="S144" s="332">
        <f>Gasto_o_ing_total!R144*1000/Gasto_o_ing_total!R$485</f>
        <v>0</v>
      </c>
      <c r="T144" s="332">
        <f>Gasto_o_ing_total!S144*1000/Gasto_o_ing_total!S$485</f>
        <v>0</v>
      </c>
      <c r="U144" s="332">
        <f>Gasto_o_ing_total!T144*1000/Gasto_o_ing_total!T$485</f>
        <v>0</v>
      </c>
      <c r="V144" s="332">
        <f>Gasto_o_ing_total!U144*1000/Gasto_o_ing_total!U$485</f>
        <v>11.530371361462223</v>
      </c>
      <c r="W144" s="105"/>
    </row>
    <row r="145" spans="1:23" s="102" customFormat="1">
      <c r="A145" s="351" t="str">
        <f>IF(B145="","",(IF(ISERROR(MATCH(B145,Tot_res!C:C,0)),"Eliminar!!!","")))</f>
        <v/>
      </c>
      <c r="B145" s="115" t="s">
        <v>212</v>
      </c>
      <c r="C145" s="329" t="str">
        <f>VLOOKUP(B145,Tot_res!C:D,2,FALSE)</f>
        <v>Recaudación IPSI</v>
      </c>
      <c r="D145" s="332">
        <f>Gasto_o_ing_total!V145*1000/Gasto_o_ing_total!V$485</f>
        <v>2.9873102433181016</v>
      </c>
      <c r="E145" s="332">
        <f>Gasto_o_ing_total!D145*1000/Gasto_o_ing_total!D$485</f>
        <v>0</v>
      </c>
      <c r="F145" s="332">
        <f>Gasto_o_ing_total!E145*1000/Gasto_o_ing_total!E$485</f>
        <v>0</v>
      </c>
      <c r="G145" s="332">
        <f>Gasto_o_ing_total!F145*1000/Gasto_o_ing_total!F$485</f>
        <v>0</v>
      </c>
      <c r="H145" s="332">
        <f>Gasto_o_ing_total!G145*1000/Gasto_o_ing_total!G$485</f>
        <v>0</v>
      </c>
      <c r="I145" s="332">
        <f>Gasto_o_ing_total!H145*1000/Gasto_o_ing_total!H$485</f>
        <v>0</v>
      </c>
      <c r="J145" s="332">
        <f>Gasto_o_ing_total!I145*1000/Gasto_o_ing_total!I$485</f>
        <v>0</v>
      </c>
      <c r="K145" s="332">
        <f>Gasto_o_ing_total!J145*1000/Gasto_o_ing_total!J$485</f>
        <v>0</v>
      </c>
      <c r="L145" s="332">
        <f>Gasto_o_ing_total!K145*1000/Gasto_o_ing_total!K$485</f>
        <v>0</v>
      </c>
      <c r="M145" s="332">
        <f>Gasto_o_ing_total!L145*1000/Gasto_o_ing_total!L$485</f>
        <v>0</v>
      </c>
      <c r="N145" s="332">
        <f>Gasto_o_ing_total!M145*1000/Gasto_o_ing_total!M$485</f>
        <v>0</v>
      </c>
      <c r="O145" s="332">
        <f>Gasto_o_ing_total!N145*1000/Gasto_o_ing_total!N$485</f>
        <v>0</v>
      </c>
      <c r="P145" s="332">
        <f>Gasto_o_ing_total!O145*1000/Gasto_o_ing_total!O$485</f>
        <v>0</v>
      </c>
      <c r="Q145" s="332">
        <f>Gasto_o_ing_total!P145*1000/Gasto_o_ing_total!P$485</f>
        <v>0</v>
      </c>
      <c r="R145" s="332">
        <f>Gasto_o_ing_total!Q145*1000/Gasto_o_ing_total!Q$485</f>
        <v>0</v>
      </c>
      <c r="S145" s="332">
        <f>Gasto_o_ing_total!R145*1000/Gasto_o_ing_total!R$485</f>
        <v>0</v>
      </c>
      <c r="T145" s="332">
        <f>Gasto_o_ing_total!S145*1000/Gasto_o_ing_total!S$485</f>
        <v>0</v>
      </c>
      <c r="U145" s="332">
        <f>Gasto_o_ing_total!T145*1000/Gasto_o_ing_total!T$485</f>
        <v>0</v>
      </c>
      <c r="V145" s="332">
        <f>Gasto_o_ing_total!U145*1000/Gasto_o_ing_total!U$485</f>
        <v>822.2410180390724</v>
      </c>
      <c r="W145" s="105"/>
    </row>
    <row r="146" spans="1:23"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Gasto_o_ing_total!V146*1000/Gasto_o_ing_total!V$485</f>
        <v>1.5411650910395542</v>
      </c>
      <c r="E146" s="332">
        <f>Gasto_o_ing_total!D146*1000/Gasto_o_ing_total!D$485</f>
        <v>0</v>
      </c>
      <c r="F146" s="332">
        <f>Gasto_o_ing_total!E146*1000/Gasto_o_ing_total!E$485</f>
        <v>0</v>
      </c>
      <c r="G146" s="332">
        <f>Gasto_o_ing_total!F146*1000/Gasto_o_ing_total!F$485</f>
        <v>0</v>
      </c>
      <c r="H146" s="332">
        <f>Gasto_o_ing_total!G146*1000/Gasto_o_ing_total!G$485</f>
        <v>0</v>
      </c>
      <c r="I146" s="332">
        <f>Gasto_o_ing_total!H146*1000/Gasto_o_ing_total!H$485</f>
        <v>0</v>
      </c>
      <c r="J146" s="332">
        <f>Gasto_o_ing_total!I146*1000/Gasto_o_ing_total!I$485</f>
        <v>0</v>
      </c>
      <c r="K146" s="332">
        <f>Gasto_o_ing_total!J146*1000/Gasto_o_ing_total!J$485</f>
        <v>0</v>
      </c>
      <c r="L146" s="332">
        <f>Gasto_o_ing_total!K146*1000/Gasto_o_ing_total!K$485</f>
        <v>0</v>
      </c>
      <c r="M146" s="332">
        <f>Gasto_o_ing_total!L146*1000/Gasto_o_ing_total!L$485</f>
        <v>0</v>
      </c>
      <c r="N146" s="332">
        <f>Gasto_o_ing_total!M146*1000/Gasto_o_ing_total!M$485</f>
        <v>0</v>
      </c>
      <c r="O146" s="332">
        <f>Gasto_o_ing_total!N146*1000/Gasto_o_ing_total!N$485</f>
        <v>0</v>
      </c>
      <c r="P146" s="332">
        <f>Gasto_o_ing_total!O146*1000/Gasto_o_ing_total!O$485</f>
        <v>0</v>
      </c>
      <c r="Q146" s="332">
        <f>Gasto_o_ing_total!P146*1000/Gasto_o_ing_total!P$485</f>
        <v>0</v>
      </c>
      <c r="R146" s="332">
        <f>Gasto_o_ing_total!Q146*1000/Gasto_o_ing_total!Q$485</f>
        <v>0</v>
      </c>
      <c r="S146" s="332">
        <f>Gasto_o_ing_total!R146*1000/Gasto_o_ing_total!R$485</f>
        <v>0</v>
      </c>
      <c r="T146" s="332">
        <f>Gasto_o_ing_total!S146*1000/Gasto_o_ing_total!S$485</f>
        <v>0</v>
      </c>
      <c r="U146" s="332">
        <f>Gasto_o_ing_total!T146*1000/Gasto_o_ing_total!T$485</f>
        <v>0</v>
      </c>
      <c r="V146" s="332">
        <f>Gasto_o_ing_total!U146*1000/Gasto_o_ing_total!U$485</f>
        <v>424.1973716178581</v>
      </c>
      <c r="W146" s="114"/>
    </row>
    <row r="147" spans="1:23"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c r="W147" s="105"/>
    </row>
    <row r="148" spans="1:23" s="102" customFormat="1" ht="13.5">
      <c r="A148" s="352"/>
      <c r="B148" s="115"/>
      <c r="C148" s="117" t="s">
        <v>213</v>
      </c>
      <c r="D148" s="113">
        <f>Gasto_o_ing_total!V148*1000/Gasto_o_ing_total!V$485</f>
        <v>354.63343718904207</v>
      </c>
      <c r="E148" s="113">
        <f>Gasto_o_ing_total!D148*1000/Gasto_o_ing_total!D$485</f>
        <v>0</v>
      </c>
      <c r="F148" s="113">
        <f>Gasto_o_ing_total!E148*1000/Gasto_o_ing_total!E$485</f>
        <v>0</v>
      </c>
      <c r="G148" s="113">
        <f>Gasto_o_ing_total!F148*1000/Gasto_o_ing_total!F$485</f>
        <v>0</v>
      </c>
      <c r="H148" s="113">
        <f>Gasto_o_ing_total!G148*1000/Gasto_o_ing_total!G$485</f>
        <v>0</v>
      </c>
      <c r="I148" s="113">
        <f>Gasto_o_ing_total!H148*1000/Gasto_o_ing_total!H$485</f>
        <v>0</v>
      </c>
      <c r="J148" s="113">
        <f>Gasto_o_ing_total!I148*1000/Gasto_o_ing_total!I$485</f>
        <v>0</v>
      </c>
      <c r="K148" s="113">
        <f>Gasto_o_ing_total!J148*1000/Gasto_o_ing_total!J$485</f>
        <v>0</v>
      </c>
      <c r="L148" s="113">
        <f>Gasto_o_ing_total!K148*1000/Gasto_o_ing_total!K$485</f>
        <v>0</v>
      </c>
      <c r="M148" s="113">
        <f>Gasto_o_ing_total!L148*1000/Gasto_o_ing_total!L$485</f>
        <v>0</v>
      </c>
      <c r="N148" s="113">
        <f>Gasto_o_ing_total!M148*1000/Gasto_o_ing_total!M$485</f>
        <v>0</v>
      </c>
      <c r="O148" s="113">
        <f>Gasto_o_ing_total!N148*1000/Gasto_o_ing_total!N$485</f>
        <v>0</v>
      </c>
      <c r="P148" s="113">
        <f>Gasto_o_ing_total!O148*1000/Gasto_o_ing_total!O$485</f>
        <v>0</v>
      </c>
      <c r="Q148" s="113">
        <f>Gasto_o_ing_total!P148*1000/Gasto_o_ing_total!P$485</f>
        <v>0</v>
      </c>
      <c r="R148" s="113">
        <f>Gasto_o_ing_total!Q148*1000/Gasto_o_ing_total!Q$485</f>
        <v>0</v>
      </c>
      <c r="S148" s="113">
        <f>Gasto_o_ing_total!R148*1000/Gasto_o_ing_total!R$485</f>
        <v>5308.2453430997157</v>
      </c>
      <c r="T148" s="113">
        <f>Gasto_o_ing_total!S148*1000/Gasto_o_ing_total!S$485</f>
        <v>6011.5388753005591</v>
      </c>
      <c r="U148" s="113">
        <f>Gasto_o_ing_total!T148*1000/Gasto_o_ing_total!T$485</f>
        <v>0</v>
      </c>
      <c r="V148" s="113">
        <f>Gasto_o_ing_total!U148*1000/Gasto_o_ing_total!U$485</f>
        <v>0</v>
      </c>
      <c r="W148" s="105"/>
    </row>
    <row r="149" spans="1:23" s="102" customFormat="1">
      <c r="A149" s="351" t="str">
        <f>IF(B149="","",(IF(ISERROR(MATCH(B149,Tot_res!C:C,0)),"Eliminar!!!","")))</f>
        <v/>
      </c>
      <c r="B149" s="115" t="s">
        <v>957</v>
      </c>
      <c r="C149" s="329" t="str">
        <f>VLOOKUP(B149,Tot_res!C:D,2,FALSE)</f>
        <v>IRPF, ingresos homogeneizados de las comunidades forales</v>
      </c>
      <c r="D149" s="332">
        <f>Gasto_o_ing_total!V149*1000/Gasto_o_ing_total!V$485</f>
        <v>142.70962746437536</v>
      </c>
      <c r="E149" s="332">
        <f>Gasto_o_ing_total!D149*1000/Gasto_o_ing_total!D$485</f>
        <v>0</v>
      </c>
      <c r="F149" s="332">
        <f>Gasto_o_ing_total!E149*1000/Gasto_o_ing_total!E$485</f>
        <v>0</v>
      </c>
      <c r="G149" s="332">
        <f>Gasto_o_ing_total!F149*1000/Gasto_o_ing_total!F$485</f>
        <v>0</v>
      </c>
      <c r="H149" s="332">
        <f>Gasto_o_ing_total!G149*1000/Gasto_o_ing_total!G$485</f>
        <v>0</v>
      </c>
      <c r="I149" s="332">
        <f>Gasto_o_ing_total!H149*1000/Gasto_o_ing_total!H$485</f>
        <v>0</v>
      </c>
      <c r="J149" s="332">
        <f>Gasto_o_ing_total!I149*1000/Gasto_o_ing_total!I$485</f>
        <v>0</v>
      </c>
      <c r="K149" s="332">
        <f>Gasto_o_ing_total!J149*1000/Gasto_o_ing_total!J$485</f>
        <v>0</v>
      </c>
      <c r="L149" s="332">
        <f>Gasto_o_ing_total!K149*1000/Gasto_o_ing_total!K$485</f>
        <v>0</v>
      </c>
      <c r="M149" s="332">
        <f>Gasto_o_ing_total!L149*1000/Gasto_o_ing_total!L$485</f>
        <v>0</v>
      </c>
      <c r="N149" s="332">
        <f>Gasto_o_ing_total!M149*1000/Gasto_o_ing_total!M$485</f>
        <v>0</v>
      </c>
      <c r="O149" s="332">
        <f>Gasto_o_ing_total!N149*1000/Gasto_o_ing_total!N$485</f>
        <v>0</v>
      </c>
      <c r="P149" s="332">
        <f>Gasto_o_ing_total!O149*1000/Gasto_o_ing_total!O$485</f>
        <v>0</v>
      </c>
      <c r="Q149" s="332">
        <f>Gasto_o_ing_total!P149*1000/Gasto_o_ing_total!P$485</f>
        <v>0</v>
      </c>
      <c r="R149" s="332">
        <f>Gasto_o_ing_total!Q149*1000/Gasto_o_ing_total!Q$485</f>
        <v>0</v>
      </c>
      <c r="S149" s="332">
        <f>Gasto_o_ing_total!R149*1000/Gasto_o_ing_total!R$485</f>
        <v>2194.640346174881</v>
      </c>
      <c r="T149" s="332">
        <f>Gasto_o_ing_total!S149*1000/Gasto_o_ing_total!S$485</f>
        <v>2402.0030821306559</v>
      </c>
      <c r="U149" s="332">
        <f>Gasto_o_ing_total!T149*1000/Gasto_o_ing_total!T$485</f>
        <v>0</v>
      </c>
      <c r="V149" s="332">
        <f>Gasto_o_ing_total!U149*1000/Gasto_o_ing_total!U$485</f>
        <v>0</v>
      </c>
      <c r="W149" s="105"/>
    </row>
    <row r="150" spans="1:23" s="102" customFormat="1">
      <c r="A150" s="351" t="str">
        <f>IF(B150="","",(IF(ISERROR(MATCH(B150,Tot_res!C:C,0)),"Eliminar!!!","")))</f>
        <v/>
      </c>
      <c r="B150" s="115" t="s">
        <v>958</v>
      </c>
      <c r="C150" s="329" t="str">
        <f>VLOOKUP(B150,Tot_res!C:D,2,FALSE)</f>
        <v>Sociedades, ingresos homogeneizados de las comunidades forales</v>
      </c>
      <c r="D150" s="332">
        <f>Gasto_o_ing_total!V150*1000/Gasto_o_ing_total!V$485</f>
        <v>33.739097778390999</v>
      </c>
      <c r="E150" s="332">
        <f>Gasto_o_ing_total!D150*1000/Gasto_o_ing_total!D$485</f>
        <v>0</v>
      </c>
      <c r="F150" s="332">
        <f>Gasto_o_ing_total!E150*1000/Gasto_o_ing_total!E$485</f>
        <v>0</v>
      </c>
      <c r="G150" s="332">
        <f>Gasto_o_ing_total!F150*1000/Gasto_o_ing_total!F$485</f>
        <v>0</v>
      </c>
      <c r="H150" s="332">
        <f>Gasto_o_ing_total!G150*1000/Gasto_o_ing_total!G$485</f>
        <v>0</v>
      </c>
      <c r="I150" s="332">
        <f>Gasto_o_ing_total!H150*1000/Gasto_o_ing_total!H$485</f>
        <v>0</v>
      </c>
      <c r="J150" s="332">
        <f>Gasto_o_ing_total!I150*1000/Gasto_o_ing_total!I$485</f>
        <v>0</v>
      </c>
      <c r="K150" s="332">
        <f>Gasto_o_ing_total!J150*1000/Gasto_o_ing_total!J$485</f>
        <v>0</v>
      </c>
      <c r="L150" s="332">
        <f>Gasto_o_ing_total!K150*1000/Gasto_o_ing_total!K$485</f>
        <v>0</v>
      </c>
      <c r="M150" s="332">
        <f>Gasto_o_ing_total!L150*1000/Gasto_o_ing_total!L$485</f>
        <v>0</v>
      </c>
      <c r="N150" s="332">
        <f>Gasto_o_ing_total!M150*1000/Gasto_o_ing_total!M$485</f>
        <v>0</v>
      </c>
      <c r="O150" s="332">
        <f>Gasto_o_ing_total!N150*1000/Gasto_o_ing_total!N$485</f>
        <v>0</v>
      </c>
      <c r="P150" s="332">
        <f>Gasto_o_ing_total!O150*1000/Gasto_o_ing_total!O$485</f>
        <v>0</v>
      </c>
      <c r="Q150" s="332">
        <f>Gasto_o_ing_total!P150*1000/Gasto_o_ing_total!P$485</f>
        <v>0</v>
      </c>
      <c r="R150" s="332">
        <f>Gasto_o_ing_total!Q150*1000/Gasto_o_ing_total!Q$485</f>
        <v>0</v>
      </c>
      <c r="S150" s="332">
        <f>Gasto_o_ing_total!R150*1000/Gasto_o_ing_total!R$485</f>
        <v>549.15491384548682</v>
      </c>
      <c r="T150" s="332">
        <f>Gasto_o_ing_total!S150*1000/Gasto_o_ing_total!S$485</f>
        <v>559.00836695124883</v>
      </c>
      <c r="U150" s="332">
        <f>Gasto_o_ing_total!T150*1000/Gasto_o_ing_total!T$485</f>
        <v>0</v>
      </c>
      <c r="V150" s="332">
        <f>Gasto_o_ing_total!U150*1000/Gasto_o_ing_total!U$485</f>
        <v>0</v>
      </c>
      <c r="W150" s="105"/>
    </row>
    <row r="151" spans="1:23" s="102" customFormat="1">
      <c r="A151" s="351" t="str">
        <f>IF(B151="","",(IF(ISERROR(MATCH(B151,Tot_res!C:C,0)),"Eliminar!!!","")))</f>
        <v/>
      </c>
      <c r="B151" s="115" t="s">
        <v>214</v>
      </c>
      <c r="C151" s="329" t="str">
        <f>VLOOKUP(B151,Tot_res!C:D,2,FALSE)</f>
        <v>No residentes, ingresos comunidades forales</v>
      </c>
      <c r="D151" s="332">
        <f>Gasto_o_ing_total!V151*1000/Gasto_o_ing_total!V$485</f>
        <v>0.32832338585782994</v>
      </c>
      <c r="E151" s="332">
        <f>Gasto_o_ing_total!D151*1000/Gasto_o_ing_total!D$485</f>
        <v>0</v>
      </c>
      <c r="F151" s="332">
        <f>Gasto_o_ing_total!E151*1000/Gasto_o_ing_total!E$485</f>
        <v>0</v>
      </c>
      <c r="G151" s="332">
        <f>Gasto_o_ing_total!F151*1000/Gasto_o_ing_total!F$485</f>
        <v>0</v>
      </c>
      <c r="H151" s="332">
        <f>Gasto_o_ing_total!G151*1000/Gasto_o_ing_total!G$485</f>
        <v>0</v>
      </c>
      <c r="I151" s="332">
        <f>Gasto_o_ing_total!H151*1000/Gasto_o_ing_total!H$485</f>
        <v>0</v>
      </c>
      <c r="J151" s="332">
        <f>Gasto_o_ing_total!I151*1000/Gasto_o_ing_total!I$485</f>
        <v>0</v>
      </c>
      <c r="K151" s="332">
        <f>Gasto_o_ing_total!J151*1000/Gasto_o_ing_total!J$485</f>
        <v>0</v>
      </c>
      <c r="L151" s="332">
        <f>Gasto_o_ing_total!K151*1000/Gasto_o_ing_total!K$485</f>
        <v>0</v>
      </c>
      <c r="M151" s="332">
        <f>Gasto_o_ing_total!L151*1000/Gasto_o_ing_total!L$485</f>
        <v>0</v>
      </c>
      <c r="N151" s="332">
        <f>Gasto_o_ing_total!M151*1000/Gasto_o_ing_total!M$485</f>
        <v>0</v>
      </c>
      <c r="O151" s="332">
        <f>Gasto_o_ing_total!N151*1000/Gasto_o_ing_total!N$485</f>
        <v>0</v>
      </c>
      <c r="P151" s="332">
        <f>Gasto_o_ing_total!O151*1000/Gasto_o_ing_total!O$485</f>
        <v>0</v>
      </c>
      <c r="Q151" s="332">
        <f>Gasto_o_ing_total!P151*1000/Gasto_o_ing_total!P$485</f>
        <v>0</v>
      </c>
      <c r="R151" s="332">
        <f>Gasto_o_ing_total!Q151*1000/Gasto_o_ing_total!Q$485</f>
        <v>0</v>
      </c>
      <c r="S151" s="332">
        <f>Gasto_o_ing_total!R151*1000/Gasto_o_ing_total!R$485</f>
        <v>8.9583271545487033</v>
      </c>
      <c r="T151" s="332">
        <f>Gasto_o_ing_total!S151*1000/Gasto_o_ing_total!S$485</f>
        <v>4.3821241493731957</v>
      </c>
      <c r="U151" s="332">
        <f>Gasto_o_ing_total!T151*1000/Gasto_o_ing_total!T$485</f>
        <v>0</v>
      </c>
      <c r="V151" s="332">
        <f>Gasto_o_ing_total!U151*1000/Gasto_o_ing_total!U$485</f>
        <v>0</v>
      </c>
      <c r="W151" s="105"/>
    </row>
    <row r="152" spans="1:23" s="102" customFormat="1">
      <c r="A152" s="351" t="str">
        <f>IF(B152="","",(IF(ISERROR(MATCH(B152,Tot_res!C:C,0)),"Eliminar!!!","")))</f>
        <v/>
      </c>
      <c r="B152" s="115" t="s">
        <v>215</v>
      </c>
      <c r="C152" s="329" t="str">
        <f>VLOOKUP(B152,Tot_res!C:D,2,FALSE)</f>
        <v xml:space="preserve"> IVA, ingresos comunidades forales</v>
      </c>
      <c r="D152" s="332">
        <f>Gasto_o_ing_total!V152*1000/Gasto_o_ing_total!V$485</f>
        <v>126.08615921309374</v>
      </c>
      <c r="E152" s="332">
        <f>Gasto_o_ing_total!D152*1000/Gasto_o_ing_total!D$485</f>
        <v>0</v>
      </c>
      <c r="F152" s="332">
        <f>Gasto_o_ing_total!E152*1000/Gasto_o_ing_total!E$485</f>
        <v>0</v>
      </c>
      <c r="G152" s="332">
        <f>Gasto_o_ing_total!F152*1000/Gasto_o_ing_total!F$485</f>
        <v>0</v>
      </c>
      <c r="H152" s="332">
        <f>Gasto_o_ing_total!G152*1000/Gasto_o_ing_total!G$485</f>
        <v>0</v>
      </c>
      <c r="I152" s="332">
        <f>Gasto_o_ing_total!H152*1000/Gasto_o_ing_total!H$485</f>
        <v>0</v>
      </c>
      <c r="J152" s="332">
        <f>Gasto_o_ing_total!I152*1000/Gasto_o_ing_total!I$485</f>
        <v>0</v>
      </c>
      <c r="K152" s="332">
        <f>Gasto_o_ing_total!J152*1000/Gasto_o_ing_total!J$485</f>
        <v>0</v>
      </c>
      <c r="L152" s="332">
        <f>Gasto_o_ing_total!K152*1000/Gasto_o_ing_total!K$485</f>
        <v>0</v>
      </c>
      <c r="M152" s="332">
        <f>Gasto_o_ing_total!L152*1000/Gasto_o_ing_total!L$485</f>
        <v>0</v>
      </c>
      <c r="N152" s="332">
        <f>Gasto_o_ing_total!M152*1000/Gasto_o_ing_total!M$485</f>
        <v>0</v>
      </c>
      <c r="O152" s="332">
        <f>Gasto_o_ing_total!N152*1000/Gasto_o_ing_total!N$485</f>
        <v>0</v>
      </c>
      <c r="P152" s="332">
        <f>Gasto_o_ing_total!O152*1000/Gasto_o_ing_total!O$485</f>
        <v>0</v>
      </c>
      <c r="Q152" s="332">
        <f>Gasto_o_ing_total!P152*1000/Gasto_o_ing_total!P$485</f>
        <v>0</v>
      </c>
      <c r="R152" s="332">
        <f>Gasto_o_ing_total!Q152*1000/Gasto_o_ing_total!Q$485</f>
        <v>0</v>
      </c>
      <c r="S152" s="332">
        <f>Gasto_o_ing_total!R152*1000/Gasto_o_ing_total!R$485</f>
        <v>1711.2496546384591</v>
      </c>
      <c r="T152" s="332">
        <f>Gasto_o_ing_total!S152*1000/Gasto_o_ing_total!S$485</f>
        <v>2188.8561664704694</v>
      </c>
      <c r="U152" s="332">
        <f>Gasto_o_ing_total!T152*1000/Gasto_o_ing_total!T$485</f>
        <v>0</v>
      </c>
      <c r="V152" s="332">
        <f>Gasto_o_ing_total!U152*1000/Gasto_o_ing_total!U$485</f>
        <v>0</v>
      </c>
      <c r="W152" s="105"/>
    </row>
    <row r="153" spans="1:23"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Gasto_o_ing_total!V153*1000/Gasto_o_ing_total!V$485</f>
        <v>37.472065610541932</v>
      </c>
      <c r="E153" s="332">
        <f>Gasto_o_ing_total!D153*1000/Gasto_o_ing_total!D$485</f>
        <v>0</v>
      </c>
      <c r="F153" s="332">
        <f>Gasto_o_ing_total!E153*1000/Gasto_o_ing_total!E$485</f>
        <v>0</v>
      </c>
      <c r="G153" s="332">
        <f>Gasto_o_ing_total!F153*1000/Gasto_o_ing_total!F$485</f>
        <v>0</v>
      </c>
      <c r="H153" s="332">
        <f>Gasto_o_ing_total!G153*1000/Gasto_o_ing_total!G$485</f>
        <v>0</v>
      </c>
      <c r="I153" s="332">
        <f>Gasto_o_ing_total!H153*1000/Gasto_o_ing_total!H$485</f>
        <v>0</v>
      </c>
      <c r="J153" s="332">
        <f>Gasto_o_ing_total!I153*1000/Gasto_o_ing_total!I$485</f>
        <v>0</v>
      </c>
      <c r="K153" s="332">
        <f>Gasto_o_ing_total!J153*1000/Gasto_o_ing_total!J$485</f>
        <v>0</v>
      </c>
      <c r="L153" s="332">
        <f>Gasto_o_ing_total!K153*1000/Gasto_o_ing_total!K$485</f>
        <v>0</v>
      </c>
      <c r="M153" s="332">
        <f>Gasto_o_ing_total!L153*1000/Gasto_o_ing_total!L$485</f>
        <v>0</v>
      </c>
      <c r="N153" s="332">
        <f>Gasto_o_ing_total!M153*1000/Gasto_o_ing_total!M$485</f>
        <v>0</v>
      </c>
      <c r="O153" s="332">
        <f>Gasto_o_ing_total!N153*1000/Gasto_o_ing_total!N$485</f>
        <v>0</v>
      </c>
      <c r="P153" s="332">
        <f>Gasto_o_ing_total!O153*1000/Gasto_o_ing_total!O$485</f>
        <v>0</v>
      </c>
      <c r="Q153" s="332">
        <f>Gasto_o_ing_total!P153*1000/Gasto_o_ing_total!P$485</f>
        <v>0</v>
      </c>
      <c r="R153" s="332">
        <f>Gasto_o_ing_total!Q153*1000/Gasto_o_ing_total!Q$485</f>
        <v>0</v>
      </c>
      <c r="S153" s="332">
        <f>Gasto_o_ing_total!R153*1000/Gasto_o_ing_total!R$485</f>
        <v>618.03767523683598</v>
      </c>
      <c r="T153" s="332">
        <f>Gasto_o_ing_total!S153*1000/Gasto_o_ing_total!S$485</f>
        <v>618.48111639329215</v>
      </c>
      <c r="U153" s="332">
        <f>Gasto_o_ing_total!T153*1000/Gasto_o_ing_total!T$485</f>
        <v>0</v>
      </c>
      <c r="V153" s="332">
        <f>Gasto_o_ing_total!U153*1000/Gasto_o_ing_total!U$485</f>
        <v>0</v>
      </c>
      <c r="W153" s="105"/>
    </row>
    <row r="154" spans="1:23" s="102" customFormat="1">
      <c r="A154" s="351" t="str">
        <f>IF(B154="","",(IF(ISERROR(MATCH(B154,Tot_res!C:C,0)),"Eliminar!!!","")))</f>
        <v/>
      </c>
      <c r="B154" s="115" t="s">
        <v>216</v>
      </c>
      <c r="C154" s="329" t="str">
        <f>VLOOKUP(B154,Tot_res!C:D,2,FALSE)</f>
        <v>Primas de seguross, ingresos comunidades forales</v>
      </c>
      <c r="D154" s="332">
        <f>Gasto_o_ing_total!V154*1000/Gasto_o_ing_total!V$485</f>
        <v>1.9253772466647108</v>
      </c>
      <c r="E154" s="332">
        <f>Gasto_o_ing_total!D154*1000/Gasto_o_ing_total!D$485</f>
        <v>0</v>
      </c>
      <c r="F154" s="332">
        <f>Gasto_o_ing_total!E154*1000/Gasto_o_ing_total!E$485</f>
        <v>0</v>
      </c>
      <c r="G154" s="332">
        <f>Gasto_o_ing_total!F154*1000/Gasto_o_ing_total!F$485</f>
        <v>0</v>
      </c>
      <c r="H154" s="332">
        <f>Gasto_o_ing_total!G154*1000/Gasto_o_ing_total!G$485</f>
        <v>0</v>
      </c>
      <c r="I154" s="332">
        <f>Gasto_o_ing_total!H154*1000/Gasto_o_ing_total!H$485</f>
        <v>0</v>
      </c>
      <c r="J154" s="332">
        <f>Gasto_o_ing_total!I154*1000/Gasto_o_ing_total!I$485</f>
        <v>0</v>
      </c>
      <c r="K154" s="332">
        <f>Gasto_o_ing_total!J154*1000/Gasto_o_ing_total!J$485</f>
        <v>0</v>
      </c>
      <c r="L154" s="332">
        <f>Gasto_o_ing_total!K154*1000/Gasto_o_ing_total!K$485</f>
        <v>0</v>
      </c>
      <c r="M154" s="332">
        <f>Gasto_o_ing_total!L154*1000/Gasto_o_ing_total!L$485</f>
        <v>0</v>
      </c>
      <c r="N154" s="332">
        <f>Gasto_o_ing_total!M154*1000/Gasto_o_ing_total!M$485</f>
        <v>0</v>
      </c>
      <c r="O154" s="332">
        <f>Gasto_o_ing_total!N154*1000/Gasto_o_ing_total!N$485</f>
        <v>0</v>
      </c>
      <c r="P154" s="332">
        <f>Gasto_o_ing_total!O154*1000/Gasto_o_ing_total!O$485</f>
        <v>0</v>
      </c>
      <c r="Q154" s="332">
        <f>Gasto_o_ing_total!P154*1000/Gasto_o_ing_total!P$485</f>
        <v>0</v>
      </c>
      <c r="R154" s="332">
        <f>Gasto_o_ing_total!Q154*1000/Gasto_o_ing_total!Q$485</f>
        <v>0</v>
      </c>
      <c r="S154" s="332">
        <f>Gasto_o_ing_total!R154*1000/Gasto_o_ing_total!R$485</f>
        <v>30.744591677294178</v>
      </c>
      <c r="T154" s="332">
        <f>Gasto_o_ing_total!S154*1000/Gasto_o_ing_total!S$485</f>
        <v>32.074517580343894</v>
      </c>
      <c r="U154" s="332">
        <f>Gasto_o_ing_total!T154*1000/Gasto_o_ing_total!T$485</f>
        <v>0</v>
      </c>
      <c r="V154" s="332">
        <f>Gasto_o_ing_total!U154*1000/Gasto_o_ing_total!U$485</f>
        <v>0</v>
      </c>
      <c r="W154" s="105"/>
    </row>
    <row r="155" spans="1:23" s="102" customFormat="1">
      <c r="A155" s="351" t="str">
        <f>IF(B155="","",(IF(ISERROR(MATCH(B155,Tot_res!C:C,0)),"Eliminar!!!","")))</f>
        <v/>
      </c>
      <c r="B155" s="115" t="s">
        <v>959</v>
      </c>
      <c r="C155" s="329" t="str">
        <f>VLOOKUP(B155,Tot_res!C:D,2,FALSE)</f>
        <v>Sucesiones y donaciones, ingresos homogeneizados de las comunidades forales</v>
      </c>
      <c r="D155" s="332">
        <f>Gasto_o_ing_total!V155*1000/Gasto_o_ing_total!V$485</f>
        <v>4.461138043839763</v>
      </c>
      <c r="E155" s="332">
        <f>Gasto_o_ing_total!D155*1000/Gasto_o_ing_total!D$485</f>
        <v>0</v>
      </c>
      <c r="F155" s="332">
        <f>Gasto_o_ing_total!E155*1000/Gasto_o_ing_total!E$485</f>
        <v>0</v>
      </c>
      <c r="G155" s="332">
        <f>Gasto_o_ing_total!F155*1000/Gasto_o_ing_total!F$485</f>
        <v>0</v>
      </c>
      <c r="H155" s="332">
        <f>Gasto_o_ing_total!G155*1000/Gasto_o_ing_total!G$485</f>
        <v>0</v>
      </c>
      <c r="I155" s="332">
        <f>Gasto_o_ing_total!H155*1000/Gasto_o_ing_total!H$485</f>
        <v>0</v>
      </c>
      <c r="J155" s="332">
        <f>Gasto_o_ing_total!I155*1000/Gasto_o_ing_total!I$485</f>
        <v>0</v>
      </c>
      <c r="K155" s="332">
        <f>Gasto_o_ing_total!J155*1000/Gasto_o_ing_total!J$485</f>
        <v>0</v>
      </c>
      <c r="L155" s="332">
        <f>Gasto_o_ing_total!K155*1000/Gasto_o_ing_total!K$485</f>
        <v>0</v>
      </c>
      <c r="M155" s="332">
        <f>Gasto_o_ing_total!L155*1000/Gasto_o_ing_total!L$485</f>
        <v>0</v>
      </c>
      <c r="N155" s="332">
        <f>Gasto_o_ing_total!M155*1000/Gasto_o_ing_total!M$485</f>
        <v>0</v>
      </c>
      <c r="O155" s="332">
        <f>Gasto_o_ing_total!N155*1000/Gasto_o_ing_total!N$485</f>
        <v>0</v>
      </c>
      <c r="P155" s="332">
        <f>Gasto_o_ing_total!O155*1000/Gasto_o_ing_total!O$485</f>
        <v>0</v>
      </c>
      <c r="Q155" s="332">
        <f>Gasto_o_ing_total!P155*1000/Gasto_o_ing_total!P$485</f>
        <v>0</v>
      </c>
      <c r="R155" s="332">
        <f>Gasto_o_ing_total!Q155*1000/Gasto_o_ing_total!Q$485</f>
        <v>0</v>
      </c>
      <c r="S155" s="332">
        <f>Gasto_o_ing_total!R155*1000/Gasto_o_ing_total!R$485</f>
        <v>66.648928728790665</v>
      </c>
      <c r="T155" s="332">
        <f>Gasto_o_ing_total!S155*1000/Gasto_o_ing_total!S$485</f>
        <v>75.659638432639781</v>
      </c>
      <c r="U155" s="332">
        <f>Gasto_o_ing_total!T155*1000/Gasto_o_ing_total!T$485</f>
        <v>0</v>
      </c>
      <c r="V155" s="332">
        <f>Gasto_o_ing_total!U155*1000/Gasto_o_ing_total!U$485</f>
        <v>0</v>
      </c>
      <c r="W155" s="105"/>
    </row>
    <row r="156" spans="1:23" s="102" customFormat="1">
      <c r="A156" s="351" t="str">
        <f>IF(B156="","",(IF(ISERROR(MATCH(B156,Tot_res!C:C,0)),"Eliminar!!!","")))</f>
        <v/>
      </c>
      <c r="B156" s="115" t="s">
        <v>1081</v>
      </c>
      <c r="C156" s="329" t="str">
        <f>VLOOKUP(B156,Tot_res!C:D,2,FALSE)</f>
        <v>Venta minorista de hidrocarburos (IVMH), ingresos de las comunidades forales</v>
      </c>
      <c r="D156" s="332">
        <f>Gasto_o_ing_total!V156*1000/Gasto_o_ing_total!V$485</f>
        <v>-1.568532937719605E-2</v>
      </c>
      <c r="E156" s="332">
        <f>Gasto_o_ing_total!D156*1000/Gasto_o_ing_total!D$485</f>
        <v>0</v>
      </c>
      <c r="F156" s="332">
        <f>Gasto_o_ing_total!E156*1000/Gasto_o_ing_total!E$485</f>
        <v>0</v>
      </c>
      <c r="G156" s="332">
        <f>Gasto_o_ing_total!F156*1000/Gasto_o_ing_total!F$485</f>
        <v>0</v>
      </c>
      <c r="H156" s="332">
        <f>Gasto_o_ing_total!G156*1000/Gasto_o_ing_total!G$485</f>
        <v>0</v>
      </c>
      <c r="I156" s="332">
        <f>Gasto_o_ing_total!H156*1000/Gasto_o_ing_total!H$485</f>
        <v>0</v>
      </c>
      <c r="J156" s="332">
        <f>Gasto_o_ing_total!I156*1000/Gasto_o_ing_total!I$485</f>
        <v>0</v>
      </c>
      <c r="K156" s="332">
        <f>Gasto_o_ing_total!J156*1000/Gasto_o_ing_total!J$485</f>
        <v>0</v>
      </c>
      <c r="L156" s="332">
        <f>Gasto_o_ing_total!K156*1000/Gasto_o_ing_total!K$485</f>
        <v>0</v>
      </c>
      <c r="M156" s="332">
        <f>Gasto_o_ing_total!L156*1000/Gasto_o_ing_total!L$485</f>
        <v>0</v>
      </c>
      <c r="N156" s="332">
        <f>Gasto_o_ing_total!M156*1000/Gasto_o_ing_total!M$485</f>
        <v>0</v>
      </c>
      <c r="O156" s="332">
        <f>Gasto_o_ing_total!N156*1000/Gasto_o_ing_total!N$485</f>
        <v>0</v>
      </c>
      <c r="P156" s="332">
        <f>Gasto_o_ing_total!O156*1000/Gasto_o_ing_total!O$485</f>
        <v>0</v>
      </c>
      <c r="Q156" s="332">
        <f>Gasto_o_ing_total!P156*1000/Gasto_o_ing_total!P$485</f>
        <v>0</v>
      </c>
      <c r="R156" s="332">
        <f>Gasto_o_ing_total!Q156*1000/Gasto_o_ing_total!Q$485</f>
        <v>0</v>
      </c>
      <c r="S156" s="332">
        <f>Gasto_o_ing_total!R156*1000/Gasto_o_ing_total!R$485</f>
        <v>-1.4586687523717672</v>
      </c>
      <c r="T156" s="332">
        <f>Gasto_o_ing_total!S156*1000/Gasto_o_ing_total!S$485</f>
        <v>9.2274479117417443E-2</v>
      </c>
      <c r="U156" s="332">
        <f>Gasto_o_ing_total!T156*1000/Gasto_o_ing_total!T$485</f>
        <v>0</v>
      </c>
      <c r="V156" s="332">
        <f>Gasto_o_ing_total!U156*1000/Gasto_o_ing_total!U$485</f>
        <v>0</v>
      </c>
      <c r="W156" s="105"/>
    </row>
    <row r="157" spans="1:23" s="102" customFormat="1">
      <c r="A157" s="351" t="str">
        <f>IF(B157="","",(IF(ISERROR(MATCH(B157,Tot_res!C:C,0)),"Eliminar!!!","")))</f>
        <v/>
      </c>
      <c r="B157" s="115" t="s">
        <v>960</v>
      </c>
      <c r="C157" s="329" t="str">
        <f>VLOOKUP(B157,Tot_res!C:D,2,FALSE)</f>
        <v>ITP y AJD, ingresos homogeneizados de las comunidades forales</v>
      </c>
      <c r="D157" s="332">
        <f>Gasto_o_ing_total!V157*1000/Gasto_o_ing_total!V$485</f>
        <v>5.7472189018102444</v>
      </c>
      <c r="E157" s="332">
        <f>Gasto_o_ing_total!D157*1000/Gasto_o_ing_total!D$485</f>
        <v>0</v>
      </c>
      <c r="F157" s="332">
        <f>Gasto_o_ing_total!E157*1000/Gasto_o_ing_total!E$485</f>
        <v>0</v>
      </c>
      <c r="G157" s="332">
        <f>Gasto_o_ing_total!F157*1000/Gasto_o_ing_total!F$485</f>
        <v>0</v>
      </c>
      <c r="H157" s="332">
        <f>Gasto_o_ing_total!G157*1000/Gasto_o_ing_total!G$485</f>
        <v>0</v>
      </c>
      <c r="I157" s="332">
        <f>Gasto_o_ing_total!H157*1000/Gasto_o_ing_total!H$485</f>
        <v>0</v>
      </c>
      <c r="J157" s="332">
        <f>Gasto_o_ing_total!I157*1000/Gasto_o_ing_total!I$485</f>
        <v>0</v>
      </c>
      <c r="K157" s="332">
        <f>Gasto_o_ing_total!J157*1000/Gasto_o_ing_total!J$485</f>
        <v>0</v>
      </c>
      <c r="L157" s="332">
        <f>Gasto_o_ing_total!K157*1000/Gasto_o_ing_total!K$485</f>
        <v>0</v>
      </c>
      <c r="M157" s="332">
        <f>Gasto_o_ing_total!L157*1000/Gasto_o_ing_total!L$485</f>
        <v>0</v>
      </c>
      <c r="N157" s="332">
        <f>Gasto_o_ing_total!M157*1000/Gasto_o_ing_total!M$485</f>
        <v>0</v>
      </c>
      <c r="O157" s="332">
        <f>Gasto_o_ing_total!N157*1000/Gasto_o_ing_total!N$485</f>
        <v>0</v>
      </c>
      <c r="P157" s="332">
        <f>Gasto_o_ing_total!O157*1000/Gasto_o_ing_total!O$485</f>
        <v>0</v>
      </c>
      <c r="Q157" s="332">
        <f>Gasto_o_ing_total!P157*1000/Gasto_o_ing_total!P$485</f>
        <v>0</v>
      </c>
      <c r="R157" s="332">
        <f>Gasto_o_ing_total!Q157*1000/Gasto_o_ing_total!Q$485</f>
        <v>0</v>
      </c>
      <c r="S157" s="332">
        <f>Gasto_o_ing_total!R157*1000/Gasto_o_ing_total!R$485</f>
        <v>91.719141266746306</v>
      </c>
      <c r="T157" s="332">
        <f>Gasto_o_ing_total!S157*1000/Gasto_o_ing_total!S$485</f>
        <v>95.757394707637204</v>
      </c>
      <c r="U157" s="332">
        <f>Gasto_o_ing_total!T157*1000/Gasto_o_ing_total!T$485</f>
        <v>0</v>
      </c>
      <c r="V157" s="332">
        <f>Gasto_o_ing_total!U157*1000/Gasto_o_ing_total!U$485</f>
        <v>0</v>
      </c>
      <c r="W157" s="105"/>
    </row>
    <row r="158" spans="1:23" s="102" customFormat="1">
      <c r="A158" s="351" t="str">
        <f>IF(B158="","",(IF(ISERROR(MATCH(B158,Tot_res!C:C,0)),"Eliminar!!!","")))</f>
        <v/>
      </c>
      <c r="B158" s="115" t="s">
        <v>961</v>
      </c>
      <c r="C158" s="329" t="str">
        <f>VLOOKUP(B158,Tot_res!C:D,2,FALSE)</f>
        <v>Tasas juego, ingresos homogeneizados de las comunidades forales</v>
      </c>
      <c r="D158" s="332">
        <f>Gasto_o_ing_total!V158*1000/Gasto_o_ing_total!V$485</f>
        <v>0.81923662463413738</v>
      </c>
      <c r="E158" s="332">
        <f>Gasto_o_ing_total!D158*1000/Gasto_o_ing_total!D$485</f>
        <v>0</v>
      </c>
      <c r="F158" s="332">
        <f>Gasto_o_ing_total!E158*1000/Gasto_o_ing_total!E$485</f>
        <v>0</v>
      </c>
      <c r="G158" s="332">
        <f>Gasto_o_ing_total!F158*1000/Gasto_o_ing_total!F$485</f>
        <v>0</v>
      </c>
      <c r="H158" s="332">
        <f>Gasto_o_ing_total!G158*1000/Gasto_o_ing_total!G$485</f>
        <v>0</v>
      </c>
      <c r="I158" s="332">
        <f>Gasto_o_ing_total!H158*1000/Gasto_o_ing_total!H$485</f>
        <v>0</v>
      </c>
      <c r="J158" s="332">
        <f>Gasto_o_ing_total!I158*1000/Gasto_o_ing_total!I$485</f>
        <v>0</v>
      </c>
      <c r="K158" s="332">
        <f>Gasto_o_ing_total!J158*1000/Gasto_o_ing_total!J$485</f>
        <v>0</v>
      </c>
      <c r="L158" s="332">
        <f>Gasto_o_ing_total!K158*1000/Gasto_o_ing_total!K$485</f>
        <v>0</v>
      </c>
      <c r="M158" s="332">
        <f>Gasto_o_ing_total!L158*1000/Gasto_o_ing_total!L$485</f>
        <v>0</v>
      </c>
      <c r="N158" s="332">
        <f>Gasto_o_ing_total!M158*1000/Gasto_o_ing_total!M$485</f>
        <v>0</v>
      </c>
      <c r="O158" s="332">
        <f>Gasto_o_ing_total!N158*1000/Gasto_o_ing_total!N$485</f>
        <v>0</v>
      </c>
      <c r="P158" s="332">
        <f>Gasto_o_ing_total!O158*1000/Gasto_o_ing_total!O$485</f>
        <v>0</v>
      </c>
      <c r="Q158" s="332">
        <f>Gasto_o_ing_total!P158*1000/Gasto_o_ing_total!P$485</f>
        <v>0</v>
      </c>
      <c r="R158" s="332">
        <f>Gasto_o_ing_total!Q158*1000/Gasto_o_ing_total!Q$485</f>
        <v>0</v>
      </c>
      <c r="S158" s="332">
        <f>Gasto_o_ing_total!R158*1000/Gasto_o_ing_total!R$485</f>
        <v>15.85552980686192</v>
      </c>
      <c r="T158" s="332">
        <f>Gasto_o_ing_total!S158*1000/Gasto_o_ing_total!S$485</f>
        <v>12.835755906655256</v>
      </c>
      <c r="U158" s="332">
        <f>Gasto_o_ing_total!T158*1000/Gasto_o_ing_total!T$485</f>
        <v>0</v>
      </c>
      <c r="V158" s="332">
        <f>Gasto_o_ing_total!U158*1000/Gasto_o_ing_total!U$485</f>
        <v>0</v>
      </c>
      <c r="W158" s="105"/>
    </row>
    <row r="159" spans="1:23"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Gasto_o_ing_total!V159*1000/Gasto_o_ing_total!V$485</f>
        <v>0.19855521649529925</v>
      </c>
      <c r="E159" s="332">
        <f>Gasto_o_ing_total!D159*1000/Gasto_o_ing_total!D$485</f>
        <v>0</v>
      </c>
      <c r="F159" s="332">
        <f>Gasto_o_ing_total!E159*1000/Gasto_o_ing_total!E$485</f>
        <v>0</v>
      </c>
      <c r="G159" s="332">
        <f>Gasto_o_ing_total!F159*1000/Gasto_o_ing_total!F$485</f>
        <v>0</v>
      </c>
      <c r="H159" s="332">
        <f>Gasto_o_ing_total!G159*1000/Gasto_o_ing_total!G$485</f>
        <v>0</v>
      </c>
      <c r="I159" s="332">
        <f>Gasto_o_ing_total!H159*1000/Gasto_o_ing_total!H$485</f>
        <v>0</v>
      </c>
      <c r="J159" s="332">
        <f>Gasto_o_ing_total!I159*1000/Gasto_o_ing_total!I$485</f>
        <v>0</v>
      </c>
      <c r="K159" s="332">
        <f>Gasto_o_ing_total!J159*1000/Gasto_o_ing_total!J$485</f>
        <v>0</v>
      </c>
      <c r="L159" s="332">
        <f>Gasto_o_ing_total!K159*1000/Gasto_o_ing_total!K$485</f>
        <v>0</v>
      </c>
      <c r="M159" s="332">
        <f>Gasto_o_ing_total!L159*1000/Gasto_o_ing_total!L$485</f>
        <v>0</v>
      </c>
      <c r="N159" s="332">
        <f>Gasto_o_ing_total!M159*1000/Gasto_o_ing_total!M$485</f>
        <v>0</v>
      </c>
      <c r="O159" s="332">
        <f>Gasto_o_ing_total!N159*1000/Gasto_o_ing_total!N$485</f>
        <v>0</v>
      </c>
      <c r="P159" s="332">
        <f>Gasto_o_ing_total!O159*1000/Gasto_o_ing_total!O$485</f>
        <v>0</v>
      </c>
      <c r="Q159" s="332">
        <f>Gasto_o_ing_total!P159*1000/Gasto_o_ing_total!P$485</f>
        <v>0</v>
      </c>
      <c r="R159" s="332">
        <f>Gasto_o_ing_total!Q159*1000/Gasto_o_ing_total!Q$485</f>
        <v>0</v>
      </c>
      <c r="S159" s="332">
        <f>Gasto_o_ing_total!R159*1000/Gasto_o_ing_total!R$485</f>
        <v>2.4945702141475699</v>
      </c>
      <c r="T159" s="332">
        <f>Gasto_o_ing_total!S159*1000/Gasto_o_ing_total!S$485</f>
        <v>3.5055165977577301</v>
      </c>
      <c r="U159" s="332">
        <f>Gasto_o_ing_total!T159*1000/Gasto_o_ing_total!T$485</f>
        <v>0</v>
      </c>
      <c r="V159" s="332">
        <f>Gasto_o_ing_total!U159*1000/Gasto_o_ing_total!U$485</f>
        <v>0</v>
      </c>
      <c r="W159" s="105"/>
    </row>
    <row r="160" spans="1:23" s="102" customFormat="1">
      <c r="A160" s="351" t="str">
        <f>IF(B160="","",(IF(ISERROR(MATCH(B160,Tot_res!C:C,0)),"Eliminar!!!","")))</f>
        <v/>
      </c>
      <c r="B160" s="115" t="s">
        <v>1203</v>
      </c>
      <c r="C160" s="329" t="str">
        <f>VLOOKUP(B160,Tot_res!C:D,2,FALSE)</f>
        <v>Impuestos medioambientales. Ingresos homogeneizados. Régimen foral</v>
      </c>
      <c r="D160" s="332">
        <f>Gasto_o_ing_total!V160*1000/Gasto_o_ing_total!V$485</f>
        <v>0.88136798298568764</v>
      </c>
      <c r="E160" s="332">
        <f>Gasto_o_ing_total!D160*1000/Gasto_o_ing_total!D$485</f>
        <v>0</v>
      </c>
      <c r="F160" s="332">
        <f>Gasto_o_ing_total!E160*1000/Gasto_o_ing_total!E$485</f>
        <v>0</v>
      </c>
      <c r="G160" s="332">
        <f>Gasto_o_ing_total!F160*1000/Gasto_o_ing_total!F$485</f>
        <v>0</v>
      </c>
      <c r="H160" s="332">
        <f>Gasto_o_ing_total!G160*1000/Gasto_o_ing_total!G$485</f>
        <v>0</v>
      </c>
      <c r="I160" s="332">
        <f>Gasto_o_ing_total!H160*1000/Gasto_o_ing_total!H$485</f>
        <v>0</v>
      </c>
      <c r="J160" s="332">
        <f>Gasto_o_ing_total!I160*1000/Gasto_o_ing_total!I$485</f>
        <v>0</v>
      </c>
      <c r="K160" s="332">
        <f>Gasto_o_ing_total!J160*1000/Gasto_o_ing_total!J$485</f>
        <v>0</v>
      </c>
      <c r="L160" s="332">
        <f>Gasto_o_ing_total!K160*1000/Gasto_o_ing_total!K$485</f>
        <v>0</v>
      </c>
      <c r="M160" s="332">
        <f>Gasto_o_ing_total!L160*1000/Gasto_o_ing_total!L$485</f>
        <v>0</v>
      </c>
      <c r="N160" s="332">
        <f>Gasto_o_ing_total!M160*1000/Gasto_o_ing_total!M$485</f>
        <v>0</v>
      </c>
      <c r="O160" s="332">
        <f>Gasto_o_ing_total!N160*1000/Gasto_o_ing_total!N$485</f>
        <v>0</v>
      </c>
      <c r="P160" s="332">
        <f>Gasto_o_ing_total!O160*1000/Gasto_o_ing_total!O$485</f>
        <v>0</v>
      </c>
      <c r="Q160" s="332">
        <f>Gasto_o_ing_total!P160*1000/Gasto_o_ing_total!P$485</f>
        <v>0</v>
      </c>
      <c r="R160" s="332">
        <f>Gasto_o_ing_total!Q160*1000/Gasto_o_ing_total!Q$485</f>
        <v>0</v>
      </c>
      <c r="S160" s="332">
        <f>Gasto_o_ing_total!R160*1000/Gasto_o_ing_total!R$485</f>
        <v>20.200333108035334</v>
      </c>
      <c r="T160" s="332">
        <f>Gasto_o_ing_total!S160*1000/Gasto_o_ing_total!S$485</f>
        <v>12.889648402258258</v>
      </c>
      <c r="U160" s="332">
        <f>Gasto_o_ing_total!T160*1000/Gasto_o_ing_total!T$485</f>
        <v>0</v>
      </c>
      <c r="V160" s="332">
        <f>Gasto_o_ing_total!U160*1000/Gasto_o_ing_total!U$485</f>
        <v>0</v>
      </c>
      <c r="W160" s="105"/>
    </row>
    <row r="161" spans="1:23" s="102" customFormat="1">
      <c r="A161" s="351" t="str">
        <f>IF(B161="","",(IF(ISERROR(MATCH(B161,Tot_res!C:C,0)),"Eliminar!!!","")))</f>
        <v/>
      </c>
      <c r="B161" s="115" t="s">
        <v>1205</v>
      </c>
      <c r="C161" s="329" t="str">
        <f>VLOOKUP(B161,Tot_res!C:D,2,FALSE)</f>
        <v>Impuestos sobre gases fluorados. Ingresos homogeneizados. Régimen foral</v>
      </c>
      <c r="D161" s="332">
        <f>Gasto_o_ing_total!V161*1000/Gasto_o_ing_total!V$485</f>
        <v>1.7581104864941192E-2</v>
      </c>
      <c r="E161" s="332">
        <f>Gasto_o_ing_total!D161*1000/Gasto_o_ing_total!D$485</f>
        <v>0</v>
      </c>
      <c r="F161" s="332">
        <f>Gasto_o_ing_total!E161*1000/Gasto_o_ing_total!E$485</f>
        <v>0</v>
      </c>
      <c r="G161" s="332">
        <f>Gasto_o_ing_total!F161*1000/Gasto_o_ing_total!F$485</f>
        <v>0</v>
      </c>
      <c r="H161" s="332">
        <f>Gasto_o_ing_total!G161*1000/Gasto_o_ing_total!G$485</f>
        <v>0</v>
      </c>
      <c r="I161" s="332">
        <f>Gasto_o_ing_total!H161*1000/Gasto_o_ing_total!H$485</f>
        <v>0</v>
      </c>
      <c r="J161" s="332">
        <f>Gasto_o_ing_total!I161*1000/Gasto_o_ing_total!I$485</f>
        <v>0</v>
      </c>
      <c r="K161" s="332">
        <f>Gasto_o_ing_total!J161*1000/Gasto_o_ing_total!J$485</f>
        <v>0</v>
      </c>
      <c r="L161" s="332">
        <f>Gasto_o_ing_total!K161*1000/Gasto_o_ing_total!K$485</f>
        <v>0</v>
      </c>
      <c r="M161" s="332">
        <f>Gasto_o_ing_total!L161*1000/Gasto_o_ing_total!L$485</f>
        <v>0</v>
      </c>
      <c r="N161" s="332">
        <f>Gasto_o_ing_total!M161*1000/Gasto_o_ing_total!M$485</f>
        <v>0</v>
      </c>
      <c r="O161" s="332">
        <f>Gasto_o_ing_total!N161*1000/Gasto_o_ing_total!N$485</f>
        <v>0</v>
      </c>
      <c r="P161" s="332">
        <f>Gasto_o_ing_total!O161*1000/Gasto_o_ing_total!O$485</f>
        <v>0</v>
      </c>
      <c r="Q161" s="332">
        <f>Gasto_o_ing_total!P161*1000/Gasto_o_ing_total!P$485</f>
        <v>0</v>
      </c>
      <c r="R161" s="332">
        <f>Gasto_o_ing_total!Q161*1000/Gasto_o_ing_total!Q$485</f>
        <v>0</v>
      </c>
      <c r="S161" s="332">
        <f>Gasto_o_ing_total!R161*1000/Gasto_o_ing_total!R$485</f>
        <v>0</v>
      </c>
      <c r="T161" s="332">
        <f>Gasto_o_ing_total!S161*1000/Gasto_o_ing_total!S$485</f>
        <v>0.37503637304653331</v>
      </c>
      <c r="U161" s="332">
        <f>Gasto_o_ing_total!T161*1000/Gasto_o_ing_total!T$485</f>
        <v>0</v>
      </c>
      <c r="V161" s="332">
        <f>Gasto_o_ing_total!U161*1000/Gasto_o_ing_total!U$485</f>
        <v>0</v>
      </c>
      <c r="W161" s="105"/>
    </row>
    <row r="162" spans="1:23" s="102" customFormat="1">
      <c r="A162" s="351" t="str">
        <f>IF(B162="","",(IF(ISERROR(MATCH(B162,Tot_res!C:C,0)),"Eliminar!!!","")))</f>
        <v/>
      </c>
      <c r="B162" s="115" t="s">
        <v>1207</v>
      </c>
      <c r="C162" s="329" t="str">
        <f>VLOOKUP(B162,Tot_res!C:D,2,FALSE)</f>
        <v>Impuesto sobre depósitos de entidades de crédito. Régimen foral</v>
      </c>
      <c r="D162" s="332">
        <f>Gasto_o_ing_total!V162*1000/Gasto_o_ing_total!V$485</f>
        <v>0.26337394486469151</v>
      </c>
      <c r="E162" s="332">
        <f>Gasto_o_ing_total!D162*1000/Gasto_o_ing_total!D$485</f>
        <v>0</v>
      </c>
      <c r="F162" s="332">
        <f>Gasto_o_ing_total!E162*1000/Gasto_o_ing_total!E$485</f>
        <v>0</v>
      </c>
      <c r="G162" s="332">
        <f>Gasto_o_ing_total!F162*1000/Gasto_o_ing_total!F$485</f>
        <v>0</v>
      </c>
      <c r="H162" s="332">
        <f>Gasto_o_ing_total!G162*1000/Gasto_o_ing_total!G$485</f>
        <v>0</v>
      </c>
      <c r="I162" s="332">
        <f>Gasto_o_ing_total!H162*1000/Gasto_o_ing_total!H$485</f>
        <v>0</v>
      </c>
      <c r="J162" s="332">
        <f>Gasto_o_ing_total!I162*1000/Gasto_o_ing_total!I$485</f>
        <v>0</v>
      </c>
      <c r="K162" s="332">
        <f>Gasto_o_ing_total!J162*1000/Gasto_o_ing_total!J$485</f>
        <v>0</v>
      </c>
      <c r="L162" s="332">
        <f>Gasto_o_ing_total!K162*1000/Gasto_o_ing_total!K$485</f>
        <v>0</v>
      </c>
      <c r="M162" s="332">
        <f>Gasto_o_ing_total!L162*1000/Gasto_o_ing_total!L$485</f>
        <v>0</v>
      </c>
      <c r="N162" s="332">
        <f>Gasto_o_ing_total!M162*1000/Gasto_o_ing_total!M$485</f>
        <v>0</v>
      </c>
      <c r="O162" s="332">
        <f>Gasto_o_ing_total!N162*1000/Gasto_o_ing_total!N$485</f>
        <v>0</v>
      </c>
      <c r="P162" s="332">
        <f>Gasto_o_ing_total!O162*1000/Gasto_o_ing_total!O$485</f>
        <v>0</v>
      </c>
      <c r="Q162" s="332">
        <f>Gasto_o_ing_total!P162*1000/Gasto_o_ing_total!P$485</f>
        <v>0</v>
      </c>
      <c r="R162" s="332">
        <f>Gasto_o_ing_total!Q162*1000/Gasto_o_ing_total!Q$485</f>
        <v>0</v>
      </c>
      <c r="S162" s="332">
        <f>Gasto_o_ing_total!R162*1000/Gasto_o_ing_total!R$485</f>
        <v>0</v>
      </c>
      <c r="T162" s="332">
        <f>Gasto_o_ing_total!S162*1000/Gasto_o_ing_total!S$485</f>
        <v>5.6182367260649366</v>
      </c>
      <c r="U162" s="332">
        <f>Gasto_o_ing_total!T162*1000/Gasto_o_ing_total!T$485</f>
        <v>0</v>
      </c>
      <c r="V162" s="332">
        <f>Gasto_o_ing_total!U162*1000/Gasto_o_ing_total!U$485</f>
        <v>0</v>
      </c>
      <c r="W162" s="114"/>
    </row>
    <row r="163" spans="1:23"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c r="W163" s="105"/>
    </row>
    <row r="164" spans="1:23" s="102" customFormat="1" ht="13.5">
      <c r="A164" s="352"/>
      <c r="B164" s="115"/>
      <c r="C164" s="117" t="s">
        <v>5</v>
      </c>
      <c r="D164" s="113">
        <f>Gasto_o_ing_total!V164*1000/Gasto_o_ing_total!V$485</f>
        <v>-31.909619672840911</v>
      </c>
      <c r="E164" s="113">
        <f>Gasto_o_ing_total!D164*1000/Gasto_o_ing_total!D$485</f>
        <v>0</v>
      </c>
      <c r="F164" s="113">
        <f>Gasto_o_ing_total!E164*1000/Gasto_o_ing_total!E$485</f>
        <v>0</v>
      </c>
      <c r="G164" s="113">
        <f>Gasto_o_ing_total!F164*1000/Gasto_o_ing_total!F$485</f>
        <v>0</v>
      </c>
      <c r="H164" s="113">
        <f>Gasto_o_ing_total!G164*1000/Gasto_o_ing_total!G$485</f>
        <v>0</v>
      </c>
      <c r="I164" s="113">
        <f>Gasto_o_ing_total!H164*1000/Gasto_o_ing_total!H$485</f>
        <v>0</v>
      </c>
      <c r="J164" s="113">
        <f>Gasto_o_ing_total!I164*1000/Gasto_o_ing_total!I$485</f>
        <v>0</v>
      </c>
      <c r="K164" s="113">
        <f>Gasto_o_ing_total!J164*1000/Gasto_o_ing_total!J$485</f>
        <v>0</v>
      </c>
      <c r="L164" s="113">
        <f>Gasto_o_ing_total!K164*1000/Gasto_o_ing_total!K$485</f>
        <v>0</v>
      </c>
      <c r="M164" s="113">
        <f>Gasto_o_ing_total!L164*1000/Gasto_o_ing_total!L$485</f>
        <v>0</v>
      </c>
      <c r="N164" s="113">
        <f>Gasto_o_ing_total!M164*1000/Gasto_o_ing_total!M$485</f>
        <v>0</v>
      </c>
      <c r="O164" s="113">
        <f>Gasto_o_ing_total!N164*1000/Gasto_o_ing_total!N$485</f>
        <v>0</v>
      </c>
      <c r="P164" s="113">
        <f>Gasto_o_ing_total!O164*1000/Gasto_o_ing_total!O$485</f>
        <v>0</v>
      </c>
      <c r="Q164" s="113">
        <f>Gasto_o_ing_total!P164*1000/Gasto_o_ing_total!P$485</f>
        <v>0</v>
      </c>
      <c r="R164" s="113">
        <f>Gasto_o_ing_total!Q164*1000/Gasto_o_ing_total!Q$485</f>
        <v>0</v>
      </c>
      <c r="S164" s="113">
        <f>Gasto_o_ing_total!R164*1000/Gasto_o_ing_total!R$485</f>
        <v>-839.46346816351956</v>
      </c>
      <c r="T164" s="113">
        <f>Gasto_o_ing_total!S164*1000/Gasto_o_ing_total!S$485</f>
        <v>-435.02529097295229</v>
      </c>
      <c r="U164" s="113">
        <f>Gasto_o_ing_total!T164*1000/Gasto_o_ing_total!T$485</f>
        <v>0</v>
      </c>
      <c r="V164" s="113">
        <f>Gasto_o_ing_total!U164*1000/Gasto_o_ing_total!U$485</f>
        <v>0</v>
      </c>
      <c r="W164" s="105"/>
    </row>
    <row r="165" spans="1:23" s="102" customFormat="1">
      <c r="A165" s="351" t="str">
        <f>IF(B165="","",(IF(ISERROR(MATCH(B165,Tot_res!C:C,0)),"Eliminar!!!","")))</f>
        <v/>
      </c>
      <c r="B165" s="115" t="s">
        <v>984</v>
      </c>
      <c r="C165" s="329" t="str">
        <f>VLOOKUP(B165,Tot_res!C:D,2,FALSE)</f>
        <v xml:space="preserve"> Cupo y aportación, antes descuento por Y vasca</v>
      </c>
      <c r="D165" s="332">
        <f>Gasto_o_ing_total!V165*1000/Gasto_o_ing_total!V$485</f>
        <v>-33.52134529757857</v>
      </c>
      <c r="E165" s="332">
        <f>Gasto_o_ing_total!D165*1000/Gasto_o_ing_total!D$485</f>
        <v>0</v>
      </c>
      <c r="F165" s="332">
        <f>Gasto_o_ing_total!E165*1000/Gasto_o_ing_total!E$485</f>
        <v>0</v>
      </c>
      <c r="G165" s="332">
        <f>Gasto_o_ing_total!F165*1000/Gasto_o_ing_total!F$485</f>
        <v>0</v>
      </c>
      <c r="H165" s="332">
        <f>Gasto_o_ing_total!G165*1000/Gasto_o_ing_total!G$485</f>
        <v>0</v>
      </c>
      <c r="I165" s="332">
        <f>Gasto_o_ing_total!H165*1000/Gasto_o_ing_total!H$485</f>
        <v>0</v>
      </c>
      <c r="J165" s="332">
        <f>Gasto_o_ing_total!I165*1000/Gasto_o_ing_total!I$485</f>
        <v>0</v>
      </c>
      <c r="K165" s="332">
        <f>Gasto_o_ing_total!J165*1000/Gasto_o_ing_total!J$485</f>
        <v>0</v>
      </c>
      <c r="L165" s="332">
        <f>Gasto_o_ing_total!K165*1000/Gasto_o_ing_total!K$485</f>
        <v>0</v>
      </c>
      <c r="M165" s="332">
        <f>Gasto_o_ing_total!L165*1000/Gasto_o_ing_total!L$485</f>
        <v>0</v>
      </c>
      <c r="N165" s="332">
        <f>Gasto_o_ing_total!M165*1000/Gasto_o_ing_total!M$485</f>
        <v>0</v>
      </c>
      <c r="O165" s="332">
        <f>Gasto_o_ing_total!N165*1000/Gasto_o_ing_total!N$485</f>
        <v>0</v>
      </c>
      <c r="P165" s="332">
        <f>Gasto_o_ing_total!O165*1000/Gasto_o_ing_total!O$485</f>
        <v>0</v>
      </c>
      <c r="Q165" s="332">
        <f>Gasto_o_ing_total!P165*1000/Gasto_o_ing_total!P$485</f>
        <v>0</v>
      </c>
      <c r="R165" s="332">
        <f>Gasto_o_ing_total!Q165*1000/Gasto_o_ing_total!Q$485</f>
        <v>0</v>
      </c>
      <c r="S165" s="332">
        <f>Gasto_o_ing_total!R165*1000/Gasto_o_ing_total!R$485</f>
        <v>-839.46346816351956</v>
      </c>
      <c r="T165" s="332">
        <f>Gasto_o_ing_total!S165*1000/Gasto_o_ing_total!S$485</f>
        <v>-469.40627767948877</v>
      </c>
      <c r="U165" s="332">
        <f>Gasto_o_ing_total!T165*1000/Gasto_o_ing_total!T$485</f>
        <v>0</v>
      </c>
      <c r="V165" s="332">
        <f>Gasto_o_ing_total!U165*1000/Gasto_o_ing_total!U$485</f>
        <v>0</v>
      </c>
      <c r="W165" s="105"/>
    </row>
    <row r="166" spans="1:23"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Gasto_o_ing_total!V166*1000/Gasto_o_ing_total!V$485</f>
        <v>2.9157639263630948</v>
      </c>
      <c r="E166" s="332">
        <f>Gasto_o_ing_total!D166*1000/Gasto_o_ing_total!D$485</f>
        <v>0</v>
      </c>
      <c r="F166" s="332">
        <f>Gasto_o_ing_total!E166*1000/Gasto_o_ing_total!E$485</f>
        <v>0</v>
      </c>
      <c r="G166" s="332">
        <f>Gasto_o_ing_total!F166*1000/Gasto_o_ing_total!F$485</f>
        <v>0</v>
      </c>
      <c r="H166" s="332">
        <f>Gasto_o_ing_total!G166*1000/Gasto_o_ing_total!G$485</f>
        <v>0</v>
      </c>
      <c r="I166" s="332">
        <f>Gasto_o_ing_total!H166*1000/Gasto_o_ing_total!H$485</f>
        <v>0</v>
      </c>
      <c r="J166" s="332">
        <f>Gasto_o_ing_total!I166*1000/Gasto_o_ing_total!I$485</f>
        <v>0</v>
      </c>
      <c r="K166" s="332">
        <f>Gasto_o_ing_total!J166*1000/Gasto_o_ing_total!J$485</f>
        <v>0</v>
      </c>
      <c r="L166" s="332">
        <f>Gasto_o_ing_total!K166*1000/Gasto_o_ing_total!K$485</f>
        <v>0</v>
      </c>
      <c r="M166" s="332">
        <f>Gasto_o_ing_total!L166*1000/Gasto_o_ing_total!L$485</f>
        <v>0</v>
      </c>
      <c r="N166" s="332">
        <f>Gasto_o_ing_total!M166*1000/Gasto_o_ing_total!M$485</f>
        <v>0</v>
      </c>
      <c r="O166" s="332">
        <f>Gasto_o_ing_total!N166*1000/Gasto_o_ing_total!N$485</f>
        <v>0</v>
      </c>
      <c r="P166" s="332">
        <f>Gasto_o_ing_total!O166*1000/Gasto_o_ing_total!O$485</f>
        <v>0</v>
      </c>
      <c r="Q166" s="332">
        <f>Gasto_o_ing_total!P166*1000/Gasto_o_ing_total!P$485</f>
        <v>0</v>
      </c>
      <c r="R166" s="332">
        <f>Gasto_o_ing_total!Q166*1000/Gasto_o_ing_total!Q$485</f>
        <v>0</v>
      </c>
      <c r="S166" s="332">
        <f>Gasto_o_ing_total!R166*1000/Gasto_o_ing_total!R$485</f>
        <v>0</v>
      </c>
      <c r="T166" s="332">
        <f>Gasto_o_ing_total!S166*1000/Gasto_o_ing_total!S$485</f>
        <v>62.198453169103033</v>
      </c>
      <c r="U166" s="332">
        <f>Gasto_o_ing_total!T166*1000/Gasto_o_ing_total!T$485</f>
        <v>0</v>
      </c>
      <c r="V166" s="332">
        <f>Gasto_o_ing_total!U166*1000/Gasto_o_ing_total!U$485</f>
        <v>0</v>
      </c>
      <c r="W166" s="105"/>
    </row>
    <row r="167" spans="1:23" s="102" customFormat="1">
      <c r="A167" s="351" t="str">
        <f>IF(B167="","",(IF(ISERROR(MATCH(B167,Tot_res!C:C,0)),"Eliminar!!!","")))</f>
        <v/>
      </c>
      <c r="B167" s="115" t="s">
        <v>218</v>
      </c>
      <c r="C167" s="329" t="str">
        <f>VLOOKUP(B167,Tot_res!C:D,2,FALSE)</f>
        <v>compensaciones financieras IE bebidas alcohólicas e hidrocarburos</v>
      </c>
      <c r="D167" s="332">
        <f>Gasto_o_ing_total!V167*1000/Gasto_o_ing_total!V$485</f>
        <v>-1.3040383016254395</v>
      </c>
      <c r="E167" s="332">
        <f>Gasto_o_ing_total!D167*1000/Gasto_o_ing_total!D$485</f>
        <v>0</v>
      </c>
      <c r="F167" s="332">
        <f>Gasto_o_ing_total!E167*1000/Gasto_o_ing_total!E$485</f>
        <v>0</v>
      </c>
      <c r="G167" s="332">
        <f>Gasto_o_ing_total!F167*1000/Gasto_o_ing_total!F$485</f>
        <v>0</v>
      </c>
      <c r="H167" s="332">
        <f>Gasto_o_ing_total!G167*1000/Gasto_o_ing_total!G$485</f>
        <v>0</v>
      </c>
      <c r="I167" s="332">
        <f>Gasto_o_ing_total!H167*1000/Gasto_o_ing_total!H$485</f>
        <v>0</v>
      </c>
      <c r="J167" s="332">
        <f>Gasto_o_ing_total!I167*1000/Gasto_o_ing_total!I$485</f>
        <v>0</v>
      </c>
      <c r="K167" s="332">
        <f>Gasto_o_ing_total!J167*1000/Gasto_o_ing_total!J$485</f>
        <v>0</v>
      </c>
      <c r="L167" s="332">
        <f>Gasto_o_ing_total!K167*1000/Gasto_o_ing_total!K$485</f>
        <v>0</v>
      </c>
      <c r="M167" s="332">
        <f>Gasto_o_ing_total!L167*1000/Gasto_o_ing_total!L$485</f>
        <v>0</v>
      </c>
      <c r="N167" s="332">
        <f>Gasto_o_ing_total!M167*1000/Gasto_o_ing_total!M$485</f>
        <v>0</v>
      </c>
      <c r="O167" s="332">
        <f>Gasto_o_ing_total!N167*1000/Gasto_o_ing_total!N$485</f>
        <v>0</v>
      </c>
      <c r="P167" s="332">
        <f>Gasto_o_ing_total!O167*1000/Gasto_o_ing_total!O$485</f>
        <v>0</v>
      </c>
      <c r="Q167" s="332">
        <f>Gasto_o_ing_total!P167*1000/Gasto_o_ing_total!P$485</f>
        <v>0</v>
      </c>
      <c r="R167" s="332">
        <f>Gasto_o_ing_total!Q167*1000/Gasto_o_ing_total!Q$485</f>
        <v>0</v>
      </c>
      <c r="S167" s="332">
        <f>Gasto_o_ing_total!R167*1000/Gasto_o_ing_total!R$485</f>
        <v>0</v>
      </c>
      <c r="T167" s="332">
        <f>Gasto_o_ing_total!S167*1000/Gasto_o_ing_total!S$485</f>
        <v>-27.817466462566482</v>
      </c>
      <c r="U167" s="332">
        <f>Gasto_o_ing_total!T167*1000/Gasto_o_ing_total!T$485</f>
        <v>0</v>
      </c>
      <c r="V167" s="332">
        <f>Gasto_o_ing_total!U167*1000/Gasto_o_ing_total!U$485</f>
        <v>0</v>
      </c>
      <c r="W167" s="114"/>
    </row>
    <row r="168" spans="1:23">
      <c r="A168" s="352"/>
      <c r="C168" s="5"/>
      <c r="D168" s="19"/>
      <c r="E168" s="19"/>
      <c r="F168" s="19"/>
      <c r="G168" s="19"/>
      <c r="H168" s="19"/>
      <c r="I168" s="19"/>
      <c r="J168" s="19"/>
      <c r="K168" s="19"/>
      <c r="L168" s="19"/>
      <c r="M168" s="19"/>
      <c r="N168" s="19"/>
      <c r="O168" s="19"/>
      <c r="P168" s="19"/>
      <c r="Q168" s="19"/>
      <c r="R168" s="19"/>
      <c r="S168" s="19"/>
      <c r="T168" s="19"/>
      <c r="U168" s="19"/>
      <c r="V168" s="19"/>
      <c r="W168" s="2"/>
    </row>
    <row r="169" spans="1:23" s="102" customFormat="1" ht="13.5">
      <c r="A169" s="352"/>
      <c r="B169" s="115"/>
      <c r="C169" s="117" t="s">
        <v>52</v>
      </c>
      <c r="D169" s="113">
        <f>Gasto_o_ing_total!V169*1000/Gasto_o_ing_total!V$485</f>
        <v>-53.318065959104885</v>
      </c>
      <c r="E169" s="113">
        <f>Gasto_o_ing_total!D169*1000/Gasto_o_ing_total!D$485</f>
        <v>0</v>
      </c>
      <c r="F169" s="113">
        <f>Gasto_o_ing_total!E169*1000/Gasto_o_ing_total!E$485</f>
        <v>0</v>
      </c>
      <c r="G169" s="113">
        <f>Gasto_o_ing_total!F169*1000/Gasto_o_ing_total!F$485</f>
        <v>0</v>
      </c>
      <c r="H169" s="113">
        <f>Gasto_o_ing_total!G169*1000/Gasto_o_ing_total!G$485</f>
        <v>0</v>
      </c>
      <c r="I169" s="113">
        <f>Gasto_o_ing_total!H169*1000/Gasto_o_ing_total!H$485</f>
        <v>0</v>
      </c>
      <c r="J169" s="113">
        <f>Gasto_o_ing_total!I169*1000/Gasto_o_ing_total!I$485</f>
        <v>0</v>
      </c>
      <c r="K169" s="113">
        <f>Gasto_o_ing_total!J169*1000/Gasto_o_ing_total!J$485</f>
        <v>0</v>
      </c>
      <c r="L169" s="113">
        <f>Gasto_o_ing_total!K169*1000/Gasto_o_ing_total!K$485</f>
        <v>0</v>
      </c>
      <c r="M169" s="113">
        <f>Gasto_o_ing_total!L169*1000/Gasto_o_ing_total!L$485</f>
        <v>0</v>
      </c>
      <c r="N169" s="113">
        <f>Gasto_o_ing_total!M169*1000/Gasto_o_ing_total!M$485</f>
        <v>0</v>
      </c>
      <c r="O169" s="113">
        <f>Gasto_o_ing_total!N169*1000/Gasto_o_ing_total!N$485</f>
        <v>0</v>
      </c>
      <c r="P169" s="113">
        <f>Gasto_o_ing_total!O169*1000/Gasto_o_ing_total!O$485</f>
        <v>0</v>
      </c>
      <c r="Q169" s="113">
        <f>Gasto_o_ing_total!P169*1000/Gasto_o_ing_total!P$485</f>
        <v>0</v>
      </c>
      <c r="R169" s="113">
        <f>Gasto_o_ing_total!Q169*1000/Gasto_o_ing_total!Q$485</f>
        <v>0</v>
      </c>
      <c r="S169" s="113">
        <f>Gasto_o_ing_total!R169*1000/Gasto_o_ing_total!R$485</f>
        <v>-735.0250500407767</v>
      </c>
      <c r="T169" s="113">
        <f>Gasto_o_ing_total!S169*1000/Gasto_o_ing_total!S$485</f>
        <v>-922.26896399211</v>
      </c>
      <c r="U169" s="113">
        <f>Gasto_o_ing_total!T169*1000/Gasto_o_ing_total!T$485</f>
        <v>0</v>
      </c>
      <c r="V169" s="113">
        <f>Gasto_o_ing_total!U169*1000/Gasto_o_ing_total!U$485</f>
        <v>0</v>
      </c>
      <c r="W169" s="105"/>
    </row>
    <row r="170" spans="1:23" s="102" customFormat="1">
      <c r="A170" s="352"/>
      <c r="B170" s="115" t="s">
        <v>1097</v>
      </c>
      <c r="C170" s="331" t="str">
        <f>VLOOKUP(B170,Tot_res!C:D,2,FALSE)</f>
        <v>gestión tributaria (prog. 932A)</v>
      </c>
      <c r="D170" s="334">
        <f>Gasto_o_ing_total!V170*1000/Gasto_o_ing_total!V$485</f>
        <v>-1.7189221694896233</v>
      </c>
      <c r="E170" s="334">
        <f>Gasto_o_ing_total!D170*1000/Gasto_o_ing_total!D$485</f>
        <v>0</v>
      </c>
      <c r="F170" s="334">
        <f>Gasto_o_ing_total!E170*1000/Gasto_o_ing_total!E$485</f>
        <v>0</v>
      </c>
      <c r="G170" s="334">
        <f>Gasto_o_ing_total!F170*1000/Gasto_o_ing_total!F$485</f>
        <v>0</v>
      </c>
      <c r="H170" s="334">
        <f>Gasto_o_ing_total!G170*1000/Gasto_o_ing_total!G$485</f>
        <v>0</v>
      </c>
      <c r="I170" s="334">
        <f>Gasto_o_ing_total!H170*1000/Gasto_o_ing_total!H$485</f>
        <v>0</v>
      </c>
      <c r="J170" s="334">
        <f>Gasto_o_ing_total!I170*1000/Gasto_o_ing_total!I$485</f>
        <v>0</v>
      </c>
      <c r="K170" s="334">
        <f>Gasto_o_ing_total!J170*1000/Gasto_o_ing_total!J$485</f>
        <v>0</v>
      </c>
      <c r="L170" s="334">
        <f>Gasto_o_ing_total!K170*1000/Gasto_o_ing_total!K$485</f>
        <v>0</v>
      </c>
      <c r="M170" s="334">
        <f>Gasto_o_ing_total!L170*1000/Gasto_o_ing_total!L$485</f>
        <v>0</v>
      </c>
      <c r="N170" s="334">
        <f>Gasto_o_ing_total!M170*1000/Gasto_o_ing_total!M$485</f>
        <v>0</v>
      </c>
      <c r="O170" s="334">
        <f>Gasto_o_ing_total!N170*1000/Gasto_o_ing_total!N$485</f>
        <v>0</v>
      </c>
      <c r="P170" s="334">
        <f>Gasto_o_ing_total!O170*1000/Gasto_o_ing_total!O$485</f>
        <v>0</v>
      </c>
      <c r="Q170" s="334">
        <f>Gasto_o_ing_total!P170*1000/Gasto_o_ing_total!P$485</f>
        <v>0</v>
      </c>
      <c r="R170" s="334">
        <f>Gasto_o_ing_total!Q170*1000/Gasto_o_ing_total!Q$485</f>
        <v>0</v>
      </c>
      <c r="S170" s="334">
        <f>Gasto_o_ing_total!R170*1000/Gasto_o_ing_total!R$485</f>
        <v>-28.366419625206269</v>
      </c>
      <c r="T170" s="334">
        <f>Gasto_o_ing_total!S170*1000/Gasto_o_ing_total!S$485</f>
        <v>-28.366419625206273</v>
      </c>
      <c r="U170" s="334">
        <f>Gasto_o_ing_total!T170*1000/Gasto_o_ing_total!T$485</f>
        <v>0</v>
      </c>
      <c r="V170" s="334">
        <f>Gasto_o_ing_total!U170*1000/Gasto_o_ing_total!U$485</f>
        <v>0</v>
      </c>
      <c r="W170" s="105"/>
    </row>
    <row r="171" spans="1:23" s="102" customFormat="1">
      <c r="A171" s="352"/>
      <c r="B171" s="115" t="s">
        <v>1098</v>
      </c>
      <c r="C171" s="331" t="str">
        <f>VLOOKUP(B171,Tot_res!C:D,2,FALSE)</f>
        <v>Gestión del catastro inmobiliario (programa 932M)</v>
      </c>
      <c r="D171" s="334">
        <f>Gasto_o_ing_total!V171*1000/Gasto_o_ing_total!V$485</f>
        <v>-0.17088463456611377</v>
      </c>
      <c r="E171" s="334">
        <f>Gasto_o_ing_total!D171*1000/Gasto_o_ing_total!D$485</f>
        <v>0</v>
      </c>
      <c r="F171" s="334">
        <f>Gasto_o_ing_total!E171*1000/Gasto_o_ing_total!E$485</f>
        <v>0</v>
      </c>
      <c r="G171" s="334">
        <f>Gasto_o_ing_total!F171*1000/Gasto_o_ing_total!F$485</f>
        <v>0</v>
      </c>
      <c r="H171" s="334">
        <f>Gasto_o_ing_total!G171*1000/Gasto_o_ing_total!G$485</f>
        <v>0</v>
      </c>
      <c r="I171" s="334">
        <f>Gasto_o_ing_total!H171*1000/Gasto_o_ing_total!H$485</f>
        <v>0</v>
      </c>
      <c r="J171" s="334">
        <f>Gasto_o_ing_total!I171*1000/Gasto_o_ing_total!I$485</f>
        <v>0</v>
      </c>
      <c r="K171" s="334">
        <f>Gasto_o_ing_total!J171*1000/Gasto_o_ing_total!J$485</f>
        <v>0</v>
      </c>
      <c r="L171" s="334">
        <f>Gasto_o_ing_total!K171*1000/Gasto_o_ing_total!K$485</f>
        <v>0</v>
      </c>
      <c r="M171" s="334">
        <f>Gasto_o_ing_total!L171*1000/Gasto_o_ing_total!L$485</f>
        <v>0</v>
      </c>
      <c r="N171" s="334">
        <f>Gasto_o_ing_total!M171*1000/Gasto_o_ing_total!M$485</f>
        <v>0</v>
      </c>
      <c r="O171" s="334">
        <f>Gasto_o_ing_total!N171*1000/Gasto_o_ing_total!N$485</f>
        <v>0</v>
      </c>
      <c r="P171" s="334">
        <f>Gasto_o_ing_total!O171*1000/Gasto_o_ing_total!O$485</f>
        <v>0</v>
      </c>
      <c r="Q171" s="334">
        <f>Gasto_o_ing_total!P171*1000/Gasto_o_ing_total!P$485</f>
        <v>0</v>
      </c>
      <c r="R171" s="334">
        <f>Gasto_o_ing_total!Q171*1000/Gasto_o_ing_total!Q$485</f>
        <v>0</v>
      </c>
      <c r="S171" s="334">
        <f>Gasto_o_ing_total!R171*1000/Gasto_o_ing_total!R$485</f>
        <v>-2.8200143890410594</v>
      </c>
      <c r="T171" s="334">
        <f>Gasto_o_ing_total!S171*1000/Gasto_o_ing_total!S$485</f>
        <v>-2.8200143890410594</v>
      </c>
      <c r="U171" s="334">
        <f>Gasto_o_ing_total!T171*1000/Gasto_o_ing_total!T$485</f>
        <v>0</v>
      </c>
      <c r="V171" s="334">
        <f>Gasto_o_ing_total!U171*1000/Gasto_o_ing_total!U$485</f>
        <v>0</v>
      </c>
      <c r="W171" s="105"/>
    </row>
    <row r="172" spans="1:23" s="102" customFormat="1">
      <c r="A172" s="352"/>
      <c r="B172" s="115" t="s">
        <v>1099</v>
      </c>
      <c r="C172" s="331" t="str">
        <f>VLOOKUP(B172,Tot_res!C:D,2,FALSE)</f>
        <v>Pensiones no contributivas y otras prestaciones económicas (sección 3.1)</v>
      </c>
      <c r="D172" s="334">
        <f>Gasto_o_ing_total!V172*1000/Gasto_o_ing_total!V$485</f>
        <v>-3.4981998269517529</v>
      </c>
      <c r="E172" s="334">
        <f>Gasto_o_ing_total!D172*1000/Gasto_o_ing_total!D$485</f>
        <v>0</v>
      </c>
      <c r="F172" s="334">
        <f>Gasto_o_ing_total!E172*1000/Gasto_o_ing_total!E$485</f>
        <v>0</v>
      </c>
      <c r="G172" s="334">
        <f>Gasto_o_ing_total!F172*1000/Gasto_o_ing_total!F$485</f>
        <v>0</v>
      </c>
      <c r="H172" s="334">
        <f>Gasto_o_ing_total!G172*1000/Gasto_o_ing_total!G$485</f>
        <v>0</v>
      </c>
      <c r="I172" s="334">
        <f>Gasto_o_ing_total!H172*1000/Gasto_o_ing_total!H$485</f>
        <v>0</v>
      </c>
      <c r="J172" s="334">
        <f>Gasto_o_ing_total!I172*1000/Gasto_o_ing_total!I$485</f>
        <v>0</v>
      </c>
      <c r="K172" s="334">
        <f>Gasto_o_ing_total!J172*1000/Gasto_o_ing_total!J$485</f>
        <v>0</v>
      </c>
      <c r="L172" s="334">
        <f>Gasto_o_ing_total!K172*1000/Gasto_o_ing_total!K$485</f>
        <v>0</v>
      </c>
      <c r="M172" s="334">
        <f>Gasto_o_ing_total!L172*1000/Gasto_o_ing_total!L$485</f>
        <v>0</v>
      </c>
      <c r="N172" s="334">
        <f>Gasto_o_ing_total!M172*1000/Gasto_o_ing_total!M$485</f>
        <v>0</v>
      </c>
      <c r="O172" s="334">
        <f>Gasto_o_ing_total!N172*1000/Gasto_o_ing_total!N$485</f>
        <v>0</v>
      </c>
      <c r="P172" s="334">
        <f>Gasto_o_ing_total!O172*1000/Gasto_o_ing_total!O$485</f>
        <v>0</v>
      </c>
      <c r="Q172" s="334">
        <f>Gasto_o_ing_total!P172*1000/Gasto_o_ing_total!P$485</f>
        <v>0</v>
      </c>
      <c r="R172" s="334">
        <f>Gasto_o_ing_total!Q172*1000/Gasto_o_ing_total!Q$485</f>
        <v>0</v>
      </c>
      <c r="S172" s="334">
        <f>Gasto_o_ing_total!R172*1000/Gasto_o_ing_total!R$485</f>
        <v>-43.753550236275316</v>
      </c>
      <c r="T172" s="334">
        <f>Gasto_o_ing_total!S172*1000/Gasto_o_ing_total!S$485</f>
        <v>-61.818639933471545</v>
      </c>
      <c r="U172" s="334">
        <f>Gasto_o_ing_total!T172*1000/Gasto_o_ing_total!T$485</f>
        <v>0</v>
      </c>
      <c r="V172" s="334">
        <f>Gasto_o_ing_total!U172*1000/Gasto_o_ing_total!U$485</f>
        <v>0</v>
      </c>
      <c r="W172" s="105"/>
    </row>
    <row r="173" spans="1:23" s="102" customFormat="1">
      <c r="A173" s="352"/>
      <c r="B173" s="115" t="s">
        <v>1100</v>
      </c>
      <c r="C173" s="331" t="str">
        <f>VLOOKUP(B173,Tot_res!C:D,2,FALSE)</f>
        <v>Financiación provincias</v>
      </c>
      <c r="D173" s="334">
        <f>Gasto_o_ing_total!V173*1000/Gasto_o_ing_total!V$485</f>
        <v>-9.4695626083093725</v>
      </c>
      <c r="E173" s="334">
        <f>Gasto_o_ing_total!D173*1000/Gasto_o_ing_total!D$485</f>
        <v>0</v>
      </c>
      <c r="F173" s="334">
        <f>Gasto_o_ing_total!E173*1000/Gasto_o_ing_total!E$485</f>
        <v>0</v>
      </c>
      <c r="G173" s="334">
        <f>Gasto_o_ing_total!F173*1000/Gasto_o_ing_total!F$485</f>
        <v>0</v>
      </c>
      <c r="H173" s="334">
        <f>Gasto_o_ing_total!G173*1000/Gasto_o_ing_total!G$485</f>
        <v>0</v>
      </c>
      <c r="I173" s="334">
        <f>Gasto_o_ing_total!H173*1000/Gasto_o_ing_total!H$485</f>
        <v>0</v>
      </c>
      <c r="J173" s="334">
        <f>Gasto_o_ing_total!I173*1000/Gasto_o_ing_total!I$485</f>
        <v>0</v>
      </c>
      <c r="K173" s="334">
        <f>Gasto_o_ing_total!J173*1000/Gasto_o_ing_total!J$485</f>
        <v>0</v>
      </c>
      <c r="L173" s="334">
        <f>Gasto_o_ing_total!K173*1000/Gasto_o_ing_total!K$485</f>
        <v>0</v>
      </c>
      <c r="M173" s="334">
        <f>Gasto_o_ing_total!L173*1000/Gasto_o_ing_total!L$485</f>
        <v>0</v>
      </c>
      <c r="N173" s="334">
        <f>Gasto_o_ing_total!M173*1000/Gasto_o_ing_total!M$485</f>
        <v>0</v>
      </c>
      <c r="O173" s="334">
        <f>Gasto_o_ing_total!N173*1000/Gasto_o_ing_total!N$485</f>
        <v>0</v>
      </c>
      <c r="P173" s="334">
        <f>Gasto_o_ing_total!O173*1000/Gasto_o_ing_total!O$485</f>
        <v>0</v>
      </c>
      <c r="Q173" s="334">
        <f>Gasto_o_ing_total!P173*1000/Gasto_o_ing_total!P$485</f>
        <v>0</v>
      </c>
      <c r="R173" s="334">
        <f>Gasto_o_ing_total!Q173*1000/Gasto_o_ing_total!Q$485</f>
        <v>0</v>
      </c>
      <c r="S173" s="334">
        <f>Gasto_o_ing_total!R173*1000/Gasto_o_ing_total!R$485</f>
        <v>-156.25803544650327</v>
      </c>
      <c r="T173" s="334">
        <f>Gasto_o_ing_total!S173*1000/Gasto_o_ing_total!S$485</f>
        <v>-156.27471899735562</v>
      </c>
      <c r="U173" s="334">
        <f>Gasto_o_ing_total!T173*1000/Gasto_o_ing_total!T$485</f>
        <v>0</v>
      </c>
      <c r="V173" s="334">
        <f>Gasto_o_ing_total!U173*1000/Gasto_o_ing_total!U$485</f>
        <v>0</v>
      </c>
      <c r="W173" s="105"/>
    </row>
    <row r="174" spans="1:23" s="102" customFormat="1">
      <c r="A174" s="352"/>
      <c r="B174" s="115" t="s">
        <v>1101</v>
      </c>
      <c r="C174" s="331" t="str">
        <f>VLOOKUP(B174,Tot_res!C:D,2,FALSE)</f>
        <v>Financiación municipios</v>
      </c>
      <c r="D174" s="334">
        <f>Gasto_o_ing_total!V174*1000/Gasto_o_ing_total!V$485</f>
        <v>-15.071111096601095</v>
      </c>
      <c r="E174" s="334">
        <f>Gasto_o_ing_total!D174*1000/Gasto_o_ing_total!D$485</f>
        <v>0</v>
      </c>
      <c r="F174" s="334">
        <f>Gasto_o_ing_total!E174*1000/Gasto_o_ing_total!E$485</f>
        <v>0</v>
      </c>
      <c r="G174" s="334">
        <f>Gasto_o_ing_total!F174*1000/Gasto_o_ing_total!F$485</f>
        <v>0</v>
      </c>
      <c r="H174" s="334">
        <f>Gasto_o_ing_total!G174*1000/Gasto_o_ing_total!G$485</f>
        <v>0</v>
      </c>
      <c r="I174" s="334">
        <f>Gasto_o_ing_total!H174*1000/Gasto_o_ing_total!H$485</f>
        <v>0</v>
      </c>
      <c r="J174" s="334">
        <f>Gasto_o_ing_total!I174*1000/Gasto_o_ing_total!I$485</f>
        <v>0</v>
      </c>
      <c r="K174" s="334">
        <f>Gasto_o_ing_total!J174*1000/Gasto_o_ing_total!J$485</f>
        <v>0</v>
      </c>
      <c r="L174" s="334">
        <f>Gasto_o_ing_total!K174*1000/Gasto_o_ing_total!K$485</f>
        <v>0</v>
      </c>
      <c r="M174" s="334">
        <f>Gasto_o_ing_total!L174*1000/Gasto_o_ing_total!L$485</f>
        <v>0</v>
      </c>
      <c r="N174" s="334">
        <f>Gasto_o_ing_total!M174*1000/Gasto_o_ing_total!M$485</f>
        <v>0</v>
      </c>
      <c r="O174" s="334">
        <f>Gasto_o_ing_total!N174*1000/Gasto_o_ing_total!N$485</f>
        <v>0</v>
      </c>
      <c r="P174" s="334">
        <f>Gasto_o_ing_total!O174*1000/Gasto_o_ing_total!O$485</f>
        <v>0</v>
      </c>
      <c r="Q174" s="334">
        <f>Gasto_o_ing_total!P174*1000/Gasto_o_ing_total!P$485</f>
        <v>0</v>
      </c>
      <c r="R174" s="334">
        <f>Gasto_o_ing_total!Q174*1000/Gasto_o_ing_total!Q$485</f>
        <v>0</v>
      </c>
      <c r="S174" s="334">
        <f>Gasto_o_ing_total!R174*1000/Gasto_o_ing_total!R$485</f>
        <v>-247.94891699206289</v>
      </c>
      <c r="T174" s="334">
        <f>Gasto_o_ing_total!S174*1000/Gasto_o_ing_total!S$485</f>
        <v>-248.9329736002783</v>
      </c>
      <c r="U174" s="334">
        <f>Gasto_o_ing_total!T174*1000/Gasto_o_ing_total!T$485</f>
        <v>0</v>
      </c>
      <c r="V174" s="334">
        <f>Gasto_o_ing_total!U174*1000/Gasto_o_ing_total!U$485</f>
        <v>0</v>
      </c>
      <c r="W174" s="105"/>
    </row>
    <row r="175" spans="1:23" s="102" customFormat="1">
      <c r="A175" s="352"/>
      <c r="B175" s="115" t="s">
        <v>1102</v>
      </c>
      <c r="C175" s="331" t="str">
        <f>VLOOKUP(B175,Tot_res!C:D,2,FALSE)</f>
        <v xml:space="preserve">construcción de carreteras </v>
      </c>
      <c r="D175" s="334">
        <f>Gasto_o_ing_total!V175*1000/Gasto_o_ing_total!V$485</f>
        <v>-2.5918467469425308</v>
      </c>
      <c r="E175" s="334">
        <f>Gasto_o_ing_total!D175*1000/Gasto_o_ing_total!D$485</f>
        <v>0</v>
      </c>
      <c r="F175" s="334">
        <f>Gasto_o_ing_total!E175*1000/Gasto_o_ing_total!E$485</f>
        <v>0</v>
      </c>
      <c r="G175" s="334">
        <f>Gasto_o_ing_total!F175*1000/Gasto_o_ing_total!F$485</f>
        <v>0</v>
      </c>
      <c r="H175" s="334">
        <f>Gasto_o_ing_total!G175*1000/Gasto_o_ing_total!G$485</f>
        <v>0</v>
      </c>
      <c r="I175" s="334">
        <f>Gasto_o_ing_total!H175*1000/Gasto_o_ing_total!H$485</f>
        <v>0</v>
      </c>
      <c r="J175" s="334">
        <f>Gasto_o_ing_total!I175*1000/Gasto_o_ing_total!I$485</f>
        <v>0</v>
      </c>
      <c r="K175" s="334">
        <f>Gasto_o_ing_total!J175*1000/Gasto_o_ing_total!J$485</f>
        <v>0</v>
      </c>
      <c r="L175" s="334">
        <f>Gasto_o_ing_total!K175*1000/Gasto_o_ing_total!K$485</f>
        <v>0</v>
      </c>
      <c r="M175" s="334">
        <f>Gasto_o_ing_total!L175*1000/Gasto_o_ing_total!L$485</f>
        <v>0</v>
      </c>
      <c r="N175" s="334">
        <f>Gasto_o_ing_total!M175*1000/Gasto_o_ing_total!M$485</f>
        <v>0</v>
      </c>
      <c r="O175" s="334">
        <f>Gasto_o_ing_total!N175*1000/Gasto_o_ing_total!N$485</f>
        <v>0</v>
      </c>
      <c r="P175" s="334">
        <f>Gasto_o_ing_total!O175*1000/Gasto_o_ing_total!O$485</f>
        <v>0</v>
      </c>
      <c r="Q175" s="334">
        <f>Gasto_o_ing_total!P175*1000/Gasto_o_ing_total!P$485</f>
        <v>0</v>
      </c>
      <c r="R175" s="334">
        <f>Gasto_o_ing_total!Q175*1000/Gasto_o_ing_total!Q$485</f>
        <v>0</v>
      </c>
      <c r="S175" s="334">
        <f>Gasto_o_ing_total!R175*1000/Gasto_o_ing_total!R$485</f>
        <v>-42.771809994065862</v>
      </c>
      <c r="T175" s="334">
        <f>Gasto_o_ing_total!S175*1000/Gasto_o_ing_total!S$485</f>
        <v>-42.771809994065862</v>
      </c>
      <c r="U175" s="334">
        <f>Gasto_o_ing_total!T175*1000/Gasto_o_ing_total!T$485</f>
        <v>0</v>
      </c>
      <c r="V175" s="334">
        <f>Gasto_o_ing_total!U175*1000/Gasto_o_ing_total!U$485</f>
        <v>0</v>
      </c>
      <c r="W175" s="105"/>
    </row>
    <row r="176" spans="1:23" s="102" customFormat="1">
      <c r="A176" s="352"/>
      <c r="B176" s="115" t="s">
        <v>1103</v>
      </c>
      <c r="C176" s="331" t="str">
        <f>VLOOKUP(B176,Tot_res!C:D,2,FALSE)</f>
        <v>conservación de carreteras (programa 453C)</v>
      </c>
      <c r="D176" s="334">
        <f>Gasto_o_ing_total!V176*1000/Gasto_o_ing_total!V$485</f>
        <v>-1.352644266965608</v>
      </c>
      <c r="E176" s="334">
        <f>Gasto_o_ing_total!D176*1000/Gasto_o_ing_total!D$485</f>
        <v>0</v>
      </c>
      <c r="F176" s="334">
        <f>Gasto_o_ing_total!E176*1000/Gasto_o_ing_total!E$485</f>
        <v>0</v>
      </c>
      <c r="G176" s="334">
        <f>Gasto_o_ing_total!F176*1000/Gasto_o_ing_total!F$485</f>
        <v>0</v>
      </c>
      <c r="H176" s="334">
        <f>Gasto_o_ing_total!G176*1000/Gasto_o_ing_total!G$485</f>
        <v>0</v>
      </c>
      <c r="I176" s="334">
        <f>Gasto_o_ing_total!H176*1000/Gasto_o_ing_total!H$485</f>
        <v>0</v>
      </c>
      <c r="J176" s="334">
        <f>Gasto_o_ing_total!I176*1000/Gasto_o_ing_total!I$485</f>
        <v>0</v>
      </c>
      <c r="K176" s="334">
        <f>Gasto_o_ing_total!J176*1000/Gasto_o_ing_total!J$485</f>
        <v>0</v>
      </c>
      <c r="L176" s="334">
        <f>Gasto_o_ing_total!K176*1000/Gasto_o_ing_total!K$485</f>
        <v>0</v>
      </c>
      <c r="M176" s="334">
        <f>Gasto_o_ing_total!L176*1000/Gasto_o_ing_total!L$485</f>
        <v>0</v>
      </c>
      <c r="N176" s="334">
        <f>Gasto_o_ing_total!M176*1000/Gasto_o_ing_total!M$485</f>
        <v>0</v>
      </c>
      <c r="O176" s="334">
        <f>Gasto_o_ing_total!N176*1000/Gasto_o_ing_total!N$485</f>
        <v>0</v>
      </c>
      <c r="P176" s="334">
        <f>Gasto_o_ing_total!O176*1000/Gasto_o_ing_total!O$485</f>
        <v>0</v>
      </c>
      <c r="Q176" s="334">
        <f>Gasto_o_ing_total!P176*1000/Gasto_o_ing_total!P$485</f>
        <v>0</v>
      </c>
      <c r="R176" s="334">
        <f>Gasto_o_ing_total!Q176*1000/Gasto_o_ing_total!Q$485</f>
        <v>0</v>
      </c>
      <c r="S176" s="334">
        <f>Gasto_o_ing_total!R176*1000/Gasto_o_ing_total!R$485</f>
        <v>-22.321938457381449</v>
      </c>
      <c r="T176" s="334">
        <f>Gasto_o_ing_total!S176*1000/Gasto_o_ing_total!S$485</f>
        <v>-22.321938457381449</v>
      </c>
      <c r="U176" s="334">
        <f>Gasto_o_ing_total!T176*1000/Gasto_o_ing_total!T$485</f>
        <v>0</v>
      </c>
      <c r="V176" s="334">
        <f>Gasto_o_ing_total!U176*1000/Gasto_o_ing_total!U$485</f>
        <v>0</v>
      </c>
      <c r="W176" s="105"/>
    </row>
    <row r="177" spans="1:23" s="102" customFormat="1">
      <c r="A177" s="352"/>
      <c r="B177" s="115" t="s">
        <v>1104</v>
      </c>
      <c r="C177" s="331" t="str">
        <f>VLOOKUP(B177,Tot_res!C:D,2,FALSE)</f>
        <v>"Normalización" lingüística (programa CS06)</v>
      </c>
      <c r="D177" s="334">
        <f>Gasto_o_ing_total!V177*1000/Gasto_o_ing_total!V$485</f>
        <v>-0.5845954042153545</v>
      </c>
      <c r="E177" s="334">
        <f>Gasto_o_ing_total!D177*1000/Gasto_o_ing_total!D$485</f>
        <v>0</v>
      </c>
      <c r="F177" s="334">
        <f>Gasto_o_ing_total!E177*1000/Gasto_o_ing_total!E$485</f>
        <v>0</v>
      </c>
      <c r="G177" s="334">
        <f>Gasto_o_ing_total!F177*1000/Gasto_o_ing_total!F$485</f>
        <v>0</v>
      </c>
      <c r="H177" s="334">
        <f>Gasto_o_ing_total!G177*1000/Gasto_o_ing_total!G$485</f>
        <v>0</v>
      </c>
      <c r="I177" s="334">
        <f>Gasto_o_ing_total!H177*1000/Gasto_o_ing_total!H$485</f>
        <v>0</v>
      </c>
      <c r="J177" s="334">
        <f>Gasto_o_ing_total!I177*1000/Gasto_o_ing_total!I$485</f>
        <v>0</v>
      </c>
      <c r="K177" s="334">
        <f>Gasto_o_ing_total!J177*1000/Gasto_o_ing_total!J$485</f>
        <v>0</v>
      </c>
      <c r="L177" s="334">
        <f>Gasto_o_ing_total!K177*1000/Gasto_o_ing_total!K$485</f>
        <v>0</v>
      </c>
      <c r="M177" s="334">
        <f>Gasto_o_ing_total!L177*1000/Gasto_o_ing_total!L$485</f>
        <v>0</v>
      </c>
      <c r="N177" s="334">
        <f>Gasto_o_ing_total!M177*1000/Gasto_o_ing_total!M$485</f>
        <v>0</v>
      </c>
      <c r="O177" s="334">
        <f>Gasto_o_ing_total!N177*1000/Gasto_o_ing_total!N$485</f>
        <v>0</v>
      </c>
      <c r="P177" s="334">
        <f>Gasto_o_ing_total!O177*1000/Gasto_o_ing_total!O$485</f>
        <v>0</v>
      </c>
      <c r="Q177" s="334">
        <f>Gasto_o_ing_total!P177*1000/Gasto_o_ing_total!P$485</f>
        <v>0</v>
      </c>
      <c r="R177" s="334">
        <f>Gasto_o_ing_total!Q177*1000/Gasto_o_ing_total!Q$485</f>
        <v>0</v>
      </c>
      <c r="S177" s="334">
        <f>Gasto_o_ing_total!R177*1000/Gasto_o_ing_total!R$485</f>
        <v>-9.6472538671506918</v>
      </c>
      <c r="T177" s="334">
        <f>Gasto_o_ing_total!S177*1000/Gasto_o_ing_total!S$485</f>
        <v>-9.6472538671506918</v>
      </c>
      <c r="U177" s="334">
        <f>Gasto_o_ing_total!T177*1000/Gasto_o_ing_total!T$485</f>
        <v>0</v>
      </c>
      <c r="V177" s="334">
        <f>Gasto_o_ing_total!U177*1000/Gasto_o_ing_total!U$485</f>
        <v>0</v>
      </c>
      <c r="W177" s="105"/>
    </row>
    <row r="178" spans="1:23" s="102" customFormat="1">
      <c r="A178" s="352"/>
      <c r="B178" s="115" t="s">
        <v>1105</v>
      </c>
      <c r="C178" s="331" t="str">
        <f>VLOOKUP(B178,Tot_res!C:D,2,FALSE)</f>
        <v>medio ambiente</v>
      </c>
      <c r="D178" s="334">
        <f>Gasto_o_ing_total!V178*1000/Gasto_o_ing_total!V$485</f>
        <v>-7.7967982836471925E-2</v>
      </c>
      <c r="E178" s="334">
        <f>Gasto_o_ing_total!D178*1000/Gasto_o_ing_total!D$485</f>
        <v>0</v>
      </c>
      <c r="F178" s="334">
        <f>Gasto_o_ing_total!E178*1000/Gasto_o_ing_total!E$485</f>
        <v>0</v>
      </c>
      <c r="G178" s="334">
        <f>Gasto_o_ing_total!F178*1000/Gasto_o_ing_total!F$485</f>
        <v>0</v>
      </c>
      <c r="H178" s="334">
        <f>Gasto_o_ing_total!G178*1000/Gasto_o_ing_total!G$485</f>
        <v>0</v>
      </c>
      <c r="I178" s="334">
        <f>Gasto_o_ing_total!H178*1000/Gasto_o_ing_total!H$485</f>
        <v>0</v>
      </c>
      <c r="J178" s="334">
        <f>Gasto_o_ing_total!I178*1000/Gasto_o_ing_total!I$485</f>
        <v>0</v>
      </c>
      <c r="K178" s="334">
        <f>Gasto_o_ing_total!J178*1000/Gasto_o_ing_total!J$485</f>
        <v>0</v>
      </c>
      <c r="L178" s="334">
        <f>Gasto_o_ing_total!K178*1000/Gasto_o_ing_total!K$485</f>
        <v>0</v>
      </c>
      <c r="M178" s="334">
        <f>Gasto_o_ing_total!L178*1000/Gasto_o_ing_total!L$485</f>
        <v>0</v>
      </c>
      <c r="N178" s="334">
        <f>Gasto_o_ing_total!M178*1000/Gasto_o_ing_total!M$485</f>
        <v>0</v>
      </c>
      <c r="O178" s="334">
        <f>Gasto_o_ing_total!N178*1000/Gasto_o_ing_total!N$485</f>
        <v>0</v>
      </c>
      <c r="P178" s="334">
        <f>Gasto_o_ing_total!O178*1000/Gasto_o_ing_total!O$485</f>
        <v>0</v>
      </c>
      <c r="Q178" s="334">
        <f>Gasto_o_ing_total!P178*1000/Gasto_o_ing_total!P$485</f>
        <v>0</v>
      </c>
      <c r="R178" s="334">
        <f>Gasto_o_ing_total!Q178*1000/Gasto_o_ing_total!Q$485</f>
        <v>0</v>
      </c>
      <c r="S178" s="334">
        <f>Gasto_o_ing_total!R178*1000/Gasto_o_ing_total!R$485</f>
        <v>-0.53036925626418374</v>
      </c>
      <c r="T178" s="334">
        <f>Gasto_o_ing_total!S178*1000/Gasto_o_ing_total!S$485</f>
        <v>-1.5079870030864673</v>
      </c>
      <c r="U178" s="334">
        <f>Gasto_o_ing_total!T178*1000/Gasto_o_ing_total!T$485</f>
        <v>0</v>
      </c>
      <c r="V178" s="334">
        <f>Gasto_o_ing_total!U178*1000/Gasto_o_ing_total!U$485</f>
        <v>0</v>
      </c>
      <c r="W178" s="105"/>
    </row>
    <row r="179" spans="1:23" s="102" customFormat="1">
      <c r="A179" s="352"/>
      <c r="B179" s="115" t="s">
        <v>1117</v>
      </c>
      <c r="C179" s="331" t="e">
        <f>VLOOKUP(B179,Tot_res!C:D,2,FALSE)</f>
        <v>#N/A</v>
      </c>
      <c r="D179" s="334">
        <f>Gasto_o_ing_total!V179*1000/Gasto_o_ing_total!V$485</f>
        <v>0</v>
      </c>
      <c r="E179" s="334" t="e">
        <f>Gasto_o_ing_total!D179*1000/Gasto_o_ing_total!D$485</f>
        <v>#VALUE!</v>
      </c>
      <c r="F179" s="334" t="e">
        <f>Gasto_o_ing_total!E179*1000/Gasto_o_ing_total!E$485</f>
        <v>#VALUE!</v>
      </c>
      <c r="G179" s="334" t="e">
        <f>Gasto_o_ing_total!F179*1000/Gasto_o_ing_total!F$485</f>
        <v>#VALUE!</v>
      </c>
      <c r="H179" s="334" t="e">
        <f>Gasto_o_ing_total!G179*1000/Gasto_o_ing_total!G$485</f>
        <v>#VALUE!</v>
      </c>
      <c r="I179" s="334" t="e">
        <f>Gasto_o_ing_total!H179*1000/Gasto_o_ing_total!H$485</f>
        <v>#VALUE!</v>
      </c>
      <c r="J179" s="334" t="e">
        <f>Gasto_o_ing_total!I179*1000/Gasto_o_ing_total!I$485</f>
        <v>#VALUE!</v>
      </c>
      <c r="K179" s="334" t="e">
        <f>Gasto_o_ing_total!J179*1000/Gasto_o_ing_total!J$485</f>
        <v>#VALUE!</v>
      </c>
      <c r="L179" s="334" t="e">
        <f>Gasto_o_ing_total!K179*1000/Gasto_o_ing_total!K$485</f>
        <v>#VALUE!</v>
      </c>
      <c r="M179" s="334" t="e">
        <f>Gasto_o_ing_total!L179*1000/Gasto_o_ing_total!L$485</f>
        <v>#VALUE!</v>
      </c>
      <c r="N179" s="334" t="e">
        <f>Gasto_o_ing_total!M179*1000/Gasto_o_ing_total!M$485</f>
        <v>#VALUE!</v>
      </c>
      <c r="O179" s="334" t="e">
        <f>Gasto_o_ing_total!N179*1000/Gasto_o_ing_total!N$485</f>
        <v>#VALUE!</v>
      </c>
      <c r="P179" s="334" t="e">
        <f>Gasto_o_ing_total!O179*1000/Gasto_o_ing_total!O$485</f>
        <v>#VALUE!</v>
      </c>
      <c r="Q179" s="334" t="e">
        <f>Gasto_o_ing_total!P179*1000/Gasto_o_ing_total!P$485</f>
        <v>#VALUE!</v>
      </c>
      <c r="R179" s="334" t="e">
        <f>Gasto_o_ing_total!Q179*1000/Gasto_o_ing_total!Q$485</f>
        <v>#VALUE!</v>
      </c>
      <c r="S179" s="334" t="e">
        <f>Gasto_o_ing_total!R179*1000/Gasto_o_ing_total!R$485</f>
        <v>#VALUE!</v>
      </c>
      <c r="T179" s="334" t="e">
        <f>Gasto_o_ing_total!S179*1000/Gasto_o_ing_total!S$485</f>
        <v>#VALUE!</v>
      </c>
      <c r="U179" s="334" t="e">
        <f>Gasto_o_ing_total!T179*1000/Gasto_o_ing_total!T$485</f>
        <v>#VALUE!</v>
      </c>
      <c r="V179" s="334" t="e">
        <f>Gasto_o_ing_total!U179*1000/Gasto_o_ing_total!U$485</f>
        <v>#VALUE!</v>
      </c>
      <c r="W179" s="105"/>
    </row>
    <row r="180" spans="1:23" s="102" customFormat="1">
      <c r="A180" s="352"/>
      <c r="B180" s="115" t="s">
        <v>1106</v>
      </c>
      <c r="C180" s="331" t="str">
        <f>VLOOKUP(B180,Tot_res!C:D,2,FALSE)</f>
        <v>sanidad y consumo</v>
      </c>
      <c r="D180" s="334">
        <f>Gasto_o_ing_total!V180*1000/Gasto_o_ing_total!V$485</f>
        <v>-1.6383579801572245E-2</v>
      </c>
      <c r="E180" s="334">
        <f>Gasto_o_ing_total!D180*1000/Gasto_o_ing_total!D$485</f>
        <v>0</v>
      </c>
      <c r="F180" s="334">
        <f>Gasto_o_ing_total!E180*1000/Gasto_o_ing_total!E$485</f>
        <v>0</v>
      </c>
      <c r="G180" s="334">
        <f>Gasto_o_ing_total!F180*1000/Gasto_o_ing_total!F$485</f>
        <v>0</v>
      </c>
      <c r="H180" s="334">
        <f>Gasto_o_ing_total!G180*1000/Gasto_o_ing_total!G$485</f>
        <v>0</v>
      </c>
      <c r="I180" s="334">
        <f>Gasto_o_ing_total!H180*1000/Gasto_o_ing_total!H$485</f>
        <v>0</v>
      </c>
      <c r="J180" s="334">
        <f>Gasto_o_ing_total!I180*1000/Gasto_o_ing_total!I$485</f>
        <v>0</v>
      </c>
      <c r="K180" s="334">
        <f>Gasto_o_ing_total!J180*1000/Gasto_o_ing_total!J$485</f>
        <v>0</v>
      </c>
      <c r="L180" s="334">
        <f>Gasto_o_ing_total!K180*1000/Gasto_o_ing_total!K$485</f>
        <v>0</v>
      </c>
      <c r="M180" s="334">
        <f>Gasto_o_ing_total!L180*1000/Gasto_o_ing_total!L$485</f>
        <v>0</v>
      </c>
      <c r="N180" s="334">
        <f>Gasto_o_ing_total!M180*1000/Gasto_o_ing_total!M$485</f>
        <v>0</v>
      </c>
      <c r="O180" s="334">
        <f>Gasto_o_ing_total!N180*1000/Gasto_o_ing_total!N$485</f>
        <v>0</v>
      </c>
      <c r="P180" s="334">
        <f>Gasto_o_ing_total!O180*1000/Gasto_o_ing_total!O$485</f>
        <v>0</v>
      </c>
      <c r="Q180" s="334">
        <f>Gasto_o_ing_total!P180*1000/Gasto_o_ing_total!P$485</f>
        <v>0</v>
      </c>
      <c r="R180" s="334">
        <f>Gasto_o_ing_total!Q180*1000/Gasto_o_ing_total!Q$485</f>
        <v>0</v>
      </c>
      <c r="S180" s="334">
        <f>Gasto_o_ing_total!R180*1000/Gasto_o_ing_total!R$485</f>
        <v>-0.27611757145882615</v>
      </c>
      <c r="T180" s="334">
        <f>Gasto_o_ing_total!S180*1000/Gasto_o_ing_total!S$485</f>
        <v>-0.26868688952855324</v>
      </c>
      <c r="U180" s="334">
        <f>Gasto_o_ing_total!T180*1000/Gasto_o_ing_total!T$485</f>
        <v>0</v>
      </c>
      <c r="V180" s="334">
        <f>Gasto_o_ing_total!U180*1000/Gasto_o_ing_total!U$485</f>
        <v>0</v>
      </c>
      <c r="W180" s="105"/>
    </row>
    <row r="181" spans="1:23" s="102" customFormat="1">
      <c r="A181" s="352"/>
      <c r="B181" s="115" t="s">
        <v>1107</v>
      </c>
      <c r="C181" s="331" t="str">
        <f>VLOOKUP(B181,Tot_res!C:D,2,FALSE)</f>
        <v>Educación y formación</v>
      </c>
      <c r="D181" s="334">
        <f>Gasto_o_ing_total!V181*1000/Gasto_o_ing_total!V$485</f>
        <v>-0.3301765661372203</v>
      </c>
      <c r="E181" s="334">
        <f>Gasto_o_ing_total!D181*1000/Gasto_o_ing_total!D$485</f>
        <v>0</v>
      </c>
      <c r="F181" s="334">
        <f>Gasto_o_ing_total!E181*1000/Gasto_o_ing_total!E$485</f>
        <v>0</v>
      </c>
      <c r="G181" s="334">
        <f>Gasto_o_ing_total!F181*1000/Gasto_o_ing_total!F$485</f>
        <v>0</v>
      </c>
      <c r="H181" s="334">
        <f>Gasto_o_ing_total!G181*1000/Gasto_o_ing_total!G$485</f>
        <v>0</v>
      </c>
      <c r="I181" s="334">
        <f>Gasto_o_ing_total!H181*1000/Gasto_o_ing_total!H$485</f>
        <v>0</v>
      </c>
      <c r="J181" s="334">
        <f>Gasto_o_ing_total!I181*1000/Gasto_o_ing_total!I$485</f>
        <v>0</v>
      </c>
      <c r="K181" s="334">
        <f>Gasto_o_ing_total!J181*1000/Gasto_o_ing_total!J$485</f>
        <v>0</v>
      </c>
      <c r="L181" s="334">
        <f>Gasto_o_ing_total!K181*1000/Gasto_o_ing_total!K$485</f>
        <v>0</v>
      </c>
      <c r="M181" s="334">
        <f>Gasto_o_ing_total!L181*1000/Gasto_o_ing_total!L$485</f>
        <v>0</v>
      </c>
      <c r="N181" s="334">
        <f>Gasto_o_ing_total!M181*1000/Gasto_o_ing_total!M$485</f>
        <v>0</v>
      </c>
      <c r="O181" s="334">
        <f>Gasto_o_ing_total!N181*1000/Gasto_o_ing_total!N$485</f>
        <v>0</v>
      </c>
      <c r="P181" s="334">
        <f>Gasto_o_ing_total!O181*1000/Gasto_o_ing_total!O$485</f>
        <v>0</v>
      </c>
      <c r="Q181" s="334">
        <f>Gasto_o_ing_total!P181*1000/Gasto_o_ing_total!P$485</f>
        <v>0</v>
      </c>
      <c r="R181" s="334">
        <f>Gasto_o_ing_total!Q181*1000/Gasto_o_ing_total!Q$485</f>
        <v>0</v>
      </c>
      <c r="S181" s="334">
        <f>Gasto_o_ing_total!R181*1000/Gasto_o_ing_total!R$485</f>
        <v>-4.9104036753307554</v>
      </c>
      <c r="T181" s="334">
        <f>Gasto_o_ing_total!S181*1000/Gasto_o_ing_total!S$485</f>
        <v>-5.6062560809947621</v>
      </c>
      <c r="U181" s="334">
        <f>Gasto_o_ing_total!T181*1000/Gasto_o_ing_total!T$485</f>
        <v>0</v>
      </c>
      <c r="V181" s="334">
        <f>Gasto_o_ing_total!U181*1000/Gasto_o_ing_total!U$485</f>
        <v>0</v>
      </c>
      <c r="W181" s="105"/>
    </row>
    <row r="182" spans="1:23" s="102" customFormat="1">
      <c r="A182" s="352"/>
      <c r="B182" s="115" t="s">
        <v>1108</v>
      </c>
      <c r="C182" s="331" t="str">
        <f>VLOOKUP(B182,Tot_res!C:D,2,FALSE)</f>
        <v>Administración de Justicia</v>
      </c>
      <c r="D182" s="334">
        <f>Gasto_o_ing_total!V182*1000/Gasto_o_ing_total!V$485</f>
        <v>-2.0443897039480827</v>
      </c>
      <c r="E182" s="334">
        <f>Gasto_o_ing_total!D182*1000/Gasto_o_ing_total!D$485</f>
        <v>0</v>
      </c>
      <c r="F182" s="334">
        <f>Gasto_o_ing_total!E182*1000/Gasto_o_ing_total!E$485</f>
        <v>0</v>
      </c>
      <c r="G182" s="334">
        <f>Gasto_o_ing_total!F182*1000/Gasto_o_ing_total!F$485</f>
        <v>0</v>
      </c>
      <c r="H182" s="334">
        <f>Gasto_o_ing_total!G182*1000/Gasto_o_ing_total!G$485</f>
        <v>0</v>
      </c>
      <c r="I182" s="334">
        <f>Gasto_o_ing_total!H182*1000/Gasto_o_ing_total!H$485</f>
        <v>0</v>
      </c>
      <c r="J182" s="334">
        <f>Gasto_o_ing_total!I182*1000/Gasto_o_ing_total!I$485</f>
        <v>0</v>
      </c>
      <c r="K182" s="334">
        <f>Gasto_o_ing_total!J182*1000/Gasto_o_ing_total!J$485</f>
        <v>0</v>
      </c>
      <c r="L182" s="334">
        <f>Gasto_o_ing_total!K182*1000/Gasto_o_ing_total!K$485</f>
        <v>0</v>
      </c>
      <c r="M182" s="334">
        <f>Gasto_o_ing_total!L182*1000/Gasto_o_ing_total!L$485</f>
        <v>0</v>
      </c>
      <c r="N182" s="334">
        <f>Gasto_o_ing_total!M182*1000/Gasto_o_ing_total!M$485</f>
        <v>0</v>
      </c>
      <c r="O182" s="334">
        <f>Gasto_o_ing_total!N182*1000/Gasto_o_ing_total!N$485</f>
        <v>0</v>
      </c>
      <c r="P182" s="334">
        <f>Gasto_o_ing_total!O182*1000/Gasto_o_ing_total!O$485</f>
        <v>0</v>
      </c>
      <c r="Q182" s="334">
        <f>Gasto_o_ing_total!P182*1000/Gasto_o_ing_total!P$485</f>
        <v>0</v>
      </c>
      <c r="R182" s="334">
        <f>Gasto_o_ing_total!Q182*1000/Gasto_o_ing_total!Q$485</f>
        <v>0</v>
      </c>
      <c r="S182" s="334">
        <f>Gasto_o_ing_total!R182*1000/Gasto_o_ing_total!R$485</f>
        <v>-33.856602593531882</v>
      </c>
      <c r="T182" s="334">
        <f>Gasto_o_ing_total!S182*1000/Gasto_o_ing_total!S$485</f>
        <v>-33.702554750373075</v>
      </c>
      <c r="U182" s="334">
        <f>Gasto_o_ing_total!T182*1000/Gasto_o_ing_total!T$485</f>
        <v>0</v>
      </c>
      <c r="V182" s="334">
        <f>Gasto_o_ing_total!U182*1000/Gasto_o_ing_total!U$485</f>
        <v>0</v>
      </c>
      <c r="W182" s="105"/>
    </row>
    <row r="183" spans="1:23" s="102" customFormat="1">
      <c r="A183" s="352"/>
      <c r="B183" s="115" t="s">
        <v>1109</v>
      </c>
      <c r="C183" s="331" t="str">
        <f>VLOOKUP(B183,Tot_res!C:D,2,FALSE)</f>
        <v>Seguridad Ciudadana y Vial</v>
      </c>
      <c r="D183" s="334">
        <f>Gasto_o_ing_total!V183*1000/Gasto_o_ing_total!V$485</f>
        <v>-12.78360865616934</v>
      </c>
      <c r="E183" s="334">
        <f>Gasto_o_ing_total!D183*1000/Gasto_o_ing_total!D$485</f>
        <v>0</v>
      </c>
      <c r="F183" s="334">
        <f>Gasto_o_ing_total!E183*1000/Gasto_o_ing_total!E$485</f>
        <v>0</v>
      </c>
      <c r="G183" s="334">
        <f>Gasto_o_ing_total!F183*1000/Gasto_o_ing_total!F$485</f>
        <v>0</v>
      </c>
      <c r="H183" s="334">
        <f>Gasto_o_ing_total!G183*1000/Gasto_o_ing_total!G$485</f>
        <v>0</v>
      </c>
      <c r="I183" s="334">
        <f>Gasto_o_ing_total!H183*1000/Gasto_o_ing_total!H$485</f>
        <v>0</v>
      </c>
      <c r="J183" s="334">
        <f>Gasto_o_ing_total!I183*1000/Gasto_o_ing_total!I$485</f>
        <v>0</v>
      </c>
      <c r="K183" s="334">
        <f>Gasto_o_ing_total!J183*1000/Gasto_o_ing_total!J$485</f>
        <v>0</v>
      </c>
      <c r="L183" s="334">
        <f>Gasto_o_ing_total!K183*1000/Gasto_o_ing_total!K$485</f>
        <v>0</v>
      </c>
      <c r="M183" s="334">
        <f>Gasto_o_ing_total!L183*1000/Gasto_o_ing_total!L$485</f>
        <v>0</v>
      </c>
      <c r="N183" s="334">
        <f>Gasto_o_ing_total!M183*1000/Gasto_o_ing_total!M$485</f>
        <v>0</v>
      </c>
      <c r="O183" s="334">
        <f>Gasto_o_ing_total!N183*1000/Gasto_o_ing_total!N$485</f>
        <v>0</v>
      </c>
      <c r="P183" s="334">
        <f>Gasto_o_ing_total!O183*1000/Gasto_o_ing_total!O$485</f>
        <v>0</v>
      </c>
      <c r="Q183" s="334">
        <f>Gasto_o_ing_total!P183*1000/Gasto_o_ing_total!P$485</f>
        <v>0</v>
      </c>
      <c r="R183" s="334">
        <f>Gasto_o_ing_total!Q183*1000/Gasto_o_ing_total!Q$485</f>
        <v>0</v>
      </c>
      <c r="S183" s="334">
        <f>Gasto_o_ing_total!R183*1000/Gasto_o_ing_total!R$485</f>
        <v>-112.30503914583034</v>
      </c>
      <c r="T183" s="334">
        <f>Gasto_o_ing_total!S183*1000/Gasto_o_ing_total!S$485</f>
        <v>-239.83181941650832</v>
      </c>
      <c r="U183" s="334">
        <f>Gasto_o_ing_total!T183*1000/Gasto_o_ing_total!T$485</f>
        <v>0</v>
      </c>
      <c r="V183" s="334">
        <f>Gasto_o_ing_total!U183*1000/Gasto_o_ing_total!U$485</f>
        <v>0</v>
      </c>
      <c r="W183" s="105"/>
    </row>
    <row r="184" spans="1:23" s="102" customFormat="1">
      <c r="A184" s="352"/>
      <c r="B184" s="115" t="s">
        <v>1110</v>
      </c>
      <c r="C184" s="331" t="str">
        <f>VLOOKUP(B184,Tot_res!C:D,2,FALSE)</f>
        <v>Ayudas a la vivienda</v>
      </c>
      <c r="D184" s="334">
        <f>Gasto_o_ing_total!V184*1000/Gasto_o_ing_total!V$485</f>
        <v>-1.0302453438454169</v>
      </c>
      <c r="E184" s="334">
        <f>Gasto_o_ing_total!D184*1000/Gasto_o_ing_total!D$485</f>
        <v>0</v>
      </c>
      <c r="F184" s="334">
        <f>Gasto_o_ing_total!E184*1000/Gasto_o_ing_total!E$485</f>
        <v>0</v>
      </c>
      <c r="G184" s="334">
        <f>Gasto_o_ing_total!F184*1000/Gasto_o_ing_total!F$485</f>
        <v>0</v>
      </c>
      <c r="H184" s="334">
        <f>Gasto_o_ing_total!G184*1000/Gasto_o_ing_total!G$485</f>
        <v>0</v>
      </c>
      <c r="I184" s="334">
        <f>Gasto_o_ing_total!H184*1000/Gasto_o_ing_total!H$485</f>
        <v>0</v>
      </c>
      <c r="J184" s="334">
        <f>Gasto_o_ing_total!I184*1000/Gasto_o_ing_total!I$485</f>
        <v>0</v>
      </c>
      <c r="K184" s="334">
        <f>Gasto_o_ing_total!J184*1000/Gasto_o_ing_total!J$485</f>
        <v>0</v>
      </c>
      <c r="L184" s="334">
        <f>Gasto_o_ing_total!K184*1000/Gasto_o_ing_total!K$485</f>
        <v>0</v>
      </c>
      <c r="M184" s="334">
        <f>Gasto_o_ing_total!L184*1000/Gasto_o_ing_total!L$485</f>
        <v>0</v>
      </c>
      <c r="N184" s="334">
        <f>Gasto_o_ing_total!M184*1000/Gasto_o_ing_total!M$485</f>
        <v>0</v>
      </c>
      <c r="O184" s="334">
        <f>Gasto_o_ing_total!N184*1000/Gasto_o_ing_total!N$485</f>
        <v>0</v>
      </c>
      <c r="P184" s="334">
        <f>Gasto_o_ing_total!O184*1000/Gasto_o_ing_total!O$485</f>
        <v>0</v>
      </c>
      <c r="Q184" s="334">
        <f>Gasto_o_ing_total!P184*1000/Gasto_o_ing_total!P$485</f>
        <v>0</v>
      </c>
      <c r="R184" s="334">
        <f>Gasto_o_ing_total!Q184*1000/Gasto_o_ing_total!Q$485</f>
        <v>0</v>
      </c>
      <c r="S184" s="334">
        <f>Gasto_o_ing_total!R184*1000/Gasto_o_ing_total!R$485</f>
        <v>-16.430343603800253</v>
      </c>
      <c r="T184" s="334">
        <f>Gasto_o_ing_total!S184*1000/Gasto_o_ing_total!S$485</f>
        <v>-17.168733050379487</v>
      </c>
      <c r="U184" s="334">
        <f>Gasto_o_ing_total!T184*1000/Gasto_o_ing_total!T$485</f>
        <v>0</v>
      </c>
      <c r="V184" s="334">
        <f>Gasto_o_ing_total!U184*1000/Gasto_o_ing_total!U$485</f>
        <v>0</v>
      </c>
      <c r="W184" s="105"/>
    </row>
    <row r="185" spans="1:23" s="102" customFormat="1">
      <c r="A185" s="352"/>
      <c r="B185" s="115" t="s">
        <v>1111</v>
      </c>
      <c r="C185" s="331" t="str">
        <f>VLOOKUP(B185,Tot_res!C:D,2,FALSE)</f>
        <v>ajuste forales, ayudas al transporte colectivo urbano</v>
      </c>
      <c r="D185" s="334">
        <f>Gasto_o_ing_total!V185*1000/Gasto_o_ing_total!V$485</f>
        <v>-0.41133321203759016</v>
      </c>
      <c r="E185" s="334">
        <f>Gasto_o_ing_total!D185*1000/Gasto_o_ing_total!D$485</f>
        <v>0</v>
      </c>
      <c r="F185" s="334">
        <f>Gasto_o_ing_total!E185*1000/Gasto_o_ing_total!E$485</f>
        <v>0</v>
      </c>
      <c r="G185" s="334">
        <f>Gasto_o_ing_total!F185*1000/Gasto_o_ing_total!F$485</f>
        <v>0</v>
      </c>
      <c r="H185" s="334">
        <f>Gasto_o_ing_total!G185*1000/Gasto_o_ing_total!G$485</f>
        <v>0</v>
      </c>
      <c r="I185" s="334">
        <f>Gasto_o_ing_total!H185*1000/Gasto_o_ing_total!H$485</f>
        <v>0</v>
      </c>
      <c r="J185" s="334">
        <f>Gasto_o_ing_total!I185*1000/Gasto_o_ing_total!I$485</f>
        <v>0</v>
      </c>
      <c r="K185" s="334">
        <f>Gasto_o_ing_total!J185*1000/Gasto_o_ing_total!J$485</f>
        <v>0</v>
      </c>
      <c r="L185" s="334">
        <f>Gasto_o_ing_total!K185*1000/Gasto_o_ing_total!K$485</f>
        <v>0</v>
      </c>
      <c r="M185" s="334">
        <f>Gasto_o_ing_total!L185*1000/Gasto_o_ing_total!L$485</f>
        <v>0</v>
      </c>
      <c r="N185" s="334">
        <f>Gasto_o_ing_total!M185*1000/Gasto_o_ing_total!M$485</f>
        <v>0</v>
      </c>
      <c r="O185" s="334">
        <f>Gasto_o_ing_total!N185*1000/Gasto_o_ing_total!N$485</f>
        <v>0</v>
      </c>
      <c r="P185" s="334">
        <f>Gasto_o_ing_total!O185*1000/Gasto_o_ing_total!O$485</f>
        <v>0</v>
      </c>
      <c r="Q185" s="334">
        <f>Gasto_o_ing_total!P185*1000/Gasto_o_ing_total!P$485</f>
        <v>0</v>
      </c>
      <c r="R185" s="334">
        <f>Gasto_o_ing_total!Q185*1000/Gasto_o_ing_total!Q$485</f>
        <v>0</v>
      </c>
      <c r="S185" s="334">
        <f>Gasto_o_ing_total!R185*1000/Gasto_o_ing_total!R$485</f>
        <v>-6.7919782871873373</v>
      </c>
      <c r="T185" s="334">
        <f>Gasto_o_ing_total!S185*1000/Gasto_o_ing_total!S$485</f>
        <v>-6.7868409009944317</v>
      </c>
      <c r="U185" s="334">
        <f>Gasto_o_ing_total!T185*1000/Gasto_o_ing_total!T$485</f>
        <v>0</v>
      </c>
      <c r="V185" s="334">
        <f>Gasto_o_ing_total!U185*1000/Gasto_o_ing_total!U$485</f>
        <v>0</v>
      </c>
      <c r="W185" s="105"/>
    </row>
    <row r="186" spans="1:23" s="102" customFormat="1">
      <c r="A186" s="352"/>
      <c r="B186" s="115" t="s">
        <v>1112</v>
      </c>
      <c r="C186" s="331" t="str">
        <f>VLOOKUP(B186,Tot_res!C:D,2,FALSE)</f>
        <v>Conservación patrimonio artístico y cultural</v>
      </c>
      <c r="D186" s="334">
        <f>Gasto_o_ing_total!V186*1000/Gasto_o_ing_total!V$485</f>
        <v>-1.1982059716757682E-2</v>
      </c>
      <c r="E186" s="334">
        <f>Gasto_o_ing_total!D186*1000/Gasto_o_ing_total!D$485</f>
        <v>0</v>
      </c>
      <c r="F186" s="334">
        <f>Gasto_o_ing_total!E186*1000/Gasto_o_ing_total!E$485</f>
        <v>0</v>
      </c>
      <c r="G186" s="334">
        <f>Gasto_o_ing_total!F186*1000/Gasto_o_ing_total!F$485</f>
        <v>0</v>
      </c>
      <c r="H186" s="334">
        <f>Gasto_o_ing_total!G186*1000/Gasto_o_ing_total!G$485</f>
        <v>0</v>
      </c>
      <c r="I186" s="334">
        <f>Gasto_o_ing_total!H186*1000/Gasto_o_ing_total!H$485</f>
        <v>0</v>
      </c>
      <c r="J186" s="334">
        <f>Gasto_o_ing_total!I186*1000/Gasto_o_ing_total!I$485</f>
        <v>0</v>
      </c>
      <c r="K186" s="334">
        <f>Gasto_o_ing_total!J186*1000/Gasto_o_ing_total!J$485</f>
        <v>0</v>
      </c>
      <c r="L186" s="334">
        <f>Gasto_o_ing_total!K186*1000/Gasto_o_ing_total!K$485</f>
        <v>0</v>
      </c>
      <c r="M186" s="334">
        <f>Gasto_o_ing_total!L186*1000/Gasto_o_ing_total!L$485</f>
        <v>0</v>
      </c>
      <c r="N186" s="334">
        <f>Gasto_o_ing_total!M186*1000/Gasto_o_ing_total!M$485</f>
        <v>0</v>
      </c>
      <c r="O186" s="334">
        <f>Gasto_o_ing_total!N186*1000/Gasto_o_ing_total!N$485</f>
        <v>0</v>
      </c>
      <c r="P186" s="334">
        <f>Gasto_o_ing_total!O186*1000/Gasto_o_ing_total!O$485</f>
        <v>0</v>
      </c>
      <c r="Q186" s="334">
        <f>Gasto_o_ing_total!P186*1000/Gasto_o_ing_total!P$485</f>
        <v>0</v>
      </c>
      <c r="R186" s="334">
        <f>Gasto_o_ing_total!Q186*1000/Gasto_o_ing_total!Q$485</f>
        <v>0</v>
      </c>
      <c r="S186" s="334">
        <f>Gasto_o_ing_total!R186*1000/Gasto_o_ing_total!R$485</f>
        <v>-0.47135291306296595</v>
      </c>
      <c r="T186" s="334">
        <f>Gasto_o_ing_total!S186*1000/Gasto_o_ing_total!S$485</f>
        <v>-0.11766016331834216</v>
      </c>
      <c r="U186" s="334">
        <f>Gasto_o_ing_total!T186*1000/Gasto_o_ing_total!T$485</f>
        <v>0</v>
      </c>
      <c r="V186" s="334">
        <f>Gasto_o_ing_total!U186*1000/Gasto_o_ing_total!U$485</f>
        <v>0</v>
      </c>
      <c r="W186" s="105"/>
    </row>
    <row r="187" spans="1:23" s="102" customFormat="1">
      <c r="A187" s="352"/>
      <c r="B187" s="115" t="s">
        <v>1118</v>
      </c>
      <c r="C187" s="331" t="str">
        <f>VLOOKUP(B187,Tot_res!C:D,2,FALSE)</f>
        <v>Economía Social</v>
      </c>
      <c r="D187" s="334">
        <f>Gasto_o_ing_total!V187*1000/Gasto_o_ing_total!V$485</f>
        <v>-3.5067664865644922E-2</v>
      </c>
      <c r="E187" s="334">
        <f>Gasto_o_ing_total!D187*1000/Gasto_o_ing_total!D$485</f>
        <v>0</v>
      </c>
      <c r="F187" s="334">
        <f>Gasto_o_ing_total!E187*1000/Gasto_o_ing_total!E$485</f>
        <v>0</v>
      </c>
      <c r="G187" s="334">
        <f>Gasto_o_ing_total!F187*1000/Gasto_o_ing_total!F$485</f>
        <v>0</v>
      </c>
      <c r="H187" s="334">
        <f>Gasto_o_ing_total!G187*1000/Gasto_o_ing_total!G$485</f>
        <v>0</v>
      </c>
      <c r="I187" s="334">
        <f>Gasto_o_ing_total!H187*1000/Gasto_o_ing_total!H$485</f>
        <v>0</v>
      </c>
      <c r="J187" s="334">
        <f>Gasto_o_ing_total!I187*1000/Gasto_o_ing_total!I$485</f>
        <v>0</v>
      </c>
      <c r="K187" s="334">
        <f>Gasto_o_ing_total!J187*1000/Gasto_o_ing_total!J$485</f>
        <v>0</v>
      </c>
      <c r="L187" s="334">
        <f>Gasto_o_ing_total!K187*1000/Gasto_o_ing_total!K$485</f>
        <v>0</v>
      </c>
      <c r="M187" s="334">
        <f>Gasto_o_ing_total!L187*1000/Gasto_o_ing_total!L$485</f>
        <v>0</v>
      </c>
      <c r="N187" s="334">
        <f>Gasto_o_ing_total!M187*1000/Gasto_o_ing_total!M$485</f>
        <v>0</v>
      </c>
      <c r="O187" s="334">
        <f>Gasto_o_ing_total!N187*1000/Gasto_o_ing_total!N$485</f>
        <v>0</v>
      </c>
      <c r="P187" s="334">
        <f>Gasto_o_ing_total!O187*1000/Gasto_o_ing_total!O$485</f>
        <v>0</v>
      </c>
      <c r="Q187" s="334">
        <f>Gasto_o_ing_total!P187*1000/Gasto_o_ing_total!P$485</f>
        <v>0</v>
      </c>
      <c r="R187" s="334">
        <f>Gasto_o_ing_total!Q187*1000/Gasto_o_ing_total!Q$485</f>
        <v>0</v>
      </c>
      <c r="S187" s="334">
        <f>Gasto_o_ing_total!R187*1000/Gasto_o_ing_total!R$485</f>
        <v>-0.5787022324287916</v>
      </c>
      <c r="T187" s="334">
        <f>Gasto_o_ing_total!S187*1000/Gasto_o_ing_total!S$485</f>
        <v>-0.5787022324287916</v>
      </c>
      <c r="U187" s="334">
        <f>Gasto_o_ing_total!T187*1000/Gasto_o_ing_total!T$485</f>
        <v>0</v>
      </c>
      <c r="V187" s="334">
        <f>Gasto_o_ing_total!U187*1000/Gasto_o_ing_total!U$485</f>
        <v>0</v>
      </c>
      <c r="W187" s="105"/>
    </row>
    <row r="188" spans="1:23" s="102" customFormat="1">
      <c r="A188" s="352"/>
      <c r="B188" s="115" t="s">
        <v>1113</v>
      </c>
      <c r="C188" s="331" t="str">
        <f>VLOOKUP(B188,Tot_res!C:D,2,FALSE)</f>
        <v>Servicios Sociales</v>
      </c>
      <c r="D188" s="334">
        <f>Gasto_o_ing_total!V188*1000/Gasto_o_ing_total!V$485</f>
        <v>-0.19508764465451509</v>
      </c>
      <c r="E188" s="334">
        <f>Gasto_o_ing_total!D188*1000/Gasto_o_ing_total!D$485</f>
        <v>0</v>
      </c>
      <c r="F188" s="334">
        <f>Gasto_o_ing_total!E188*1000/Gasto_o_ing_total!E$485</f>
        <v>0</v>
      </c>
      <c r="G188" s="334">
        <f>Gasto_o_ing_total!F188*1000/Gasto_o_ing_total!F$485</f>
        <v>0</v>
      </c>
      <c r="H188" s="334">
        <f>Gasto_o_ing_total!G188*1000/Gasto_o_ing_total!G$485</f>
        <v>0</v>
      </c>
      <c r="I188" s="334">
        <f>Gasto_o_ing_total!H188*1000/Gasto_o_ing_total!H$485</f>
        <v>0</v>
      </c>
      <c r="J188" s="334">
        <f>Gasto_o_ing_total!I188*1000/Gasto_o_ing_total!I$485</f>
        <v>0</v>
      </c>
      <c r="K188" s="334">
        <f>Gasto_o_ing_total!J188*1000/Gasto_o_ing_total!J$485</f>
        <v>0</v>
      </c>
      <c r="L188" s="334">
        <f>Gasto_o_ing_total!K188*1000/Gasto_o_ing_total!K$485</f>
        <v>0</v>
      </c>
      <c r="M188" s="334">
        <f>Gasto_o_ing_total!L188*1000/Gasto_o_ing_total!L$485</f>
        <v>0</v>
      </c>
      <c r="N188" s="334">
        <f>Gasto_o_ing_total!M188*1000/Gasto_o_ing_total!M$485</f>
        <v>0</v>
      </c>
      <c r="O188" s="334">
        <f>Gasto_o_ing_total!N188*1000/Gasto_o_ing_total!N$485</f>
        <v>0</v>
      </c>
      <c r="P188" s="334">
        <f>Gasto_o_ing_total!O188*1000/Gasto_o_ing_total!O$485</f>
        <v>0</v>
      </c>
      <c r="Q188" s="334">
        <f>Gasto_o_ing_total!P188*1000/Gasto_o_ing_total!P$485</f>
        <v>0</v>
      </c>
      <c r="R188" s="334">
        <f>Gasto_o_ing_total!Q188*1000/Gasto_o_ing_total!Q$485</f>
        <v>0</v>
      </c>
      <c r="S188" s="334">
        <f>Gasto_o_ing_total!R188*1000/Gasto_o_ing_total!R$485</f>
        <v>-3.688181894689345</v>
      </c>
      <c r="T188" s="334">
        <f>Gasto_o_ing_total!S188*1000/Gasto_o_ing_total!S$485</f>
        <v>-3.0822438680626796</v>
      </c>
      <c r="U188" s="334">
        <f>Gasto_o_ing_total!T188*1000/Gasto_o_ing_total!T$485</f>
        <v>0</v>
      </c>
      <c r="V188" s="334">
        <f>Gasto_o_ing_total!U188*1000/Gasto_o_ing_total!U$485</f>
        <v>0</v>
      </c>
      <c r="W188" s="105"/>
    </row>
    <row r="189" spans="1:23" s="102" customFormat="1">
      <c r="A189" s="352"/>
      <c r="B189" s="115" t="s">
        <v>1114</v>
      </c>
      <c r="C189" s="331" t="str">
        <f>VLOOKUP(B189,Tot_res!C:D,2,FALSE)</f>
        <v>Fomento y gestiòn del empleo, incluyendo ISM</v>
      </c>
      <c r="D189" s="334">
        <f>Gasto_o_ing_total!V189*1000/Gasto_o_ing_total!V$485</f>
        <v>-1.7959190436794323</v>
      </c>
      <c r="E189" s="334">
        <f>Gasto_o_ing_total!D189*1000/Gasto_o_ing_total!D$485</f>
        <v>0</v>
      </c>
      <c r="F189" s="334">
        <f>Gasto_o_ing_total!E189*1000/Gasto_o_ing_total!E$485</f>
        <v>0</v>
      </c>
      <c r="G189" s="334">
        <f>Gasto_o_ing_total!F189*1000/Gasto_o_ing_total!F$485</f>
        <v>0</v>
      </c>
      <c r="H189" s="334">
        <f>Gasto_o_ing_total!G189*1000/Gasto_o_ing_total!G$485</f>
        <v>0</v>
      </c>
      <c r="I189" s="334">
        <f>Gasto_o_ing_total!H189*1000/Gasto_o_ing_total!H$485</f>
        <v>0</v>
      </c>
      <c r="J189" s="334">
        <f>Gasto_o_ing_total!I189*1000/Gasto_o_ing_total!I$485</f>
        <v>0</v>
      </c>
      <c r="K189" s="334">
        <f>Gasto_o_ing_total!J189*1000/Gasto_o_ing_total!J$485</f>
        <v>0</v>
      </c>
      <c r="L189" s="334">
        <f>Gasto_o_ing_total!K189*1000/Gasto_o_ing_total!K$485</f>
        <v>0</v>
      </c>
      <c r="M189" s="334">
        <f>Gasto_o_ing_total!L189*1000/Gasto_o_ing_total!L$485</f>
        <v>0</v>
      </c>
      <c r="N189" s="334">
        <f>Gasto_o_ing_total!M189*1000/Gasto_o_ing_total!M$485</f>
        <v>0</v>
      </c>
      <c r="O189" s="334">
        <f>Gasto_o_ing_total!N189*1000/Gasto_o_ing_total!N$485</f>
        <v>0</v>
      </c>
      <c r="P189" s="334">
        <f>Gasto_o_ing_total!O189*1000/Gasto_o_ing_total!O$485</f>
        <v>0</v>
      </c>
      <c r="Q189" s="334">
        <f>Gasto_o_ing_total!P189*1000/Gasto_o_ing_total!P$485</f>
        <v>0</v>
      </c>
      <c r="R189" s="334">
        <f>Gasto_o_ing_total!Q189*1000/Gasto_o_ing_total!Q$485</f>
        <v>0</v>
      </c>
      <c r="S189" s="334">
        <f>Gasto_o_ing_total!R189*1000/Gasto_o_ing_total!R$485</f>
        <v>0</v>
      </c>
      <c r="T189" s="334">
        <f>Gasto_o_ing_total!S189*1000/Gasto_o_ing_total!S$485</f>
        <v>-38.310161369314251</v>
      </c>
      <c r="U189" s="334">
        <f>Gasto_o_ing_total!T189*1000/Gasto_o_ing_total!T$485</f>
        <v>0</v>
      </c>
      <c r="V189" s="334">
        <f>Gasto_o_ing_total!U189*1000/Gasto_o_ing_total!U$485</f>
        <v>0</v>
      </c>
      <c r="W189" s="105"/>
    </row>
    <row r="190" spans="1:23" s="102" customFormat="1">
      <c r="A190" s="352"/>
      <c r="B190" s="115" t="s">
        <v>1119</v>
      </c>
      <c r="C190" s="331" t="e">
        <f>VLOOKUP(B190,Tot_res!C:D,2,FALSE)</f>
        <v>#N/A</v>
      </c>
      <c r="D190" s="334">
        <f>Gasto_o_ing_total!V190*1000/Gasto_o_ing_total!V$485</f>
        <v>0</v>
      </c>
      <c r="E190" s="334" t="e">
        <f>Gasto_o_ing_total!D190*1000/Gasto_o_ing_total!D$485</f>
        <v>#VALUE!</v>
      </c>
      <c r="F190" s="334" t="e">
        <f>Gasto_o_ing_total!E190*1000/Gasto_o_ing_total!E$485</f>
        <v>#VALUE!</v>
      </c>
      <c r="G190" s="334" t="e">
        <f>Gasto_o_ing_total!F190*1000/Gasto_o_ing_total!F$485</f>
        <v>#VALUE!</v>
      </c>
      <c r="H190" s="334" t="e">
        <f>Gasto_o_ing_total!G190*1000/Gasto_o_ing_total!G$485</f>
        <v>#VALUE!</v>
      </c>
      <c r="I190" s="334" t="e">
        <f>Gasto_o_ing_total!H190*1000/Gasto_o_ing_total!H$485</f>
        <v>#VALUE!</v>
      </c>
      <c r="J190" s="334" t="e">
        <f>Gasto_o_ing_total!I190*1000/Gasto_o_ing_total!I$485</f>
        <v>#VALUE!</v>
      </c>
      <c r="K190" s="334" t="e">
        <f>Gasto_o_ing_total!J190*1000/Gasto_o_ing_total!J$485</f>
        <v>#VALUE!</v>
      </c>
      <c r="L190" s="334" t="e">
        <f>Gasto_o_ing_total!K190*1000/Gasto_o_ing_total!K$485</f>
        <v>#VALUE!</v>
      </c>
      <c r="M190" s="334" t="e">
        <f>Gasto_o_ing_total!L190*1000/Gasto_o_ing_total!L$485</f>
        <v>#VALUE!</v>
      </c>
      <c r="N190" s="334" t="e">
        <f>Gasto_o_ing_total!M190*1000/Gasto_o_ing_total!M$485</f>
        <v>#VALUE!</v>
      </c>
      <c r="O190" s="334" t="e">
        <f>Gasto_o_ing_total!N190*1000/Gasto_o_ing_total!N$485</f>
        <v>#VALUE!</v>
      </c>
      <c r="P190" s="334" t="e">
        <f>Gasto_o_ing_total!O190*1000/Gasto_o_ing_total!O$485</f>
        <v>#VALUE!</v>
      </c>
      <c r="Q190" s="334" t="e">
        <f>Gasto_o_ing_total!P190*1000/Gasto_o_ing_total!P$485</f>
        <v>#VALUE!</v>
      </c>
      <c r="R190" s="334" t="e">
        <f>Gasto_o_ing_total!Q190*1000/Gasto_o_ing_total!Q$485</f>
        <v>#VALUE!</v>
      </c>
      <c r="S190" s="334" t="e">
        <f>Gasto_o_ing_total!R190*1000/Gasto_o_ing_total!R$485</f>
        <v>#VALUE!</v>
      </c>
      <c r="T190" s="334" t="e">
        <f>Gasto_o_ing_total!S190*1000/Gasto_o_ing_total!S$485</f>
        <v>#VALUE!</v>
      </c>
      <c r="U190" s="334" t="e">
        <f>Gasto_o_ing_total!T190*1000/Gasto_o_ing_total!T$485</f>
        <v>#VALUE!</v>
      </c>
      <c r="V190" s="334" t="e">
        <f>Gasto_o_ing_total!U190*1000/Gasto_o_ing_total!U$485</f>
        <v>#VALUE!</v>
      </c>
      <c r="W190" s="105"/>
    </row>
    <row r="191" spans="1:23" s="102" customFormat="1">
      <c r="A191" s="352"/>
      <c r="B191" s="115" t="s">
        <v>1115</v>
      </c>
      <c r="C191" s="331" t="str">
        <f>VLOOKUP(B191,Tot_res!C:D,2,FALSE)</f>
        <v>Agricultura</v>
      </c>
      <c r="D191" s="334">
        <f>Gasto_o_ing_total!V191*1000/Gasto_o_ing_total!V$485</f>
        <v>-0.11928277704592997</v>
      </c>
      <c r="E191" s="334">
        <f>Gasto_o_ing_total!D191*1000/Gasto_o_ing_total!D$485</f>
        <v>0</v>
      </c>
      <c r="F191" s="334">
        <f>Gasto_o_ing_total!E191*1000/Gasto_o_ing_total!E$485</f>
        <v>0</v>
      </c>
      <c r="G191" s="334">
        <f>Gasto_o_ing_total!F191*1000/Gasto_o_ing_total!F$485</f>
        <v>0</v>
      </c>
      <c r="H191" s="334">
        <f>Gasto_o_ing_total!G191*1000/Gasto_o_ing_total!G$485</f>
        <v>0</v>
      </c>
      <c r="I191" s="334">
        <f>Gasto_o_ing_total!H191*1000/Gasto_o_ing_total!H$485</f>
        <v>0</v>
      </c>
      <c r="J191" s="334">
        <f>Gasto_o_ing_total!I191*1000/Gasto_o_ing_total!I$485</f>
        <v>0</v>
      </c>
      <c r="K191" s="334">
        <f>Gasto_o_ing_total!J191*1000/Gasto_o_ing_total!J$485</f>
        <v>0</v>
      </c>
      <c r="L191" s="334">
        <f>Gasto_o_ing_total!K191*1000/Gasto_o_ing_total!K$485</f>
        <v>0</v>
      </c>
      <c r="M191" s="334">
        <f>Gasto_o_ing_total!L191*1000/Gasto_o_ing_total!L$485</f>
        <v>0</v>
      </c>
      <c r="N191" s="334">
        <f>Gasto_o_ing_total!M191*1000/Gasto_o_ing_total!M$485</f>
        <v>0</v>
      </c>
      <c r="O191" s="334">
        <f>Gasto_o_ing_total!N191*1000/Gasto_o_ing_total!N$485</f>
        <v>0</v>
      </c>
      <c r="P191" s="334">
        <f>Gasto_o_ing_total!O191*1000/Gasto_o_ing_total!O$485</f>
        <v>0</v>
      </c>
      <c r="Q191" s="334">
        <f>Gasto_o_ing_total!P191*1000/Gasto_o_ing_total!P$485</f>
        <v>0</v>
      </c>
      <c r="R191" s="334">
        <f>Gasto_o_ing_total!Q191*1000/Gasto_o_ing_total!Q$485</f>
        <v>0</v>
      </c>
      <c r="S191" s="334">
        <f>Gasto_o_ing_total!R191*1000/Gasto_o_ing_total!R$485</f>
        <v>-1.1518911932522018</v>
      </c>
      <c r="T191" s="334">
        <f>Gasto_o_ing_total!S191*1000/Gasto_o_ing_total!S$485</f>
        <v>-2.2074207369165433</v>
      </c>
      <c r="U191" s="334">
        <f>Gasto_o_ing_total!T191*1000/Gasto_o_ing_total!T$485</f>
        <v>0</v>
      </c>
      <c r="V191" s="334">
        <f>Gasto_o_ing_total!U191*1000/Gasto_o_ing_total!U$485</f>
        <v>0</v>
      </c>
      <c r="W191" s="105"/>
    </row>
    <row r="192" spans="1:23" s="102" customFormat="1">
      <c r="A192" s="352"/>
      <c r="B192" s="115" t="s">
        <v>1120</v>
      </c>
      <c r="C192" s="331" t="e">
        <f>VLOOKUP(B192,Tot_res!C:D,2,FALSE)</f>
        <v>#N/A</v>
      </c>
      <c r="D192" s="334">
        <f>Gasto_o_ing_total!V192*1000/Gasto_o_ing_total!V$485</f>
        <v>0</v>
      </c>
      <c r="E192" s="334" t="e">
        <f>Gasto_o_ing_total!D192*1000/Gasto_o_ing_total!D$485</f>
        <v>#VALUE!</v>
      </c>
      <c r="F192" s="334" t="e">
        <f>Gasto_o_ing_total!E192*1000/Gasto_o_ing_total!E$485</f>
        <v>#VALUE!</v>
      </c>
      <c r="G192" s="334" t="e">
        <f>Gasto_o_ing_total!F192*1000/Gasto_o_ing_total!F$485</f>
        <v>#VALUE!</v>
      </c>
      <c r="H192" s="334" t="e">
        <f>Gasto_o_ing_total!G192*1000/Gasto_o_ing_total!G$485</f>
        <v>#VALUE!</v>
      </c>
      <c r="I192" s="334" t="e">
        <f>Gasto_o_ing_total!H192*1000/Gasto_o_ing_total!H$485</f>
        <v>#VALUE!</v>
      </c>
      <c r="J192" s="334" t="e">
        <f>Gasto_o_ing_total!I192*1000/Gasto_o_ing_total!I$485</f>
        <v>#VALUE!</v>
      </c>
      <c r="K192" s="334" t="e">
        <f>Gasto_o_ing_total!J192*1000/Gasto_o_ing_total!J$485</f>
        <v>#VALUE!</v>
      </c>
      <c r="L192" s="334" t="e">
        <f>Gasto_o_ing_total!K192*1000/Gasto_o_ing_total!K$485</f>
        <v>#VALUE!</v>
      </c>
      <c r="M192" s="334" t="e">
        <f>Gasto_o_ing_total!L192*1000/Gasto_o_ing_total!L$485</f>
        <v>#VALUE!</v>
      </c>
      <c r="N192" s="334" t="e">
        <f>Gasto_o_ing_total!M192*1000/Gasto_o_ing_total!M$485</f>
        <v>#VALUE!</v>
      </c>
      <c r="O192" s="334" t="e">
        <f>Gasto_o_ing_total!N192*1000/Gasto_o_ing_total!N$485</f>
        <v>#VALUE!</v>
      </c>
      <c r="P192" s="334" t="e">
        <f>Gasto_o_ing_total!O192*1000/Gasto_o_ing_total!O$485</f>
        <v>#VALUE!</v>
      </c>
      <c r="Q192" s="334" t="e">
        <f>Gasto_o_ing_total!P192*1000/Gasto_o_ing_total!P$485</f>
        <v>#VALUE!</v>
      </c>
      <c r="R192" s="334" t="e">
        <f>Gasto_o_ing_total!Q192*1000/Gasto_o_ing_total!Q$485</f>
        <v>#VALUE!</v>
      </c>
      <c r="S192" s="334" t="e">
        <f>Gasto_o_ing_total!R192*1000/Gasto_o_ing_total!R$485</f>
        <v>#VALUE!</v>
      </c>
      <c r="T192" s="334" t="e">
        <f>Gasto_o_ing_total!S192*1000/Gasto_o_ing_total!S$485</f>
        <v>#VALUE!</v>
      </c>
      <c r="U192" s="334" t="e">
        <f>Gasto_o_ing_total!T192*1000/Gasto_o_ing_total!T$485</f>
        <v>#VALUE!</v>
      </c>
      <c r="V192" s="334" t="e">
        <f>Gasto_o_ing_total!U192*1000/Gasto_o_ing_total!U$485</f>
        <v>#VALUE!</v>
      </c>
      <c r="W192" s="105"/>
    </row>
    <row r="193" spans="1:23" s="102" customFormat="1">
      <c r="A193" s="352"/>
      <c r="B193" s="115" t="s">
        <v>1116</v>
      </c>
      <c r="C193" s="331" t="str">
        <f>VLOOKUP(B193,Tot_res!C:D,2,FALSE)</f>
        <v>Turismo</v>
      </c>
      <c r="D193" s="334">
        <f>Gasto_o_ing_total!V193*1000/Gasto_o_ing_total!V$485</f>
        <v>-8.8549703254507273E-3</v>
      </c>
      <c r="E193" s="334">
        <f>Gasto_o_ing_total!D193*1000/Gasto_o_ing_total!D$485</f>
        <v>0</v>
      </c>
      <c r="F193" s="334">
        <f>Gasto_o_ing_total!E193*1000/Gasto_o_ing_total!E$485</f>
        <v>0</v>
      </c>
      <c r="G193" s="334">
        <f>Gasto_o_ing_total!F193*1000/Gasto_o_ing_total!F$485</f>
        <v>0</v>
      </c>
      <c r="H193" s="334">
        <f>Gasto_o_ing_total!G193*1000/Gasto_o_ing_total!G$485</f>
        <v>0</v>
      </c>
      <c r="I193" s="334">
        <f>Gasto_o_ing_total!H193*1000/Gasto_o_ing_total!H$485</f>
        <v>0</v>
      </c>
      <c r="J193" s="334">
        <f>Gasto_o_ing_total!I193*1000/Gasto_o_ing_total!I$485</f>
        <v>0</v>
      </c>
      <c r="K193" s="334">
        <f>Gasto_o_ing_total!J193*1000/Gasto_o_ing_total!J$485</f>
        <v>0</v>
      </c>
      <c r="L193" s="334">
        <f>Gasto_o_ing_total!K193*1000/Gasto_o_ing_total!K$485</f>
        <v>0</v>
      </c>
      <c r="M193" s="334">
        <f>Gasto_o_ing_total!L193*1000/Gasto_o_ing_total!L$485</f>
        <v>0</v>
      </c>
      <c r="N193" s="334">
        <f>Gasto_o_ing_total!M193*1000/Gasto_o_ing_total!M$485</f>
        <v>0</v>
      </c>
      <c r="O193" s="334">
        <f>Gasto_o_ing_total!N193*1000/Gasto_o_ing_total!N$485</f>
        <v>0</v>
      </c>
      <c r="P193" s="334">
        <f>Gasto_o_ing_total!O193*1000/Gasto_o_ing_total!O$485</f>
        <v>0</v>
      </c>
      <c r="Q193" s="334">
        <f>Gasto_o_ing_total!P193*1000/Gasto_o_ing_total!P$485</f>
        <v>0</v>
      </c>
      <c r="R193" s="334">
        <f>Gasto_o_ing_total!Q193*1000/Gasto_o_ing_total!Q$485</f>
        <v>0</v>
      </c>
      <c r="S193" s="334">
        <f>Gasto_o_ing_total!R193*1000/Gasto_o_ing_total!R$485</f>
        <v>-0.1461286662531471</v>
      </c>
      <c r="T193" s="334">
        <f>Gasto_o_ing_total!S193*1000/Gasto_o_ing_total!S$485</f>
        <v>-0.14612866625314713</v>
      </c>
      <c r="U193" s="334">
        <f>Gasto_o_ing_total!T193*1000/Gasto_o_ing_total!T$485</f>
        <v>0</v>
      </c>
      <c r="V193" s="334">
        <f>Gasto_o_ing_total!U193*1000/Gasto_o_ing_total!U$485</f>
        <v>0</v>
      </c>
      <c r="W193" s="114"/>
    </row>
    <row r="194" spans="1:23"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05"/>
    </row>
    <row r="195" spans="1:23" s="102" customFormat="1" ht="13.5">
      <c r="A195" s="352"/>
      <c r="B195" s="115"/>
      <c r="C195" s="117" t="s">
        <v>57</v>
      </c>
      <c r="D195" s="113">
        <f>Gasto_o_ing_total!V195*1000/Gasto_o_ing_total!V$485</f>
        <v>2170.5389890245174</v>
      </c>
      <c r="E195" s="113">
        <f>Gasto_o_ing_total!D195*1000/Gasto_o_ing_total!D$485</f>
        <v>1915.0710934233173</v>
      </c>
      <c r="F195" s="113">
        <f>Gasto_o_ing_total!E195*1000/Gasto_o_ing_total!E$485</f>
        <v>2277.6201395422281</v>
      </c>
      <c r="G195" s="113">
        <f>Gasto_o_ing_total!F195*1000/Gasto_o_ing_total!F$485</f>
        <v>2248.6575033703853</v>
      </c>
      <c r="H195" s="113">
        <f>Gasto_o_ing_total!G195*1000/Gasto_o_ing_total!G$485</f>
        <v>2074.6898484524604</v>
      </c>
      <c r="I195" s="113">
        <f>Gasto_o_ing_total!H195*1000/Gasto_o_ing_total!H$485</f>
        <v>2244.4482197709785</v>
      </c>
      <c r="J195" s="113">
        <f>Gasto_o_ing_total!I195*1000/Gasto_o_ing_total!I$485</f>
        <v>2517.8104940116536</v>
      </c>
      <c r="K195" s="113">
        <f>Gasto_o_ing_total!J195*1000/Gasto_o_ing_total!J$485</f>
        <v>2340.0957733864675</v>
      </c>
      <c r="L195" s="113">
        <f>Gasto_o_ing_total!K195*1000/Gasto_o_ing_total!K$485</f>
        <v>2128.7294939747462</v>
      </c>
      <c r="M195" s="113">
        <f>Gasto_o_ing_total!L195*1000/Gasto_o_ing_total!L$485</f>
        <v>1922.3201704469063</v>
      </c>
      <c r="N195" s="113">
        <f>Gasto_o_ing_total!M195*1000/Gasto_o_ing_total!M$485</f>
        <v>1797.8008137574304</v>
      </c>
      <c r="O195" s="113">
        <f>Gasto_o_ing_total!N195*1000/Gasto_o_ing_total!N$485</f>
        <v>2403.7215028484316</v>
      </c>
      <c r="P195" s="113">
        <f>Gasto_o_ing_total!O195*1000/Gasto_o_ing_total!O$485</f>
        <v>2282.0228892600685</v>
      </c>
      <c r="Q195" s="113">
        <f>Gasto_o_ing_total!P195*1000/Gasto_o_ing_total!P$485</f>
        <v>1882.8699502722952</v>
      </c>
      <c r="R195" s="113">
        <f>Gasto_o_ing_total!Q195*1000/Gasto_o_ing_total!Q$485</f>
        <v>1839.6491591286222</v>
      </c>
      <c r="S195" s="113">
        <f>Gasto_o_ing_total!R195*1000/Gasto_o_ing_total!R$485</f>
        <v>3733.7568248954194</v>
      </c>
      <c r="T195" s="113">
        <f>Gasto_o_ing_total!S195*1000/Gasto_o_ing_total!S$485</f>
        <v>4654.2446203354975</v>
      </c>
      <c r="U195" s="113">
        <f>Gasto_o_ing_total!T195*1000/Gasto_o_ing_total!T$485</f>
        <v>2419.1257890321772</v>
      </c>
      <c r="V195" s="113">
        <f>Gasto_o_ing_total!U195*1000/Gasto_o_ing_total!U$485</f>
        <v>4062.0646567481826</v>
      </c>
      <c r="W195" s="114"/>
    </row>
    <row r="196" spans="1:23"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05"/>
    </row>
    <row r="197" spans="1:23" s="102" customFormat="1" ht="13.5">
      <c r="A197" s="352"/>
      <c r="B197" s="115"/>
      <c r="C197" s="117" t="s">
        <v>29</v>
      </c>
      <c r="D197" s="113">
        <f>Gasto_o_ing_total!V197*1000/Gasto_o_ing_total!V$485</f>
        <v>33.955789880648744</v>
      </c>
      <c r="E197" s="113">
        <f>Gasto_o_ing_total!D197*1000/Gasto_o_ing_total!D$485</f>
        <v>71.96290385254521</v>
      </c>
      <c r="F197" s="113">
        <f>Gasto_o_ing_total!E197*1000/Gasto_o_ing_total!E$485</f>
        <v>96.939973476867706</v>
      </c>
      <c r="G197" s="113">
        <f>Gasto_o_ing_total!F197*1000/Gasto_o_ing_total!F$485</f>
        <v>92.003495419109896</v>
      </c>
      <c r="H197" s="113">
        <f>Gasto_o_ing_total!G197*1000/Gasto_o_ing_total!G$485</f>
        <v>179.71655490125377</v>
      </c>
      <c r="I197" s="113">
        <f>Gasto_o_ing_total!H197*1000/Gasto_o_ing_total!H$485</f>
        <v>48.370728094655185</v>
      </c>
      <c r="J197" s="113">
        <f>Gasto_o_ing_total!I197*1000/Gasto_o_ing_total!I$485</f>
        <v>66.4581176069603</v>
      </c>
      <c r="K197" s="113">
        <f>Gasto_o_ing_total!J197*1000/Gasto_o_ing_total!J$485</f>
        <v>64.651619089563695</v>
      </c>
      <c r="L197" s="113">
        <f>Gasto_o_ing_total!K197*1000/Gasto_o_ing_total!K$485</f>
        <v>10.263604045711155</v>
      </c>
      <c r="M197" s="113">
        <f>Gasto_o_ing_total!L197*1000/Gasto_o_ing_total!L$485</f>
        <v>116.8802654051018</v>
      </c>
      <c r="N197" s="113">
        <f>Gasto_o_ing_total!M197*1000/Gasto_o_ing_total!M$485</f>
        <v>108.31022418222581</v>
      </c>
      <c r="O197" s="113">
        <f>Gasto_o_ing_total!N197*1000/Gasto_o_ing_total!N$485</f>
        <v>150.29758701827913</v>
      </c>
      <c r="P197" s="113">
        <f>Gasto_o_ing_total!O197*1000/Gasto_o_ing_total!O$485</f>
        <v>94.752249391509878</v>
      </c>
      <c r="Q197" s="113">
        <f>Gasto_o_ing_total!P197*1000/Gasto_o_ing_total!P$485</f>
        <v>-73.968629229661943</v>
      </c>
      <c r="R197" s="113">
        <f>Gasto_o_ing_total!Q197*1000/Gasto_o_ing_total!Q$485</f>
        <v>117.59733047816908</v>
      </c>
      <c r="S197" s="113">
        <f>Gasto_o_ing_total!R197*1000/Gasto_o_ing_total!R$485</f>
        <v>-678.7797457920534</v>
      </c>
      <c r="T197" s="113">
        <f>Gasto_o_ing_total!S197*1000/Gasto_o_ing_total!S$485</f>
        <v>-406.15640443668332</v>
      </c>
      <c r="U197" s="113">
        <f>Gasto_o_ing_total!T197*1000/Gasto_o_ing_total!T$485</f>
        <v>62.100631388551648</v>
      </c>
      <c r="V197" s="113">
        <f>Gasto_o_ing_total!U197*1000/Gasto_o_ing_total!U$485</f>
        <v>0</v>
      </c>
      <c r="W197" s="105"/>
    </row>
    <row r="198" spans="1:23" s="102" customFormat="1">
      <c r="A198" s="351" t="str">
        <f>IF(B198="","",(IF(ISERROR(MATCH(B198,Tot_res!C:C,0)),"Eliminar!!!","")))</f>
        <v/>
      </c>
      <c r="B198" s="115" t="s">
        <v>963</v>
      </c>
      <c r="C198" s="329" t="str">
        <f>VLOOKUP(B198,Tot_res!C:D,2,FALSE)</f>
        <v>Participación CCAARC en IRPF, sobreesfuerzo fiscal regional</v>
      </c>
      <c r="D198" s="332">
        <f>Gasto_o_ing_total!V198*1000/Gasto_o_ing_total!V$485</f>
        <v>-14.03320399970575</v>
      </c>
      <c r="E198" s="332">
        <f>Gasto_o_ing_total!D198*1000/Gasto_o_ing_total!D$485</f>
        <v>1.515859478620414</v>
      </c>
      <c r="F198" s="332">
        <f>Gasto_o_ing_total!E198*1000/Gasto_o_ing_total!E$485</f>
        <v>-4.1557519358092758</v>
      </c>
      <c r="G198" s="332">
        <f>Gasto_o_ing_total!F198*1000/Gasto_o_ing_total!F$485</f>
        <v>-0.70644617408405719</v>
      </c>
      <c r="H198" s="332">
        <f>Gasto_o_ing_total!G198*1000/Gasto_o_ing_total!G$485</f>
        <v>-4.6281067507395717</v>
      </c>
      <c r="I198" s="332">
        <f>Gasto_o_ing_total!H198*1000/Gasto_o_ing_total!H$485</f>
        <v>-15.185499454430472</v>
      </c>
      <c r="J198" s="332">
        <f>Gasto_o_ing_total!I198*1000/Gasto_o_ing_total!I$485</f>
        <v>-35.199218173785646</v>
      </c>
      <c r="K198" s="332">
        <f>Gasto_o_ing_total!J198*1000/Gasto_o_ing_total!J$485</f>
        <v>-13.467831630359845</v>
      </c>
      <c r="L198" s="332">
        <f>Gasto_o_ing_total!K198*1000/Gasto_o_ing_total!K$485</f>
        <v>-27.183122567619634</v>
      </c>
      <c r="M198" s="332">
        <f>Gasto_o_ing_total!L198*1000/Gasto_o_ing_total!L$485</f>
        <v>-0.66279464653407028</v>
      </c>
      <c r="N198" s="332">
        <f>Gasto_o_ing_total!M198*1000/Gasto_o_ing_total!M$485</f>
        <v>-8.5847433058123634</v>
      </c>
      <c r="O198" s="332">
        <f>Gasto_o_ing_total!N198*1000/Gasto_o_ing_total!N$485</f>
        <v>-2.8128773444171244</v>
      </c>
      <c r="P198" s="332">
        <f>Gasto_o_ing_total!O198*1000/Gasto_o_ing_total!O$485</f>
        <v>-8.9401140441720042</v>
      </c>
      <c r="Q198" s="332">
        <f>Gasto_o_ing_total!P198*1000/Gasto_o_ing_total!P$485</f>
        <v>-66.987003346658852</v>
      </c>
      <c r="R198" s="332">
        <f>Gasto_o_ing_total!Q198*1000/Gasto_o_ing_total!Q$485</f>
        <v>-0.70887543090102212</v>
      </c>
      <c r="S198" s="332">
        <f>Gasto_o_ing_total!R198*1000/Gasto_o_ing_total!R$485</f>
        <v>0</v>
      </c>
      <c r="T198" s="332">
        <f>Gasto_o_ing_total!S198*1000/Gasto_o_ing_total!S$485</f>
        <v>0</v>
      </c>
      <c r="U198" s="332">
        <f>Gasto_o_ing_total!T198*1000/Gasto_o_ing_total!T$485</f>
        <v>-19.459968028622839</v>
      </c>
      <c r="V198" s="332">
        <f>Gasto_o_ing_total!U198*1000/Gasto_o_ing_total!U$485</f>
        <v>0</v>
      </c>
      <c r="W198" s="105"/>
    </row>
    <row r="199" spans="1:23" s="102" customFormat="1">
      <c r="A199" s="351" t="str">
        <f>IF(B199="","",(IF(ISERROR(MATCH(B199,Tot_res!C:C,0)),"Eliminar!!!","")))</f>
        <v/>
      </c>
      <c r="B199" s="115" t="s">
        <v>1092</v>
      </c>
      <c r="C199" s="329" t="str">
        <f>VLOOKUP(B199,Tot_res!C:D,2,FALSE)</f>
        <v>Participación CCAARC en IH, sobreesfuerzo fiscal regional</v>
      </c>
      <c r="D199" s="332">
        <f>Gasto_o_ing_total!V199*1000/Gasto_o_ing_total!V$485</f>
        <v>21.680624497119638</v>
      </c>
      <c r="E199" s="332">
        <f>Gasto_o_ing_total!D199*1000/Gasto_o_ing_total!D$485</f>
        <v>26.956585864419925</v>
      </c>
      <c r="F199" s="332">
        <f>Gasto_o_ing_total!E199*1000/Gasto_o_ing_total!E$485</f>
        <v>8.7014685052239072E-4</v>
      </c>
      <c r="G199" s="332">
        <f>Gasto_o_ing_total!F199*1000/Gasto_o_ing_total!F$485</f>
        <v>23.253804451995638</v>
      </c>
      <c r="H199" s="332">
        <f>Gasto_o_ing_total!G199*1000/Gasto_o_ing_total!G$485</f>
        <v>30.636920433294488</v>
      </c>
      <c r="I199" s="332">
        <f>Gasto_o_ing_total!H199*1000/Gasto_o_ing_total!H$485</f>
        <v>0</v>
      </c>
      <c r="J199" s="332">
        <f>Gasto_o_ing_total!I199*1000/Gasto_o_ing_total!I$485</f>
        <v>37.098740453300508</v>
      </c>
      <c r="K199" s="332">
        <f>Gasto_o_ing_total!J199*1000/Gasto_o_ing_total!J$485</f>
        <v>35.420740180581546</v>
      </c>
      <c r="L199" s="332">
        <f>Gasto_o_ing_total!K199*1000/Gasto_o_ing_total!K$485</f>
        <v>33.855172383792166</v>
      </c>
      <c r="M199" s="332">
        <f>Gasto_o_ing_total!L199*1000/Gasto_o_ing_total!L$485</f>
        <v>29.264493020533894</v>
      </c>
      <c r="N199" s="332">
        <f>Gasto_o_ing_total!M199*1000/Gasto_o_ing_total!M$485</f>
        <v>25.011844635634372</v>
      </c>
      <c r="O199" s="332">
        <f>Gasto_o_ing_total!N199*1000/Gasto_o_ing_total!N$485</f>
        <v>26.867144418868854</v>
      </c>
      <c r="P199" s="332">
        <f>Gasto_o_ing_total!O199*1000/Gasto_o_ing_total!O$485</f>
        <v>26.478403194137172</v>
      </c>
      <c r="Q199" s="332">
        <f>Gasto_o_ing_total!P199*1000/Gasto_o_ing_total!P$485</f>
        <v>8.5336978750854442</v>
      </c>
      <c r="R199" s="332">
        <f>Gasto_o_ing_total!Q199*1000/Gasto_o_ing_total!Q$485</f>
        <v>31.376835056402189</v>
      </c>
      <c r="S199" s="332">
        <f>Gasto_o_ing_total!R199*1000/Gasto_o_ing_total!R$485</f>
        <v>0</v>
      </c>
      <c r="T199" s="332">
        <f>Gasto_o_ing_total!S199*1000/Gasto_o_ing_total!S$485</f>
        <v>0</v>
      </c>
      <c r="U199" s="332">
        <f>Gasto_o_ing_total!T199*1000/Gasto_o_ing_total!T$485</f>
        <v>-2.2639551611102812E-3</v>
      </c>
      <c r="V199" s="332">
        <f>Gasto_o_ing_total!U199*1000/Gasto_o_ing_total!U$485</f>
        <v>0</v>
      </c>
      <c r="W199" s="105"/>
    </row>
    <row r="200" spans="1:23" s="102" customFormat="1">
      <c r="A200" s="351" t="str">
        <f>IF(B200="","",(IF(ISERROR(MATCH(B200,Tot_res!C:C,0)),"Eliminar!!!","")))</f>
        <v/>
      </c>
      <c r="B200" s="115" t="s">
        <v>964</v>
      </c>
      <c r="C200" s="329" t="str">
        <f>VLOOKUP(B200,Tot_res!C:D,2,FALSE)</f>
        <v>Impuesto sucesiones y donac, sobreesfuerzo fiscal de las CCAARC</v>
      </c>
      <c r="D200" s="332">
        <f>Gasto_o_ing_total!V200*1000/Gasto_o_ing_total!V$485</f>
        <v>1.1685691882566335E-15</v>
      </c>
      <c r="E200" s="332">
        <f>Gasto_o_ing_total!D200*1000/Gasto_o_ing_total!D$485</f>
        <v>2.1282436474084565</v>
      </c>
      <c r="F200" s="332">
        <f>Gasto_o_ing_total!E200*1000/Gasto_o_ing_total!E$485</f>
        <v>30.931979939105616</v>
      </c>
      <c r="G200" s="332">
        <f>Gasto_o_ing_total!F200*1000/Gasto_o_ing_total!F$485</f>
        <v>20.951850313039163</v>
      </c>
      <c r="H200" s="332">
        <f>Gasto_o_ing_total!G200*1000/Gasto_o_ing_total!G$485</f>
        <v>29.922921894460337</v>
      </c>
      <c r="I200" s="332">
        <f>Gasto_o_ing_total!H200*1000/Gasto_o_ing_total!H$485</f>
        <v>-4.7527788854547337</v>
      </c>
      <c r="J200" s="332">
        <f>Gasto_o_ing_total!I200*1000/Gasto_o_ing_total!I$485</f>
        <v>-14.35770887265223</v>
      </c>
      <c r="K200" s="332">
        <f>Gasto_o_ing_total!J200*1000/Gasto_o_ing_total!J$485</f>
        <v>-4.5077302666404426</v>
      </c>
      <c r="L200" s="332">
        <f>Gasto_o_ing_total!K200*1000/Gasto_o_ing_total!K$485</f>
        <v>-13.012952073458083</v>
      </c>
      <c r="M200" s="332">
        <f>Gasto_o_ing_total!L200*1000/Gasto_o_ing_total!L$485</f>
        <v>-15.944369165359648</v>
      </c>
      <c r="N200" s="332">
        <f>Gasto_o_ing_total!M200*1000/Gasto_o_ing_total!M$485</f>
        <v>-14.328349765973297</v>
      </c>
      <c r="O200" s="332">
        <f>Gasto_o_ing_total!N200*1000/Gasto_o_ing_total!N$485</f>
        <v>-6.2287876649524128</v>
      </c>
      <c r="P200" s="332">
        <f>Gasto_o_ing_total!O200*1000/Gasto_o_ing_total!O$485</f>
        <v>14.01512784116275</v>
      </c>
      <c r="Q200" s="332">
        <f>Gasto_o_ing_total!P200*1000/Gasto_o_ing_total!P$485</f>
        <v>10.308193511943802</v>
      </c>
      <c r="R200" s="332">
        <f>Gasto_o_ing_total!Q200*1000/Gasto_o_ing_total!Q$485</f>
        <v>27.609556790920763</v>
      </c>
      <c r="S200" s="332">
        <f>Gasto_o_ing_total!R200*1000/Gasto_o_ing_total!R$485</f>
        <v>0</v>
      </c>
      <c r="T200" s="332">
        <f>Gasto_o_ing_total!S200*1000/Gasto_o_ing_total!S$485</f>
        <v>0</v>
      </c>
      <c r="U200" s="332">
        <f>Gasto_o_ing_total!T200*1000/Gasto_o_ing_total!T$485</f>
        <v>-14.412021689758724</v>
      </c>
      <c r="V200" s="332">
        <f>Gasto_o_ing_total!U200*1000/Gasto_o_ing_total!U$485</f>
        <v>0</v>
      </c>
      <c r="W200" s="105"/>
    </row>
    <row r="201" spans="1:23" s="102" customFormat="1">
      <c r="A201" s="351" t="str">
        <f>IF(B201="","",(IF(ISERROR(MATCH(B201,Tot_res!C:C,0)),"Eliminar!!!","")))</f>
        <v/>
      </c>
      <c r="B201" s="115" t="s">
        <v>965</v>
      </c>
      <c r="C201" s="329" t="str">
        <f>VLOOKUP(B201,Tot_res!C:D,2,FALSE)</f>
        <v>ITP y AJD, sobreesfuerzo fiscal de las CCAARC</v>
      </c>
      <c r="D201" s="332">
        <f>Gasto_o_ing_total!V201*1000/Gasto_o_ing_total!V$485</f>
        <v>8.9179600388644307</v>
      </c>
      <c r="E201" s="332">
        <f>Gasto_o_ing_total!D201*1000/Gasto_o_ing_total!D$485</f>
        <v>8.2484450245453544</v>
      </c>
      <c r="F201" s="332">
        <f>Gasto_o_ing_total!E201*1000/Gasto_o_ing_total!E$485</f>
        <v>0</v>
      </c>
      <c r="G201" s="332">
        <f>Gasto_o_ing_total!F201*1000/Gasto_o_ing_total!F$485</f>
        <v>4.8800540962392471</v>
      </c>
      <c r="H201" s="332">
        <f>Gasto_o_ing_total!G201*1000/Gasto_o_ing_total!G$485</f>
        <v>14.160839373456268</v>
      </c>
      <c r="I201" s="332">
        <f>Gasto_o_ing_total!H201*1000/Gasto_o_ing_total!H$485</f>
        <v>-3.7417893537709994</v>
      </c>
      <c r="J201" s="332">
        <f>Gasto_o_ing_total!I201*1000/Gasto_o_ing_total!I$485</f>
        <v>7.6853119730354624</v>
      </c>
      <c r="K201" s="332">
        <f>Gasto_o_ing_total!J201*1000/Gasto_o_ing_total!J$485</f>
        <v>5.9754320983006126</v>
      </c>
      <c r="L201" s="332">
        <f>Gasto_o_ing_total!K201*1000/Gasto_o_ing_total!K$485</f>
        <v>4.3037263749964456</v>
      </c>
      <c r="M201" s="332">
        <f>Gasto_o_ing_total!L201*1000/Gasto_o_ing_total!L$485</f>
        <v>26.651588013552036</v>
      </c>
      <c r="N201" s="332">
        <f>Gasto_o_ing_total!M201*1000/Gasto_o_ing_total!M$485</f>
        <v>27.691055072004243</v>
      </c>
      <c r="O201" s="332">
        <f>Gasto_o_ing_total!N201*1000/Gasto_o_ing_total!N$485</f>
        <v>3.6012651166334968</v>
      </c>
      <c r="P201" s="332">
        <f>Gasto_o_ing_total!O201*1000/Gasto_o_ing_total!O$485</f>
        <v>11.858321661379195</v>
      </c>
      <c r="Q201" s="332">
        <f>Gasto_o_ing_total!P201*1000/Gasto_o_ing_total!P$485</f>
        <v>-11.994724225867651</v>
      </c>
      <c r="R201" s="332">
        <f>Gasto_o_ing_total!Q201*1000/Gasto_o_ing_total!Q$485</f>
        <v>5.6905420851678699</v>
      </c>
      <c r="S201" s="332">
        <f>Gasto_o_ing_total!R201*1000/Gasto_o_ing_total!R$485</f>
        <v>0</v>
      </c>
      <c r="T201" s="332">
        <f>Gasto_o_ing_total!S201*1000/Gasto_o_ing_total!S$485</f>
        <v>0</v>
      </c>
      <c r="U201" s="332">
        <f>Gasto_o_ing_total!T201*1000/Gasto_o_ing_total!T$485</f>
        <v>0</v>
      </c>
      <c r="V201" s="332">
        <f>Gasto_o_ing_total!U201*1000/Gasto_o_ing_total!U$485</f>
        <v>0</v>
      </c>
      <c r="W201" s="105"/>
    </row>
    <row r="202" spans="1:23" s="102" customFormat="1">
      <c r="A202" s="351" t="str">
        <f>IF(B202="","",(IF(ISERROR(MATCH(B202,Tot_res!C:C,0)),"Eliminar!!!","")))</f>
        <v/>
      </c>
      <c r="B202" s="115" t="s">
        <v>966</v>
      </c>
      <c r="C202" s="329" t="str">
        <f>VLOOKUP(B202,Tot_res!C:D,2,FALSE)</f>
        <v>Tasas sobre el juego, sobreesfuerzo fiscal de las CCAARC</v>
      </c>
      <c r="D202" s="332">
        <f>Gasto_o_ing_total!V202*1000/Gasto_o_ing_total!V$485</f>
        <v>-1.05171226943097E-15</v>
      </c>
      <c r="E202" s="332">
        <f>Gasto_o_ing_total!D202*1000/Gasto_o_ing_total!D$485</f>
        <v>1.7564852747891129</v>
      </c>
      <c r="F202" s="332">
        <f>Gasto_o_ing_total!E202*1000/Gasto_o_ing_total!E$485</f>
        <v>7.0634349446431317</v>
      </c>
      <c r="G202" s="332">
        <f>Gasto_o_ing_total!F202*1000/Gasto_o_ing_total!F$485</f>
        <v>5.3739802959966125</v>
      </c>
      <c r="H202" s="332">
        <f>Gasto_o_ing_total!G202*1000/Gasto_o_ing_total!G$485</f>
        <v>-5.86295513203601</v>
      </c>
      <c r="I202" s="332">
        <f>Gasto_o_ing_total!H202*1000/Gasto_o_ing_total!H$485</f>
        <v>9.7102227726954169</v>
      </c>
      <c r="J202" s="332">
        <f>Gasto_o_ing_total!I202*1000/Gasto_o_ing_total!I$485</f>
        <v>2.8410764147924055</v>
      </c>
      <c r="K202" s="332">
        <f>Gasto_o_ing_total!J202*1000/Gasto_o_ing_total!J$485</f>
        <v>1.1806876102425943</v>
      </c>
      <c r="L202" s="332">
        <f>Gasto_o_ing_total!K202*1000/Gasto_o_ing_total!K$485</f>
        <v>-2.4924064773178065</v>
      </c>
      <c r="M202" s="332">
        <f>Gasto_o_ing_total!L202*1000/Gasto_o_ing_total!L$485</f>
        <v>7.0534659030735769</v>
      </c>
      <c r="N202" s="332">
        <f>Gasto_o_ing_total!M202*1000/Gasto_o_ing_total!M$485</f>
        <v>-1.2448385034376761</v>
      </c>
      <c r="O202" s="332">
        <f>Gasto_o_ing_total!N202*1000/Gasto_o_ing_total!N$485</f>
        <v>3.8406210202416542</v>
      </c>
      <c r="P202" s="332">
        <f>Gasto_o_ing_total!O202*1000/Gasto_o_ing_total!O$485</f>
        <v>-2.7324174183018908</v>
      </c>
      <c r="Q202" s="332">
        <f>Gasto_o_ing_total!P202*1000/Gasto_o_ing_total!P$485</f>
        <v>-14.916195931371648</v>
      </c>
      <c r="R202" s="332">
        <f>Gasto_o_ing_total!Q202*1000/Gasto_o_ing_total!Q$485</f>
        <v>3.9683096254033501</v>
      </c>
      <c r="S202" s="332">
        <f>Gasto_o_ing_total!R202*1000/Gasto_o_ing_total!R$485</f>
        <v>0</v>
      </c>
      <c r="T202" s="332">
        <f>Gasto_o_ing_total!S202*1000/Gasto_o_ing_total!S$485</f>
        <v>0</v>
      </c>
      <c r="U202" s="332">
        <f>Gasto_o_ing_total!T202*1000/Gasto_o_ing_total!T$485</f>
        <v>11.524829642358606</v>
      </c>
      <c r="V202" s="332">
        <f>Gasto_o_ing_total!U202*1000/Gasto_o_ing_total!U$485</f>
        <v>0</v>
      </c>
      <c r="W202" s="105"/>
    </row>
    <row r="203" spans="1:23" s="102" customFormat="1">
      <c r="A203" s="351" t="str">
        <f>IF(B203="","",(IF(ISERROR(MATCH(B203,Tot_res!C:C,0)),"Eliminar!!!","")))</f>
        <v/>
      </c>
      <c r="B203" s="115" t="s">
        <v>967</v>
      </c>
      <c r="C203" s="329" t="str">
        <f>VLOOKUP(B203,Tot_res!C:D,2,FALSE)</f>
        <v>IVMH, sobreesfuerzo fiscal de las CCAARC</v>
      </c>
      <c r="D203" s="332">
        <f>Gasto_o_ing_total!V203*1000/Gasto_o_ing_total!V$485</f>
        <v>0.11482174070332039</v>
      </c>
      <c r="E203" s="332">
        <f>Gasto_o_ing_total!D203*1000/Gasto_o_ing_total!D$485</f>
        <v>0.21051943415442037</v>
      </c>
      <c r="F203" s="332">
        <f>Gasto_o_ing_total!E203*1000/Gasto_o_ing_total!E$485</f>
        <v>0</v>
      </c>
      <c r="G203" s="332">
        <f>Gasto_o_ing_total!F203*1000/Gasto_o_ing_total!F$485</f>
        <v>4.8675046590183318E-2</v>
      </c>
      <c r="H203" s="332">
        <f>Gasto_o_ing_total!G203*1000/Gasto_o_ing_total!G$485</f>
        <v>5.9489988541794221E-2</v>
      </c>
      <c r="I203" s="332">
        <f>Gasto_o_ing_total!H203*1000/Gasto_o_ing_total!H$485</f>
        <v>0</v>
      </c>
      <c r="J203" s="332">
        <f>Gasto_o_ing_total!I203*1000/Gasto_o_ing_total!I$485</f>
        <v>0.20072397525692764</v>
      </c>
      <c r="K203" s="332">
        <f>Gasto_o_ing_total!J203*1000/Gasto_o_ing_total!J$485</f>
        <v>0.17505629135117048</v>
      </c>
      <c r="L203" s="332">
        <f>Gasto_o_ing_total!K203*1000/Gasto_o_ing_total!K$485</f>
        <v>0.13332592866886786</v>
      </c>
      <c r="M203" s="332">
        <f>Gasto_o_ing_total!L203*1000/Gasto_o_ing_total!L$485</f>
        <v>7.3618887167521754E-2</v>
      </c>
      <c r="N203" s="332">
        <f>Gasto_o_ing_total!M203*1000/Gasto_o_ing_total!M$485</f>
        <v>0.20136096278813942</v>
      </c>
      <c r="O203" s="332">
        <f>Gasto_o_ing_total!N203*1000/Gasto_o_ing_total!N$485</f>
        <v>0.29784768682747353</v>
      </c>
      <c r="P203" s="332">
        <f>Gasto_o_ing_total!O203*1000/Gasto_o_ing_total!O$485</f>
        <v>7.0254942977872395E-2</v>
      </c>
      <c r="Q203" s="332">
        <f>Gasto_o_ing_total!P203*1000/Gasto_o_ing_total!P$485</f>
        <v>3.9110051560094602E-2</v>
      </c>
      <c r="R203" s="332">
        <f>Gasto_o_ing_total!Q203*1000/Gasto_o_ing_total!Q$485</f>
        <v>0.21696135053040033</v>
      </c>
      <c r="S203" s="332">
        <f>Gasto_o_ing_total!R203*1000/Gasto_o_ing_total!R$485</f>
        <v>0</v>
      </c>
      <c r="T203" s="332">
        <f>Gasto_o_ing_total!S203*1000/Gasto_o_ing_total!S$485</f>
        <v>0</v>
      </c>
      <c r="U203" s="332">
        <f>Gasto_o_ing_total!T203*1000/Gasto_o_ing_total!T$485</f>
        <v>0</v>
      </c>
      <c r="V203" s="332">
        <f>Gasto_o_ing_total!U203*1000/Gasto_o_ing_total!U$485</f>
        <v>0</v>
      </c>
      <c r="W203" s="105"/>
    </row>
    <row r="204" spans="1:23" s="102" customFormat="1">
      <c r="A204" s="351" t="str">
        <f>IF(B204="","",(IF(ISERROR(MATCH(B204,Tot_res!C:C,0)),"Eliminar!!!","")))</f>
        <v/>
      </c>
      <c r="B204" s="115" t="s">
        <v>968</v>
      </c>
      <c r="C204" s="329" t="str">
        <f>VLOOKUP(B204,Tot_res!C:D,2,FALSE)</f>
        <v>Impuesto de matriculación, sobreesfuerzo fiscal de las CCAARC</v>
      </c>
      <c r="D204" s="332">
        <f>Gasto_o_ing_total!V204*1000/Gasto_o_ing_total!V$485</f>
        <v>4.680278560507535E-2</v>
      </c>
      <c r="E204" s="332">
        <f>Gasto_o_ing_total!D204*1000/Gasto_o_ing_total!D$485</f>
        <v>0.10257272214110442</v>
      </c>
      <c r="F204" s="332">
        <f>Gasto_o_ing_total!E204*1000/Gasto_o_ing_total!E$485</f>
        <v>0</v>
      </c>
      <c r="G204" s="332">
        <f>Gasto_o_ing_total!F204*1000/Gasto_o_ing_total!F$485</f>
        <v>4.9579149875649951E-2</v>
      </c>
      <c r="H204" s="332">
        <f>Gasto_o_ing_total!G204*1000/Gasto_o_ing_total!G$485</f>
        <v>0.13137245399631495</v>
      </c>
      <c r="I204" s="332">
        <f>Gasto_o_ing_total!H204*1000/Gasto_o_ing_total!H$485</f>
        <v>0</v>
      </c>
      <c r="J204" s="332">
        <f>Gasto_o_ing_total!I204*1000/Gasto_o_ing_total!I$485</f>
        <v>0.14768685547798505</v>
      </c>
      <c r="K204" s="332">
        <f>Gasto_o_ing_total!J204*1000/Gasto_o_ing_total!J$485</f>
        <v>0</v>
      </c>
      <c r="L204" s="332">
        <f>Gasto_o_ing_total!K204*1000/Gasto_o_ing_total!K$485</f>
        <v>0</v>
      </c>
      <c r="M204" s="332">
        <f>Gasto_o_ing_total!L204*1000/Gasto_o_ing_total!L$485</f>
        <v>9.6366482511590024E-2</v>
      </c>
      <c r="N204" s="332">
        <f>Gasto_o_ing_total!M204*1000/Gasto_o_ing_total!M$485</f>
        <v>0</v>
      </c>
      <c r="O204" s="332">
        <f>Gasto_o_ing_total!N204*1000/Gasto_o_ing_total!N$485</f>
        <v>0.27457449481877694</v>
      </c>
      <c r="P204" s="332">
        <f>Gasto_o_ing_total!O204*1000/Gasto_o_ing_total!O$485</f>
        <v>0</v>
      </c>
      <c r="Q204" s="332">
        <f>Gasto_o_ing_total!P204*1000/Gasto_o_ing_total!P$485</f>
        <v>0</v>
      </c>
      <c r="R204" s="332">
        <f>Gasto_o_ing_total!Q204*1000/Gasto_o_ing_total!Q$485</f>
        <v>1.00541698220855E-2</v>
      </c>
      <c r="S204" s="332">
        <f>Gasto_o_ing_total!R204*1000/Gasto_o_ing_total!R$485</f>
        <v>0</v>
      </c>
      <c r="T204" s="332">
        <f>Gasto_o_ing_total!S204*1000/Gasto_o_ing_total!S$485</f>
        <v>0</v>
      </c>
      <c r="U204" s="332">
        <f>Gasto_o_ing_total!T204*1000/Gasto_o_ing_total!T$485</f>
        <v>0</v>
      </c>
      <c r="V204" s="332">
        <f>Gasto_o_ing_total!U204*1000/Gasto_o_ing_total!U$485</f>
        <v>0</v>
      </c>
      <c r="W204" s="105"/>
    </row>
    <row r="205" spans="1:23" s="102" customFormat="1">
      <c r="A205" s="351" t="str">
        <f>IF(B205="","",(IF(ISERROR(MATCH(B205,Tot_res!C:C,0)),"Eliminar!!!","")))</f>
        <v/>
      </c>
      <c r="B205" s="115" t="s">
        <v>969</v>
      </c>
      <c r="C205" s="329" t="str">
        <f>VLOOKUP(B205,Tot_res!C:D,2,FALSE)</f>
        <v>IRPF, sobreesfuerzo fiscal de las comunidades forales</v>
      </c>
      <c r="D205" s="332">
        <f>Gasto_o_ing_total!V205*1000/Gasto_o_ing_total!V$485</f>
        <v>-25.586726665159926</v>
      </c>
      <c r="E205" s="332">
        <f>Gasto_o_ing_total!D205*1000/Gasto_o_ing_total!D$485</f>
        <v>0</v>
      </c>
      <c r="F205" s="332">
        <f>Gasto_o_ing_total!E205*1000/Gasto_o_ing_total!E$485</f>
        <v>0</v>
      </c>
      <c r="G205" s="332">
        <f>Gasto_o_ing_total!F205*1000/Gasto_o_ing_total!F$485</f>
        <v>0</v>
      </c>
      <c r="H205" s="332">
        <f>Gasto_o_ing_total!G205*1000/Gasto_o_ing_total!G$485</f>
        <v>0</v>
      </c>
      <c r="I205" s="332">
        <f>Gasto_o_ing_total!H205*1000/Gasto_o_ing_total!H$485</f>
        <v>0</v>
      </c>
      <c r="J205" s="332">
        <f>Gasto_o_ing_total!I205*1000/Gasto_o_ing_total!I$485</f>
        <v>0</v>
      </c>
      <c r="K205" s="332">
        <f>Gasto_o_ing_total!J205*1000/Gasto_o_ing_total!J$485</f>
        <v>0</v>
      </c>
      <c r="L205" s="332">
        <f>Gasto_o_ing_total!K205*1000/Gasto_o_ing_total!K$485</f>
        <v>0</v>
      </c>
      <c r="M205" s="332">
        <f>Gasto_o_ing_total!L205*1000/Gasto_o_ing_total!L$485</f>
        <v>0</v>
      </c>
      <c r="N205" s="332">
        <f>Gasto_o_ing_total!M205*1000/Gasto_o_ing_total!M$485</f>
        <v>0</v>
      </c>
      <c r="O205" s="332">
        <f>Gasto_o_ing_total!N205*1000/Gasto_o_ing_total!N$485</f>
        <v>0</v>
      </c>
      <c r="P205" s="332">
        <f>Gasto_o_ing_total!O205*1000/Gasto_o_ing_total!O$485</f>
        <v>0</v>
      </c>
      <c r="Q205" s="332">
        <f>Gasto_o_ing_total!P205*1000/Gasto_o_ing_total!P$485</f>
        <v>0</v>
      </c>
      <c r="R205" s="332">
        <f>Gasto_o_ing_total!Q205*1000/Gasto_o_ing_total!Q$485</f>
        <v>0</v>
      </c>
      <c r="S205" s="332">
        <f>Gasto_o_ing_total!R205*1000/Gasto_o_ing_total!R$485</f>
        <v>-510.08304113439777</v>
      </c>
      <c r="T205" s="332">
        <f>Gasto_o_ing_total!S205*1000/Gasto_o_ing_total!S$485</f>
        <v>-396.5378748625327</v>
      </c>
      <c r="U205" s="332">
        <f>Gasto_o_ing_total!T205*1000/Gasto_o_ing_total!T$485</f>
        <v>0</v>
      </c>
      <c r="V205" s="332">
        <f>Gasto_o_ing_total!U205*1000/Gasto_o_ing_total!U$485</f>
        <v>0</v>
      </c>
      <c r="W205" s="105"/>
    </row>
    <row r="206" spans="1:23" s="102" customFormat="1">
      <c r="A206" s="351" t="str">
        <f>IF(B206="","",(IF(ISERROR(MATCH(B206,Tot_res!C:C,0)),"Eliminar!!!","")))</f>
        <v/>
      </c>
      <c r="B206" s="115" t="s">
        <v>970</v>
      </c>
      <c r="C206" s="329" t="str">
        <f>VLOOKUP(B206,Tot_res!C:D,2,FALSE)</f>
        <v>Sociedades, sobreesfuerzo fiscal de las comunidades forales</v>
      </c>
      <c r="D206" s="332">
        <f>Gasto_o_ing_total!V206*1000/Gasto_o_ing_total!V$485</f>
        <v>-4.5159608687918302</v>
      </c>
      <c r="E206" s="332">
        <f>Gasto_o_ing_total!D206*1000/Gasto_o_ing_total!D$485</f>
        <v>0</v>
      </c>
      <c r="F206" s="332">
        <f>Gasto_o_ing_total!E206*1000/Gasto_o_ing_total!E$485</f>
        <v>0</v>
      </c>
      <c r="G206" s="332">
        <f>Gasto_o_ing_total!F206*1000/Gasto_o_ing_total!F$485</f>
        <v>0</v>
      </c>
      <c r="H206" s="332">
        <f>Gasto_o_ing_total!G206*1000/Gasto_o_ing_total!G$485</f>
        <v>0</v>
      </c>
      <c r="I206" s="332">
        <f>Gasto_o_ing_total!H206*1000/Gasto_o_ing_total!H$485</f>
        <v>0</v>
      </c>
      <c r="J206" s="332">
        <f>Gasto_o_ing_total!I206*1000/Gasto_o_ing_total!I$485</f>
        <v>0</v>
      </c>
      <c r="K206" s="332">
        <f>Gasto_o_ing_total!J206*1000/Gasto_o_ing_total!J$485</f>
        <v>0</v>
      </c>
      <c r="L206" s="332">
        <f>Gasto_o_ing_total!K206*1000/Gasto_o_ing_total!K$485</f>
        <v>0</v>
      </c>
      <c r="M206" s="332">
        <f>Gasto_o_ing_total!L206*1000/Gasto_o_ing_total!L$485</f>
        <v>0</v>
      </c>
      <c r="N206" s="332">
        <f>Gasto_o_ing_total!M206*1000/Gasto_o_ing_total!M$485</f>
        <v>0</v>
      </c>
      <c r="O206" s="332">
        <f>Gasto_o_ing_total!N206*1000/Gasto_o_ing_total!N$485</f>
        <v>0</v>
      </c>
      <c r="P206" s="332">
        <f>Gasto_o_ing_total!O206*1000/Gasto_o_ing_total!O$485</f>
        <v>0</v>
      </c>
      <c r="Q206" s="332">
        <f>Gasto_o_ing_total!P206*1000/Gasto_o_ing_total!P$485</f>
        <v>0</v>
      </c>
      <c r="R206" s="332">
        <f>Gasto_o_ing_total!Q206*1000/Gasto_o_ing_total!Q$485</f>
        <v>0</v>
      </c>
      <c r="S206" s="332">
        <f>Gasto_o_ing_total!R206*1000/Gasto_o_ing_total!R$485</f>
        <v>-228.47989398232028</v>
      </c>
      <c r="T206" s="332">
        <f>Gasto_o_ing_total!S206*1000/Gasto_o_ing_total!S$485</f>
        <v>-29.470255535753747</v>
      </c>
      <c r="U206" s="332">
        <f>Gasto_o_ing_total!T206*1000/Gasto_o_ing_total!T$485</f>
        <v>0</v>
      </c>
      <c r="V206" s="332">
        <f>Gasto_o_ing_total!U206*1000/Gasto_o_ing_total!U$485</f>
        <v>0</v>
      </c>
      <c r="W206" s="105"/>
    </row>
    <row r="207" spans="1:23" s="102" customFormat="1">
      <c r="A207" s="351" t="str">
        <f>IF(B207="","",(IF(ISERROR(MATCH(B207,Tot_res!C:C,0)),"Eliminar!!!","")))</f>
        <v/>
      </c>
      <c r="B207" s="115" t="s">
        <v>971</v>
      </c>
      <c r="C207" s="329" t="str">
        <f>VLOOKUP(B207,Tot_res!C:D,2,FALSE)</f>
        <v>Sucesiones y donaciones, sobreesfuerzo fiscal de las comunidades forales</v>
      </c>
      <c r="D207" s="332">
        <f>Gasto_o_ing_total!V207*1000/Gasto_o_ing_total!V$485</f>
        <v>-0.94660879714181712</v>
      </c>
      <c r="E207" s="332">
        <f>Gasto_o_ing_total!D207*1000/Gasto_o_ing_total!D$485</f>
        <v>0</v>
      </c>
      <c r="F207" s="332">
        <f>Gasto_o_ing_total!E207*1000/Gasto_o_ing_total!E$485</f>
        <v>0</v>
      </c>
      <c r="G207" s="332">
        <f>Gasto_o_ing_total!F207*1000/Gasto_o_ing_total!F$485</f>
        <v>0</v>
      </c>
      <c r="H207" s="332">
        <f>Gasto_o_ing_total!G207*1000/Gasto_o_ing_total!G$485</f>
        <v>0</v>
      </c>
      <c r="I207" s="332">
        <f>Gasto_o_ing_total!H207*1000/Gasto_o_ing_total!H$485</f>
        <v>0</v>
      </c>
      <c r="J207" s="332">
        <f>Gasto_o_ing_total!I207*1000/Gasto_o_ing_total!I$485</f>
        <v>0</v>
      </c>
      <c r="K207" s="332">
        <f>Gasto_o_ing_total!J207*1000/Gasto_o_ing_total!J$485</f>
        <v>0</v>
      </c>
      <c r="L207" s="332">
        <f>Gasto_o_ing_total!K207*1000/Gasto_o_ing_total!K$485</f>
        <v>0</v>
      </c>
      <c r="M207" s="332">
        <f>Gasto_o_ing_total!L207*1000/Gasto_o_ing_total!L$485</f>
        <v>0</v>
      </c>
      <c r="N207" s="332">
        <f>Gasto_o_ing_total!M207*1000/Gasto_o_ing_total!M$485</f>
        <v>0</v>
      </c>
      <c r="O207" s="332">
        <f>Gasto_o_ing_total!N207*1000/Gasto_o_ing_total!N$485</f>
        <v>0</v>
      </c>
      <c r="P207" s="332">
        <f>Gasto_o_ing_total!O207*1000/Gasto_o_ing_total!O$485</f>
        <v>0</v>
      </c>
      <c r="Q207" s="332">
        <f>Gasto_o_ing_total!P207*1000/Gasto_o_ing_total!P$485</f>
        <v>0</v>
      </c>
      <c r="R207" s="332">
        <f>Gasto_o_ing_total!Q207*1000/Gasto_o_ing_total!Q$485</f>
        <v>0</v>
      </c>
      <c r="S207" s="332">
        <f>Gasto_o_ing_total!R207*1000/Gasto_o_ing_total!R$485</f>
        <v>14.150842747233826</v>
      </c>
      <c r="T207" s="332">
        <f>Gasto_o_ing_total!S207*1000/Gasto_o_ing_total!S$485</f>
        <v>-24.334015043160619</v>
      </c>
      <c r="U207" s="332">
        <f>Gasto_o_ing_total!T207*1000/Gasto_o_ing_total!T$485</f>
        <v>0</v>
      </c>
      <c r="V207" s="332">
        <f>Gasto_o_ing_total!U207*1000/Gasto_o_ing_total!U$485</f>
        <v>0</v>
      </c>
      <c r="W207" s="105"/>
    </row>
    <row r="208" spans="1:23" s="102" customFormat="1">
      <c r="A208" s="351" t="str">
        <f>IF(B208="","",(IF(ISERROR(MATCH(B208,Tot_res!C:C,0)),"Eliminar!!!","")))</f>
        <v/>
      </c>
      <c r="B208" s="115" t="s">
        <v>1079</v>
      </c>
      <c r="C208" s="329" t="s">
        <v>1080</v>
      </c>
      <c r="D208" s="332">
        <f>Gasto_o_ing_total!V208*1000/Gasto_o_ing_total!V$485</f>
        <v>-1.3438059924046364E-2</v>
      </c>
      <c r="E208" s="332">
        <f>Gasto_o_ing_total!D208*1000/Gasto_o_ing_total!D$485</f>
        <v>0</v>
      </c>
      <c r="F208" s="332">
        <f>Gasto_o_ing_total!E208*1000/Gasto_o_ing_total!E$485</f>
        <v>0</v>
      </c>
      <c r="G208" s="332">
        <f>Gasto_o_ing_total!F208*1000/Gasto_o_ing_total!F$485</f>
        <v>0</v>
      </c>
      <c r="H208" s="332">
        <f>Gasto_o_ing_total!G208*1000/Gasto_o_ing_total!G$485</f>
        <v>0</v>
      </c>
      <c r="I208" s="332">
        <f>Gasto_o_ing_total!H208*1000/Gasto_o_ing_total!H$485</f>
        <v>0</v>
      </c>
      <c r="J208" s="332">
        <f>Gasto_o_ing_total!I208*1000/Gasto_o_ing_total!I$485</f>
        <v>0</v>
      </c>
      <c r="K208" s="332">
        <f>Gasto_o_ing_total!J208*1000/Gasto_o_ing_total!J$485</f>
        <v>0</v>
      </c>
      <c r="L208" s="332">
        <f>Gasto_o_ing_total!K208*1000/Gasto_o_ing_total!K$485</f>
        <v>0</v>
      </c>
      <c r="M208" s="332">
        <f>Gasto_o_ing_total!L208*1000/Gasto_o_ing_total!L$485</f>
        <v>0</v>
      </c>
      <c r="N208" s="332">
        <f>Gasto_o_ing_total!M208*1000/Gasto_o_ing_total!M$485</f>
        <v>0</v>
      </c>
      <c r="O208" s="332">
        <f>Gasto_o_ing_total!N208*1000/Gasto_o_ing_total!N$485</f>
        <v>0</v>
      </c>
      <c r="P208" s="332">
        <f>Gasto_o_ing_total!O208*1000/Gasto_o_ing_total!O$485</f>
        <v>0</v>
      </c>
      <c r="Q208" s="332">
        <f>Gasto_o_ing_total!P208*1000/Gasto_o_ing_total!P$485</f>
        <v>0</v>
      </c>
      <c r="R208" s="332">
        <f>Gasto_o_ing_total!Q208*1000/Gasto_o_ing_total!Q$485</f>
        <v>0</v>
      </c>
      <c r="S208" s="332">
        <f>Gasto_o_ing_total!R208*1000/Gasto_o_ing_total!R$485</f>
        <v>-0.97954470213338618</v>
      </c>
      <c r="T208" s="332">
        <f>Gasto_o_ing_total!S208*1000/Gasto_o_ing_total!S$485</f>
        <v>0</v>
      </c>
      <c r="U208" s="332">
        <f>Gasto_o_ing_total!T208*1000/Gasto_o_ing_total!T$485</f>
        <v>0</v>
      </c>
      <c r="V208" s="332">
        <f>Gasto_o_ing_total!U208*1000/Gasto_o_ing_total!U$485</f>
        <v>0</v>
      </c>
      <c r="W208" s="105"/>
    </row>
    <row r="209" spans="1:23" s="102" customFormat="1">
      <c r="A209" s="351" t="str">
        <f>IF(B209="","",(IF(ISERROR(MATCH(B209,Tot_res!C:C,0)),"Eliminar!!!","")))</f>
        <v/>
      </c>
      <c r="B209" s="115" t="s">
        <v>972</v>
      </c>
      <c r="C209" s="329" t="str">
        <f>VLOOKUP(B209,Tot_res!C:D,2,FALSE)</f>
        <v>ITP y AJD, sobreesfuerzo fiscal de las comunidades forales</v>
      </c>
      <c r="D209" s="332">
        <f>Gasto_o_ing_total!V209*1000/Gasto_o_ing_total!V$485</f>
        <v>-2.1392164240094149</v>
      </c>
      <c r="E209" s="332">
        <f>Gasto_o_ing_total!D209*1000/Gasto_o_ing_total!D$485</f>
        <v>0</v>
      </c>
      <c r="F209" s="332">
        <f>Gasto_o_ing_total!E209*1000/Gasto_o_ing_total!E$485</f>
        <v>0</v>
      </c>
      <c r="G209" s="332">
        <f>Gasto_o_ing_total!F209*1000/Gasto_o_ing_total!F$485</f>
        <v>0</v>
      </c>
      <c r="H209" s="332">
        <f>Gasto_o_ing_total!G209*1000/Gasto_o_ing_total!G$485</f>
        <v>0</v>
      </c>
      <c r="I209" s="332">
        <f>Gasto_o_ing_total!H209*1000/Gasto_o_ing_total!H$485</f>
        <v>0</v>
      </c>
      <c r="J209" s="332">
        <f>Gasto_o_ing_total!I209*1000/Gasto_o_ing_total!I$485</f>
        <v>0</v>
      </c>
      <c r="K209" s="332">
        <f>Gasto_o_ing_total!J209*1000/Gasto_o_ing_total!J$485</f>
        <v>0</v>
      </c>
      <c r="L209" s="332">
        <f>Gasto_o_ing_total!K209*1000/Gasto_o_ing_total!K$485</f>
        <v>0</v>
      </c>
      <c r="M209" s="332">
        <f>Gasto_o_ing_total!L209*1000/Gasto_o_ing_total!L$485</f>
        <v>0</v>
      </c>
      <c r="N209" s="332">
        <f>Gasto_o_ing_total!M209*1000/Gasto_o_ing_total!M$485</f>
        <v>0</v>
      </c>
      <c r="O209" s="332">
        <f>Gasto_o_ing_total!N209*1000/Gasto_o_ing_total!N$485</f>
        <v>0</v>
      </c>
      <c r="P209" s="332">
        <f>Gasto_o_ing_total!O209*1000/Gasto_o_ing_total!O$485</f>
        <v>0</v>
      </c>
      <c r="Q209" s="332">
        <f>Gasto_o_ing_total!P209*1000/Gasto_o_ing_total!P$485</f>
        <v>0</v>
      </c>
      <c r="R209" s="332">
        <f>Gasto_o_ing_total!Q209*1000/Gasto_o_ing_total!Q$485</f>
        <v>0</v>
      </c>
      <c r="S209" s="332">
        <f>Gasto_o_ing_total!R209*1000/Gasto_o_ing_total!R$485</f>
        <v>-26.699075175864326</v>
      </c>
      <c r="T209" s="332">
        <f>Gasto_o_ing_total!S209*1000/Gasto_o_ing_total!S$485</f>
        <v>-37.819985126348634</v>
      </c>
      <c r="U209" s="332">
        <f>Gasto_o_ing_total!T209*1000/Gasto_o_ing_total!T$485</f>
        <v>0</v>
      </c>
      <c r="V209" s="332">
        <f>Gasto_o_ing_total!U209*1000/Gasto_o_ing_total!U$485</f>
        <v>0</v>
      </c>
      <c r="W209" s="105"/>
    </row>
    <row r="210" spans="1:23" s="102" customFormat="1">
      <c r="A210" s="351" t="str">
        <f>IF(B210="","",(IF(ISERROR(MATCH(B210,Tot_res!C:C,0)),"Eliminar!!!","")))</f>
        <v/>
      </c>
      <c r="B210" s="115" t="s">
        <v>973</v>
      </c>
      <c r="C210" s="329" t="str">
        <f>VLOOKUP(B210,Tot_res!C:D,2,FALSE)</f>
        <v>Tasas juego, sobreesfuerzo fiscal de las comunidades forales</v>
      </c>
      <c r="D210" s="332">
        <f>Gasto_o_ing_total!V210*1000/Gasto_o_ing_total!V$485</f>
        <v>0.3783771033521004</v>
      </c>
      <c r="E210" s="332">
        <f>Gasto_o_ing_total!D210*1000/Gasto_o_ing_total!D$485</f>
        <v>0</v>
      </c>
      <c r="F210" s="332">
        <f>Gasto_o_ing_total!E210*1000/Gasto_o_ing_total!E$485</f>
        <v>0</v>
      </c>
      <c r="G210" s="332">
        <f>Gasto_o_ing_total!F210*1000/Gasto_o_ing_total!F$485</f>
        <v>0</v>
      </c>
      <c r="H210" s="332">
        <f>Gasto_o_ing_total!G210*1000/Gasto_o_ing_total!G$485</f>
        <v>0</v>
      </c>
      <c r="I210" s="332">
        <f>Gasto_o_ing_total!H210*1000/Gasto_o_ing_total!H$485</f>
        <v>0</v>
      </c>
      <c r="J210" s="332">
        <f>Gasto_o_ing_total!I210*1000/Gasto_o_ing_total!I$485</f>
        <v>0</v>
      </c>
      <c r="K210" s="332">
        <f>Gasto_o_ing_total!J210*1000/Gasto_o_ing_total!J$485</f>
        <v>0</v>
      </c>
      <c r="L210" s="332">
        <f>Gasto_o_ing_total!K210*1000/Gasto_o_ing_total!K$485</f>
        <v>0</v>
      </c>
      <c r="M210" s="332">
        <f>Gasto_o_ing_total!L210*1000/Gasto_o_ing_total!L$485</f>
        <v>0</v>
      </c>
      <c r="N210" s="332">
        <f>Gasto_o_ing_total!M210*1000/Gasto_o_ing_total!M$485</f>
        <v>0</v>
      </c>
      <c r="O210" s="332">
        <f>Gasto_o_ing_total!N210*1000/Gasto_o_ing_total!N$485</f>
        <v>0</v>
      </c>
      <c r="P210" s="332">
        <f>Gasto_o_ing_total!O210*1000/Gasto_o_ing_total!O$485</f>
        <v>0</v>
      </c>
      <c r="Q210" s="332">
        <f>Gasto_o_ing_total!P210*1000/Gasto_o_ing_total!P$485</f>
        <v>0</v>
      </c>
      <c r="R210" s="332">
        <f>Gasto_o_ing_total!Q210*1000/Gasto_o_ing_total!Q$485</f>
        <v>0</v>
      </c>
      <c r="S210" s="332">
        <f>Gasto_o_ing_total!R210*1000/Gasto_o_ing_total!R$485</f>
        <v>-1.3823446915150692</v>
      </c>
      <c r="T210" s="332">
        <f>Gasto_o_ing_total!S210*1000/Gasto_o_ing_total!S$485</f>
        <v>8.4759943346516433</v>
      </c>
      <c r="U210" s="332">
        <f>Gasto_o_ing_total!T210*1000/Gasto_o_ing_total!T$485</f>
        <v>0</v>
      </c>
      <c r="V210" s="332">
        <f>Gasto_o_ing_total!U210*1000/Gasto_o_ing_total!U$485</f>
        <v>0</v>
      </c>
      <c r="W210" s="114"/>
    </row>
    <row r="211" spans="1:23" s="102" customFormat="1">
      <c r="A211" s="351" t="str">
        <f>IF(B211="","",(IF(ISERROR(MATCH(B211,Tot_res!C:C,0)),"Eliminar!!!","")))</f>
        <v/>
      </c>
      <c r="B211" s="115" t="s">
        <v>230</v>
      </c>
      <c r="C211" s="329" t="str">
        <f>VLOOKUP(B211,Tot_res!C:D,2,FALSE)</f>
        <v xml:space="preserve"> Ingresos por tributos propios de las comunidades autónomas y patrimonio</v>
      </c>
      <c r="D211" s="332">
        <f>Gasto_o_ing_total!V211*1000/Gasto_o_ing_total!V$485</f>
        <v>50.052358529736964</v>
      </c>
      <c r="E211" s="332">
        <f>Gasto_o_ing_total!D211*1000/Gasto_o_ing_total!D$485</f>
        <v>31.044192406466433</v>
      </c>
      <c r="F211" s="332">
        <f>Gasto_o_ing_total!E211*1000/Gasto_o_ing_total!E$485</f>
        <v>63.099440382077709</v>
      </c>
      <c r="G211" s="332">
        <f>Gasto_o_ing_total!F211*1000/Gasto_o_ing_total!F$485</f>
        <v>38.151998239457448</v>
      </c>
      <c r="H211" s="332">
        <f>Gasto_o_ing_total!G211*1000/Gasto_o_ing_total!G$485</f>
        <v>115.29607264028016</v>
      </c>
      <c r="I211" s="332">
        <f>Gasto_o_ing_total!H211*1000/Gasto_o_ing_total!H$485</f>
        <v>62.340573015615966</v>
      </c>
      <c r="J211" s="332">
        <f>Gasto_o_ing_total!I211*1000/Gasto_o_ing_total!I$485</f>
        <v>68.041504981534885</v>
      </c>
      <c r="K211" s="332">
        <f>Gasto_o_ing_total!J211*1000/Gasto_o_ing_total!J$485</f>
        <v>39.875264806088055</v>
      </c>
      <c r="L211" s="332">
        <f>Gasto_o_ing_total!K211*1000/Gasto_o_ing_total!K$485</f>
        <v>14.659860476649197</v>
      </c>
      <c r="M211" s="332">
        <f>Gasto_o_ing_total!L211*1000/Gasto_o_ing_total!L$485</f>
        <v>70.347896910156905</v>
      </c>
      <c r="N211" s="332">
        <f>Gasto_o_ing_total!M211*1000/Gasto_o_ing_total!M$485</f>
        <v>79.563895087022402</v>
      </c>
      <c r="O211" s="332">
        <f>Gasto_o_ing_total!N211*1000/Gasto_o_ing_total!N$485</f>
        <v>124.45779929025841</v>
      </c>
      <c r="P211" s="332">
        <f>Gasto_o_ing_total!O211*1000/Gasto_o_ing_total!O$485</f>
        <v>54.002673214326776</v>
      </c>
      <c r="Q211" s="332">
        <f>Gasto_o_ing_total!P211*1000/Gasto_o_ing_total!P$485</f>
        <v>1.0482928356468588</v>
      </c>
      <c r="R211" s="332">
        <f>Gasto_o_ing_total!Q211*1000/Gasto_o_ing_total!Q$485</f>
        <v>49.433946830823423</v>
      </c>
      <c r="S211" s="332">
        <f>Gasto_o_ing_total!R211*1000/Gasto_o_ing_total!R$485</f>
        <v>74.693311146943728</v>
      </c>
      <c r="T211" s="332">
        <f>Gasto_o_ing_total!S211*1000/Gasto_o_ing_total!S$485</f>
        <v>73.529731796460766</v>
      </c>
      <c r="U211" s="332">
        <f>Gasto_o_ing_total!T211*1000/Gasto_o_ing_total!T$485</f>
        <v>84.450055419735733</v>
      </c>
      <c r="V211" s="332">
        <f>Gasto_o_ing_total!U211*1000/Gasto_o_ing_total!U$485</f>
        <v>0</v>
      </c>
      <c r="W211" s="105"/>
    </row>
    <row r="212" spans="1:23"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44"/>
    </row>
    <row r="213" spans="1:23" s="102" customFormat="1" ht="13.5">
      <c r="A213" s="352"/>
      <c r="B213" s="115"/>
      <c r="C213" s="128" t="s">
        <v>59</v>
      </c>
      <c r="D213" s="113">
        <f>Gasto_o_ing_total!V213*1000/Gasto_o_ing_total!V$485</f>
        <v>947.582399003104</v>
      </c>
      <c r="E213" s="113">
        <f>Gasto_o_ing_total!D213*1000/Gasto_o_ing_total!D$485</f>
        <v>826.14803198251786</v>
      </c>
      <c r="F213" s="113">
        <f>Gasto_o_ing_total!E213*1000/Gasto_o_ing_total!E$485</f>
        <v>1021.7290605268839</v>
      </c>
      <c r="G213" s="113">
        <f>Gasto_o_ing_total!F213*1000/Gasto_o_ing_total!F$485</f>
        <v>893.84728839389516</v>
      </c>
      <c r="H213" s="113">
        <f>Gasto_o_ing_total!G213*1000/Gasto_o_ing_total!G$485</f>
        <v>1024.0660810868603</v>
      </c>
      <c r="I213" s="113">
        <f>Gasto_o_ing_total!H213*1000/Gasto_o_ing_total!H$485</f>
        <v>1129.8430619176681</v>
      </c>
      <c r="J213" s="113">
        <f>Gasto_o_ing_total!I213*1000/Gasto_o_ing_total!I$485</f>
        <v>943.92081645888891</v>
      </c>
      <c r="K213" s="113">
        <f>Gasto_o_ing_total!J213*1000/Gasto_o_ing_total!J$485</f>
        <v>926.12166049125369</v>
      </c>
      <c r="L213" s="113">
        <f>Gasto_o_ing_total!K213*1000/Gasto_o_ing_total!K$485</f>
        <v>856.84524308598486</v>
      </c>
      <c r="M213" s="113">
        <f>Gasto_o_ing_total!L213*1000/Gasto_o_ing_total!L$485</f>
        <v>1084.2478004757809</v>
      </c>
      <c r="N213" s="113">
        <f>Gasto_o_ing_total!M213*1000/Gasto_o_ing_total!M$485</f>
        <v>874.67797354243066</v>
      </c>
      <c r="O213" s="113">
        <f>Gasto_o_ing_total!N213*1000/Gasto_o_ing_total!N$485</f>
        <v>783.43832354943845</v>
      </c>
      <c r="P213" s="113">
        <f>Gasto_o_ing_total!O213*1000/Gasto_o_ing_total!O$485</f>
        <v>772.3236174729816</v>
      </c>
      <c r="Q213" s="113">
        <f>Gasto_o_ing_total!P213*1000/Gasto_o_ing_total!P$485</f>
        <v>1116.5224464552778</v>
      </c>
      <c r="R213" s="113">
        <f>Gasto_o_ing_total!Q213*1000/Gasto_o_ing_total!Q$485</f>
        <v>806.26323913847</v>
      </c>
      <c r="S213" s="113">
        <f>Gasto_o_ing_total!R213*1000/Gasto_o_ing_total!R$485</f>
        <v>998.11323929695664</v>
      </c>
      <c r="T213" s="113">
        <f>Gasto_o_ing_total!S213*1000/Gasto_o_ing_total!S$485</f>
        <v>917.64441143075999</v>
      </c>
      <c r="U213" s="113">
        <f>Gasto_o_ing_total!T213*1000/Gasto_o_ing_total!T$485</f>
        <v>902.44888891225878</v>
      </c>
      <c r="V213" s="113">
        <f>Gasto_o_ing_total!U213*1000/Gasto_o_ing_total!U$485</f>
        <v>462.76026708917794</v>
      </c>
      <c r="W213" s="122"/>
    </row>
    <row r="214" spans="1:23"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row>
    <row r="215" spans="1:23" s="102" customFormat="1" ht="13.5">
      <c r="A215" s="352"/>
      <c r="B215" s="115"/>
      <c r="C215" s="117" t="s">
        <v>54</v>
      </c>
      <c r="D215" s="113">
        <f>Gasto_o_ing_total!V215*1000/Gasto_o_ing_total!V$485</f>
        <v>170.81750580059219</v>
      </c>
      <c r="E215" s="113">
        <f>Gasto_o_ing_total!D215*1000/Gasto_o_ing_total!D$485</f>
        <v>164.22562072965223</v>
      </c>
      <c r="F215" s="113">
        <f>Gasto_o_ing_total!E215*1000/Gasto_o_ing_total!E$485</f>
        <v>198.26794779473431</v>
      </c>
      <c r="G215" s="113">
        <f>Gasto_o_ing_total!F215*1000/Gasto_o_ing_total!F$485</f>
        <v>200.31421533044485</v>
      </c>
      <c r="H215" s="113">
        <f>Gasto_o_ing_total!G215*1000/Gasto_o_ing_total!G$485</f>
        <v>131.83359502215785</v>
      </c>
      <c r="I215" s="113">
        <f>Gasto_o_ing_total!H215*1000/Gasto_o_ing_total!H$485</f>
        <v>390.8110924687337</v>
      </c>
      <c r="J215" s="113">
        <f>Gasto_o_ing_total!I215*1000/Gasto_o_ing_total!I$485</f>
        <v>175.19338353317656</v>
      </c>
      <c r="K215" s="113">
        <f>Gasto_o_ing_total!J215*1000/Gasto_o_ing_total!J$485</f>
        <v>239.98324447204084</v>
      </c>
      <c r="L215" s="113">
        <f>Gasto_o_ing_total!K215*1000/Gasto_o_ing_total!K$485</f>
        <v>206.35009670351553</v>
      </c>
      <c r="M215" s="113">
        <f>Gasto_o_ing_total!L215*1000/Gasto_o_ing_total!L$485</f>
        <v>133.92666526867853</v>
      </c>
      <c r="N215" s="113">
        <f>Gasto_o_ing_total!M215*1000/Gasto_o_ing_total!M$485</f>
        <v>145.47250706396946</v>
      </c>
      <c r="O215" s="113">
        <f>Gasto_o_ing_total!N215*1000/Gasto_o_ing_total!N$485</f>
        <v>244.43484760075691</v>
      </c>
      <c r="P215" s="113">
        <f>Gasto_o_ing_total!O215*1000/Gasto_o_ing_total!O$485</f>
        <v>189.25024849289602</v>
      </c>
      <c r="Q215" s="113">
        <f>Gasto_o_ing_total!P215*1000/Gasto_o_ing_total!P$485</f>
        <v>123.05216013940357</v>
      </c>
      <c r="R215" s="113">
        <f>Gasto_o_ing_total!Q215*1000/Gasto_o_ing_total!Q$485</f>
        <v>140.59432246824076</v>
      </c>
      <c r="S215" s="113">
        <f>Gasto_o_ing_total!R215*1000/Gasto_o_ing_total!R$485</f>
        <v>156.9189363991548</v>
      </c>
      <c r="T215" s="113">
        <f>Gasto_o_ing_total!S215*1000/Gasto_o_ing_total!S$485</f>
        <v>158.67984441527452</v>
      </c>
      <c r="U215" s="113">
        <f>Gasto_o_ing_total!T215*1000/Gasto_o_ing_total!T$485</f>
        <v>167.40884323968692</v>
      </c>
      <c r="V215" s="113">
        <f>Gasto_o_ing_total!U215*1000/Gasto_o_ing_total!U$485</f>
        <v>63.836130190175027</v>
      </c>
      <c r="W215" s="122"/>
    </row>
    <row r="216" spans="1:23" s="102" customFormat="1">
      <c r="A216" s="351" t="str">
        <f>IF(B216="","",(IF(ISERROR(MATCH(B216,Tot_res!C:C,0)),"Eliminar!!!","")))</f>
        <v/>
      </c>
      <c r="B216" s="115" t="s">
        <v>718</v>
      </c>
      <c r="C216" s="329" t="str">
        <f>VLOOKUP(B216,Tot_res!C:D,2,FALSE)</f>
        <v>Ajuste por competencias atípicas forales: financiación provincias</v>
      </c>
      <c r="D216" s="332">
        <f>Gasto_o_ing_total!V216*1000/Gasto_o_ing_total!V$485</f>
        <v>0.62622514266525886</v>
      </c>
      <c r="E216" s="332">
        <f>Gasto_o_ing_total!D216*1000/Gasto_o_ing_total!D$485</f>
        <v>0.49918386905622097</v>
      </c>
      <c r="F216" s="332">
        <f>Gasto_o_ing_total!E216*1000/Gasto_o_ing_total!E$485</f>
        <v>0.53287733350685829</v>
      </c>
      <c r="G216" s="332">
        <f>Gasto_o_ing_total!F216*1000/Gasto_o_ing_total!F$485</f>
        <v>0.59906763180997491</v>
      </c>
      <c r="H216" s="332">
        <f>Gasto_o_ing_total!G216*1000/Gasto_o_ing_total!G$485</f>
        <v>0.73869298765671421</v>
      </c>
      <c r="I216" s="332">
        <f>Gasto_o_ing_total!H216*1000/Gasto_o_ing_total!H$485</f>
        <v>0.67493564156655661</v>
      </c>
      <c r="J216" s="332">
        <f>Gasto_o_ing_total!I216*1000/Gasto_o_ing_total!I$485</f>
        <v>0.53917647710282957</v>
      </c>
      <c r="K216" s="332">
        <f>Gasto_o_ing_total!J216*1000/Gasto_o_ing_total!J$485</f>
        <v>0.7426470542046637</v>
      </c>
      <c r="L216" s="332">
        <f>Gasto_o_ing_total!K216*1000/Gasto_o_ing_total!K$485</f>
        <v>0.58000942046042803</v>
      </c>
      <c r="M216" s="332">
        <f>Gasto_o_ing_total!L216*1000/Gasto_o_ing_total!L$485</f>
        <v>0.85474874474354812</v>
      </c>
      <c r="N216" s="332">
        <f>Gasto_o_ing_total!M216*1000/Gasto_o_ing_total!M$485</f>
        <v>0.46150614894567971</v>
      </c>
      <c r="O216" s="332">
        <f>Gasto_o_ing_total!N216*1000/Gasto_o_ing_total!N$485</f>
        <v>0.57540976608445837</v>
      </c>
      <c r="P216" s="332">
        <f>Gasto_o_ing_total!O216*1000/Gasto_o_ing_total!O$485</f>
        <v>0.56168261801314423</v>
      </c>
      <c r="Q216" s="332">
        <f>Gasto_o_ing_total!P216*1000/Gasto_o_ing_total!P$485</f>
        <v>0.6933199901081617</v>
      </c>
      <c r="R216" s="332">
        <f>Gasto_o_ing_total!Q216*1000/Gasto_o_ing_total!Q$485</f>
        <v>0.49330949188611456</v>
      </c>
      <c r="S216" s="332">
        <f>Gasto_o_ing_total!R216*1000/Gasto_o_ing_total!R$485</f>
        <v>0.53238757603807485</v>
      </c>
      <c r="T216" s="332">
        <f>Gasto_o_ing_total!S216*1000/Gasto_o_ing_total!S$485</f>
        <v>0.57437146690383944</v>
      </c>
      <c r="U216" s="332">
        <f>Gasto_o_ing_total!T216*1000/Gasto_o_ing_total!T$485</f>
        <v>0.55858578267602654</v>
      </c>
      <c r="V216" s="332">
        <f>Gasto_o_ing_total!U216*1000/Gasto_o_ing_total!U$485</f>
        <v>1.4864142002068848</v>
      </c>
      <c r="W216" s="122"/>
    </row>
    <row r="217" spans="1:23"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Gasto_o_ing_total!V217*1000/Gasto_o_ing_total!V$485</f>
        <v>108.4644774268732</v>
      </c>
      <c r="E217" s="332">
        <f>Gasto_o_ing_total!D217*1000/Gasto_o_ing_total!D$485</f>
        <v>114.42498992342756</v>
      </c>
      <c r="F217" s="332">
        <f>Gasto_o_ing_total!E217*1000/Gasto_o_ing_total!E$485</f>
        <v>157.17394230245398</v>
      </c>
      <c r="G217" s="332">
        <f>Gasto_o_ing_total!F217*1000/Gasto_o_ing_total!F$485</f>
        <v>174.55902585205288</v>
      </c>
      <c r="H217" s="332">
        <f>Gasto_o_ing_total!G217*1000/Gasto_o_ing_total!G$485</f>
        <v>89.526578161084558</v>
      </c>
      <c r="I217" s="332">
        <f>Gasto_o_ing_total!H217*1000/Gasto_o_ing_total!H$485</f>
        <v>170.89504106064959</v>
      </c>
      <c r="J217" s="332">
        <f>Gasto_o_ing_total!I217*1000/Gasto_o_ing_total!I$485</f>
        <v>0.14807866522978103</v>
      </c>
      <c r="K217" s="332">
        <f>Gasto_o_ing_total!J217*1000/Gasto_o_ing_total!J$485</f>
        <v>221.35618425148215</v>
      </c>
      <c r="L217" s="332">
        <f>Gasto_o_ing_total!K217*1000/Gasto_o_ing_total!K$485</f>
        <v>191.56263433581404</v>
      </c>
      <c r="M217" s="332">
        <f>Gasto_o_ing_total!L217*1000/Gasto_o_ing_total!L$485</f>
        <v>97.84689655805758</v>
      </c>
      <c r="N217" s="332">
        <f>Gasto_o_ing_total!M217*1000/Gasto_o_ing_total!M$485</f>
        <v>128.34614885554933</v>
      </c>
      <c r="O217" s="332">
        <f>Gasto_o_ing_total!N217*1000/Gasto_o_ing_total!N$485</f>
        <v>231.44974391928594</v>
      </c>
      <c r="P217" s="332">
        <f>Gasto_o_ing_total!O217*1000/Gasto_o_ing_total!O$485</f>
        <v>170.76199970370592</v>
      </c>
      <c r="Q217" s="332">
        <f>Gasto_o_ing_total!P217*1000/Gasto_o_ing_total!P$485</f>
        <v>2.4173250117364735</v>
      </c>
      <c r="R217" s="332">
        <f>Gasto_o_ing_total!Q217*1000/Gasto_o_ing_total!Q$485</f>
        <v>124.02796108934034</v>
      </c>
      <c r="S217" s="332">
        <f>Gasto_o_ing_total!R217*1000/Gasto_o_ing_total!R$485</f>
        <v>0.13876417543273606</v>
      </c>
      <c r="T217" s="332">
        <f>Gasto_o_ing_total!S217*1000/Gasto_o_ing_total!S$485</f>
        <v>0.12049774315809862</v>
      </c>
      <c r="U217" s="332">
        <f>Gasto_o_ing_total!T217*1000/Gasto_o_ing_total!T$485</f>
        <v>1.9478367436778268</v>
      </c>
      <c r="V217" s="332">
        <f>Gasto_o_ing_total!U217*1000/Gasto_o_ing_total!U$485</f>
        <v>65.911229020479254</v>
      </c>
      <c r="W217" s="122"/>
    </row>
    <row r="218" spans="1:23" s="102" customFormat="1">
      <c r="A218" s="351" t="str">
        <f>IF(B218="","",(IF(ISERROR(MATCH(B218,Tot_res!C:C,0)),"Eliminar!!!","")))</f>
        <v/>
      </c>
      <c r="B218" s="115" t="s">
        <v>473</v>
      </c>
      <c r="C218" s="329" t="str">
        <f>VLOOKUP(B218,Tot_res!C:D,2,FALSE)</f>
        <v>Otros flujos de financiación local, reintegros parciales de saldos pendientes</v>
      </c>
      <c r="D218" s="332">
        <f>Gasto_o_ing_total!V218*1000/Gasto_o_ing_total!V$485</f>
        <v>-5.0819848424964809</v>
      </c>
      <c r="E218" s="332">
        <f>Gasto_o_ing_total!D218*1000/Gasto_o_ing_total!D$485</f>
        <v>-5.3661069147546963</v>
      </c>
      <c r="F218" s="332">
        <f>Gasto_o_ing_total!E218*1000/Gasto_o_ing_total!E$485</f>
        <v>-13.560047487318554</v>
      </c>
      <c r="G218" s="332">
        <f>Gasto_o_ing_total!F218*1000/Gasto_o_ing_total!F$485</f>
        <v>-5.0686153853434837</v>
      </c>
      <c r="H218" s="332">
        <f>Gasto_o_ing_total!G218*1000/Gasto_o_ing_total!G$485</f>
        <v>-8.6638329722847907</v>
      </c>
      <c r="I218" s="332">
        <f>Gasto_o_ing_total!H218*1000/Gasto_o_ing_total!H$485</f>
        <v>-6.7181810321272577</v>
      </c>
      <c r="J218" s="332">
        <f>Gasto_o_ing_total!I218*1000/Gasto_o_ing_total!I$485</f>
        <v>0</v>
      </c>
      <c r="K218" s="332">
        <f>Gasto_o_ing_total!J218*1000/Gasto_o_ing_total!J$485</f>
        <v>-10.175148377983435</v>
      </c>
      <c r="L218" s="332">
        <f>Gasto_o_ing_total!K218*1000/Gasto_o_ing_total!K$485</f>
        <v>-7.9077688879264887</v>
      </c>
      <c r="M218" s="332">
        <f>Gasto_o_ing_total!L218*1000/Gasto_o_ing_total!L$485</f>
        <v>-4.3794063582446796</v>
      </c>
      <c r="N218" s="332">
        <f>Gasto_o_ing_total!M218*1000/Gasto_o_ing_total!M$485</f>
        <v>-6.9015121856790209</v>
      </c>
      <c r="O218" s="332">
        <f>Gasto_o_ing_total!N218*1000/Gasto_o_ing_total!N$485</f>
        <v>-8.6881768415906269</v>
      </c>
      <c r="P218" s="332">
        <f>Gasto_o_ing_total!O218*1000/Gasto_o_ing_total!O$485</f>
        <v>-7.5873980896333233</v>
      </c>
      <c r="Q218" s="332">
        <f>Gasto_o_ing_total!P218*1000/Gasto_o_ing_total!P$485</f>
        <v>0</v>
      </c>
      <c r="R218" s="332">
        <f>Gasto_o_ing_total!Q218*1000/Gasto_o_ing_total!Q$485</f>
        <v>-3.6350337308877054</v>
      </c>
      <c r="S218" s="332">
        <f>Gasto_o_ing_total!R218*1000/Gasto_o_ing_total!R$485</f>
        <v>-1.0250798819292795E-2</v>
      </c>
      <c r="T218" s="332">
        <f>Gasto_o_ing_total!S218*1000/Gasto_o_ing_total!S$485</f>
        <v>-8.6679173969826263E-3</v>
      </c>
      <c r="U218" s="332">
        <f>Gasto_o_ing_total!T218*1000/Gasto_o_ing_total!T$485</f>
        <v>0</v>
      </c>
      <c r="V218" s="332">
        <f>Gasto_o_ing_total!U218*1000/Gasto_o_ing_total!U$485</f>
        <v>-3.561513030511112</v>
      </c>
      <c r="W218" s="122"/>
    </row>
    <row r="219" spans="1:23" s="102" customFormat="1">
      <c r="A219" s="351" t="str">
        <f>IF(B219="","",(IF(ISERROR(MATCH(B219,Tot_res!C:C,0)),"Eliminar!!!","")))</f>
        <v/>
      </c>
      <c r="B219" s="115" t="s">
        <v>231</v>
      </c>
      <c r="C219" s="329" t="str">
        <f>VLOOKUP(B219,Tot_res!C:D,2,FALSE)</f>
        <v>Hospitales provinciales asumidos por CCAA</v>
      </c>
      <c r="D219" s="332">
        <f>Gasto_o_ing_total!V219*1000/Gasto_o_ing_total!V$485</f>
        <v>8.8753983694479235</v>
      </c>
      <c r="E219" s="332">
        <f>Gasto_o_ing_total!D219*1000/Gasto_o_ing_total!D$485</f>
        <v>34.40797773695904</v>
      </c>
      <c r="F219" s="332">
        <f>Gasto_o_ing_total!E219*1000/Gasto_o_ing_total!E$485</f>
        <v>23.490098661551897</v>
      </c>
      <c r="G219" s="332">
        <f>Gasto_o_ing_total!F219*1000/Gasto_o_ing_total!F$485</f>
        <v>0</v>
      </c>
      <c r="H219" s="332">
        <f>Gasto_o_ing_total!G219*1000/Gasto_o_ing_total!G$485</f>
        <v>19.500395718378424</v>
      </c>
      <c r="I219" s="332">
        <f>Gasto_o_ing_total!H219*1000/Gasto_o_ing_total!H$485</f>
        <v>0</v>
      </c>
      <c r="J219" s="332">
        <f>Gasto_o_ing_total!I219*1000/Gasto_o_ing_total!I$485</f>
        <v>0</v>
      </c>
      <c r="K219" s="332">
        <f>Gasto_o_ing_total!J219*1000/Gasto_o_ing_total!J$485</f>
        <v>0</v>
      </c>
      <c r="L219" s="332">
        <f>Gasto_o_ing_total!K219*1000/Gasto_o_ing_total!K$485</f>
        <v>0</v>
      </c>
      <c r="M219" s="332">
        <f>Gasto_o_ing_total!L219*1000/Gasto_o_ing_total!L$485</f>
        <v>9.6944592242155245</v>
      </c>
      <c r="N219" s="332">
        <f>Gasto_o_ing_total!M219*1000/Gasto_o_ing_total!M$485</f>
        <v>0</v>
      </c>
      <c r="O219" s="332">
        <f>Gasto_o_ing_total!N219*1000/Gasto_o_ing_total!N$485</f>
        <v>0</v>
      </c>
      <c r="P219" s="332">
        <f>Gasto_o_ing_total!O219*1000/Gasto_o_ing_total!O$485</f>
        <v>0</v>
      </c>
      <c r="Q219" s="332">
        <f>Gasto_o_ing_total!P219*1000/Gasto_o_ing_total!P$485</f>
        <v>0</v>
      </c>
      <c r="R219" s="332">
        <f>Gasto_o_ing_total!Q219*1000/Gasto_o_ing_total!Q$485</f>
        <v>0</v>
      </c>
      <c r="S219" s="332">
        <f>Gasto_o_ing_total!R219*1000/Gasto_o_ing_total!R$485</f>
        <v>0</v>
      </c>
      <c r="T219" s="332">
        <f>Gasto_o_ing_total!S219*1000/Gasto_o_ing_total!S$485</f>
        <v>0</v>
      </c>
      <c r="U219" s="332">
        <f>Gasto_o_ing_total!T219*1000/Gasto_o_ing_total!T$485</f>
        <v>0</v>
      </c>
      <c r="V219" s="332">
        <f>Gasto_o_ing_total!U219*1000/Gasto_o_ing_total!U$485</f>
        <v>0</v>
      </c>
      <c r="W219" s="122"/>
    </row>
    <row r="220" spans="1:23" s="102" customFormat="1">
      <c r="A220" s="351" t="str">
        <f>IF(B220="","",(IF(ISERROR(MATCH(B220,Tot_res!C:C,0)),"Eliminar!!!","")))</f>
        <v/>
      </c>
      <c r="B220" s="115" t="s">
        <v>232</v>
      </c>
      <c r="C220" s="329" t="str">
        <f>VLOOKUP(B220,Tot_res!C:D,2,FALSE)</f>
        <v>Participación provincial en ingresos del Estado integrada en Fondo de Suficiencia</v>
      </c>
      <c r="D220" s="332">
        <f>Gasto_o_ing_total!V220*1000/Gasto_o_ing_total!V$485</f>
        <v>19.283389901541398</v>
      </c>
      <c r="E220" s="332">
        <f>Gasto_o_ing_total!D220*1000/Gasto_o_ing_total!D$485</f>
        <v>0</v>
      </c>
      <c r="F220" s="332">
        <f>Gasto_o_ing_total!E220*1000/Gasto_o_ing_total!E$485</f>
        <v>0</v>
      </c>
      <c r="G220" s="332">
        <f>Gasto_o_ing_total!F220*1000/Gasto_o_ing_total!F$485</f>
        <v>0</v>
      </c>
      <c r="H220" s="332">
        <f>Gasto_o_ing_total!G220*1000/Gasto_o_ing_total!G$485</f>
        <v>0</v>
      </c>
      <c r="I220" s="332">
        <f>Gasto_o_ing_total!H220*1000/Gasto_o_ing_total!H$485</f>
        <v>0</v>
      </c>
      <c r="J220" s="332">
        <f>Gasto_o_ing_total!I220*1000/Gasto_o_ing_total!I$485</f>
        <v>172.80580994745114</v>
      </c>
      <c r="K220" s="332">
        <f>Gasto_o_ing_total!J220*1000/Gasto_o_ing_total!J$485</f>
        <v>0</v>
      </c>
      <c r="L220" s="332">
        <f>Gasto_o_ing_total!K220*1000/Gasto_o_ing_total!K$485</f>
        <v>0</v>
      </c>
      <c r="M220" s="332">
        <f>Gasto_o_ing_total!L220*1000/Gasto_o_ing_total!L$485</f>
        <v>0</v>
      </c>
      <c r="N220" s="332">
        <f>Gasto_o_ing_total!M220*1000/Gasto_o_ing_total!M$485</f>
        <v>0</v>
      </c>
      <c r="O220" s="332">
        <f>Gasto_o_ing_total!N220*1000/Gasto_o_ing_total!N$485</f>
        <v>0</v>
      </c>
      <c r="P220" s="332">
        <f>Gasto_o_ing_total!O220*1000/Gasto_o_ing_total!O$485</f>
        <v>0</v>
      </c>
      <c r="Q220" s="332">
        <f>Gasto_o_ing_total!P220*1000/Gasto_o_ing_total!P$485</f>
        <v>116.03029164624269</v>
      </c>
      <c r="R220" s="332">
        <f>Gasto_o_ing_total!Q220*1000/Gasto_o_ing_total!Q$485</f>
        <v>0</v>
      </c>
      <c r="S220" s="332">
        <f>Gasto_o_ing_total!R220*1000/Gasto_o_ing_total!R$485</f>
        <v>0</v>
      </c>
      <c r="T220" s="332">
        <f>Gasto_o_ing_total!S220*1000/Gasto_o_ing_total!S$485</f>
        <v>0</v>
      </c>
      <c r="U220" s="332">
        <f>Gasto_o_ing_total!T220*1000/Gasto_o_ing_total!T$485</f>
        <v>160.90362469726526</v>
      </c>
      <c r="V220" s="332">
        <f>Gasto_o_ing_total!U220*1000/Gasto_o_ing_total!U$485</f>
        <v>0</v>
      </c>
      <c r="W220" s="122"/>
    </row>
    <row r="221" spans="1:23" s="102" customFormat="1">
      <c r="A221" s="351" t="str">
        <f>IF(B221="","",(IF(ISERROR(MATCH(B221,Tot_res!C:C,0)),"Eliminar!!!","")))</f>
        <v/>
      </c>
      <c r="B221" s="115" t="s">
        <v>233</v>
      </c>
      <c r="C221" s="329" t="str">
        <f>VLOOKUP(B221,Tot_res!C:D,2,FALSE)</f>
        <v>Participación de las provincias en el IRPF, IVA e Impuestos Especiales</v>
      </c>
      <c r="D221" s="332">
        <f>Gasto_o_ing_total!V221*1000/Gasto_o_ing_total!V$485</f>
        <v>15.375705359441351</v>
      </c>
      <c r="E221" s="332">
        <f>Gasto_o_ing_total!D221*1000/Gasto_o_ing_total!D$485</f>
        <v>16.677359223795616</v>
      </c>
      <c r="F221" s="332">
        <f>Gasto_o_ing_total!E221*1000/Gasto_o_ing_total!E$485</f>
        <v>23.593510475054778</v>
      </c>
      <c r="G221" s="332">
        <f>Gasto_o_ing_total!F221*1000/Gasto_o_ing_total!F$485</f>
        <v>23.034624628191871</v>
      </c>
      <c r="H221" s="332">
        <f>Gasto_o_ing_total!G221*1000/Gasto_o_ing_total!G$485</f>
        <v>27.345457360113883</v>
      </c>
      <c r="I221" s="332">
        <f>Gasto_o_ing_total!H221*1000/Gasto_o_ing_total!H$485</f>
        <v>6.571517290465601</v>
      </c>
      <c r="J221" s="332">
        <f>Gasto_o_ing_total!I221*1000/Gasto_o_ing_total!I$485</f>
        <v>0</v>
      </c>
      <c r="K221" s="332">
        <f>Gasto_o_ing_total!J221*1000/Gasto_o_ing_total!J$485</f>
        <v>22.077045531144336</v>
      </c>
      <c r="L221" s="332">
        <f>Gasto_o_ing_total!K221*1000/Gasto_o_ing_total!K$485</f>
        <v>18.002363414199127</v>
      </c>
      <c r="M221" s="332">
        <f>Gasto_o_ing_total!L221*1000/Gasto_o_ing_total!L$485</f>
        <v>25.417799816317402</v>
      </c>
      <c r="N221" s="332">
        <f>Gasto_o_ing_total!M221*1000/Gasto_o_ing_total!M$485</f>
        <v>19.315424851132139</v>
      </c>
      <c r="O221" s="332">
        <f>Gasto_o_ing_total!N221*1000/Gasto_o_ing_total!N$485</f>
        <v>16.41289559702075</v>
      </c>
      <c r="P221" s="332">
        <f>Gasto_o_ing_total!O221*1000/Gasto_o_ing_total!O$485</f>
        <v>20.241669430739631</v>
      </c>
      <c r="Q221" s="332">
        <f>Gasto_o_ing_total!P221*1000/Gasto_o_ing_total!P$485</f>
        <v>0</v>
      </c>
      <c r="R221" s="332">
        <f>Gasto_o_ing_total!Q221*1000/Gasto_o_ing_total!Q$485</f>
        <v>17.338455795393891</v>
      </c>
      <c r="S221" s="332">
        <f>Gasto_o_ing_total!R221*1000/Gasto_o_ing_total!R$485</f>
        <v>0</v>
      </c>
      <c r="T221" s="332">
        <f>Gasto_o_ing_total!S221*1000/Gasto_o_ing_total!S$485</f>
        <v>0</v>
      </c>
      <c r="U221" s="332">
        <f>Gasto_o_ing_total!T221*1000/Gasto_o_ing_total!T$485</f>
        <v>0</v>
      </c>
      <c r="V221" s="332">
        <f>Gasto_o_ing_total!U221*1000/Gasto_o_ing_total!U$485</f>
        <v>0</v>
      </c>
      <c r="W221" s="105"/>
    </row>
    <row r="222" spans="1:23" s="102" customFormat="1">
      <c r="A222" s="351" t="str">
        <f>IF(B222="","",(IF(ISERROR(MATCH(B222,Tot_res!C:C,0)),"Eliminar!!!","")))</f>
        <v/>
      </c>
      <c r="B222" s="115" t="s">
        <v>724</v>
      </c>
      <c r="C222" s="329" t="str">
        <f>VLOOKUP(B222,Tot_res!C:D,2,FALSE)</f>
        <v>Recursos REF de los cabildos canarios</v>
      </c>
      <c r="D222" s="332">
        <f>Gasto_o_ing_total!V222*1000/Gasto_o_ing_total!V$485</f>
        <v>9.7641399098459107</v>
      </c>
      <c r="E222" s="332">
        <f>Gasto_o_ing_total!D222*1000/Gasto_o_ing_total!D$485</f>
        <v>0</v>
      </c>
      <c r="F222" s="332">
        <f>Gasto_o_ing_total!E222*1000/Gasto_o_ing_total!E$485</f>
        <v>0</v>
      </c>
      <c r="G222" s="332">
        <f>Gasto_o_ing_total!F222*1000/Gasto_o_ing_total!F$485</f>
        <v>0</v>
      </c>
      <c r="H222" s="332">
        <f>Gasto_o_ing_total!G222*1000/Gasto_o_ing_total!G$485</f>
        <v>0</v>
      </c>
      <c r="I222" s="332">
        <f>Gasto_o_ing_total!H222*1000/Gasto_o_ing_total!H$485</f>
        <v>216.86151393817531</v>
      </c>
      <c r="J222" s="332">
        <f>Gasto_o_ing_total!I222*1000/Gasto_o_ing_total!I$485</f>
        <v>0</v>
      </c>
      <c r="K222" s="332">
        <f>Gasto_o_ing_total!J222*1000/Gasto_o_ing_total!J$485</f>
        <v>0</v>
      </c>
      <c r="L222" s="332">
        <f>Gasto_o_ing_total!K222*1000/Gasto_o_ing_total!K$485</f>
        <v>0</v>
      </c>
      <c r="M222" s="332">
        <f>Gasto_o_ing_total!L222*1000/Gasto_o_ing_total!L$485</f>
        <v>0</v>
      </c>
      <c r="N222" s="332">
        <f>Gasto_o_ing_total!M222*1000/Gasto_o_ing_total!M$485</f>
        <v>0</v>
      </c>
      <c r="O222" s="332">
        <f>Gasto_o_ing_total!N222*1000/Gasto_o_ing_total!N$485</f>
        <v>0</v>
      </c>
      <c r="P222" s="332">
        <f>Gasto_o_ing_total!O222*1000/Gasto_o_ing_total!O$485</f>
        <v>0</v>
      </c>
      <c r="Q222" s="332">
        <f>Gasto_o_ing_total!P222*1000/Gasto_o_ing_total!P$485</f>
        <v>0</v>
      </c>
      <c r="R222" s="332">
        <f>Gasto_o_ing_total!Q222*1000/Gasto_o_ing_total!Q$485</f>
        <v>0</v>
      </c>
      <c r="S222" s="332">
        <f>Gasto_o_ing_total!R222*1000/Gasto_o_ing_total!R$485</f>
        <v>0</v>
      </c>
      <c r="T222" s="332">
        <f>Gasto_o_ing_total!S222*1000/Gasto_o_ing_total!S$485</f>
        <v>0</v>
      </c>
      <c r="U222" s="332">
        <f>Gasto_o_ing_total!T222*1000/Gasto_o_ing_total!T$485</f>
        <v>0</v>
      </c>
      <c r="V222" s="332">
        <f>Gasto_o_ing_total!U222*1000/Gasto_o_ing_total!U$485</f>
        <v>0</v>
      </c>
      <c r="W222" s="144"/>
    </row>
    <row r="223" spans="1:23" s="102" customFormat="1">
      <c r="A223" s="351" t="str">
        <f>IF(B223="","",(IF(ISERROR(MATCH(B223,Tot_res!C:C,0)),"Eliminar!!!","")))</f>
        <v/>
      </c>
      <c r="B223" s="115" t="s">
        <v>236</v>
      </c>
      <c r="C223" s="329" t="str">
        <f>VLOOKUP(B223,Tot_res!C:D,2,FALSE)</f>
        <v>Recargo provincial sobre el IAE</v>
      </c>
      <c r="D223" s="332">
        <f>Gasto_o_ing_total!V223*1000/Gasto_o_ing_total!V$485</f>
        <v>4.0405919249642741</v>
      </c>
      <c r="E223" s="332">
        <f>Gasto_o_ing_total!D223*1000/Gasto_o_ing_total!D$485</f>
        <v>3.5822168911684944</v>
      </c>
      <c r="F223" s="332">
        <f>Gasto_o_ing_total!E223*1000/Gasto_o_ing_total!E$485</f>
        <v>7.037566509485357</v>
      </c>
      <c r="G223" s="332">
        <f>Gasto_o_ing_total!F223*1000/Gasto_o_ing_total!F$485</f>
        <v>7.1901126037335805</v>
      </c>
      <c r="H223" s="332">
        <f>Gasto_o_ing_total!G223*1000/Gasto_o_ing_total!G$485</f>
        <v>3.3863037672090623</v>
      </c>
      <c r="I223" s="332">
        <f>Gasto_o_ing_total!H223*1000/Gasto_o_ing_total!H$485</f>
        <v>2.5262655700038121</v>
      </c>
      <c r="J223" s="332">
        <f>Gasto_o_ing_total!I223*1000/Gasto_o_ing_total!I$485</f>
        <v>1.7003184433928107</v>
      </c>
      <c r="K223" s="332">
        <f>Gasto_o_ing_total!J223*1000/Gasto_o_ing_total!J$485</f>
        <v>5.9825160131930915</v>
      </c>
      <c r="L223" s="332">
        <f>Gasto_o_ing_total!K223*1000/Gasto_o_ing_total!K$485</f>
        <v>4.1128584209684274</v>
      </c>
      <c r="M223" s="332">
        <f>Gasto_o_ing_total!L223*1000/Gasto_o_ing_total!L$485</f>
        <v>4.4921672835891693</v>
      </c>
      <c r="N223" s="332">
        <f>Gasto_o_ing_total!M223*1000/Gasto_o_ing_total!M$485</f>
        <v>4.2509393940213309</v>
      </c>
      <c r="O223" s="332">
        <f>Gasto_o_ing_total!N223*1000/Gasto_o_ing_total!N$485</f>
        <v>4.6849751599563811</v>
      </c>
      <c r="P223" s="332">
        <f>Gasto_o_ing_total!O223*1000/Gasto_o_ing_total!O$485</f>
        <v>5.2722948300706323</v>
      </c>
      <c r="Q223" s="332">
        <f>Gasto_o_ing_total!P223*1000/Gasto_o_ing_total!P$485</f>
        <v>3.9112234913162505</v>
      </c>
      <c r="R223" s="332">
        <f>Gasto_o_ing_total!Q223*1000/Gasto_o_ing_total!Q$485</f>
        <v>2.3696298225081165</v>
      </c>
      <c r="S223" s="332">
        <f>Gasto_o_ing_total!R223*1000/Gasto_o_ing_total!R$485</f>
        <v>0</v>
      </c>
      <c r="T223" s="332">
        <f>Gasto_o_ing_total!S223*1000/Gasto_o_ing_total!S$485</f>
        <v>1.718924125253926</v>
      </c>
      <c r="U223" s="332">
        <f>Gasto_o_ing_total!T223*1000/Gasto_o_ing_total!T$485</f>
        <v>3.9987960160677933</v>
      </c>
      <c r="V223" s="332">
        <f>Gasto_o_ing_total!U223*1000/Gasto_o_ing_total!U$485</f>
        <v>0</v>
      </c>
      <c r="W223" s="105"/>
    </row>
    <row r="224" spans="1:23" s="102" customFormat="1">
      <c r="A224" s="351" t="str">
        <f>IF(B224="","",(IF(ISERROR(MATCH(B224,Tot_res!C:C,0)),"Eliminar!!!","")))</f>
        <v/>
      </c>
      <c r="B224" s="115" t="s">
        <v>222</v>
      </c>
      <c r="C224" s="329" t="str">
        <f>VLOOKUP(B224,Tot_res!C:D,2,FALSE)</f>
        <v>Ajuste por competencias atípicas forales: financiación provincias</v>
      </c>
      <c r="D224" s="332">
        <f>Gasto_o_ing_total!V224*1000/Gasto_o_ing_total!V$485</f>
        <v>9.4695626083093725</v>
      </c>
      <c r="E224" s="332">
        <f>Gasto_o_ing_total!D224*1000/Gasto_o_ing_total!D$485</f>
        <v>0</v>
      </c>
      <c r="F224" s="332">
        <f>Gasto_o_ing_total!E224*1000/Gasto_o_ing_total!E$485</f>
        <v>0</v>
      </c>
      <c r="G224" s="332">
        <f>Gasto_o_ing_total!F224*1000/Gasto_o_ing_total!F$485</f>
        <v>0</v>
      </c>
      <c r="H224" s="332">
        <f>Gasto_o_ing_total!G224*1000/Gasto_o_ing_total!G$485</f>
        <v>0</v>
      </c>
      <c r="I224" s="332">
        <f>Gasto_o_ing_total!H224*1000/Gasto_o_ing_total!H$485</f>
        <v>0</v>
      </c>
      <c r="J224" s="332">
        <f>Gasto_o_ing_total!I224*1000/Gasto_o_ing_total!I$485</f>
        <v>0</v>
      </c>
      <c r="K224" s="332">
        <f>Gasto_o_ing_total!J224*1000/Gasto_o_ing_total!J$485</f>
        <v>0</v>
      </c>
      <c r="L224" s="332">
        <f>Gasto_o_ing_total!K224*1000/Gasto_o_ing_total!K$485</f>
        <v>0</v>
      </c>
      <c r="M224" s="332">
        <f>Gasto_o_ing_total!L224*1000/Gasto_o_ing_total!L$485</f>
        <v>0</v>
      </c>
      <c r="N224" s="332">
        <f>Gasto_o_ing_total!M224*1000/Gasto_o_ing_total!M$485</f>
        <v>0</v>
      </c>
      <c r="O224" s="332">
        <f>Gasto_o_ing_total!N224*1000/Gasto_o_ing_total!N$485</f>
        <v>0</v>
      </c>
      <c r="P224" s="332">
        <f>Gasto_o_ing_total!O224*1000/Gasto_o_ing_total!O$485</f>
        <v>0</v>
      </c>
      <c r="Q224" s="332">
        <f>Gasto_o_ing_total!P224*1000/Gasto_o_ing_total!P$485</f>
        <v>0</v>
      </c>
      <c r="R224" s="332">
        <f>Gasto_o_ing_total!Q224*1000/Gasto_o_ing_total!Q$485</f>
        <v>0</v>
      </c>
      <c r="S224" s="332">
        <f>Gasto_o_ing_total!R224*1000/Gasto_o_ing_total!R$485</f>
        <v>156.25803544650327</v>
      </c>
      <c r="T224" s="332">
        <f>Gasto_o_ing_total!S224*1000/Gasto_o_ing_total!S$485</f>
        <v>156.27471899735562</v>
      </c>
      <c r="U224" s="332">
        <f>Gasto_o_ing_total!T224*1000/Gasto_o_ing_total!T$485</f>
        <v>0</v>
      </c>
      <c r="V224" s="332">
        <f>Gasto_o_ing_total!U224*1000/Gasto_o_ing_total!U$485</f>
        <v>0</v>
      </c>
      <c r="W224" s="105"/>
    </row>
    <row r="225" spans="1:24" s="102" customFormat="1">
      <c r="A225" s="352"/>
      <c r="B225" s="115"/>
      <c r="D225" s="116"/>
      <c r="E225" s="116"/>
      <c r="F225" s="116"/>
      <c r="G225" s="116"/>
      <c r="H225" s="116"/>
      <c r="I225" s="116"/>
      <c r="J225" s="116"/>
      <c r="K225" s="116"/>
      <c r="L225" s="116"/>
      <c r="M225" s="116"/>
      <c r="N225" s="116"/>
      <c r="O225" s="116"/>
      <c r="P225" s="116"/>
      <c r="Q225" s="116"/>
      <c r="R225" s="116"/>
      <c r="S225" s="116"/>
      <c r="T225" s="116"/>
      <c r="U225" s="116"/>
      <c r="V225" s="116"/>
      <c r="W225" s="105"/>
    </row>
    <row r="226" spans="1:24" s="102" customFormat="1" ht="13.5">
      <c r="A226" s="352"/>
      <c r="B226" s="115"/>
      <c r="C226" s="128" t="s">
        <v>464</v>
      </c>
      <c r="D226" s="113">
        <f>Gasto_o_ing_total!V226*1000/Gasto_o_ing_total!V$485</f>
        <v>776.76489320251187</v>
      </c>
      <c r="E226" s="113">
        <f>Gasto_o_ing_total!D226*1000/Gasto_o_ing_total!D$485</f>
        <v>661.92241125286557</v>
      </c>
      <c r="F226" s="113">
        <f>Gasto_o_ing_total!E226*1000/Gasto_o_ing_total!E$485</f>
        <v>823.46111273214945</v>
      </c>
      <c r="G226" s="113">
        <f>Gasto_o_ing_total!F226*1000/Gasto_o_ing_total!F$485</f>
        <v>693.53307306345027</v>
      </c>
      <c r="H226" s="113">
        <f>Gasto_o_ing_total!G226*1000/Gasto_o_ing_total!G$485</f>
        <v>892.23248606470247</v>
      </c>
      <c r="I226" s="113">
        <f>Gasto_o_ing_total!H226*1000/Gasto_o_ing_total!H$485</f>
        <v>739.03196944893455</v>
      </c>
      <c r="J226" s="113">
        <f>Gasto_o_ing_total!I226*1000/Gasto_o_ing_total!I$485</f>
        <v>768.72743292571226</v>
      </c>
      <c r="K226" s="113">
        <f>Gasto_o_ing_total!J226*1000/Gasto_o_ing_total!J$485</f>
        <v>686.13841601921274</v>
      </c>
      <c r="L226" s="113">
        <f>Gasto_o_ing_total!K226*1000/Gasto_o_ing_total!K$485</f>
        <v>650.49514638246933</v>
      </c>
      <c r="M226" s="113">
        <f>Gasto_o_ing_total!L226*1000/Gasto_o_ing_total!L$485</f>
        <v>950.32113520710254</v>
      </c>
      <c r="N226" s="113">
        <f>Gasto_o_ing_total!M226*1000/Gasto_o_ing_total!M$485</f>
        <v>729.20546647846129</v>
      </c>
      <c r="O226" s="113">
        <f>Gasto_o_ing_total!N226*1000/Gasto_o_ing_total!N$485</f>
        <v>539.00347594868151</v>
      </c>
      <c r="P226" s="113">
        <f>Gasto_o_ing_total!O226*1000/Gasto_o_ing_total!O$485</f>
        <v>583.07336898008543</v>
      </c>
      <c r="Q226" s="113">
        <f>Gasto_o_ing_total!P226*1000/Gasto_o_ing_total!P$485</f>
        <v>993.4702863158742</v>
      </c>
      <c r="R226" s="113">
        <f>Gasto_o_ing_total!Q226*1000/Gasto_o_ing_total!Q$485</f>
        <v>665.66891667022935</v>
      </c>
      <c r="S226" s="113">
        <f>Gasto_o_ing_total!R226*1000/Gasto_o_ing_total!R$485</f>
        <v>841.19430289780166</v>
      </c>
      <c r="T226" s="113">
        <f>Gasto_o_ing_total!S226*1000/Gasto_o_ing_total!S$485</f>
        <v>758.96456701548561</v>
      </c>
      <c r="U226" s="113">
        <f>Gasto_o_ing_total!T226*1000/Gasto_o_ing_total!T$485</f>
        <v>735.04004567257186</v>
      </c>
      <c r="V226" s="113">
        <f>Gasto_o_ing_total!U226*1000/Gasto_o_ing_total!U$485</f>
        <v>398.92413689900297</v>
      </c>
      <c r="W226" s="105"/>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Gasto_o_ing_total!V227*1000/Gasto_o_ing_total!V$485</f>
        <v>224.42751665341257</v>
      </c>
      <c r="E227" s="332">
        <f>Gasto_o_ing_total!D227*1000/Gasto_o_ing_total!D$485</f>
        <v>225.74633765338353</v>
      </c>
      <c r="F227" s="332">
        <f>Gasto_o_ing_total!E227*1000/Gasto_o_ing_total!E$485</f>
        <v>263.98554397797841</v>
      </c>
      <c r="G227" s="332">
        <f>Gasto_o_ing_total!F227*1000/Gasto_o_ing_total!F$485</f>
        <v>203.31739799383342</v>
      </c>
      <c r="H227" s="332">
        <f>Gasto_o_ing_total!G227*1000/Gasto_o_ing_total!G$485</f>
        <v>194.06899103726994</v>
      </c>
      <c r="I227" s="332">
        <f>Gasto_o_ing_total!H227*1000/Gasto_o_ing_total!H$485</f>
        <v>209.43436067119117</v>
      </c>
      <c r="J227" s="332">
        <f>Gasto_o_ing_total!I227*1000/Gasto_o_ing_total!I$485</f>
        <v>198.93680166292532</v>
      </c>
      <c r="K227" s="332">
        <f>Gasto_o_ing_total!J227*1000/Gasto_o_ing_total!J$485</f>
        <v>191.20601465478467</v>
      </c>
      <c r="L227" s="332">
        <f>Gasto_o_ing_total!K227*1000/Gasto_o_ing_total!K$485</f>
        <v>177.96477681629037</v>
      </c>
      <c r="M227" s="332">
        <f>Gasto_o_ing_total!L227*1000/Gasto_o_ing_total!L$485</f>
        <v>291.48863080204461</v>
      </c>
      <c r="N227" s="332">
        <f>Gasto_o_ing_total!M227*1000/Gasto_o_ing_total!M$485</f>
        <v>226.39400476068724</v>
      </c>
      <c r="O227" s="332">
        <f>Gasto_o_ing_total!N227*1000/Gasto_o_ing_total!N$485</f>
        <v>180.42920623598431</v>
      </c>
      <c r="P227" s="332">
        <f>Gasto_o_ing_total!O227*1000/Gasto_o_ing_total!O$485</f>
        <v>193.85291527778844</v>
      </c>
      <c r="Q227" s="332">
        <f>Gasto_o_ing_total!P227*1000/Gasto_o_ing_total!P$485</f>
        <v>307.17901989351697</v>
      </c>
      <c r="R227" s="332">
        <f>Gasto_o_ing_total!Q227*1000/Gasto_o_ing_total!Q$485</f>
        <v>189.09692580295328</v>
      </c>
      <c r="S227" s="332">
        <f>Gasto_o_ing_total!R227*1000/Gasto_o_ing_total!R$485</f>
        <v>1.2105055936862448</v>
      </c>
      <c r="T227" s="332">
        <f>Gasto_o_ing_total!S227*1000/Gasto_o_ing_total!S$485</f>
        <v>1.257995775473352</v>
      </c>
      <c r="U227" s="332">
        <f>Gasto_o_ing_total!T227*1000/Gasto_o_ing_total!T$485</f>
        <v>186.38018334892431</v>
      </c>
      <c r="V227" s="332">
        <f>Gasto_o_ing_total!U227*1000/Gasto_o_ing_total!U$485</f>
        <v>212.64522711666601</v>
      </c>
      <c r="W227" s="105"/>
    </row>
    <row r="228" spans="1:24" s="102" customFormat="1">
      <c r="A228" s="351" t="str">
        <f>IF(B228="","",(IF(ISERROR(MATCH(B228,Tot_res!C:C,0)),"Eliminar!!!","")))</f>
        <v/>
      </c>
      <c r="B228" s="115" t="s">
        <v>474</v>
      </c>
      <c r="C228" s="329" t="str">
        <f>VLOOKUP(B228,Tot_res!C:D,2,FALSE)</f>
        <v>Otros flujos de financiación local, para reintegros parciales saldos pendientes</v>
      </c>
      <c r="D228" s="332">
        <f>Gasto_o_ing_total!V228*1000/Gasto_o_ing_total!V$485</f>
        <v>-9.0805166131643951</v>
      </c>
      <c r="E228" s="332">
        <f>Gasto_o_ing_total!D228*1000/Gasto_o_ing_total!D$485</f>
        <v>-8.4618889531958992</v>
      </c>
      <c r="F228" s="332">
        <f>Gasto_o_ing_total!E228*1000/Gasto_o_ing_total!E$485</f>
        <v>-10.324624202491494</v>
      </c>
      <c r="G228" s="332">
        <f>Gasto_o_ing_total!F228*1000/Gasto_o_ing_total!F$485</f>
        <v>-12.434312813389587</v>
      </c>
      <c r="H228" s="332">
        <f>Gasto_o_ing_total!G228*1000/Gasto_o_ing_total!G$485</f>
        <v>-7.0845394921285658</v>
      </c>
      <c r="I228" s="332">
        <f>Gasto_o_ing_total!H228*1000/Gasto_o_ing_total!H$485</f>
        <v>-9.2501163462359344</v>
      </c>
      <c r="J228" s="332">
        <f>Gasto_o_ing_total!I228*1000/Gasto_o_ing_total!I$485</f>
        <v>-7.2267013336627368</v>
      </c>
      <c r="K228" s="332">
        <f>Gasto_o_ing_total!J228*1000/Gasto_o_ing_total!J$485</f>
        <v>-7.0296523505277584</v>
      </c>
      <c r="L228" s="332">
        <f>Gasto_o_ing_total!K228*1000/Gasto_o_ing_total!K$485</f>
        <v>-6.1467135691847989</v>
      </c>
      <c r="M228" s="332">
        <f>Gasto_o_ing_total!L228*1000/Gasto_o_ing_total!L$485</f>
        <v>-11.443105714517106</v>
      </c>
      <c r="N228" s="332">
        <f>Gasto_o_ing_total!M228*1000/Gasto_o_ing_total!M$485</f>
        <v>-8.3508917891513637</v>
      </c>
      <c r="O228" s="332">
        <f>Gasto_o_ing_total!N228*1000/Gasto_o_ing_total!N$485</f>
        <v>-7.7100350036417469</v>
      </c>
      <c r="P228" s="332">
        <f>Gasto_o_ing_total!O228*1000/Gasto_o_ing_total!O$485</f>
        <v>-9.1097073804579516</v>
      </c>
      <c r="Q228" s="332">
        <f>Gasto_o_ing_total!P228*1000/Gasto_o_ing_total!P$485</f>
        <v>-13.332095330574504</v>
      </c>
      <c r="R228" s="332">
        <f>Gasto_o_ing_total!Q228*1000/Gasto_o_ing_total!Q$485</f>
        <v>-9.0630869914038552</v>
      </c>
      <c r="S228" s="332">
        <f>Gasto_o_ing_total!R228*1000/Gasto_o_ing_total!R$485</f>
        <v>-1.46069590545601E-2</v>
      </c>
      <c r="T228" s="332">
        <f>Gasto_o_ing_total!S228*1000/Gasto_o_ing_total!S$485</f>
        <v>-1.1395423094474905E-2</v>
      </c>
      <c r="U228" s="332">
        <f>Gasto_o_ing_total!T228*1000/Gasto_o_ing_total!T$485</f>
        <v>-7.7251112561020676</v>
      </c>
      <c r="V228" s="332">
        <f>Gasto_o_ing_total!U228*1000/Gasto_o_ing_total!U$485</f>
        <v>-9.8744801204766013</v>
      </c>
      <c r="W228" s="105"/>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Gasto_o_ing_total!V229*1000/Gasto_o_ing_total!V$485</f>
        <v>17.664343454357116</v>
      </c>
      <c r="E229" s="332">
        <f>Gasto_o_ing_total!D229*1000/Gasto_o_ing_total!D$485</f>
        <v>13.206836214570401</v>
      </c>
      <c r="F229" s="332">
        <f>Gasto_o_ing_total!E229*1000/Gasto_o_ing_total!E$485</f>
        <v>24.483135108836453</v>
      </c>
      <c r="G229" s="332">
        <f>Gasto_o_ing_total!F229*1000/Gasto_o_ing_total!F$485</f>
        <v>22.599064707037677</v>
      </c>
      <c r="H229" s="332">
        <f>Gasto_o_ing_total!G229*1000/Gasto_o_ing_total!G$485</f>
        <v>17.147479407098352</v>
      </c>
      <c r="I229" s="332">
        <f>Gasto_o_ing_total!H229*1000/Gasto_o_ing_total!H$485</f>
        <v>5.8674263927244885</v>
      </c>
      <c r="J229" s="332">
        <f>Gasto_o_ing_total!I229*1000/Gasto_o_ing_total!I$485</f>
        <v>12.137182926050082</v>
      </c>
      <c r="K229" s="332">
        <f>Gasto_o_ing_total!J229*1000/Gasto_o_ing_total!J$485</f>
        <v>17.608881752228076</v>
      </c>
      <c r="L229" s="332">
        <f>Gasto_o_ing_total!K229*1000/Gasto_o_ing_total!K$485</f>
        <v>9.1444601070810041</v>
      </c>
      <c r="M229" s="332">
        <f>Gasto_o_ing_total!L229*1000/Gasto_o_ing_total!L$485</f>
        <v>21.481509379544519</v>
      </c>
      <c r="N229" s="332">
        <f>Gasto_o_ing_total!M229*1000/Gasto_o_ing_total!M$485</f>
        <v>12.787358950193246</v>
      </c>
      <c r="O229" s="332">
        <f>Gasto_o_ing_total!N229*1000/Gasto_o_ing_total!N$485</f>
        <v>9.0062949454741297</v>
      </c>
      <c r="P229" s="332">
        <f>Gasto_o_ing_total!O229*1000/Gasto_o_ing_total!O$485</f>
        <v>13.259864471025764</v>
      </c>
      <c r="Q229" s="332">
        <f>Gasto_o_ing_total!P229*1000/Gasto_o_ing_total!P$485</f>
        <v>39.718175249056813</v>
      </c>
      <c r="R229" s="332">
        <f>Gasto_o_ing_total!Q229*1000/Gasto_o_ing_total!Q$485</f>
        <v>15.739993613046016</v>
      </c>
      <c r="S229" s="332">
        <f>Gasto_o_ing_total!R229*1000/Gasto_o_ing_total!R$485</f>
        <v>0</v>
      </c>
      <c r="T229" s="332">
        <f>Gasto_o_ing_total!S229*1000/Gasto_o_ing_total!S$485</f>
        <v>0</v>
      </c>
      <c r="U229" s="332">
        <f>Gasto_o_ing_total!T229*1000/Gasto_o_ing_total!T$485</f>
        <v>19.200270888523793</v>
      </c>
      <c r="V229" s="332">
        <f>Gasto_o_ing_total!U229*1000/Gasto_o_ing_total!U$485</f>
        <v>0</v>
      </c>
      <c r="W229" s="105"/>
    </row>
    <row r="230" spans="1:24" s="102" customFormat="1">
      <c r="A230" s="351" t="str">
        <f>IF(B230="","",(IF(ISERROR(MATCH(B230,Tot_res!C:C,0)),"Eliminar!!!","")))</f>
        <v/>
      </c>
      <c r="B230" s="115" t="s">
        <v>240</v>
      </c>
      <c r="C230" s="329" t="str">
        <f>VLOOKUP(B230,Tot_res!C:D,2,FALSE)</f>
        <v>Impuestos municipales</v>
      </c>
      <c r="D230" s="332">
        <f>Gasto_o_ing_total!V230*1000/Gasto_o_ing_total!V$485</f>
        <v>374.34323251337469</v>
      </c>
      <c r="E230" s="332">
        <f>Gasto_o_ing_total!D230*1000/Gasto_o_ing_total!D$485</f>
        <v>310.33857640470279</v>
      </c>
      <c r="F230" s="332">
        <f>Gasto_o_ing_total!E230*1000/Gasto_o_ing_total!E$485</f>
        <v>364.46193902010879</v>
      </c>
      <c r="G230" s="332">
        <f>Gasto_o_ing_total!F230*1000/Gasto_o_ing_total!F$485</f>
        <v>355.81049557852992</v>
      </c>
      <c r="H230" s="332">
        <f>Gasto_o_ing_total!G230*1000/Gasto_o_ing_total!G$485</f>
        <v>449.76832051509092</v>
      </c>
      <c r="I230" s="332">
        <f>Gasto_o_ing_total!H230*1000/Gasto_o_ing_total!H$485</f>
        <v>280.12826265879158</v>
      </c>
      <c r="J230" s="332">
        <f>Gasto_o_ing_total!I230*1000/Gasto_o_ing_total!I$485</f>
        <v>397.38641291152504</v>
      </c>
      <c r="K230" s="332">
        <f>Gasto_o_ing_total!J230*1000/Gasto_o_ing_total!J$485</f>
        <v>337.62048802840917</v>
      </c>
      <c r="L230" s="332">
        <f>Gasto_o_ing_total!K230*1000/Gasto_o_ing_total!K$485</f>
        <v>320.36916217837393</v>
      </c>
      <c r="M230" s="332">
        <f>Gasto_o_ing_total!L230*1000/Gasto_o_ing_total!L$485</f>
        <v>471.15440471220853</v>
      </c>
      <c r="N230" s="332">
        <f>Gasto_o_ing_total!M230*1000/Gasto_o_ing_total!M$485</f>
        <v>376.28829828112328</v>
      </c>
      <c r="O230" s="332">
        <f>Gasto_o_ing_total!N230*1000/Gasto_o_ing_total!N$485</f>
        <v>242.19634967885585</v>
      </c>
      <c r="P230" s="332">
        <f>Gasto_o_ing_total!O230*1000/Gasto_o_ing_total!O$485</f>
        <v>260.31817307730898</v>
      </c>
      <c r="Q230" s="332">
        <f>Gasto_o_ing_total!P230*1000/Gasto_o_ing_total!P$485</f>
        <v>518.08831537464084</v>
      </c>
      <c r="R230" s="332">
        <f>Gasto_o_ing_total!Q230*1000/Gasto_o_ing_total!Q$485</f>
        <v>332.3314563277537</v>
      </c>
      <c r="S230" s="332">
        <f>Gasto_o_ing_total!R230*1000/Gasto_o_ing_total!R$485</f>
        <v>337.12867095804904</v>
      </c>
      <c r="T230" s="332">
        <f>Gasto_o_ing_total!S230*1000/Gasto_o_ing_total!S$485</f>
        <v>286.80519852488732</v>
      </c>
      <c r="U230" s="332">
        <f>Gasto_o_ing_total!T230*1000/Gasto_o_ing_total!T$485</f>
        <v>338.7988774555659</v>
      </c>
      <c r="V230" s="332">
        <f>Gasto_o_ing_total!U230*1000/Gasto_o_ing_total!U$485</f>
        <v>118.64222463227819</v>
      </c>
      <c r="W230" s="105"/>
    </row>
    <row r="231" spans="1:24" s="102" customFormat="1">
      <c r="A231" s="351" t="str">
        <f>IF(B231="","",(IF(ISERROR(MATCH(B231,Tot_res!C:C,0)),"Eliminar!!!","")))</f>
        <v/>
      </c>
      <c r="B231" s="115" t="s">
        <v>241</v>
      </c>
      <c r="C231" s="329" t="str">
        <f>VLOOKUP(B231,Tot_res!C:D,2,FALSE)</f>
        <v>Tasas municipales</v>
      </c>
      <c r="D231" s="332">
        <f>Gasto_o_ing_total!V231*1000/Gasto_o_ing_total!V$485</f>
        <v>146.70573751877788</v>
      </c>
      <c r="E231" s="332">
        <f>Gasto_o_ing_total!D231*1000/Gasto_o_ing_total!D$485</f>
        <v>118.04411050827588</v>
      </c>
      <c r="F231" s="332">
        <f>Gasto_o_ing_total!E231*1000/Gasto_o_ing_total!E$485</f>
        <v>177.9268108134284</v>
      </c>
      <c r="G231" s="332">
        <f>Gasto_o_ing_total!F231*1000/Gasto_o_ing_total!F$485</f>
        <v>123.10412993939853</v>
      </c>
      <c r="H231" s="332">
        <f>Gasto_o_ing_total!G231*1000/Gasto_o_ing_total!G$485</f>
        <v>237.4465662494265</v>
      </c>
      <c r="I231" s="332">
        <f>Gasto_o_ing_total!H231*1000/Gasto_o_ing_total!H$485</f>
        <v>130.07281360036964</v>
      </c>
      <c r="J231" s="332">
        <f>Gasto_o_ing_total!I231*1000/Gasto_o_ing_total!I$485</f>
        <v>165.34347672373033</v>
      </c>
      <c r="K231" s="332">
        <f>Gasto_o_ing_total!J231*1000/Gasto_o_ing_total!J$485</f>
        <v>144.53056489415206</v>
      </c>
      <c r="L231" s="332">
        <f>Gasto_o_ing_total!K231*1000/Gasto_o_ing_total!K$485</f>
        <v>148.11315282848236</v>
      </c>
      <c r="M231" s="332">
        <f>Gasto_o_ing_total!L231*1000/Gasto_o_ing_total!L$485</f>
        <v>175.58153854835649</v>
      </c>
      <c r="N231" s="332">
        <f>Gasto_o_ing_total!M231*1000/Gasto_o_ing_total!M$485</f>
        <v>119.63339763636053</v>
      </c>
      <c r="O231" s="332">
        <f>Gasto_o_ing_total!N231*1000/Gasto_o_ing_total!N$485</f>
        <v>113.5334158218285</v>
      </c>
      <c r="P231" s="332">
        <f>Gasto_o_ing_total!O231*1000/Gasto_o_ing_total!O$485</f>
        <v>123.75090721800709</v>
      </c>
      <c r="Q231" s="332">
        <f>Gasto_o_ing_total!P231*1000/Gasto_o_ing_total!P$485</f>
        <v>140.12133326341612</v>
      </c>
      <c r="R231" s="332">
        <f>Gasto_o_ing_total!Q231*1000/Gasto_o_ing_total!Q$485</f>
        <v>128.67812546649643</v>
      </c>
      <c r="S231" s="332">
        <f>Gasto_o_ing_total!R231*1000/Gasto_o_ing_total!R$485</f>
        <v>253.84322947341732</v>
      </c>
      <c r="T231" s="332">
        <f>Gasto_o_ing_total!S231*1000/Gasto_o_ing_total!S$485</f>
        <v>221.93696602426272</v>
      </c>
      <c r="U231" s="332">
        <f>Gasto_o_ing_total!T231*1000/Gasto_o_ing_total!T$485</f>
        <v>195.72857693124021</v>
      </c>
      <c r="V231" s="332">
        <f>Gasto_o_ing_total!U231*1000/Gasto_o_ing_total!U$485</f>
        <v>77.468336756857127</v>
      </c>
      <c r="W231" s="105"/>
    </row>
    <row r="232" spans="1:24" s="102" customFormat="1">
      <c r="A232" s="351" t="str">
        <f>IF(B232="","",(IF(ISERROR(MATCH(B232,Tot_res!C:C,0)),"Eliminar!!!","")))</f>
        <v/>
      </c>
      <c r="B232" s="115" t="s">
        <v>732</v>
      </c>
      <c r="C232" s="329" t="str">
        <f>VLOOKUP(B232,Tot_res!C:D,2,FALSE)</f>
        <v>Recursos REF de los municipios canarios</v>
      </c>
      <c r="D232" s="332">
        <f>Gasto_o_ing_total!V232*1000/Gasto_o_ing_total!V$485</f>
        <v>5.4935207040237835</v>
      </c>
      <c r="E232" s="332">
        <f>Gasto_o_ing_total!D232*1000/Gasto_o_ing_total!D$485</f>
        <v>0</v>
      </c>
      <c r="F232" s="332">
        <f>Gasto_o_ing_total!E232*1000/Gasto_o_ing_total!E$485</f>
        <v>0</v>
      </c>
      <c r="G232" s="332">
        <f>Gasto_o_ing_total!F232*1000/Gasto_o_ing_total!F$485</f>
        <v>0</v>
      </c>
      <c r="H232" s="332">
        <f>Gasto_o_ing_total!G232*1000/Gasto_o_ing_total!G$485</f>
        <v>0</v>
      </c>
      <c r="I232" s="332">
        <f>Gasto_o_ing_total!H232*1000/Gasto_o_ing_total!H$485</f>
        <v>122.01107601131342</v>
      </c>
      <c r="J232" s="332">
        <f>Gasto_o_ing_total!I232*1000/Gasto_o_ing_total!I$485</f>
        <v>0</v>
      </c>
      <c r="K232" s="332">
        <f>Gasto_o_ing_total!J232*1000/Gasto_o_ing_total!J$485</f>
        <v>0</v>
      </c>
      <c r="L232" s="332">
        <f>Gasto_o_ing_total!K232*1000/Gasto_o_ing_total!K$485</f>
        <v>0</v>
      </c>
      <c r="M232" s="332">
        <f>Gasto_o_ing_total!L232*1000/Gasto_o_ing_total!L$485</f>
        <v>0</v>
      </c>
      <c r="N232" s="332">
        <f>Gasto_o_ing_total!M232*1000/Gasto_o_ing_total!M$485</f>
        <v>0</v>
      </c>
      <c r="O232" s="332">
        <f>Gasto_o_ing_total!N232*1000/Gasto_o_ing_total!N$485</f>
        <v>0</v>
      </c>
      <c r="P232" s="332">
        <f>Gasto_o_ing_total!O232*1000/Gasto_o_ing_total!O$485</f>
        <v>0</v>
      </c>
      <c r="Q232" s="332">
        <f>Gasto_o_ing_total!P232*1000/Gasto_o_ing_total!P$485</f>
        <v>0</v>
      </c>
      <c r="R232" s="332">
        <f>Gasto_o_ing_total!Q232*1000/Gasto_o_ing_total!Q$485</f>
        <v>0</v>
      </c>
      <c r="S232" s="332">
        <f>Gasto_o_ing_total!R232*1000/Gasto_o_ing_total!R$485</f>
        <v>0</v>
      </c>
      <c r="T232" s="332">
        <f>Gasto_o_ing_total!S232*1000/Gasto_o_ing_total!S$485</f>
        <v>0</v>
      </c>
      <c r="U232" s="332">
        <f>Gasto_o_ing_total!T232*1000/Gasto_o_ing_total!T$485</f>
        <v>0</v>
      </c>
      <c r="V232" s="332">
        <f>Gasto_o_ing_total!U232*1000/Gasto_o_ing_total!U$485</f>
        <v>0</v>
      </c>
      <c r="W232" s="105"/>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Gasto_o_ing_total!V233*1000/Gasto_o_ing_total!V$485</f>
        <v>1.5715646175789013</v>
      </c>
      <c r="E233" s="332">
        <f>Gasto_o_ing_total!D233*1000/Gasto_o_ing_total!D$485</f>
        <v>1.5364537750185281</v>
      </c>
      <c r="F233" s="332">
        <f>Gasto_o_ing_total!E233*1000/Gasto_o_ing_total!E$485</f>
        <v>1.2410981026258763</v>
      </c>
      <c r="G233" s="332">
        <f>Gasto_o_ing_total!F233*1000/Gasto_o_ing_total!F$485</f>
        <v>1.0934691443621227</v>
      </c>
      <c r="H233" s="332">
        <f>Gasto_o_ing_total!G233*1000/Gasto_o_ing_total!G$485</f>
        <v>0.81615064125935666</v>
      </c>
      <c r="I233" s="332">
        <f>Gasto_o_ing_total!H233*1000/Gasto_o_ing_total!H$485</f>
        <v>0.13841976009727186</v>
      </c>
      <c r="J233" s="332">
        <f>Gasto_o_ing_total!I233*1000/Gasto_o_ing_total!I$485</f>
        <v>2.1074315214659642</v>
      </c>
      <c r="K233" s="332">
        <f>Gasto_o_ing_total!J233*1000/Gasto_o_ing_total!J$485</f>
        <v>1.7925985002140192</v>
      </c>
      <c r="L233" s="332">
        <f>Gasto_o_ing_total!K233*1000/Gasto_o_ing_total!K$485</f>
        <v>0.74376837751057201</v>
      </c>
      <c r="M233" s="332">
        <f>Gasto_o_ing_total!L233*1000/Gasto_o_ing_total!L$485</f>
        <v>1.9944896406197667</v>
      </c>
      <c r="N233" s="332">
        <f>Gasto_o_ing_total!M233*1000/Gasto_o_ing_total!M$485</f>
        <v>1.7917400763684823</v>
      </c>
      <c r="O233" s="332">
        <f>Gasto_o_ing_total!N233*1000/Gasto_o_ing_total!N$485</f>
        <v>1.4245047383757123</v>
      </c>
      <c r="P233" s="332">
        <f>Gasto_o_ing_total!O233*1000/Gasto_o_ing_total!O$485</f>
        <v>0.95551406101248637</v>
      </c>
      <c r="Q233" s="332">
        <f>Gasto_o_ing_total!P233*1000/Gasto_o_ing_total!P$485</f>
        <v>1.6474321821091149</v>
      </c>
      <c r="R233" s="332">
        <f>Gasto_o_ing_total!Q233*1000/Gasto_o_ing_total!Q$485</f>
        <v>6.6149493235759032</v>
      </c>
      <c r="S233" s="332">
        <f>Gasto_o_ing_total!R233*1000/Gasto_o_ing_total!R$485</f>
        <v>0</v>
      </c>
      <c r="T233" s="332">
        <f>Gasto_o_ing_total!S233*1000/Gasto_o_ing_total!S$485</f>
        <v>0</v>
      </c>
      <c r="U233" s="332">
        <f>Gasto_o_ing_total!T233*1000/Gasto_o_ing_total!T$485</f>
        <v>2.6144197907413669</v>
      </c>
      <c r="V233" s="332">
        <f>Gasto_o_ing_total!U233*1000/Gasto_o_ing_total!U$485</f>
        <v>0</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Gasto_o_ing_total!V234*1000/Gasto_o_ing_total!V$485</f>
        <v>0.56838325755024144</v>
      </c>
      <c r="E234" s="332">
        <f>Gasto_o_ing_total!D234*1000/Gasto_o_ing_total!D$485</f>
        <v>1.511985650110415</v>
      </c>
      <c r="F234" s="332">
        <f>Gasto_o_ing_total!E234*1000/Gasto_o_ing_total!E$485</f>
        <v>1.6872099116631365</v>
      </c>
      <c r="G234" s="332">
        <f>Gasto_o_ing_total!F234*1000/Gasto_o_ing_total!F$485</f>
        <v>4.2828513678297674E-2</v>
      </c>
      <c r="H234" s="332">
        <f>Gasto_o_ing_total!G234*1000/Gasto_o_ing_total!G$485</f>
        <v>6.9517706686097913E-2</v>
      </c>
      <c r="I234" s="332">
        <f>Gasto_o_ing_total!H234*1000/Gasto_o_ing_total!H$485</f>
        <v>0.62972670068302694</v>
      </c>
      <c r="J234" s="332">
        <f>Gasto_o_ing_total!I234*1000/Gasto_o_ing_total!I$485</f>
        <v>4.2828513678297667E-2</v>
      </c>
      <c r="K234" s="332">
        <f>Gasto_o_ing_total!J234*1000/Gasto_o_ing_total!J$485</f>
        <v>0.40952053995242976</v>
      </c>
      <c r="L234" s="332">
        <f>Gasto_o_ing_total!K234*1000/Gasto_o_ing_total!K$485</f>
        <v>0.30653964391600308</v>
      </c>
      <c r="M234" s="332">
        <f>Gasto_o_ing_total!L234*1000/Gasto_o_ing_total!L$485</f>
        <v>6.3667838845714822E-2</v>
      </c>
      <c r="N234" s="332">
        <f>Gasto_o_ing_total!M234*1000/Gasto_o_ing_total!M$485</f>
        <v>0.66155856287984038</v>
      </c>
      <c r="O234" s="332">
        <f>Gasto_o_ing_total!N234*1000/Gasto_o_ing_total!N$485</f>
        <v>0.12373953180486257</v>
      </c>
      <c r="P234" s="332">
        <f>Gasto_o_ing_total!O234*1000/Gasto_o_ing_total!O$485</f>
        <v>4.5702255400739071E-2</v>
      </c>
      <c r="Q234" s="332">
        <f>Gasto_o_ing_total!P234*1000/Gasto_o_ing_total!P$485</f>
        <v>4.81056837088824E-2</v>
      </c>
      <c r="R234" s="332">
        <f>Gasto_o_ing_total!Q234*1000/Gasto_o_ing_total!Q$485</f>
        <v>2.2705531278078661</v>
      </c>
      <c r="S234" s="332">
        <f>Gasto_o_ing_total!R234*1000/Gasto_o_ing_total!R$485</f>
        <v>1.0775868396408956</v>
      </c>
      <c r="T234" s="332">
        <f>Gasto_o_ing_total!S234*1000/Gasto_o_ing_total!S$485</f>
        <v>4.2828513678297667E-2</v>
      </c>
      <c r="U234" s="332">
        <f>Gasto_o_ing_total!T234*1000/Gasto_o_ing_total!T$485</f>
        <v>4.282851367829766E-2</v>
      </c>
      <c r="V234" s="332">
        <f>Gasto_o_ing_total!U234*1000/Gasto_o_ing_total!U$485</f>
        <v>4.2828513678297667E-2</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Gasto_o_ing_total!V235*1000/Gasto_o_ing_total!V$485</f>
        <v>15.071111096601095</v>
      </c>
      <c r="E235" s="332">
        <f>Gasto_o_ing_total!D235*1000/Gasto_o_ing_total!D$485</f>
        <v>0</v>
      </c>
      <c r="F235" s="332">
        <f>Gasto_o_ing_total!E235*1000/Gasto_o_ing_total!E$485</f>
        <v>0</v>
      </c>
      <c r="G235" s="332">
        <f>Gasto_o_ing_total!F235*1000/Gasto_o_ing_total!F$485</f>
        <v>0</v>
      </c>
      <c r="H235" s="332">
        <f>Gasto_o_ing_total!G235*1000/Gasto_o_ing_total!G$485</f>
        <v>0</v>
      </c>
      <c r="I235" s="332">
        <f>Gasto_o_ing_total!H235*1000/Gasto_o_ing_total!H$485</f>
        <v>0</v>
      </c>
      <c r="J235" s="332">
        <f>Gasto_o_ing_total!I235*1000/Gasto_o_ing_total!I$485</f>
        <v>0</v>
      </c>
      <c r="K235" s="332">
        <f>Gasto_o_ing_total!J235*1000/Gasto_o_ing_total!J$485</f>
        <v>0</v>
      </c>
      <c r="L235" s="332">
        <f>Gasto_o_ing_total!K235*1000/Gasto_o_ing_total!K$485</f>
        <v>0</v>
      </c>
      <c r="M235" s="332">
        <f>Gasto_o_ing_total!L235*1000/Gasto_o_ing_total!L$485</f>
        <v>0</v>
      </c>
      <c r="N235" s="332">
        <f>Gasto_o_ing_total!M235*1000/Gasto_o_ing_total!M$485</f>
        <v>0</v>
      </c>
      <c r="O235" s="332">
        <f>Gasto_o_ing_total!N235*1000/Gasto_o_ing_total!N$485</f>
        <v>0</v>
      </c>
      <c r="P235" s="332">
        <f>Gasto_o_ing_total!O235*1000/Gasto_o_ing_total!O$485</f>
        <v>0</v>
      </c>
      <c r="Q235" s="332">
        <f>Gasto_o_ing_total!P235*1000/Gasto_o_ing_total!P$485</f>
        <v>0</v>
      </c>
      <c r="R235" s="332">
        <f>Gasto_o_ing_total!Q235*1000/Gasto_o_ing_total!Q$485</f>
        <v>0</v>
      </c>
      <c r="S235" s="332">
        <f>Gasto_o_ing_total!R235*1000/Gasto_o_ing_total!R$485</f>
        <v>247.94891699206289</v>
      </c>
      <c r="T235" s="332">
        <f>Gasto_o_ing_total!S235*1000/Gasto_o_ing_total!S$485</f>
        <v>248.9329736002783</v>
      </c>
      <c r="U235" s="332">
        <f>Gasto_o_ing_total!T235*1000/Gasto_o_ing_total!T$485</f>
        <v>0</v>
      </c>
      <c r="V235" s="332">
        <f>Gasto_o_ing_total!U235*1000/Gasto_o_ing_total!U$485</f>
        <v>0</v>
      </c>
      <c r="W235" s="155"/>
      <c r="X235" s="145"/>
    </row>
    <row r="236" spans="1:24">
      <c r="A236" s="352"/>
      <c r="D236" s="20"/>
      <c r="E236" s="20"/>
      <c r="F236" s="20"/>
      <c r="G236" s="20"/>
      <c r="H236" s="20"/>
      <c r="I236" s="20"/>
      <c r="J236" s="20"/>
      <c r="K236" s="20"/>
      <c r="L236" s="20"/>
      <c r="M236" s="20"/>
      <c r="N236" s="20"/>
      <c r="O236" s="20"/>
      <c r="P236" s="20"/>
      <c r="Q236" s="20"/>
      <c r="R236" s="20"/>
      <c r="S236" s="20"/>
      <c r="T236" s="20"/>
      <c r="U236" s="20"/>
      <c r="V236" s="20"/>
      <c r="W236" s="21"/>
      <c r="X236" s="22"/>
    </row>
    <row r="237" spans="1:24">
      <c r="A237" s="352"/>
      <c r="D237" s="20"/>
      <c r="E237" s="20"/>
      <c r="F237" s="20"/>
      <c r="G237" s="20"/>
      <c r="H237" s="20"/>
      <c r="I237" s="20"/>
      <c r="J237" s="20"/>
      <c r="K237" s="20"/>
      <c r="L237" s="20"/>
      <c r="M237" s="20"/>
      <c r="N237" s="20"/>
      <c r="O237" s="20"/>
      <c r="P237" s="20"/>
      <c r="Q237" s="20"/>
      <c r="R237" s="20"/>
      <c r="S237" s="20"/>
      <c r="T237" s="20"/>
      <c r="U237" s="20"/>
      <c r="V237" s="20"/>
      <c r="W237" s="21"/>
      <c r="X237" s="13"/>
    </row>
    <row r="238" spans="1:24" s="102" customFormat="1" ht="13.5">
      <c r="A238" s="358"/>
      <c r="B238" s="115"/>
      <c r="C238" s="128" t="s">
        <v>23</v>
      </c>
      <c r="D238" s="113">
        <f>Gasto_o_ing_total!V238*1000/Gasto_o_ing_total!V$485</f>
        <v>153.60722781538658</v>
      </c>
      <c r="E238" s="113">
        <f>Gasto_o_ing_total!D238*1000/Gasto_o_ing_total!D$485</f>
        <v>131.18097202734012</v>
      </c>
      <c r="F238" s="113">
        <f>Gasto_o_ing_total!E238*1000/Gasto_o_ing_total!E$485</f>
        <v>284.0521997788893</v>
      </c>
      <c r="G238" s="113">
        <f>Gasto_o_ing_total!F238*1000/Gasto_o_ing_total!F$485</f>
        <v>261.15283007998312</v>
      </c>
      <c r="H238" s="113">
        <f>Gasto_o_ing_total!G238*1000/Gasto_o_ing_total!G$485</f>
        <v>98.169935871966942</v>
      </c>
      <c r="I238" s="113">
        <f>Gasto_o_ing_total!H238*1000/Gasto_o_ing_total!H$485</f>
        <v>124.91220896253031</v>
      </c>
      <c r="J238" s="113">
        <f>Gasto_o_ing_total!I238*1000/Gasto_o_ing_total!I$485</f>
        <v>205.07520291514271</v>
      </c>
      <c r="K238" s="113">
        <f>Gasto_o_ing_total!J238*1000/Gasto_o_ing_total!J$485</f>
        <v>343.15895478140993</v>
      </c>
      <c r="L238" s="113">
        <f>Gasto_o_ing_total!K238*1000/Gasto_o_ing_total!K$485</f>
        <v>161.2035441382483</v>
      </c>
      <c r="M238" s="113">
        <f>Gasto_o_ing_total!L238*1000/Gasto_o_ing_total!L$485</f>
        <v>113.35187360750619</v>
      </c>
      <c r="N238" s="113">
        <f>Gasto_o_ing_total!M238*1000/Gasto_o_ing_total!M$485</f>
        <v>80.6763233471533</v>
      </c>
      <c r="O238" s="113">
        <f>Gasto_o_ing_total!N238*1000/Gasto_o_ing_total!N$485</f>
        <v>197.36432225851266</v>
      </c>
      <c r="P238" s="113">
        <f>Gasto_o_ing_total!O238*1000/Gasto_o_ing_total!O$485</f>
        <v>261.49190127673813</v>
      </c>
      <c r="Q238" s="113">
        <f>Gasto_o_ing_total!P238*1000/Gasto_o_ing_total!P$485</f>
        <v>111.04774631492697</v>
      </c>
      <c r="R238" s="113">
        <f>Gasto_o_ing_total!Q238*1000/Gasto_o_ing_total!Q$485</f>
        <v>115.28889867799288</v>
      </c>
      <c r="S238" s="113">
        <f>Gasto_o_ing_total!R238*1000/Gasto_o_ing_total!R$485</f>
        <v>164.51467837818507</v>
      </c>
      <c r="T238" s="113">
        <f>Gasto_o_ing_total!S238*1000/Gasto_o_ing_total!S$485</f>
        <v>209.67296464955578</v>
      </c>
      <c r="U238" s="113">
        <f>Gasto_o_ing_total!T238*1000/Gasto_o_ing_total!T$485</f>
        <v>198.58589530349431</v>
      </c>
      <c r="V238" s="113">
        <f>Gasto_o_ing_total!U238*1000/Gasto_o_ing_total!U$485</f>
        <v>252.1480787559303</v>
      </c>
      <c r="W238" s="155"/>
      <c r="X238" s="146"/>
    </row>
    <row r="239" spans="1:24">
      <c r="A239" s="351" t="str">
        <f>IF(B239="","",(IF(ISERROR(MATCH(B239,Tot_res!C:C,0)),"Eliminar!!!","")))</f>
        <v/>
      </c>
      <c r="B239" s="115" t="s">
        <v>246</v>
      </c>
      <c r="C239" s="329" t="str">
        <f>VLOOKUP(B239,Tot_res!C:D,2,FALSE)</f>
        <v>Gestión de recursos hídricos para el regadío</v>
      </c>
      <c r="D239" s="332">
        <f>Gasto_o_ing_total!V239*1000/Gasto_o_ing_total!V$485</f>
        <v>0.64366491728962805</v>
      </c>
      <c r="E239" s="332">
        <f>Gasto_o_ing_total!D239*1000/Gasto_o_ing_total!D$485</f>
        <v>1.2339107530880387</v>
      </c>
      <c r="F239" s="332">
        <f>Gasto_o_ing_total!E239*1000/Gasto_o_ing_total!E$485</f>
        <v>0.92934834329203952</v>
      </c>
      <c r="G239" s="332">
        <f>Gasto_o_ing_total!F239*1000/Gasto_o_ing_total!F$485</f>
        <v>0</v>
      </c>
      <c r="H239" s="332">
        <f>Gasto_o_ing_total!G239*1000/Gasto_o_ing_total!G$485</f>
        <v>2.8613923505256396</v>
      </c>
      <c r="I239" s="332">
        <f>Gasto_o_ing_total!H239*1000/Gasto_o_ing_total!H$485</f>
        <v>0.12520125092280066</v>
      </c>
      <c r="J239" s="332">
        <f>Gasto_o_ing_total!I239*1000/Gasto_o_ing_total!I$485</f>
        <v>0</v>
      </c>
      <c r="K239" s="332">
        <f>Gasto_o_ing_total!J239*1000/Gasto_o_ing_total!J$485</f>
        <v>0.69780068672276818</v>
      </c>
      <c r="L239" s="332">
        <f>Gasto_o_ing_total!K239*1000/Gasto_o_ing_total!K$485</f>
        <v>0</v>
      </c>
      <c r="M239" s="332">
        <f>Gasto_o_ing_total!L239*1000/Gasto_o_ing_total!L$485</f>
        <v>0.23718417004832718</v>
      </c>
      <c r="N239" s="332">
        <f>Gasto_o_ing_total!M239*1000/Gasto_o_ing_total!M$485</f>
        <v>1.8139756668736617</v>
      </c>
      <c r="O239" s="332">
        <f>Gasto_o_ing_total!N239*1000/Gasto_o_ing_total!N$485</f>
        <v>0</v>
      </c>
      <c r="P239" s="332">
        <f>Gasto_o_ing_total!O239*1000/Gasto_o_ing_total!O$485</f>
        <v>0</v>
      </c>
      <c r="Q239" s="332">
        <f>Gasto_o_ing_total!P239*1000/Gasto_o_ing_total!P$485</f>
        <v>0</v>
      </c>
      <c r="R239" s="332">
        <f>Gasto_o_ing_total!Q239*1000/Gasto_o_ing_total!Q$485</f>
        <v>0</v>
      </c>
      <c r="S239" s="332">
        <f>Gasto_o_ing_total!R239*1000/Gasto_o_ing_total!R$485</f>
        <v>0</v>
      </c>
      <c r="T239" s="332">
        <f>Gasto_o_ing_total!S239*1000/Gasto_o_ing_total!S$485</f>
        <v>0.74882150374062606</v>
      </c>
      <c r="U239" s="332">
        <f>Gasto_o_ing_total!T239*1000/Gasto_o_ing_total!T$485</f>
        <v>2.6120671160215365</v>
      </c>
      <c r="V239" s="332">
        <f>Gasto_o_ing_total!U239*1000/Gasto_o_ing_total!U$485</f>
        <v>0</v>
      </c>
      <c r="W239" s="21"/>
      <c r="X239" s="13"/>
    </row>
    <row r="240" spans="1:24">
      <c r="A240" s="351" t="str">
        <f>IF(B240="","",(IF(ISERROR(MATCH(B240,Tot_res!C:C,0)),"Eliminar!!!","")))</f>
        <v/>
      </c>
      <c r="B240" s="115" t="s">
        <v>247</v>
      </c>
      <c r="C240" s="329" t="str">
        <f>VLOOKUP(B240,Tot_res!C:D,2,FALSE)</f>
        <v>Subvenciones y apoyo al transporte terrestre</v>
      </c>
      <c r="D240" s="332">
        <f>Gasto_o_ing_total!V240*1000/Gasto_o_ing_total!V$485</f>
        <v>22.787226687885905</v>
      </c>
      <c r="E240" s="332">
        <f>Gasto_o_ing_total!D240*1000/Gasto_o_ing_total!D$485</f>
        <v>10.457446339734172</v>
      </c>
      <c r="F240" s="332">
        <f>Gasto_o_ing_total!E240*1000/Gasto_o_ing_total!E$485</f>
        <v>20.090057693737858</v>
      </c>
      <c r="G240" s="332">
        <f>Gasto_o_ing_total!F240*1000/Gasto_o_ing_total!F$485</f>
        <v>13.11766701598607</v>
      </c>
      <c r="H240" s="332">
        <f>Gasto_o_ing_total!G240*1000/Gasto_o_ing_total!G$485</f>
        <v>3.2500145174147264</v>
      </c>
      <c r="I240" s="332">
        <f>Gasto_o_ing_total!H240*1000/Gasto_o_ing_total!H$485</f>
        <v>13.701146265857352</v>
      </c>
      <c r="J240" s="332">
        <f>Gasto_o_ing_total!I240*1000/Gasto_o_ing_total!I$485</f>
        <v>10.6932563746723</v>
      </c>
      <c r="K240" s="332">
        <f>Gasto_o_ing_total!J240*1000/Gasto_o_ing_total!J$485</f>
        <v>7.1559108704683521</v>
      </c>
      <c r="L240" s="332">
        <f>Gasto_o_ing_total!K240*1000/Gasto_o_ing_total!K$485</f>
        <v>13.34385713250014</v>
      </c>
      <c r="M240" s="332">
        <f>Gasto_o_ing_total!L240*1000/Gasto_o_ing_total!L$485</f>
        <v>43.776113315707853</v>
      </c>
      <c r="N240" s="332">
        <f>Gasto_o_ing_total!M240*1000/Gasto_o_ing_total!M$485</f>
        <v>14.834942992268992</v>
      </c>
      <c r="O240" s="332">
        <f>Gasto_o_ing_total!N240*1000/Gasto_o_ing_total!N$485</f>
        <v>6.5991100052396812</v>
      </c>
      <c r="P240" s="332">
        <f>Gasto_o_ing_total!O240*1000/Gasto_o_ing_total!O$485</f>
        <v>12.68511892935248</v>
      </c>
      <c r="Q240" s="332">
        <f>Gasto_o_ing_total!P240*1000/Gasto_o_ing_total!P$485</f>
        <v>53.232277260988369</v>
      </c>
      <c r="R240" s="332">
        <f>Gasto_o_ing_total!Q240*1000/Gasto_o_ing_total!Q$485</f>
        <v>8.0679562331811319</v>
      </c>
      <c r="S240" s="332">
        <f>Gasto_o_ing_total!R240*1000/Gasto_o_ing_total!R$485</f>
        <v>24.605320032389557</v>
      </c>
      <c r="T240" s="332">
        <f>Gasto_o_ing_total!S240*1000/Gasto_o_ing_total!S$485</f>
        <v>12.466054851590412</v>
      </c>
      <c r="U240" s="332">
        <f>Gasto_o_ing_total!T240*1000/Gasto_o_ing_total!T$485</f>
        <v>25.311166660795582</v>
      </c>
      <c r="V240" s="332">
        <f>Gasto_o_ing_total!U240*1000/Gasto_o_ing_total!U$485</f>
        <v>4.5310928975288807</v>
      </c>
      <c r="W240" s="21"/>
      <c r="X240" s="13"/>
    </row>
    <row r="241" spans="1:24">
      <c r="A241" s="351" t="str">
        <f>IF(B241="","",(IF(ISERROR(MATCH(B241,Tot_res!C:C,0)),"Eliminar!!!","")))</f>
        <v/>
      </c>
      <c r="B241" s="115" t="s">
        <v>248</v>
      </c>
      <c r="C241" s="329" t="str">
        <f>VLOOKUP(B241,Tot_res!C:D,2,FALSE)</f>
        <v>Estudios y servicios de asistencia técnica en obras públicas y urbanismo</v>
      </c>
      <c r="D241" s="332">
        <f>Gasto_o_ing_total!V241*1000/Gasto_o_ing_total!V$485</f>
        <v>0.56332012484126281</v>
      </c>
      <c r="E241" s="332">
        <f>Gasto_o_ing_total!D241*1000/Gasto_o_ing_total!D$485</f>
        <v>0.4745310613682957</v>
      </c>
      <c r="F241" s="332">
        <f>Gasto_o_ing_total!E241*1000/Gasto_o_ing_total!E$485</f>
        <v>1.0428597427808535</v>
      </c>
      <c r="G241" s="332">
        <f>Gasto_o_ing_total!F241*1000/Gasto_o_ing_total!F$485</f>
        <v>0.96367194589738958</v>
      </c>
      <c r="H241" s="332">
        <f>Gasto_o_ing_total!G241*1000/Gasto_o_ing_total!G$485</f>
        <v>0.36329955295164457</v>
      </c>
      <c r="I241" s="332">
        <f>Gasto_o_ing_total!H241*1000/Gasto_o_ing_total!H$485</f>
        <v>0.29702630718295531</v>
      </c>
      <c r="J241" s="332">
        <f>Gasto_o_ing_total!I241*1000/Gasto_o_ing_total!I$485</f>
        <v>0.74072224424417465</v>
      </c>
      <c r="K241" s="332">
        <f>Gasto_o_ing_total!J241*1000/Gasto_o_ing_total!J$485</f>
        <v>1.2499993379666774</v>
      </c>
      <c r="L241" s="332">
        <f>Gasto_o_ing_total!K241*1000/Gasto_o_ing_total!K$485</f>
        <v>0.69829029179779578</v>
      </c>
      <c r="M241" s="332">
        <f>Gasto_o_ing_total!L241*1000/Gasto_o_ing_total!L$485</f>
        <v>0.38334361436848846</v>
      </c>
      <c r="N241" s="332">
        <f>Gasto_o_ing_total!M241*1000/Gasto_o_ing_total!M$485</f>
        <v>0.42355616637268168</v>
      </c>
      <c r="O241" s="332">
        <f>Gasto_o_ing_total!N241*1000/Gasto_o_ing_total!N$485</f>
        <v>0.75024645694041947</v>
      </c>
      <c r="P241" s="332">
        <f>Gasto_o_ing_total!O241*1000/Gasto_o_ing_total!O$485</f>
        <v>0.93103097487685738</v>
      </c>
      <c r="Q241" s="332">
        <f>Gasto_o_ing_total!P241*1000/Gasto_o_ing_total!P$485</f>
        <v>0.40023922960215341</v>
      </c>
      <c r="R241" s="332">
        <f>Gasto_o_ing_total!Q241*1000/Gasto_o_ing_total!Q$485</f>
        <v>0.5531704100846575</v>
      </c>
      <c r="S241" s="332">
        <f>Gasto_o_ing_total!R241*1000/Gasto_o_ing_total!R$485</f>
        <v>0.701291917515944</v>
      </c>
      <c r="T241" s="332">
        <f>Gasto_o_ing_total!S241*1000/Gasto_o_ing_total!S$485</f>
        <v>0.60667210019354167</v>
      </c>
      <c r="U241" s="332">
        <f>Gasto_o_ing_total!T241*1000/Gasto_o_ing_total!T$485</f>
        <v>0.91344286128868635</v>
      </c>
      <c r="V241" s="332">
        <f>Gasto_o_ing_total!U241*1000/Gasto_o_ing_total!U$485</f>
        <v>0.50454692351863961</v>
      </c>
      <c r="W241" s="21"/>
      <c r="X241" s="13"/>
    </row>
    <row r="242" spans="1:24">
      <c r="A242" s="351" t="str">
        <f>IF(B242="","",(IF(ISERROR(MATCH(B242,Tot_res!C:C,0)),"Eliminar!!!","")))</f>
        <v/>
      </c>
      <c r="B242" s="115" t="s">
        <v>249</v>
      </c>
      <c r="C242" s="329" t="str">
        <f>VLOOKUP(B242,Tot_res!C:D,2,FALSE)</f>
        <v>Dirección y servicios generales de fomento</v>
      </c>
      <c r="D242" s="332">
        <f>Gasto_o_ing_total!V242*1000/Gasto_o_ing_total!V$485</f>
        <v>2.2232322368766293</v>
      </c>
      <c r="E242" s="332">
        <f>Gasto_o_ing_total!D242*1000/Gasto_o_ing_total!D$485</f>
        <v>1.895584751668753</v>
      </c>
      <c r="F242" s="332">
        <f>Gasto_o_ing_total!E242*1000/Gasto_o_ing_total!E$485</f>
        <v>2.6234923837262789</v>
      </c>
      <c r="G242" s="332">
        <f>Gasto_o_ing_total!F242*1000/Gasto_o_ing_total!F$485</f>
        <v>2.9844131533259719</v>
      </c>
      <c r="H242" s="332">
        <f>Gasto_o_ing_total!G242*1000/Gasto_o_ing_total!G$485</f>
        <v>1.6910653751406379</v>
      </c>
      <c r="I242" s="332">
        <f>Gasto_o_ing_total!H242*1000/Gasto_o_ing_total!H$485</f>
        <v>1.5291020091745597</v>
      </c>
      <c r="J242" s="332">
        <f>Gasto_o_ing_total!I242*1000/Gasto_o_ing_total!I$485</f>
        <v>2.6108294773013707</v>
      </c>
      <c r="K242" s="332">
        <f>Gasto_o_ing_total!J242*1000/Gasto_o_ing_total!J$485</f>
        <v>3.4144225446688417</v>
      </c>
      <c r="L242" s="332">
        <f>Gasto_o_ing_total!K242*1000/Gasto_o_ing_total!K$485</f>
        <v>2.3719257566218466</v>
      </c>
      <c r="M242" s="332">
        <f>Gasto_o_ing_total!L242*1000/Gasto_o_ing_total!L$485</f>
        <v>1.8636778558967912</v>
      </c>
      <c r="N242" s="332">
        <f>Gasto_o_ing_total!M242*1000/Gasto_o_ing_total!M$485</f>
        <v>1.779141799438402</v>
      </c>
      <c r="O242" s="332">
        <f>Gasto_o_ing_total!N242*1000/Gasto_o_ing_total!N$485</f>
        <v>1.9114432827681211</v>
      </c>
      <c r="P242" s="332">
        <f>Gasto_o_ing_total!O242*1000/Gasto_o_ing_total!O$485</f>
        <v>5.3217583242691644</v>
      </c>
      <c r="Q242" s="332">
        <f>Gasto_o_ing_total!P242*1000/Gasto_o_ing_total!P$485</f>
        <v>1.9186265505493996</v>
      </c>
      <c r="R242" s="332">
        <f>Gasto_o_ing_total!Q242*1000/Gasto_o_ing_total!Q$485</f>
        <v>1.591017373740276</v>
      </c>
      <c r="S242" s="332">
        <f>Gasto_o_ing_total!R242*1000/Gasto_o_ing_total!R$485</f>
        <v>2.2741008508452363</v>
      </c>
      <c r="T242" s="332">
        <f>Gasto_o_ing_total!S242*1000/Gasto_o_ing_total!S$485</f>
        <v>2.0734925781211264</v>
      </c>
      <c r="U242" s="332">
        <f>Gasto_o_ing_total!T242*1000/Gasto_o_ing_total!T$485</f>
        <v>2.5097359524234033</v>
      </c>
      <c r="V242" s="332">
        <f>Gasto_o_ing_total!U242*1000/Gasto_o_ing_total!U$485</f>
        <v>1.2617072000019212</v>
      </c>
      <c r="W242" s="21"/>
      <c r="X242" s="13"/>
    </row>
    <row r="243" spans="1:24">
      <c r="A243" s="351" t="str">
        <f>IF(B243="","",(IF(ISERROR(MATCH(B243,Tot_res!C:C,0)),"Eliminar!!!","")))</f>
        <v/>
      </c>
      <c r="B243" s="115" t="s">
        <v>740</v>
      </c>
      <c r="C243" s="329" t="str">
        <f>VLOOKUP(B243,Tot_res!C:D,2,FALSE)</f>
        <v>Dirección y Servicios Generales de Agricultura, Alimentación y Medio Ambiente</v>
      </c>
      <c r="D243" s="332">
        <f>Gasto_o_ing_total!V243*1000/Gasto_o_ing_total!V$485</f>
        <v>1.3673659839631751</v>
      </c>
      <c r="E243" s="332">
        <f>Gasto_o_ing_total!D243*1000/Gasto_o_ing_total!D$485</f>
        <v>1.3373225317388777</v>
      </c>
      <c r="F243" s="332">
        <f>Gasto_o_ing_total!E243*1000/Gasto_o_ing_total!E$485</f>
        <v>2.8700342089706252</v>
      </c>
      <c r="G243" s="332">
        <f>Gasto_o_ing_total!F243*1000/Gasto_o_ing_total!F$485</f>
        <v>1.4538397441431046</v>
      </c>
      <c r="H243" s="332">
        <f>Gasto_o_ing_total!G243*1000/Gasto_o_ing_total!G$485</f>
        <v>0.8947711399213476</v>
      </c>
      <c r="I243" s="332">
        <f>Gasto_o_ing_total!H243*1000/Gasto_o_ing_total!H$485</f>
        <v>1.1604553332206982</v>
      </c>
      <c r="J243" s="332">
        <f>Gasto_o_ing_total!I243*1000/Gasto_o_ing_total!I$485</f>
        <v>1.1715251142897332</v>
      </c>
      <c r="K243" s="332">
        <f>Gasto_o_ing_total!J243*1000/Gasto_o_ing_total!J$485</f>
        <v>2.0711354819643306</v>
      </c>
      <c r="L243" s="332">
        <f>Gasto_o_ing_total!K243*1000/Gasto_o_ing_total!K$485</f>
        <v>1.8856519442056026</v>
      </c>
      <c r="M243" s="332">
        <f>Gasto_o_ing_total!L243*1000/Gasto_o_ing_total!L$485</f>
        <v>0.80138980482727973</v>
      </c>
      <c r="N243" s="332">
        <f>Gasto_o_ing_total!M243*1000/Gasto_o_ing_total!M$485</f>
        <v>1.1892190808193093</v>
      </c>
      <c r="O243" s="332">
        <f>Gasto_o_ing_total!N243*1000/Gasto_o_ing_total!N$485</f>
        <v>3.3555035991516968</v>
      </c>
      <c r="P243" s="332">
        <f>Gasto_o_ing_total!O243*1000/Gasto_o_ing_total!O$485</f>
        <v>1.1048810133476559</v>
      </c>
      <c r="Q243" s="332">
        <f>Gasto_o_ing_total!P243*1000/Gasto_o_ing_total!P$485</f>
        <v>0.95105860903949158</v>
      </c>
      <c r="R243" s="332">
        <f>Gasto_o_ing_total!Q243*1000/Gasto_o_ing_total!Q$485</f>
        <v>2.7789346318234784</v>
      </c>
      <c r="S243" s="332">
        <f>Gasto_o_ing_total!R243*1000/Gasto_o_ing_total!R$485</f>
        <v>1.310357948176013</v>
      </c>
      <c r="T243" s="332">
        <f>Gasto_o_ing_total!S243*1000/Gasto_o_ing_total!S$485</f>
        <v>1.3451110580573813</v>
      </c>
      <c r="U243" s="332">
        <f>Gasto_o_ing_total!T243*1000/Gasto_o_ing_total!T$485</f>
        <v>2.8708061915564427</v>
      </c>
      <c r="V243" s="332">
        <f>Gasto_o_ing_total!U243*1000/Gasto_o_ing_total!U$485</f>
        <v>3.3008788461759493</v>
      </c>
      <c r="W243" s="21"/>
      <c r="X243" s="13"/>
    </row>
    <row r="244" spans="1:24">
      <c r="A244" s="351" t="str">
        <f>IF(B244="","",(IF(ISERROR(MATCH(B244,Tot_res!C:C,0)),"Eliminar!!!","")))</f>
        <v/>
      </c>
      <c r="B244" s="115" t="s">
        <v>250</v>
      </c>
      <c r="C244" s="329" t="str">
        <f>VLOOKUP(B244,Tot_res!C:D,2,FALSE)</f>
        <v>Gestión e infraestructuras del agua</v>
      </c>
      <c r="D244" s="332">
        <f>Gasto_o_ing_total!V244*1000/Gasto_o_ing_total!V$485</f>
        <v>21.212963161707094</v>
      </c>
      <c r="E244" s="332">
        <f>Gasto_o_ing_total!D244*1000/Gasto_o_ing_total!D$485</f>
        <v>21.415118382847332</v>
      </c>
      <c r="F244" s="332">
        <f>Gasto_o_ing_total!E244*1000/Gasto_o_ing_total!E$485</f>
        <v>70.231040784000342</v>
      </c>
      <c r="G244" s="332">
        <f>Gasto_o_ing_total!F244*1000/Gasto_o_ing_total!F$485</f>
        <v>6.3556088901547989</v>
      </c>
      <c r="H244" s="332">
        <f>Gasto_o_ing_total!G244*1000/Gasto_o_ing_total!G$485</f>
        <v>1.1748180909063812</v>
      </c>
      <c r="I244" s="332">
        <f>Gasto_o_ing_total!H244*1000/Gasto_o_ing_total!H$485</f>
        <v>11.865636094071075</v>
      </c>
      <c r="J244" s="332">
        <f>Gasto_o_ing_total!I244*1000/Gasto_o_ing_total!I$485</f>
        <v>6.6892872219598445</v>
      </c>
      <c r="K244" s="332">
        <f>Gasto_o_ing_total!J244*1000/Gasto_o_ing_total!J$485</f>
        <v>48.899934398453873</v>
      </c>
      <c r="L244" s="332">
        <f>Gasto_o_ing_total!K244*1000/Gasto_o_ing_total!K$485</f>
        <v>41.15973470185763</v>
      </c>
      <c r="M244" s="332">
        <f>Gasto_o_ing_total!L244*1000/Gasto_o_ing_total!L$485</f>
        <v>1.868010086661485</v>
      </c>
      <c r="N244" s="332">
        <f>Gasto_o_ing_total!M244*1000/Gasto_o_ing_total!M$485</f>
        <v>16.268379961598662</v>
      </c>
      <c r="O244" s="332">
        <f>Gasto_o_ing_total!N244*1000/Gasto_o_ing_total!N$485</f>
        <v>86.505636556759555</v>
      </c>
      <c r="P244" s="332">
        <f>Gasto_o_ing_total!O244*1000/Gasto_o_ing_total!O$485</f>
        <v>8.0429933565472318</v>
      </c>
      <c r="Q244" s="332">
        <f>Gasto_o_ing_total!P244*1000/Gasto_o_ing_total!P$485</f>
        <v>8.9510310475937001</v>
      </c>
      <c r="R244" s="332">
        <f>Gasto_o_ing_total!Q244*1000/Gasto_o_ing_total!Q$485</f>
        <v>87.426791939387172</v>
      </c>
      <c r="S244" s="332">
        <f>Gasto_o_ing_total!R244*1000/Gasto_o_ing_total!R$485</f>
        <v>23.52931753384032</v>
      </c>
      <c r="T244" s="332">
        <f>Gasto_o_ing_total!S244*1000/Gasto_o_ing_total!S$485</f>
        <v>8.2545376785773854</v>
      </c>
      <c r="U244" s="332">
        <f>Gasto_o_ing_total!T244*1000/Gasto_o_ing_total!T$485</f>
        <v>87.742636441421169</v>
      </c>
      <c r="V244" s="332">
        <f>Gasto_o_ing_total!U244*1000/Gasto_o_ing_total!U$485</f>
        <v>89.926154508761712</v>
      </c>
      <c r="W244" s="21"/>
      <c r="X244" s="22"/>
    </row>
    <row r="245" spans="1:24">
      <c r="A245" s="351" t="str">
        <f>IF(B245="","",(IF(ISERROR(MATCH(B245,Tot_res!C:C,0)),"Eliminar!!!","")))</f>
        <v/>
      </c>
      <c r="B245" s="115" t="s">
        <v>251</v>
      </c>
      <c r="C245" s="329" t="str">
        <f>VLOOKUP(B245,Tot_res!C:D,2,FALSE)</f>
        <v>Normativa y ordenac. territorial recursos hídricos</v>
      </c>
      <c r="D245" s="332">
        <f>Gasto_o_ing_total!V245*1000/Gasto_o_ing_total!V$485</f>
        <v>0.16726418617691949</v>
      </c>
      <c r="E245" s="332">
        <f>Gasto_o_ing_total!D245*1000/Gasto_o_ing_total!D$485</f>
        <v>0.16726418617691946</v>
      </c>
      <c r="F245" s="332">
        <f>Gasto_o_ing_total!E245*1000/Gasto_o_ing_total!E$485</f>
        <v>0.16726418617691952</v>
      </c>
      <c r="G245" s="332">
        <f>Gasto_o_ing_total!F245*1000/Gasto_o_ing_total!F$485</f>
        <v>0.16726418617691952</v>
      </c>
      <c r="H245" s="332">
        <f>Gasto_o_ing_total!G245*1000/Gasto_o_ing_total!G$485</f>
        <v>0.16726418617691949</v>
      </c>
      <c r="I245" s="332">
        <f>Gasto_o_ing_total!H245*1000/Gasto_o_ing_total!H$485</f>
        <v>0.16726418617691946</v>
      </c>
      <c r="J245" s="332">
        <f>Gasto_o_ing_total!I245*1000/Gasto_o_ing_total!I$485</f>
        <v>0.16726418617691946</v>
      </c>
      <c r="K245" s="332">
        <f>Gasto_o_ing_total!J245*1000/Gasto_o_ing_total!J$485</f>
        <v>0.16726418617691952</v>
      </c>
      <c r="L245" s="332">
        <f>Gasto_o_ing_total!K245*1000/Gasto_o_ing_total!K$485</f>
        <v>0.16726418617691949</v>
      </c>
      <c r="M245" s="332">
        <f>Gasto_o_ing_total!L245*1000/Gasto_o_ing_total!L$485</f>
        <v>0.16726418617691949</v>
      </c>
      <c r="N245" s="332">
        <f>Gasto_o_ing_total!M245*1000/Gasto_o_ing_total!M$485</f>
        <v>0.16726418617691949</v>
      </c>
      <c r="O245" s="332">
        <f>Gasto_o_ing_total!N245*1000/Gasto_o_ing_total!N$485</f>
        <v>0.16726418617691949</v>
      </c>
      <c r="P245" s="332">
        <f>Gasto_o_ing_total!O245*1000/Gasto_o_ing_total!O$485</f>
        <v>0.16726418617691949</v>
      </c>
      <c r="Q245" s="332">
        <f>Gasto_o_ing_total!P245*1000/Gasto_o_ing_total!P$485</f>
        <v>0.16726418617691949</v>
      </c>
      <c r="R245" s="332">
        <f>Gasto_o_ing_total!Q245*1000/Gasto_o_ing_total!Q$485</f>
        <v>0.16726418617691949</v>
      </c>
      <c r="S245" s="332">
        <f>Gasto_o_ing_total!R245*1000/Gasto_o_ing_total!R$485</f>
        <v>0.16726418617691946</v>
      </c>
      <c r="T245" s="332">
        <f>Gasto_o_ing_total!S245*1000/Gasto_o_ing_total!S$485</f>
        <v>0.16726418617691946</v>
      </c>
      <c r="U245" s="332">
        <f>Gasto_o_ing_total!T245*1000/Gasto_o_ing_total!T$485</f>
        <v>0.16726418617691949</v>
      </c>
      <c r="V245" s="332">
        <f>Gasto_o_ing_total!U245*1000/Gasto_o_ing_total!U$485</f>
        <v>0.16726418617691949</v>
      </c>
      <c r="W245" s="21"/>
      <c r="X245" s="22"/>
    </row>
    <row r="246" spans="1:24">
      <c r="A246" s="351" t="str">
        <f>IF(B246="","",(IF(ISERROR(MATCH(B246,Tot_res!C:C,0)),"Eliminar!!!","")))</f>
        <v/>
      </c>
      <c r="B246" s="115" t="s">
        <v>252</v>
      </c>
      <c r="C246" s="329" t="str">
        <f>VLOOKUP(B246,Tot_res!C:D,2,FALSE)</f>
        <v>Infraestructura del transporte ferroviario + AF10 (no se ha hecho)</v>
      </c>
      <c r="D246" s="332">
        <f>Gasto_o_ing_total!V246*1000/Gasto_o_ing_total!V$485</f>
        <v>2.9640255055362656</v>
      </c>
      <c r="E246" s="332">
        <f>Gasto_o_ing_total!D246*1000/Gasto_o_ing_total!D$485</f>
        <v>5.7204737709694449</v>
      </c>
      <c r="F246" s="332">
        <f>Gasto_o_ing_total!E246*1000/Gasto_o_ing_total!E$485</f>
        <v>1.0468981861439979</v>
      </c>
      <c r="G246" s="332">
        <f>Gasto_o_ing_total!F246*1000/Gasto_o_ing_total!F$485</f>
        <v>4.0317925621528872</v>
      </c>
      <c r="H246" s="332">
        <f>Gasto_o_ing_total!G246*1000/Gasto_o_ing_total!G$485</f>
        <v>3.7196094349602293</v>
      </c>
      <c r="I246" s="332">
        <f>Gasto_o_ing_total!H246*1000/Gasto_o_ing_total!H$485</f>
        <v>6.2676215498277283</v>
      </c>
      <c r="J246" s="332">
        <f>Gasto_o_ing_total!I246*1000/Gasto_o_ing_total!I$485</f>
        <v>2.0739534025789665</v>
      </c>
      <c r="K246" s="332">
        <f>Gasto_o_ing_total!J246*1000/Gasto_o_ing_total!J$485</f>
        <v>8.3868171223109744</v>
      </c>
      <c r="L246" s="332">
        <f>Gasto_o_ing_total!K246*1000/Gasto_o_ing_total!K$485</f>
        <v>0.79233829906621733</v>
      </c>
      <c r="M246" s="332">
        <f>Gasto_o_ing_total!L246*1000/Gasto_o_ing_total!L$485</f>
        <v>1.9837884890365083</v>
      </c>
      <c r="N246" s="332">
        <f>Gasto_o_ing_total!M246*1000/Gasto_o_ing_total!M$485</f>
        <v>1.1980302257586053</v>
      </c>
      <c r="O246" s="332">
        <f>Gasto_o_ing_total!N246*1000/Gasto_o_ing_total!N$485</f>
        <v>2.3465519494335605</v>
      </c>
      <c r="P246" s="332">
        <f>Gasto_o_ing_total!O246*1000/Gasto_o_ing_total!O$485</f>
        <v>1.7155511382991331</v>
      </c>
      <c r="Q246" s="332">
        <f>Gasto_o_ing_total!P246*1000/Gasto_o_ing_total!P$485</f>
        <v>1.7953038365203897</v>
      </c>
      <c r="R246" s="332">
        <f>Gasto_o_ing_total!Q246*1000/Gasto_o_ing_total!Q$485</f>
        <v>1.0190721384056161</v>
      </c>
      <c r="S246" s="332">
        <f>Gasto_o_ing_total!R246*1000/Gasto_o_ing_total!R$485</f>
        <v>1.1865086314769273</v>
      </c>
      <c r="T246" s="332">
        <f>Gasto_o_ing_total!S246*1000/Gasto_o_ing_total!S$485</f>
        <v>0.70797428669519247</v>
      </c>
      <c r="U246" s="332">
        <f>Gasto_o_ing_total!T246*1000/Gasto_o_ing_total!T$485</f>
        <v>0.5422789889113333</v>
      </c>
      <c r="V246" s="332">
        <f>Gasto_o_ing_total!U246*1000/Gasto_o_ing_total!U$485</f>
        <v>0.20968242605556697</v>
      </c>
      <c r="W246" s="21"/>
      <c r="X246" s="22"/>
    </row>
    <row r="247" spans="1:24">
      <c r="A247" s="351" t="str">
        <f>IF(B247="","",(IF(ISERROR(MATCH(B247,Tot_res!C:C,0)),"Eliminar!!!","")))</f>
        <v/>
      </c>
      <c r="B247" s="115" t="s">
        <v>253</v>
      </c>
      <c r="C247" s="329" t="str">
        <f>VLOOKUP(B247,Tot_res!C:D,2,FALSE)</f>
        <v>Creación de infraestructura de carreteras + AF06/1</v>
      </c>
      <c r="D247" s="332">
        <f>Gasto_o_ing_total!V247*1000/Gasto_o_ing_total!V$485</f>
        <v>34.76784462941739</v>
      </c>
      <c r="E247" s="332">
        <f>Gasto_o_ing_total!D247*1000/Gasto_o_ing_total!D$485</f>
        <v>48.930548081427304</v>
      </c>
      <c r="F247" s="332">
        <f>Gasto_o_ing_total!E247*1000/Gasto_o_ing_total!E$485</f>
        <v>101.45962549878284</v>
      </c>
      <c r="G247" s="332">
        <f>Gasto_o_ing_total!F247*1000/Gasto_o_ing_total!F$485</f>
        <v>105.11756393249998</v>
      </c>
      <c r="H247" s="332">
        <f>Gasto_o_ing_total!G247*1000/Gasto_o_ing_total!G$485</f>
        <v>73.415013266552279</v>
      </c>
      <c r="I247" s="332">
        <f>Gasto_o_ing_total!H247*1000/Gasto_o_ing_total!H$485</f>
        <v>26.816010690443928</v>
      </c>
      <c r="J247" s="332">
        <f>Gasto_o_ing_total!I247*1000/Gasto_o_ing_total!I$485</f>
        <v>103.6783450376177</v>
      </c>
      <c r="K247" s="332">
        <f>Gasto_o_ing_total!J247*1000/Gasto_o_ing_total!J$485</f>
        <v>32.708766009271528</v>
      </c>
      <c r="L247" s="332">
        <f>Gasto_o_ing_total!K247*1000/Gasto_o_ing_total!K$485</f>
        <v>30.930515674168028</v>
      </c>
      <c r="M247" s="332">
        <f>Gasto_o_ing_total!L247*1000/Gasto_o_ing_total!L$485</f>
        <v>19.050199004375006</v>
      </c>
      <c r="N247" s="332">
        <f>Gasto_o_ing_total!M247*1000/Gasto_o_ing_total!M$485</f>
        <v>19.415974531425146</v>
      </c>
      <c r="O247" s="332">
        <f>Gasto_o_ing_total!N247*1000/Gasto_o_ing_total!N$485</f>
        <v>11.438938452756748</v>
      </c>
      <c r="P247" s="332">
        <f>Gasto_o_ing_total!O247*1000/Gasto_o_ing_total!O$485</f>
        <v>46.258545618936736</v>
      </c>
      <c r="Q247" s="332">
        <f>Gasto_o_ing_total!P247*1000/Gasto_o_ing_total!P$485</f>
        <v>12.867874007400042</v>
      </c>
      <c r="R247" s="332">
        <f>Gasto_o_ing_total!Q247*1000/Gasto_o_ing_total!Q$485</f>
        <v>12.015725215554799</v>
      </c>
      <c r="S247" s="332">
        <f>Gasto_o_ing_total!R247*1000/Gasto_o_ing_total!R$485</f>
        <v>38.831764174978105</v>
      </c>
      <c r="T247" s="332">
        <f>Gasto_o_ing_total!S247*1000/Gasto_o_ing_total!S$485</f>
        <v>36.58341095737709</v>
      </c>
      <c r="U247" s="332">
        <f>Gasto_o_ing_total!T247*1000/Gasto_o_ing_total!T$485</f>
        <v>115.86245899369483</v>
      </c>
      <c r="V247" s="332">
        <f>Gasto_o_ing_total!U247*1000/Gasto_o_ing_total!U$485</f>
        <v>12.490813519084046</v>
      </c>
      <c r="W247" s="21"/>
      <c r="X247" s="13"/>
    </row>
    <row r="248" spans="1:24">
      <c r="A248" s="351" t="str">
        <f>IF(B248="","",(IF(ISERROR(MATCH(B248,Tot_res!C:C,0)),"Eliminar!!!","")))</f>
        <v/>
      </c>
      <c r="B248" s="115" t="s">
        <v>255</v>
      </c>
      <c r="C248" s="329" t="str">
        <f>VLOOKUP(B248,Tot_res!C:D,2,FALSE)</f>
        <v>Conservación y explotación de carreteras + AF07</v>
      </c>
      <c r="D248" s="332">
        <f>Gasto_o_ing_total!V248*1000/Gasto_o_ing_total!V$485</f>
        <v>20.789395493999844</v>
      </c>
      <c r="E248" s="332">
        <f>Gasto_o_ing_total!D248*1000/Gasto_o_ing_total!D$485</f>
        <v>13.102464609911639</v>
      </c>
      <c r="F248" s="332">
        <f>Gasto_o_ing_total!E248*1000/Gasto_o_ing_total!E$485</f>
        <v>65.423543234861484</v>
      </c>
      <c r="G248" s="332">
        <f>Gasto_o_ing_total!F248*1000/Gasto_o_ing_total!F$485</f>
        <v>24.816305015846062</v>
      </c>
      <c r="H248" s="332">
        <f>Gasto_o_ing_total!G248*1000/Gasto_o_ing_total!G$485</f>
        <v>1.4064792485313704</v>
      </c>
      <c r="I248" s="332">
        <f>Gasto_o_ing_total!H248*1000/Gasto_o_ing_total!H$485</f>
        <v>1.5910822210100592</v>
      </c>
      <c r="J248" s="332">
        <f>Gasto_o_ing_total!I248*1000/Gasto_o_ing_total!I$485</f>
        <v>47.928928036046898</v>
      </c>
      <c r="K248" s="332">
        <f>Gasto_o_ing_total!J248*1000/Gasto_o_ing_total!J$485</f>
        <v>60.108350618151626</v>
      </c>
      <c r="L248" s="332">
        <f>Gasto_o_ing_total!K248*1000/Gasto_o_ing_total!K$485</f>
        <v>63.169026152806509</v>
      </c>
      <c r="M248" s="332">
        <f>Gasto_o_ing_total!L248*1000/Gasto_o_ing_total!L$485</f>
        <v>9.6729695500639785</v>
      </c>
      <c r="N248" s="332">
        <f>Gasto_o_ing_total!M248*1000/Gasto_o_ing_total!M$485</f>
        <v>13.8911753685876</v>
      </c>
      <c r="O248" s="332">
        <f>Gasto_o_ing_total!N248*1000/Gasto_o_ing_total!N$485</f>
        <v>22.668464779894155</v>
      </c>
      <c r="P248" s="332">
        <f>Gasto_o_ing_total!O248*1000/Gasto_o_ing_total!O$485</f>
        <v>21.562110459377358</v>
      </c>
      <c r="Q248" s="332">
        <f>Gasto_o_ing_total!P248*1000/Gasto_o_ing_total!P$485</f>
        <v>15.984861834686212</v>
      </c>
      <c r="R248" s="332">
        <f>Gasto_o_ing_total!Q248*1000/Gasto_o_ing_total!Q$485</f>
        <v>20.61595793071783</v>
      </c>
      <c r="S248" s="332">
        <f>Gasto_o_ing_total!R248*1000/Gasto_o_ing_total!R$485</f>
        <v>24.496635327129198</v>
      </c>
      <c r="T248" s="332">
        <f>Gasto_o_ing_total!S248*1000/Gasto_o_ing_total!S$485</f>
        <v>23.150008886907703</v>
      </c>
      <c r="U248" s="332">
        <f>Gasto_o_ing_total!T248*1000/Gasto_o_ing_total!T$485</f>
        <v>25.200145573255629</v>
      </c>
      <c r="V248" s="332">
        <f>Gasto_o_ing_total!U248*1000/Gasto_o_ing_total!U$485</f>
        <v>8.4499115838672125</v>
      </c>
      <c r="W248" s="21"/>
      <c r="X248" s="13"/>
    </row>
    <row r="249" spans="1:24">
      <c r="A249" s="351" t="str">
        <f>IF(B249="","",(IF(ISERROR(MATCH(B249,Tot_res!C:C,0)),"Eliminar!!!","")))</f>
        <v/>
      </c>
      <c r="B249" s="115" t="s">
        <v>257</v>
      </c>
      <c r="C249" s="329" t="str">
        <f>VLOOKUP(B249,Tot_res!C:D,2,FALSE)</f>
        <v>Ordenac. e inspección del transporte terrestre</v>
      </c>
      <c r="D249" s="332">
        <f>Gasto_o_ing_total!V249*1000/Gasto_o_ing_total!V$485</f>
        <v>0.43821173202974195</v>
      </c>
      <c r="E249" s="332">
        <f>Gasto_o_ing_total!D249*1000/Gasto_o_ing_total!D$485</f>
        <v>0.31764573321927331</v>
      </c>
      <c r="F249" s="332">
        <f>Gasto_o_ing_total!E249*1000/Gasto_o_ing_total!E$485</f>
        <v>0.58927676751581726</v>
      </c>
      <c r="G249" s="332">
        <f>Gasto_o_ing_total!F249*1000/Gasto_o_ing_total!F$485</f>
        <v>0.57183460901470862</v>
      </c>
      <c r="H249" s="332">
        <f>Gasto_o_ing_total!G249*1000/Gasto_o_ing_total!G$485</f>
        <v>0.12108497223169795</v>
      </c>
      <c r="I249" s="332">
        <f>Gasto_o_ing_total!H249*1000/Gasto_o_ing_total!H$485</f>
        <v>0.14879518421362969</v>
      </c>
      <c r="J249" s="332">
        <f>Gasto_o_ing_total!I249*1000/Gasto_o_ing_total!I$485</f>
        <v>0.5957463767373895</v>
      </c>
      <c r="K249" s="332">
        <f>Gasto_o_ing_total!J249*1000/Gasto_o_ing_total!J$485</f>
        <v>0.42596459974592299</v>
      </c>
      <c r="L249" s="332">
        <f>Gasto_o_ing_total!K249*1000/Gasto_o_ing_total!K$485</f>
        <v>0.63304557004540563</v>
      </c>
      <c r="M249" s="332">
        <f>Gasto_o_ing_total!L249*1000/Gasto_o_ing_total!L$485</f>
        <v>0.61469530848317655</v>
      </c>
      <c r="N249" s="332">
        <f>Gasto_o_ing_total!M249*1000/Gasto_o_ing_total!M$485</f>
        <v>0.34165307684348639</v>
      </c>
      <c r="O249" s="332">
        <f>Gasto_o_ing_total!N249*1000/Gasto_o_ing_total!N$485</f>
        <v>0.42632122880546458</v>
      </c>
      <c r="P249" s="332">
        <f>Gasto_o_ing_total!O249*1000/Gasto_o_ing_total!O$485</f>
        <v>0.38751681582533404</v>
      </c>
      <c r="Q249" s="332">
        <f>Gasto_o_ing_total!P249*1000/Gasto_o_ing_total!P$485</f>
        <v>0.46188829656248753</v>
      </c>
      <c r="R249" s="332">
        <f>Gasto_o_ing_total!Q249*1000/Gasto_o_ing_total!Q$485</f>
        <v>0.35515828572109276</v>
      </c>
      <c r="S249" s="332">
        <f>Gasto_o_ing_total!R249*1000/Gasto_o_ing_total!R$485</f>
        <v>0.72140903433660886</v>
      </c>
      <c r="T249" s="332">
        <f>Gasto_o_ing_total!S249*1000/Gasto_o_ing_total!S$485</f>
        <v>0.57777712349069932</v>
      </c>
      <c r="U249" s="332">
        <f>Gasto_o_ing_total!T249*1000/Gasto_o_ing_total!T$485</f>
        <v>0.45633463661728746</v>
      </c>
      <c r="V249" s="332">
        <f>Gasto_o_ing_total!U249*1000/Gasto_o_ing_total!U$485</f>
        <v>0.14383354860140132</v>
      </c>
      <c r="W249" s="21"/>
      <c r="X249" s="13"/>
    </row>
    <row r="250" spans="1:24">
      <c r="A250" s="351" t="str">
        <f>IF(B250="","",(IF(ISERROR(MATCH(B250,Tot_res!C:C,0)),"Eliminar!!!","")))</f>
        <v/>
      </c>
      <c r="B250" s="115" t="s">
        <v>258</v>
      </c>
      <c r="C250" s="329" t="str">
        <f>VLOOKUP(B250,Tot_res!C:D,2,FALSE)</f>
        <v>Seguridad tráfico marítimo y vigilancia costera</v>
      </c>
      <c r="D250" s="332">
        <f>Gasto_o_ing_total!V250*1000/Gasto_o_ing_total!V$485</f>
        <v>0.88941663120911851</v>
      </c>
      <c r="E250" s="332">
        <f>Gasto_o_ing_total!D250*1000/Gasto_o_ing_total!D$485</f>
        <v>0.59545378580289032</v>
      </c>
      <c r="F250" s="332">
        <f>Gasto_o_ing_total!E250*1000/Gasto_o_ing_total!E$485</f>
        <v>1.4367330148623716</v>
      </c>
      <c r="G250" s="332">
        <f>Gasto_o_ing_total!F250*1000/Gasto_o_ing_total!F$485</f>
        <v>0.75280223764668797</v>
      </c>
      <c r="H250" s="332">
        <f>Gasto_o_ing_total!G250*1000/Gasto_o_ing_total!G$485</f>
        <v>0.68723772496460322</v>
      </c>
      <c r="I250" s="332">
        <f>Gasto_o_ing_total!H250*1000/Gasto_o_ing_total!H$485</f>
        <v>1.0587011333838496</v>
      </c>
      <c r="J250" s="332">
        <f>Gasto_o_ing_total!I250*1000/Gasto_o_ing_total!I$485</f>
        <v>1.0499818339813818</v>
      </c>
      <c r="K250" s="332">
        <f>Gasto_o_ing_total!J250*1000/Gasto_o_ing_total!J$485</f>
        <v>0.99640642030862892</v>
      </c>
      <c r="L250" s="332">
        <f>Gasto_o_ing_total!K250*1000/Gasto_o_ing_total!K$485</f>
        <v>0.81085255448337623</v>
      </c>
      <c r="M250" s="332">
        <f>Gasto_o_ing_total!L250*1000/Gasto_o_ing_total!L$485</f>
        <v>1.0581045214357654</v>
      </c>
      <c r="N250" s="332">
        <f>Gasto_o_ing_total!M250*1000/Gasto_o_ing_total!M$485</f>
        <v>0.79102489671813303</v>
      </c>
      <c r="O250" s="332">
        <f>Gasto_o_ing_total!N250*1000/Gasto_o_ing_total!N$485</f>
        <v>0.52037055461352177</v>
      </c>
      <c r="P250" s="332">
        <f>Gasto_o_ing_total!O250*1000/Gasto_o_ing_total!O$485</f>
        <v>0.82112910502567249</v>
      </c>
      <c r="Q250" s="332">
        <f>Gasto_o_ing_total!P250*1000/Gasto_o_ing_total!P$485</f>
        <v>0.85295854759833345</v>
      </c>
      <c r="R250" s="332">
        <f>Gasto_o_ing_total!Q250*1000/Gasto_o_ing_total!Q$485</f>
        <v>1.0835135997634679</v>
      </c>
      <c r="S250" s="332">
        <f>Gasto_o_ing_total!R250*1000/Gasto_o_ing_total!R$485</f>
        <v>1.52366219209665</v>
      </c>
      <c r="T250" s="332">
        <f>Gasto_o_ing_total!S250*1000/Gasto_o_ing_total!S$485</f>
        <v>1.2172481527084993</v>
      </c>
      <c r="U250" s="332">
        <f>Gasto_o_ing_total!T250*1000/Gasto_o_ing_total!T$485</f>
        <v>1.202973537821824</v>
      </c>
      <c r="V250" s="332">
        <f>Gasto_o_ing_total!U250*1000/Gasto_o_ing_total!U$485</f>
        <v>1.4931858531046853</v>
      </c>
      <c r="W250" s="21"/>
      <c r="X250" s="13"/>
    </row>
    <row r="251" spans="1:24">
      <c r="A251" s="351" t="str">
        <f>IF(B251="","",(IF(ISERROR(MATCH(B251,Tot_res!C:C,0)),"Eliminar!!!","")))</f>
        <v/>
      </c>
      <c r="B251" s="115" t="s">
        <v>259</v>
      </c>
      <c r="C251" s="329" t="str">
        <f>VLOOKUP(B251,Tot_res!C:D,2,FALSE)</f>
        <v>Regulación y supervisción de la aviación civil</v>
      </c>
      <c r="D251" s="332">
        <f>Gasto_o_ing_total!V251*1000/Gasto_o_ing_total!V$485</f>
        <v>1.2627514456952167</v>
      </c>
      <c r="E251" s="332">
        <f>Gasto_o_ing_total!D251*1000/Gasto_o_ing_total!D$485</f>
        <v>1.1032464240742121</v>
      </c>
      <c r="F251" s="332">
        <f>Gasto_o_ing_total!E251*1000/Gasto_o_ing_total!E$485</f>
        <v>1.1968691083877268</v>
      </c>
      <c r="G251" s="332">
        <f>Gasto_o_ing_total!F251*1000/Gasto_o_ing_total!F$485</f>
        <v>1.2110475702568455</v>
      </c>
      <c r="H251" s="332">
        <f>Gasto_o_ing_total!G251*1000/Gasto_o_ing_total!G$485</f>
        <v>1.9173208459478073</v>
      </c>
      <c r="I251" s="332">
        <f>Gasto_o_ing_total!H251*1000/Gasto_o_ing_total!H$485</f>
        <v>1.701333169037534</v>
      </c>
      <c r="J251" s="332">
        <f>Gasto_o_ing_total!I251*1000/Gasto_o_ing_total!I$485</f>
        <v>1.248619062994466</v>
      </c>
      <c r="K251" s="332">
        <f>Gasto_o_ing_total!J251*1000/Gasto_o_ing_total!J$485</f>
        <v>1.0625720137329939</v>
      </c>
      <c r="L251" s="332">
        <f>Gasto_o_ing_total!K251*1000/Gasto_o_ing_total!K$485</f>
        <v>1.2068510283913065</v>
      </c>
      <c r="M251" s="332">
        <f>Gasto_o_ing_total!L251*1000/Gasto_o_ing_total!L$485</f>
        <v>1.3451565414410267</v>
      </c>
      <c r="N251" s="332">
        <f>Gasto_o_ing_total!M251*1000/Gasto_o_ing_total!M$485</f>
        <v>1.1685665080260987</v>
      </c>
      <c r="O251" s="332">
        <f>Gasto_o_ing_total!N251*1000/Gasto_o_ing_total!N$485</f>
        <v>1.05149034334142</v>
      </c>
      <c r="P251" s="332">
        <f>Gasto_o_ing_total!O251*1000/Gasto_o_ing_total!O$485</f>
        <v>1.1767689514789699</v>
      </c>
      <c r="Q251" s="332">
        <f>Gasto_o_ing_total!P251*1000/Gasto_o_ing_total!P$485</f>
        <v>1.3946085597794606</v>
      </c>
      <c r="R251" s="332">
        <f>Gasto_o_ing_total!Q251*1000/Gasto_o_ing_total!Q$485</f>
        <v>1.137253734078844</v>
      </c>
      <c r="S251" s="332">
        <f>Gasto_o_ing_total!R251*1000/Gasto_o_ing_total!R$485</f>
        <v>1.2678955425508402</v>
      </c>
      <c r="T251" s="332">
        <f>Gasto_o_ing_total!S251*1000/Gasto_o_ing_total!S$485</f>
        <v>1.3233765075716641</v>
      </c>
      <c r="U251" s="332">
        <f>Gasto_o_ing_total!T251*1000/Gasto_o_ing_total!T$485</f>
        <v>1.1438879680435881</v>
      </c>
      <c r="V251" s="332">
        <f>Gasto_o_ing_total!U251*1000/Gasto_o_ing_total!U$485</f>
        <v>1.3351646534386481</v>
      </c>
      <c r="W251" s="21"/>
      <c r="X251" s="22"/>
    </row>
    <row r="252" spans="1:24">
      <c r="A252" s="351" t="str">
        <f>IF(B252="","",(IF(ISERROR(MATCH(B252,Tot_res!C:C,0)),"Eliminar!!!","")))</f>
        <v/>
      </c>
      <c r="B252" s="115" t="s">
        <v>260</v>
      </c>
      <c r="C252" s="329" t="str">
        <f>VLOOKUP(B252,Tot_res!C:D,2,FALSE)</f>
        <v>Calidad del agua</v>
      </c>
      <c r="D252" s="332">
        <f>Gasto_o_ing_total!V252*1000/Gasto_o_ing_total!V$485</f>
        <v>2.468402798916177</v>
      </c>
      <c r="E252" s="332">
        <f>Gasto_o_ing_total!D252*1000/Gasto_o_ing_total!D$485</f>
        <v>1.8564940966491503</v>
      </c>
      <c r="F252" s="332">
        <f>Gasto_o_ing_total!E252*1000/Gasto_o_ing_total!E$485</f>
        <v>19.343865349236886</v>
      </c>
      <c r="G252" s="332">
        <f>Gasto_o_ing_total!F252*1000/Gasto_o_ing_total!F$485</f>
        <v>17.734178725615614</v>
      </c>
      <c r="H252" s="332">
        <f>Gasto_o_ing_total!G252*1000/Gasto_o_ing_total!G$485</f>
        <v>1.1005859381422544E-2</v>
      </c>
      <c r="I252" s="332">
        <f>Gasto_o_ing_total!H252*1000/Gasto_o_ing_total!H$485</f>
        <v>0.59357765969498544</v>
      </c>
      <c r="J252" s="332">
        <f>Gasto_o_ing_total!I252*1000/Gasto_o_ing_total!I$485</f>
        <v>2.7930813204872442</v>
      </c>
      <c r="K252" s="332">
        <f>Gasto_o_ing_total!J252*1000/Gasto_o_ing_total!J$485</f>
        <v>0.27855238833471163</v>
      </c>
      <c r="L252" s="332">
        <f>Gasto_o_ing_total!K252*1000/Gasto_o_ing_total!K$485</f>
        <v>0.12152516598291856</v>
      </c>
      <c r="M252" s="332">
        <f>Gasto_o_ing_total!L252*1000/Gasto_o_ing_total!L$485</f>
        <v>3.0551040232624106E-2</v>
      </c>
      <c r="N252" s="332">
        <f>Gasto_o_ing_total!M252*1000/Gasto_o_ing_total!M$485</f>
        <v>5.2215669157138871E-2</v>
      </c>
      <c r="O252" s="332">
        <f>Gasto_o_ing_total!N252*1000/Gasto_o_ing_total!N$485</f>
        <v>21.101496652157671</v>
      </c>
      <c r="P252" s="332">
        <f>Gasto_o_ing_total!O252*1000/Gasto_o_ing_total!O$485</f>
        <v>3.1023964661501986</v>
      </c>
      <c r="Q252" s="332">
        <f>Gasto_o_ing_total!P252*1000/Gasto_o_ing_total!P$485</f>
        <v>3.5659608992760168E-2</v>
      </c>
      <c r="R252" s="332">
        <f>Gasto_o_ing_total!Q252*1000/Gasto_o_ing_total!Q$485</f>
        <v>3.9745450567142619E-2</v>
      </c>
      <c r="S252" s="332">
        <f>Gasto_o_ing_total!R252*1000/Gasto_o_ing_total!R$485</f>
        <v>0.25552141605253009</v>
      </c>
      <c r="T252" s="332">
        <f>Gasto_o_ing_total!S252*1000/Gasto_o_ing_total!S$485</f>
        <v>6.9298908490531756</v>
      </c>
      <c r="U252" s="332">
        <f>Gasto_o_ing_total!T252*1000/Gasto_o_ing_total!T$485</f>
        <v>0.30690864751010466</v>
      </c>
      <c r="V252" s="332">
        <f>Gasto_o_ing_total!U252*1000/Gasto_o_ing_total!U$485</f>
        <v>21.71011688359075</v>
      </c>
      <c r="W252" s="21"/>
      <c r="X252" s="22"/>
    </row>
    <row r="253" spans="1:24">
      <c r="A253" s="351" t="str">
        <f>IF(B253="","",(IF(ISERROR(MATCH(B253,Tot_res!C:C,0)),"Eliminar!!!","")))</f>
        <v/>
      </c>
      <c r="B253" s="115" t="s">
        <v>262</v>
      </c>
      <c r="C253" s="329" t="str">
        <f>VLOOKUP(B253,Tot_res!C:D,2,FALSE)</f>
        <v>Protección y mejora del medio ambiente</v>
      </c>
      <c r="D253" s="332">
        <f>Gasto_o_ing_total!V253*1000/Gasto_o_ing_total!V$485</f>
        <v>0.28978642994176518</v>
      </c>
      <c r="E253" s="332">
        <f>Gasto_o_ing_total!D253*1000/Gasto_o_ing_total!D$485</f>
        <v>0.28564998702713412</v>
      </c>
      <c r="F253" s="332">
        <f>Gasto_o_ing_total!E253*1000/Gasto_o_ing_total!E$485</f>
        <v>0.27508974388473872</v>
      </c>
      <c r="G253" s="332">
        <f>Gasto_o_ing_total!F253*1000/Gasto_o_ing_total!F$485</f>
        <v>0.27508974388473872</v>
      </c>
      <c r="H253" s="332">
        <f>Gasto_o_ing_total!G253*1000/Gasto_o_ing_total!G$485</f>
        <v>0.27508974388473872</v>
      </c>
      <c r="I253" s="332">
        <f>Gasto_o_ing_total!H253*1000/Gasto_o_ing_total!H$485</f>
        <v>0.27508974388473872</v>
      </c>
      <c r="J253" s="332">
        <f>Gasto_o_ing_total!I253*1000/Gasto_o_ing_total!I$485</f>
        <v>0.3352004067973286</v>
      </c>
      <c r="K253" s="332">
        <f>Gasto_o_ing_total!J253*1000/Gasto_o_ing_total!J$485</f>
        <v>0.27508974388473872</v>
      </c>
      <c r="L253" s="332">
        <f>Gasto_o_ing_total!K253*1000/Gasto_o_ing_total!K$485</f>
        <v>0.27508974388473872</v>
      </c>
      <c r="M253" s="332">
        <f>Gasto_o_ing_total!L253*1000/Gasto_o_ing_total!L$485</f>
        <v>0.27960726164226452</v>
      </c>
      <c r="N253" s="332">
        <f>Gasto_o_ing_total!M253*1000/Gasto_o_ing_total!M$485</f>
        <v>0.27508974388473867</v>
      </c>
      <c r="O253" s="332">
        <f>Gasto_o_ing_total!N253*1000/Gasto_o_ing_total!N$485</f>
        <v>0.27508974388473872</v>
      </c>
      <c r="P253" s="332">
        <f>Gasto_o_ing_total!O253*1000/Gasto_o_ing_total!O$485</f>
        <v>0.27508974388473867</v>
      </c>
      <c r="Q253" s="332">
        <f>Gasto_o_ing_total!P253*1000/Gasto_o_ing_total!P$485</f>
        <v>0.35417081134688955</v>
      </c>
      <c r="R253" s="332">
        <f>Gasto_o_ing_total!Q253*1000/Gasto_o_ing_total!Q$485</f>
        <v>0.27508974388473872</v>
      </c>
      <c r="S253" s="332">
        <f>Gasto_o_ing_total!R253*1000/Gasto_o_ing_total!R$485</f>
        <v>0.27508974388473867</v>
      </c>
      <c r="T253" s="332">
        <f>Gasto_o_ing_total!S253*1000/Gasto_o_ing_total!S$485</f>
        <v>0.28360183618114443</v>
      </c>
      <c r="U253" s="332">
        <f>Gasto_o_ing_total!T253*1000/Gasto_o_ing_total!T$485</f>
        <v>0.27508974388473872</v>
      </c>
      <c r="V253" s="332">
        <f>Gasto_o_ing_total!U253*1000/Gasto_o_ing_total!U$485</f>
        <v>0.27508974388473872</v>
      </c>
      <c r="W253" s="21"/>
      <c r="X253" s="13"/>
    </row>
    <row r="254" spans="1:24">
      <c r="A254" s="351" t="str">
        <f>IF(B254="","",(IF(ISERROR(MATCH(B254,Tot_res!C:C,0)),"Eliminar!!!","")))</f>
        <v/>
      </c>
      <c r="B254" s="115" t="s">
        <v>264</v>
      </c>
      <c r="C254" s="329" t="str">
        <f>VLOOKUP(B254,Tot_res!C:D,2,FALSE)</f>
        <v>Protección y mejora del medio natural + AF09</v>
      </c>
      <c r="D254" s="332">
        <f>Gasto_o_ing_total!V254*1000/Gasto_o_ing_total!V$485</f>
        <v>2.5846493196253095</v>
      </c>
      <c r="E254" s="332">
        <f>Gasto_o_ing_total!D254*1000/Gasto_o_ing_total!D$485</f>
        <v>1.7145862352748271</v>
      </c>
      <c r="F254" s="332">
        <f>Gasto_o_ing_total!E254*1000/Gasto_o_ing_total!E$485</f>
        <v>3.4416684935617079</v>
      </c>
      <c r="G254" s="332">
        <f>Gasto_o_ing_total!F254*1000/Gasto_o_ing_total!F$485</f>
        <v>4.3255439469928572</v>
      </c>
      <c r="H254" s="332">
        <f>Gasto_o_ing_total!G254*1000/Gasto_o_ing_total!G$485</f>
        <v>1.3192211077188731</v>
      </c>
      <c r="I254" s="332">
        <f>Gasto_o_ing_total!H254*1000/Gasto_o_ing_total!H$485</f>
        <v>3.2259390024678671</v>
      </c>
      <c r="J254" s="332">
        <f>Gasto_o_ing_total!I254*1000/Gasto_o_ing_total!I$485</f>
        <v>1.5393000101780709</v>
      </c>
      <c r="K254" s="332">
        <f>Gasto_o_ing_total!J254*1000/Gasto_o_ing_total!J$485</f>
        <v>9.2282976931157155</v>
      </c>
      <c r="L254" s="332">
        <f>Gasto_o_ing_total!K254*1000/Gasto_o_ing_total!K$485</f>
        <v>9.763615949447038</v>
      </c>
      <c r="M254" s="332">
        <f>Gasto_o_ing_total!L254*1000/Gasto_o_ing_total!L$485</f>
        <v>1.0337258403612459</v>
      </c>
      <c r="N254" s="332">
        <f>Gasto_o_ing_total!M254*1000/Gasto_o_ing_total!M$485</f>
        <v>1.2507612591125772</v>
      </c>
      <c r="O254" s="332">
        <f>Gasto_o_ing_total!N254*1000/Gasto_o_ing_total!N$485</f>
        <v>7.639776636827186</v>
      </c>
      <c r="P254" s="332">
        <f>Gasto_o_ing_total!O254*1000/Gasto_o_ing_total!O$485</f>
        <v>2.4772343547609825</v>
      </c>
      <c r="Q254" s="332">
        <f>Gasto_o_ing_total!P254*1000/Gasto_o_ing_total!P$485</f>
        <v>1.0300434966472909</v>
      </c>
      <c r="R254" s="332">
        <f>Gasto_o_ing_total!Q254*1000/Gasto_o_ing_total!Q$485</f>
        <v>1.4565791521084808</v>
      </c>
      <c r="S254" s="332">
        <f>Gasto_o_ing_total!R254*1000/Gasto_o_ing_total!R$485</f>
        <v>2.0261434378072707</v>
      </c>
      <c r="T254" s="332">
        <f>Gasto_o_ing_total!S254*1000/Gasto_o_ing_total!S$485</f>
        <v>2.0458935189181897</v>
      </c>
      <c r="U254" s="332">
        <f>Gasto_o_ing_total!T254*1000/Gasto_o_ing_total!T$485</f>
        <v>3.32624120735484</v>
      </c>
      <c r="V254" s="332">
        <f>Gasto_o_ing_total!U254*1000/Gasto_o_ing_total!U$485</f>
        <v>0.75575425717948364</v>
      </c>
      <c r="W254" s="21"/>
      <c r="X254" s="23"/>
    </row>
    <row r="255" spans="1:24">
      <c r="A255" s="351" t="str">
        <f>IF(B255="","",(IF(ISERROR(MATCH(B255,Tot_res!C:C,0)),"Eliminar!!!","")))</f>
        <v/>
      </c>
      <c r="B255" s="115" t="s">
        <v>266</v>
      </c>
      <c r="C255" s="329" t="str">
        <f>VLOOKUP(B255,Tot_res!C:D,2,FALSE)</f>
        <v>Actuación en la costa</v>
      </c>
      <c r="D255" s="332">
        <f>Gasto_o_ing_total!V255*1000/Gasto_o_ing_total!V$485</f>
        <v>1.9156805613036474</v>
      </c>
      <c r="E255" s="332">
        <f>Gasto_o_ing_total!D255*1000/Gasto_o_ing_total!D$485</f>
        <v>1.2975675787516223</v>
      </c>
      <c r="F255" s="332">
        <f>Gasto_o_ing_total!E255*1000/Gasto_o_ing_total!E$485</f>
        <v>0.50678275985625343</v>
      </c>
      <c r="G255" s="332">
        <f>Gasto_o_ing_total!F255*1000/Gasto_o_ing_total!F$485</f>
        <v>4.2005243705499016</v>
      </c>
      <c r="H255" s="332">
        <f>Gasto_o_ing_total!G255*1000/Gasto_o_ing_total!G$485</f>
        <v>2.8381938209157189</v>
      </c>
      <c r="I255" s="332">
        <f>Gasto_o_ing_total!H255*1000/Gasto_o_ing_total!H$485</f>
        <v>3.9951371058897949</v>
      </c>
      <c r="J255" s="332">
        <f>Gasto_o_ing_total!I255*1000/Gasto_o_ing_total!I$485</f>
        <v>9.2070638708770058</v>
      </c>
      <c r="K255" s="332">
        <f>Gasto_o_ing_total!J255*1000/Gasto_o_ing_total!J$485</f>
        <v>0.46493056961613061</v>
      </c>
      <c r="L255" s="332">
        <f>Gasto_o_ing_total!K255*1000/Gasto_o_ing_total!K$485</f>
        <v>0.42566908620936911</v>
      </c>
      <c r="M255" s="332">
        <f>Gasto_o_ing_total!L255*1000/Gasto_o_ing_total!L$485</f>
        <v>0.95323107799017792</v>
      </c>
      <c r="N255" s="332">
        <f>Gasto_o_ing_total!M255*1000/Gasto_o_ing_total!M$485</f>
        <v>1.6761015669702162</v>
      </c>
      <c r="O255" s="332">
        <f>Gasto_o_ing_total!N255*1000/Gasto_o_ing_total!N$485</f>
        <v>0.40337750668614769</v>
      </c>
      <c r="P255" s="332">
        <f>Gasto_o_ing_total!O255*1000/Gasto_o_ing_total!O$485</f>
        <v>3.7562645473645806</v>
      </c>
      <c r="Q255" s="332">
        <f>Gasto_o_ing_total!P255*1000/Gasto_o_ing_total!P$485</f>
        <v>0.56655741343644983</v>
      </c>
      <c r="R255" s="332">
        <f>Gasto_o_ing_total!Q255*1000/Gasto_o_ing_total!Q$485</f>
        <v>1.5518085874843099</v>
      </c>
      <c r="S255" s="332">
        <f>Gasto_o_ing_total!R255*1000/Gasto_o_ing_total!R$485</f>
        <v>0.53987076095034214</v>
      </c>
      <c r="T255" s="332">
        <f>Gasto_o_ing_total!S255*1000/Gasto_o_ing_total!S$485</f>
        <v>9.8806606010513018</v>
      </c>
      <c r="U255" s="332">
        <f>Gasto_o_ing_total!T255*1000/Gasto_o_ing_total!T$485</f>
        <v>0.49856023868460786</v>
      </c>
      <c r="V255" s="332">
        <f>Gasto_o_ing_total!U255*1000/Gasto_o_ing_total!U$485</f>
        <v>0.87312129398523941</v>
      </c>
      <c r="W255" s="21"/>
      <c r="X255" s="22"/>
    </row>
    <row r="256" spans="1:24">
      <c r="A256" s="351" t="str">
        <f>IF(B256="","",(IF(ISERROR(MATCH(B256,Tot_res!C:C,0)),"Eliminar!!!","")))</f>
        <v/>
      </c>
      <c r="B256" s="115" t="s">
        <v>268</v>
      </c>
      <c r="C256" s="329" t="str">
        <f>VLOOKUP(B256,Tot_res!C:D,2,FALSE)</f>
        <v>Actuac. prevención contaminac. y cambio climático</v>
      </c>
      <c r="D256" s="332">
        <f>Gasto_o_ing_total!V256*1000/Gasto_o_ing_total!V$485</f>
        <v>0.5699878072575123</v>
      </c>
      <c r="E256" s="332">
        <f>Gasto_o_ing_total!D256*1000/Gasto_o_ing_total!D$485</f>
        <v>0.56998780725751219</v>
      </c>
      <c r="F256" s="332">
        <f>Gasto_o_ing_total!E256*1000/Gasto_o_ing_total!E$485</f>
        <v>0.56998780725751219</v>
      </c>
      <c r="G256" s="332">
        <f>Gasto_o_ing_total!F256*1000/Gasto_o_ing_total!F$485</f>
        <v>0.56998780725751219</v>
      </c>
      <c r="H256" s="332">
        <f>Gasto_o_ing_total!G256*1000/Gasto_o_ing_total!G$485</f>
        <v>0.56998780725751219</v>
      </c>
      <c r="I256" s="332">
        <f>Gasto_o_ing_total!H256*1000/Gasto_o_ing_total!H$485</f>
        <v>0.56998780725751219</v>
      </c>
      <c r="J256" s="332">
        <f>Gasto_o_ing_total!I256*1000/Gasto_o_ing_total!I$485</f>
        <v>0.56998780725751219</v>
      </c>
      <c r="K256" s="332">
        <f>Gasto_o_ing_total!J256*1000/Gasto_o_ing_total!J$485</f>
        <v>0.56998780725751219</v>
      </c>
      <c r="L256" s="332">
        <f>Gasto_o_ing_total!K256*1000/Gasto_o_ing_total!K$485</f>
        <v>0.5699878072575123</v>
      </c>
      <c r="M256" s="332">
        <f>Gasto_o_ing_total!L256*1000/Gasto_o_ing_total!L$485</f>
        <v>0.56998780725751219</v>
      </c>
      <c r="N256" s="332">
        <f>Gasto_o_ing_total!M256*1000/Gasto_o_ing_total!M$485</f>
        <v>0.56998780725751219</v>
      </c>
      <c r="O256" s="332">
        <f>Gasto_o_ing_total!N256*1000/Gasto_o_ing_total!N$485</f>
        <v>0.56998780725751219</v>
      </c>
      <c r="P256" s="332">
        <f>Gasto_o_ing_total!O256*1000/Gasto_o_ing_total!O$485</f>
        <v>0.56998780725751219</v>
      </c>
      <c r="Q256" s="332">
        <f>Gasto_o_ing_total!P256*1000/Gasto_o_ing_total!P$485</f>
        <v>0.5699878072575123</v>
      </c>
      <c r="R256" s="332">
        <f>Gasto_o_ing_total!Q256*1000/Gasto_o_ing_total!Q$485</f>
        <v>0.5699878072575123</v>
      </c>
      <c r="S256" s="332">
        <f>Gasto_o_ing_total!R256*1000/Gasto_o_ing_total!R$485</f>
        <v>0.56998780725751219</v>
      </c>
      <c r="T256" s="332">
        <f>Gasto_o_ing_total!S256*1000/Gasto_o_ing_total!S$485</f>
        <v>0.56998780725751219</v>
      </c>
      <c r="U256" s="332">
        <f>Gasto_o_ing_total!T256*1000/Gasto_o_ing_total!T$485</f>
        <v>0.5699878072575123</v>
      </c>
      <c r="V256" s="332">
        <f>Gasto_o_ing_total!U256*1000/Gasto_o_ing_total!U$485</f>
        <v>0.56998780725751219</v>
      </c>
      <c r="W256" s="21"/>
      <c r="X256" s="22"/>
    </row>
    <row r="257" spans="1:24">
      <c r="A257" s="351" t="str">
        <f>IF(B257="","",(IF(ISERROR(MATCH(B257,Tot_res!C:C,0)),"Eliminar!!!","")))</f>
        <v/>
      </c>
      <c r="B257" s="115" t="s">
        <v>269</v>
      </c>
      <c r="C257" s="329" t="str">
        <f>VLOOKUP(B257,Tot_res!C:D,2,FALSE)</f>
        <v>Investigación, desarrollo y experimentación en transporte e infraestructuras</v>
      </c>
      <c r="D257" s="332">
        <f>Gasto_o_ing_total!V257*1000/Gasto_o_ing_total!V$485</f>
        <v>1.9080419774682828E-3</v>
      </c>
      <c r="E257" s="332">
        <f>Gasto_o_ing_total!D257*1000/Gasto_o_ing_total!D$485</f>
        <v>1.6073013279233092E-3</v>
      </c>
      <c r="F257" s="332">
        <f>Gasto_o_ing_total!E257*1000/Gasto_o_ing_total!E$485</f>
        <v>3.5323079685788844E-3</v>
      </c>
      <c r="G257" s="332">
        <f>Gasto_o_ing_total!F257*1000/Gasto_o_ing_total!F$485</f>
        <v>3.2640881165019544E-3</v>
      </c>
      <c r="H257" s="332">
        <f>Gasto_o_ing_total!G257*1000/Gasto_o_ing_total!G$485</f>
        <v>1.2305450610743444E-3</v>
      </c>
      <c r="I257" s="332">
        <f>Gasto_o_ing_total!H257*1000/Gasto_o_ing_total!H$485</f>
        <v>1.0060685523656163E-3</v>
      </c>
      <c r="J257" s="332">
        <f>Gasto_o_ing_total!I257*1000/Gasto_o_ing_total!I$485</f>
        <v>2.5089271150407766E-3</v>
      </c>
      <c r="K257" s="332">
        <f>Gasto_o_ing_total!J257*1000/Gasto_o_ing_total!J$485</f>
        <v>4.2339179863671011E-3</v>
      </c>
      <c r="L257" s="332">
        <f>Gasto_o_ing_total!K257*1000/Gasto_o_ing_total!K$485</f>
        <v>2.365204313593832E-3</v>
      </c>
      <c r="M257" s="332">
        <f>Gasto_o_ing_total!L257*1000/Gasto_o_ing_total!L$485</f>
        <v>1.2984370267538369E-3</v>
      </c>
      <c r="N257" s="332">
        <f>Gasto_o_ing_total!M257*1000/Gasto_o_ing_total!M$485</f>
        <v>1.4346424166584635E-3</v>
      </c>
      <c r="O257" s="332">
        <f>Gasto_o_ing_total!N257*1000/Gasto_o_ing_total!N$485</f>
        <v>2.5411869204789226E-3</v>
      </c>
      <c r="P257" s="332">
        <f>Gasto_o_ing_total!O257*1000/Gasto_o_ing_total!O$485</f>
        <v>3.1535287025096868E-3</v>
      </c>
      <c r="Q257" s="332">
        <f>Gasto_o_ing_total!P257*1000/Gasto_o_ing_total!P$485</f>
        <v>1.3556647764460205E-3</v>
      </c>
      <c r="R257" s="332">
        <f>Gasto_o_ing_total!Q257*1000/Gasto_o_ing_total!Q$485</f>
        <v>1.8736635113689416E-3</v>
      </c>
      <c r="S257" s="332">
        <f>Gasto_o_ing_total!R257*1000/Gasto_o_ing_total!R$485</f>
        <v>2.3753712286716288E-3</v>
      </c>
      <c r="T257" s="332">
        <f>Gasto_o_ing_total!S257*1000/Gasto_o_ing_total!S$485</f>
        <v>2.0548810217890009E-3</v>
      </c>
      <c r="U257" s="332">
        <f>Gasto_o_ing_total!T257*1000/Gasto_o_ing_total!T$485</f>
        <v>3.0939553665842797E-3</v>
      </c>
      <c r="V257" s="332">
        <f>Gasto_o_ing_total!U257*1000/Gasto_o_ing_total!U$485</f>
        <v>1.7089691406770185E-3</v>
      </c>
      <c r="W257" s="21"/>
      <c r="X257" s="13"/>
    </row>
    <row r="258" spans="1:24">
      <c r="A258" s="351" t="str">
        <f>IF(B258="","",(IF(ISERROR(MATCH(B258,Tot_res!C:C,0)),"Eliminar!!!","")))</f>
        <v/>
      </c>
      <c r="B258" s="115" t="s">
        <v>270</v>
      </c>
      <c r="C258" s="329" t="str">
        <f>VLOOKUP(B258,Tot_res!C:D,2,FALSE)</f>
        <v>Servicio postal universal</v>
      </c>
      <c r="D258" s="332">
        <f>Gasto_o_ing_total!V258*1000/Gasto_o_ing_total!V$485</f>
        <v>11.109261900140762</v>
      </c>
      <c r="E258" s="332">
        <f>Gasto_o_ing_total!D258*1000/Gasto_o_ing_total!D$485</f>
        <v>6.2435606038808276</v>
      </c>
      <c r="F258" s="332">
        <f>Gasto_o_ing_total!E258*1000/Gasto_o_ing_total!E$485</f>
        <v>14.961802725300974</v>
      </c>
      <c r="G258" s="332">
        <f>Gasto_o_ing_total!F258*1000/Gasto_o_ing_total!F$485</f>
        <v>9.4004556642690797</v>
      </c>
      <c r="H258" s="332">
        <f>Gasto_o_ing_total!G258*1000/Gasto_o_ing_total!G$485</f>
        <v>27.723551694304735</v>
      </c>
      <c r="I258" s="332">
        <f>Gasto_o_ing_total!H258*1000/Gasto_o_ing_total!H$485</f>
        <v>55.390691983372371</v>
      </c>
      <c r="J258" s="332">
        <f>Gasto_o_ing_total!I258*1000/Gasto_o_ing_total!I$485</f>
        <v>13.510214108094678</v>
      </c>
      <c r="K258" s="332">
        <f>Gasto_o_ing_total!J258*1000/Gasto_o_ing_total!J$485</f>
        <v>21.216875622488679</v>
      </c>
      <c r="L258" s="332">
        <f>Gasto_o_ing_total!K258*1000/Gasto_o_ing_total!K$485</f>
        <v>18.386212009915386</v>
      </c>
      <c r="M258" s="332">
        <f>Gasto_o_ing_total!L258*1000/Gasto_o_ing_total!L$485</f>
        <v>6.26523505595231</v>
      </c>
      <c r="N258" s="332">
        <f>Gasto_o_ing_total!M258*1000/Gasto_o_ing_total!M$485</f>
        <v>5.3716910982384558</v>
      </c>
      <c r="O258" s="332">
        <f>Gasto_o_ing_total!N258*1000/Gasto_o_ing_total!N$485</f>
        <v>20.270727309931516</v>
      </c>
      <c r="P258" s="332">
        <f>Gasto_o_ing_total!O258*1000/Gasto_o_ing_total!O$485</f>
        <v>18.105554834581717</v>
      </c>
      <c r="Q258" s="332">
        <f>Gasto_o_ing_total!P258*1000/Gasto_o_ing_total!P$485</f>
        <v>1.3252917198851983</v>
      </c>
      <c r="R258" s="332">
        <f>Gasto_o_ing_total!Q258*1000/Gasto_o_ing_total!Q$485</f>
        <v>1.2623567270082838</v>
      </c>
      <c r="S258" s="332">
        <f>Gasto_o_ing_total!R258*1000/Gasto_o_ing_total!R$485</f>
        <v>18.740580966543323</v>
      </c>
      <c r="T258" s="332">
        <f>Gasto_o_ing_total!S258*1000/Gasto_o_ing_total!S$485</f>
        <v>6.272819329754757</v>
      </c>
      <c r="U258" s="332">
        <f>Gasto_o_ing_total!T258*1000/Gasto_o_ing_total!T$485</f>
        <v>13.718642401267024</v>
      </c>
      <c r="V258" s="332">
        <f>Gasto_o_ing_total!U258*1000/Gasto_o_ing_total!U$485</f>
        <v>27.502228350875967</v>
      </c>
      <c r="W258" s="21"/>
      <c r="X258" s="13"/>
    </row>
    <row r="259" spans="1:24">
      <c r="A259" s="351" t="str">
        <f>IF(B259="","",(IF(ISERROR(MATCH(B259,Tot_res!C:C,0)),"Eliminar!!!","")))</f>
        <v/>
      </c>
      <c r="B259" s="115" t="s">
        <v>751</v>
      </c>
      <c r="C259" s="329" t="str">
        <f>VLOOKUP(B259,Tot_res!C:D,2,FALSE)</f>
        <v>Salvamento y lucha contra la contaminación en la mar</v>
      </c>
      <c r="D259" s="332">
        <f>Gasto_o_ing_total!V259*1000/Gasto_o_ing_total!V$485</f>
        <v>2.968118265758271</v>
      </c>
      <c r="E259" s="332">
        <f>Gasto_o_ing_total!D259*1000/Gasto_o_ing_total!D$485</f>
        <v>1.98711964229161</v>
      </c>
      <c r="F259" s="332">
        <f>Gasto_o_ing_total!E259*1000/Gasto_o_ing_total!E$485</f>
        <v>4.7945960923102167</v>
      </c>
      <c r="G259" s="332">
        <f>Gasto_o_ing_total!F259*1000/Gasto_o_ing_total!F$485</f>
        <v>2.5122153034458869</v>
      </c>
      <c r="H259" s="332">
        <f>Gasto_o_ing_total!G259*1000/Gasto_o_ing_total!G$485</f>
        <v>2.2934165753259932</v>
      </c>
      <c r="I259" s="332">
        <f>Gasto_o_ing_total!H259*1000/Gasto_o_ing_total!H$485</f>
        <v>3.5330463381415709</v>
      </c>
      <c r="J259" s="332">
        <f>Gasto_o_ing_total!I259*1000/Gasto_o_ing_total!I$485</f>
        <v>3.5039487128971487</v>
      </c>
      <c r="K259" s="332">
        <f>Gasto_o_ing_total!J259*1000/Gasto_o_ing_total!J$485</f>
        <v>3.3251594274961365</v>
      </c>
      <c r="L259" s="332">
        <f>Gasto_o_ing_total!K259*1000/Gasto_o_ing_total!K$485</f>
        <v>2.7059380197636549</v>
      </c>
      <c r="M259" s="332">
        <f>Gasto_o_ing_total!L259*1000/Gasto_o_ing_total!L$485</f>
        <v>3.5310553535359976</v>
      </c>
      <c r="N259" s="332">
        <f>Gasto_o_ing_total!M259*1000/Gasto_o_ing_total!M$485</f>
        <v>2.6397701169887573</v>
      </c>
      <c r="O259" s="332">
        <f>Gasto_o_ing_total!N259*1000/Gasto_o_ing_total!N$485</f>
        <v>1.736555506064076</v>
      </c>
      <c r="P259" s="332">
        <f>Gasto_o_ing_total!O259*1000/Gasto_o_ing_total!O$485</f>
        <v>2.7402324283718138</v>
      </c>
      <c r="Q259" s="332">
        <f>Gasto_o_ing_total!P259*1000/Gasto_o_ing_total!P$485</f>
        <v>2.8464521082988541</v>
      </c>
      <c r="R259" s="332">
        <f>Gasto_o_ing_total!Q259*1000/Gasto_o_ing_total!Q$485</f>
        <v>3.6158493036986008</v>
      </c>
      <c r="S259" s="332">
        <f>Gasto_o_ing_total!R259*1000/Gasto_o_ing_total!R$485</f>
        <v>5.0846919480911446</v>
      </c>
      <c r="T259" s="332">
        <f>Gasto_o_ing_total!S259*1000/Gasto_o_ing_total!S$485</f>
        <v>4.0621418008599637</v>
      </c>
      <c r="U259" s="332">
        <f>Gasto_o_ing_total!T259*1000/Gasto_o_ing_total!T$485</f>
        <v>4.0145052448353615</v>
      </c>
      <c r="V259" s="332">
        <f>Gasto_o_ing_total!U259*1000/Gasto_o_ing_total!U$485</f>
        <v>4.9829877801439819</v>
      </c>
      <c r="W259" s="21"/>
      <c r="X259" s="13"/>
    </row>
    <row r="260" spans="1:24">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Gasto_o_ing_total!V260*1000/Gasto_o_ing_total!V$485</f>
        <v>1.0932993152159656</v>
      </c>
      <c r="E260" s="332">
        <f>Gasto_o_ing_total!D260*1000/Gasto_o_ing_total!D$485</f>
        <v>1.9931551266005563</v>
      </c>
      <c r="F260" s="332">
        <f>Gasto_o_ing_total!E260*1000/Gasto_o_ing_total!E$485</f>
        <v>4.4763788044333603</v>
      </c>
      <c r="G260" s="332">
        <f>Gasto_o_ing_total!F260*1000/Gasto_o_ing_total!F$485</f>
        <v>2.027086032319207</v>
      </c>
      <c r="H260" s="332">
        <f>Gasto_o_ing_total!G260*1000/Gasto_o_ing_total!G$485</f>
        <v>2.2399598536360679</v>
      </c>
      <c r="I260" s="332">
        <f>Gasto_o_ing_total!H260*1000/Gasto_o_ing_total!H$485</f>
        <v>0</v>
      </c>
      <c r="J260" s="332">
        <f>Gasto_o_ing_total!I260*1000/Gasto_o_ing_total!I$485</f>
        <v>1.8819419424365438</v>
      </c>
      <c r="K260" s="332">
        <f>Gasto_o_ing_total!J260*1000/Gasto_o_ing_total!J$485</f>
        <v>1.847612350060662</v>
      </c>
      <c r="L260" s="332">
        <f>Gasto_o_ing_total!K260*1000/Gasto_o_ing_total!K$485</f>
        <v>0.53911959054589853</v>
      </c>
      <c r="M260" s="332">
        <f>Gasto_o_ing_total!L260*1000/Gasto_o_ing_total!L$485</f>
        <v>0.43587522174239735</v>
      </c>
      <c r="N260" s="332">
        <f>Gasto_o_ing_total!M260*1000/Gasto_o_ing_total!M$485</f>
        <v>1.5498296405409708</v>
      </c>
      <c r="O260" s="332">
        <f>Gasto_o_ing_total!N260*1000/Gasto_o_ing_total!N$485</f>
        <v>0.83618863017865763</v>
      </c>
      <c r="P260" s="332">
        <f>Gasto_o_ing_total!O260*1000/Gasto_o_ing_total!O$485</f>
        <v>1.2532288240082816</v>
      </c>
      <c r="Q260" s="332">
        <f>Gasto_o_ing_total!P260*1000/Gasto_o_ing_total!P$485</f>
        <v>0</v>
      </c>
      <c r="R260" s="332">
        <f>Gasto_o_ing_total!Q260*1000/Gasto_o_ing_total!Q$485</f>
        <v>0.50663038077015621</v>
      </c>
      <c r="S260" s="332">
        <f>Gasto_o_ing_total!R260*1000/Gasto_o_ing_total!R$485</f>
        <v>0</v>
      </c>
      <c r="T260" s="332">
        <f>Gasto_o_ing_total!S260*1000/Gasto_o_ing_total!S$485</f>
        <v>5.1373861929057373E-3</v>
      </c>
      <c r="U260" s="332">
        <f>Gasto_o_ing_total!T260*1000/Gasto_o_ing_total!T$485</f>
        <v>2.1062231096367454</v>
      </c>
      <c r="V260" s="332">
        <f>Gasto_o_ing_total!U260*1000/Gasto_o_ing_total!U$485</f>
        <v>1.0823552468326265</v>
      </c>
      <c r="W260" s="21"/>
      <c r="X260" s="22"/>
    </row>
    <row r="261" spans="1:24">
      <c r="A261" s="351" t="str">
        <f>IF(B261="","",(IF(ISERROR(MATCH(B261,Tot_res!C:C,0)),"Eliminar!!!","")))</f>
        <v/>
      </c>
      <c r="B261" s="115" t="s">
        <v>754</v>
      </c>
      <c r="C261" s="329" t="str">
        <f>VLOOKUP(B261,Tot_res!C:D,2,FALSE)</f>
        <v>Otras aportaciones a Corporaciones Locales, mejoras suminstro agua CyMel</v>
      </c>
      <c r="D261" s="332">
        <f>Gasto_o_ing_total!V261*1000/Gasto_o_ing_total!V$485</f>
        <v>0.43668224036340503</v>
      </c>
      <c r="E261" s="332">
        <f>Gasto_o_ing_total!D261*1000/Gasto_o_ing_total!D$485</f>
        <v>0.64186835246790919</v>
      </c>
      <c r="F261" s="332">
        <f>Gasto_o_ing_total!E261*1000/Gasto_o_ing_total!E$485</f>
        <v>0</v>
      </c>
      <c r="G261" s="332">
        <f>Gasto_o_ing_total!F261*1000/Gasto_o_ing_total!F$485</f>
        <v>0</v>
      </c>
      <c r="H261" s="332">
        <f>Gasto_o_ing_total!G261*1000/Gasto_o_ing_total!G$485</f>
        <v>0</v>
      </c>
      <c r="I261" s="332">
        <f>Gasto_o_ing_total!H261*1000/Gasto_o_ing_total!H$485</f>
        <v>0</v>
      </c>
      <c r="J261" s="332">
        <f>Gasto_o_ing_total!I261*1000/Gasto_o_ing_total!I$485</f>
        <v>0</v>
      </c>
      <c r="K261" s="332">
        <f>Gasto_o_ing_total!J261*1000/Gasto_o_ing_total!J$485</f>
        <v>0</v>
      </c>
      <c r="L261" s="332">
        <f>Gasto_o_ing_total!K261*1000/Gasto_o_ing_total!K$485</f>
        <v>0</v>
      </c>
      <c r="M261" s="332">
        <f>Gasto_o_ing_total!L261*1000/Gasto_o_ing_total!L$485</f>
        <v>0</v>
      </c>
      <c r="N261" s="332">
        <f>Gasto_o_ing_total!M261*1000/Gasto_o_ing_total!M$485</f>
        <v>0</v>
      </c>
      <c r="O261" s="332">
        <f>Gasto_o_ing_total!N261*1000/Gasto_o_ing_total!N$485</f>
        <v>0</v>
      </c>
      <c r="P261" s="332">
        <f>Gasto_o_ing_total!O261*1000/Gasto_o_ing_total!O$485</f>
        <v>0</v>
      </c>
      <c r="Q261" s="332">
        <f>Gasto_o_ing_total!P261*1000/Gasto_o_ing_total!P$485</f>
        <v>0</v>
      </c>
      <c r="R261" s="332">
        <f>Gasto_o_ing_total!Q261*1000/Gasto_o_ing_total!Q$485</f>
        <v>0</v>
      </c>
      <c r="S261" s="332">
        <f>Gasto_o_ing_total!R261*1000/Gasto_o_ing_total!R$485</f>
        <v>0</v>
      </c>
      <c r="T261" s="332">
        <f>Gasto_o_ing_total!S261*1000/Gasto_o_ing_total!S$485</f>
        <v>0</v>
      </c>
      <c r="U261" s="332">
        <f>Gasto_o_ing_total!T261*1000/Gasto_o_ing_total!T$485</f>
        <v>0</v>
      </c>
      <c r="V261" s="332">
        <f>Gasto_o_ing_total!U261*1000/Gasto_o_ing_total!U$485</f>
        <v>88.412378911879387</v>
      </c>
      <c r="W261" s="21"/>
      <c r="X261" s="22"/>
    </row>
    <row r="262" spans="1:24">
      <c r="A262" s="351" t="str">
        <f>IF(B262="","",(IF(ISERROR(MATCH(B262,Tot_res!C:C,0)),"Eliminar!!!","")))</f>
        <v/>
      </c>
      <c r="B262" s="115" t="s">
        <v>272</v>
      </c>
      <c r="C262" s="329" t="str">
        <f>VLOOKUP(B262,Tot_res!C:D,2,FALSE)</f>
        <v>Obras hidráulicas</v>
      </c>
      <c r="D262" s="332">
        <f>Gasto_o_ing_total!V262*1000/Gasto_o_ing_total!V$485</f>
        <v>3.9456322472398062</v>
      </c>
      <c r="E262" s="332">
        <f>Gasto_o_ing_total!D262*1000/Gasto_o_ing_total!D$485</f>
        <v>0</v>
      </c>
      <c r="F262" s="332">
        <f>Gasto_o_ing_total!E262*1000/Gasto_o_ing_total!E$485</f>
        <v>0</v>
      </c>
      <c r="G262" s="332">
        <f>Gasto_o_ing_total!F262*1000/Gasto_o_ing_total!F$485</f>
        <v>0</v>
      </c>
      <c r="H262" s="332">
        <f>Gasto_o_ing_total!G262*1000/Gasto_o_ing_total!G$485</f>
        <v>0</v>
      </c>
      <c r="I262" s="332">
        <f>Gasto_o_ing_total!H262*1000/Gasto_o_ing_total!H$485</f>
        <v>6.3996650411219198</v>
      </c>
      <c r="J262" s="332">
        <f>Gasto_o_ing_total!I262*1000/Gasto_o_ing_total!I$485</f>
        <v>0</v>
      </c>
      <c r="K262" s="332">
        <f>Gasto_o_ing_total!J262*1000/Gasto_o_ing_total!J$485</f>
        <v>0</v>
      </c>
      <c r="L262" s="332">
        <f>Gasto_o_ing_total!K262*1000/Gasto_o_ing_total!K$485</f>
        <v>0</v>
      </c>
      <c r="M262" s="332">
        <f>Gasto_o_ing_total!L262*1000/Gasto_o_ing_total!L$485</f>
        <v>17.846878125209965</v>
      </c>
      <c r="N262" s="332">
        <f>Gasto_o_ing_total!M262*1000/Gasto_o_ing_total!M$485</f>
        <v>0</v>
      </c>
      <c r="O262" s="332">
        <f>Gasto_o_ing_total!N262*1000/Gasto_o_ing_total!N$485</f>
        <v>0</v>
      </c>
      <c r="P262" s="332">
        <f>Gasto_o_ing_total!O262*1000/Gasto_o_ing_total!O$485</f>
        <v>13.393185521339829</v>
      </c>
      <c r="Q262" s="332">
        <f>Gasto_o_ing_total!P262*1000/Gasto_o_ing_total!P$485</f>
        <v>0</v>
      </c>
      <c r="R262" s="332">
        <f>Gasto_o_ing_total!Q262*1000/Gasto_o_ing_total!Q$485</f>
        <v>0</v>
      </c>
      <c r="S262" s="332">
        <f>Gasto_o_ing_total!R262*1000/Gasto_o_ing_total!R$485</f>
        <v>0</v>
      </c>
      <c r="T262" s="332">
        <f>Gasto_o_ing_total!S262*1000/Gasto_o_ing_total!S$485</f>
        <v>0</v>
      </c>
      <c r="U262" s="332">
        <f>Gasto_o_ing_total!T262*1000/Gasto_o_ing_total!T$485</f>
        <v>0</v>
      </c>
      <c r="V262" s="332">
        <f>Gasto_o_ing_total!U262*1000/Gasto_o_ing_total!U$485</f>
        <v>0</v>
      </c>
      <c r="W262" s="21"/>
      <c r="X262" s="22"/>
    </row>
    <row r="263" spans="1:24">
      <c r="A263" s="351" t="str">
        <f>IF(B263="","",(IF(ISERROR(MATCH(B263,Tot_res!C:C,0)),"Eliminar!!!","")))</f>
        <v/>
      </c>
      <c r="B263" s="115" t="s">
        <v>273</v>
      </c>
      <c r="C263" s="329" t="str">
        <f>VLOOKUP(B263,Tot_res!C:D,2,FALSE)</f>
        <v>Confederaciones hidrográficas, Andalucía</v>
      </c>
      <c r="D263" s="332">
        <f>Gasto_o_ing_total!V263*1000/Gasto_o_ing_total!V$485</f>
        <v>3.9610549453200092</v>
      </c>
      <c r="E263" s="332">
        <f>Gasto_o_ing_total!D263*1000/Gasto_o_ing_total!D$485</f>
        <v>22.01880411386561</v>
      </c>
      <c r="F263" s="332">
        <f>Gasto_o_ing_total!E263*1000/Gasto_o_ing_total!E$485</f>
        <v>0</v>
      </c>
      <c r="G263" s="332">
        <f>Gasto_o_ing_total!F263*1000/Gasto_o_ing_total!F$485</f>
        <v>0</v>
      </c>
      <c r="H263" s="332">
        <f>Gasto_o_ing_total!G263*1000/Gasto_o_ing_total!G$485</f>
        <v>0</v>
      </c>
      <c r="I263" s="332">
        <f>Gasto_o_ing_total!H263*1000/Gasto_o_ing_total!H$485</f>
        <v>0</v>
      </c>
      <c r="J263" s="332">
        <f>Gasto_o_ing_total!I263*1000/Gasto_o_ing_total!I$485</f>
        <v>0</v>
      </c>
      <c r="K263" s="332">
        <f>Gasto_o_ing_total!J263*1000/Gasto_o_ing_total!J$485</f>
        <v>0</v>
      </c>
      <c r="L263" s="332">
        <f>Gasto_o_ing_total!K263*1000/Gasto_o_ing_total!K$485</f>
        <v>0</v>
      </c>
      <c r="M263" s="332">
        <f>Gasto_o_ing_total!L263*1000/Gasto_o_ing_total!L$485</f>
        <v>0</v>
      </c>
      <c r="N263" s="332">
        <f>Gasto_o_ing_total!M263*1000/Gasto_o_ing_total!M$485</f>
        <v>0</v>
      </c>
      <c r="O263" s="332">
        <f>Gasto_o_ing_total!N263*1000/Gasto_o_ing_total!N$485</f>
        <v>0</v>
      </c>
      <c r="P263" s="332">
        <f>Gasto_o_ing_total!O263*1000/Gasto_o_ing_total!O$485</f>
        <v>0</v>
      </c>
      <c r="Q263" s="332">
        <f>Gasto_o_ing_total!P263*1000/Gasto_o_ing_total!P$485</f>
        <v>0</v>
      </c>
      <c r="R263" s="332">
        <f>Gasto_o_ing_total!Q263*1000/Gasto_o_ing_total!Q$485</f>
        <v>0</v>
      </c>
      <c r="S263" s="332">
        <f>Gasto_o_ing_total!R263*1000/Gasto_o_ing_total!R$485</f>
        <v>0</v>
      </c>
      <c r="T263" s="332">
        <f>Gasto_o_ing_total!S263*1000/Gasto_o_ing_total!S$485</f>
        <v>0</v>
      </c>
      <c r="U263" s="332">
        <f>Gasto_o_ing_total!T263*1000/Gasto_o_ing_total!T$485</f>
        <v>0</v>
      </c>
      <c r="V263" s="332">
        <f>Gasto_o_ing_total!U263*1000/Gasto_o_ing_total!U$485</f>
        <v>0</v>
      </c>
      <c r="W263" s="21"/>
      <c r="X263" s="22"/>
    </row>
    <row r="264" spans="1:24">
      <c r="A264" s="351" t="str">
        <f>IF(B264="","",(IF(ISERROR(MATCH(B264,Tot_res!C:C,0)),"Eliminar!!!","")))</f>
        <v/>
      </c>
      <c r="B264" s="115" t="s">
        <v>274</v>
      </c>
      <c r="C264" s="329" t="str">
        <f>VLOOKUP(B264,Tot_res!C:D,2,FALSE)</f>
        <v>Parques Nacionales</v>
      </c>
      <c r="D264" s="332">
        <f>Gasto_o_ing_total!V264*1000/Gasto_o_ing_total!V$485</f>
        <v>1.5632222114812957</v>
      </c>
      <c r="E264" s="332">
        <f>Gasto_o_ing_total!D264*1000/Gasto_o_ing_total!D$485</f>
        <v>2.2193118875721658</v>
      </c>
      <c r="F264" s="332">
        <f>Gasto_o_ing_total!E264*1000/Gasto_o_ing_total!E$485</f>
        <v>3.56391323035897</v>
      </c>
      <c r="G264" s="332">
        <f>Gasto_o_ing_total!F264*1000/Gasto_o_ing_total!F$485</f>
        <v>3.8021592891851634</v>
      </c>
      <c r="H264" s="332">
        <f>Gasto_o_ing_total!G264*1000/Gasto_o_ing_total!G$485</f>
        <v>6.9608084107552388</v>
      </c>
      <c r="I264" s="332">
        <f>Gasto_o_ing_total!H264*1000/Gasto_o_ing_total!H$485</f>
        <v>13.590215859131265</v>
      </c>
      <c r="J264" s="332">
        <f>Gasto_o_ing_total!I264*1000/Gasto_o_ing_total!I$485</f>
        <v>3.7838417119688645</v>
      </c>
      <c r="K264" s="332">
        <f>Gasto_o_ing_total!J264*1000/Gasto_o_ing_total!J$485</f>
        <v>0.9413159917313253</v>
      </c>
      <c r="L264" s="332">
        <f>Gasto_o_ing_total!K264*1000/Gasto_o_ing_total!K$485</f>
        <v>0</v>
      </c>
      <c r="M264" s="332">
        <f>Gasto_o_ing_total!L264*1000/Gasto_o_ing_total!L$485</f>
        <v>0</v>
      </c>
      <c r="N264" s="332">
        <f>Gasto_o_ing_total!M264*1000/Gasto_o_ing_total!M$485</f>
        <v>0</v>
      </c>
      <c r="O264" s="332">
        <f>Gasto_o_ing_total!N264*1000/Gasto_o_ing_total!N$485</f>
        <v>0</v>
      </c>
      <c r="P264" s="332">
        <f>Gasto_o_ing_total!O264*1000/Gasto_o_ing_total!O$485</f>
        <v>1.7555587890276596</v>
      </c>
      <c r="Q264" s="332">
        <f>Gasto_o_ing_total!P264*1000/Gasto_o_ing_total!P$485</f>
        <v>0</v>
      </c>
      <c r="R264" s="332">
        <f>Gasto_o_ing_total!Q264*1000/Gasto_o_ing_total!Q$485</f>
        <v>0</v>
      </c>
      <c r="S264" s="332">
        <f>Gasto_o_ing_total!R264*1000/Gasto_o_ing_total!R$485</f>
        <v>0</v>
      </c>
      <c r="T264" s="332">
        <f>Gasto_o_ing_total!S264*1000/Gasto_o_ing_total!S$485</f>
        <v>0</v>
      </c>
      <c r="U264" s="332">
        <f>Gasto_o_ing_total!T264*1000/Gasto_o_ing_total!T$485</f>
        <v>0</v>
      </c>
      <c r="V264" s="332">
        <f>Gasto_o_ing_total!U264*1000/Gasto_o_ing_total!U$485</f>
        <v>0</v>
      </c>
      <c r="W264" s="21"/>
      <c r="X264" s="13"/>
    </row>
    <row r="265" spans="1:24">
      <c r="A265" s="351" t="str">
        <f>IF(B265="","",(IF(ISERROR(MATCH(B265,Tot_res!C:C,0)),"Eliminar!!!","")))</f>
        <v/>
      </c>
      <c r="B265" s="115" t="s">
        <v>276</v>
      </c>
      <c r="C265" s="329" t="str">
        <f>VLOOKUP(B265,Tot_res!C:D,2,FALSE)</f>
        <v>Infraestructuras ferroviarias, ADIF y Renfe</v>
      </c>
      <c r="D265" s="332">
        <f>Gasto_o_ing_total!V265*1000/Gasto_o_ing_total!V$485</f>
        <v>59.166392448185221</v>
      </c>
      <c r="E265" s="332">
        <f>Gasto_o_ing_total!D265*1000/Gasto_o_ing_total!D$485</f>
        <v>30.298431231518713</v>
      </c>
      <c r="F265" s="332">
        <f>Gasto_o_ing_total!E265*1000/Gasto_o_ing_total!E$485</f>
        <v>24.254390856369472</v>
      </c>
      <c r="G265" s="332">
        <f>Gasto_o_ing_total!F265*1000/Gasto_o_ing_total!F$485</f>
        <v>91.448455820271207</v>
      </c>
      <c r="H265" s="332">
        <f>Gasto_o_ing_total!G265*1000/Gasto_o_ing_total!G$485</f>
        <v>4.2421185860678818</v>
      </c>
      <c r="I265" s="332">
        <f>Gasto_o_ing_total!H265*1000/Gasto_o_ing_total!H$485</f>
        <v>2.3105814722295879</v>
      </c>
      <c r="J265" s="332">
        <f>Gasto_o_ing_total!I265*1000/Gasto_o_ing_total!I$485</f>
        <v>29.180177948271506</v>
      </c>
      <c r="K265" s="332">
        <f>Gasto_o_ing_total!J265*1000/Gasto_o_ing_total!J$485</f>
        <v>209.76835247572757</v>
      </c>
      <c r="L265" s="332">
        <f>Gasto_o_ing_total!K265*1000/Gasto_o_ing_total!K$485</f>
        <v>23.574571853763285</v>
      </c>
      <c r="M265" s="332">
        <f>Gasto_o_ing_total!L265*1000/Gasto_o_ing_total!L$485</f>
        <v>49.866025834918545</v>
      </c>
      <c r="N265" s="332">
        <f>Gasto_o_ing_total!M265*1000/Gasto_o_ing_total!M$485</f>
        <v>55.884625938095127</v>
      </c>
      <c r="O265" s="332">
        <f>Gasto_o_ing_total!N265*1000/Gasto_o_ing_total!N$485</f>
        <v>73.549402354298039</v>
      </c>
      <c r="P265" s="332">
        <f>Gasto_o_ing_total!O265*1000/Gasto_o_ing_total!O$485</f>
        <v>157.84532826567329</v>
      </c>
      <c r="Q265" s="332">
        <f>Gasto_o_ing_total!P265*1000/Gasto_o_ing_total!P$485</f>
        <v>58.018574138109301</v>
      </c>
      <c r="R265" s="332">
        <f>Gasto_o_ing_total!Q265*1000/Gasto_o_ing_total!Q$485</f>
        <v>26.445282683641757</v>
      </c>
      <c r="S265" s="332">
        <f>Gasto_o_ing_total!R265*1000/Gasto_o_ing_total!R$485</f>
        <v>103.24463871776346</v>
      </c>
      <c r="T265" s="332">
        <f>Gasto_o_ing_total!S265*1000/Gasto_o_ing_total!S$485</f>
        <v>59.736447459612521</v>
      </c>
      <c r="U265" s="332">
        <f>Gasto_o_ing_total!T265*1000/Gasto_o_ing_total!T$485</f>
        <v>18.179889457856039</v>
      </c>
      <c r="V265" s="332">
        <f>Gasto_o_ing_total!U265*1000/Gasto_o_ing_total!U$485</f>
        <v>5.9047454874845942</v>
      </c>
      <c r="W265" s="21"/>
      <c r="X265" s="13"/>
    </row>
    <row r="266" spans="1:24">
      <c r="A266" s="351" t="str">
        <f>IF(B266="","",(IF(ISERROR(MATCH(B266,Tot_res!C:C,0)),"Eliminar!!!","")))</f>
        <v/>
      </c>
      <c r="B266" s="115" t="s">
        <v>277</v>
      </c>
      <c r="C266" s="329" t="str">
        <f>VLOOKUP(B266,Tot_res!C:D,2,FALSE)</f>
        <v>Infraestructuras aeroportuarias, AENA</v>
      </c>
      <c r="D266" s="332">
        <f>Gasto_o_ing_total!V266*1000/Gasto_o_ing_total!V$485</f>
        <v>7.6782745179883678</v>
      </c>
      <c r="E266" s="332">
        <f>Gasto_o_ing_total!D266*1000/Gasto_o_ing_total!D$485</f>
        <v>4.4845209518057096</v>
      </c>
      <c r="F266" s="332">
        <f>Gasto_o_ing_total!E266*1000/Gasto_o_ing_total!E$485</f>
        <v>3.1477338944850968</v>
      </c>
      <c r="G266" s="332">
        <f>Gasto_o_ing_total!F266*1000/Gasto_o_ing_total!F$485</f>
        <v>6.274816168230025</v>
      </c>
      <c r="H266" s="332">
        <f>Gasto_o_ing_total!G266*1000/Gasto_o_ing_total!G$485</f>
        <v>17.111258539816006</v>
      </c>
      <c r="I266" s="332">
        <f>Gasto_o_ing_total!H266*1000/Gasto_o_ing_total!H$485</f>
        <v>30.210342818264639</v>
      </c>
      <c r="J266" s="332">
        <f>Gasto_o_ing_total!I266*1000/Gasto_o_ing_total!I$485</f>
        <v>3.4394828155808939</v>
      </c>
      <c r="K266" s="332">
        <f>Gasto_o_ing_total!J266*1000/Gasto_o_ing_total!J$485</f>
        <v>2.4132766028059836</v>
      </c>
      <c r="L266" s="332">
        <f>Gasto_o_ing_total!K266*1000/Gasto_o_ing_total!K$485</f>
        <v>2.4635228653847201</v>
      </c>
      <c r="M266" s="332">
        <f>Gasto_o_ing_total!L266*1000/Gasto_o_ing_total!L$485</f>
        <v>5.2387251168309517</v>
      </c>
      <c r="N266" s="332">
        <f>Gasto_o_ing_total!M266*1000/Gasto_o_ing_total!M$485</f>
        <v>3.4315293403913834</v>
      </c>
      <c r="O266" s="332">
        <f>Gasto_o_ing_total!N266*1000/Gasto_o_ing_total!N$485</f>
        <v>2.1750104746815859</v>
      </c>
      <c r="P266" s="332">
        <f>Gasto_o_ing_total!O266*1000/Gasto_o_ing_total!O$485</f>
        <v>9.9129157643608288</v>
      </c>
      <c r="Q266" s="332">
        <f>Gasto_o_ing_total!P266*1000/Gasto_o_ing_total!P$485</f>
        <v>17.182775186929106</v>
      </c>
      <c r="R266" s="332">
        <f>Gasto_o_ing_total!Q266*1000/Gasto_o_ing_total!Q$485</f>
        <v>2.7463055136731009</v>
      </c>
      <c r="S266" s="332">
        <f>Gasto_o_ing_total!R266*1000/Gasto_o_ing_total!R$485</f>
        <v>2.914302204702476</v>
      </c>
      <c r="T266" s="332">
        <f>Gasto_o_ing_total!S266*1000/Gasto_o_ing_total!S$485</f>
        <v>4.5847414238465412</v>
      </c>
      <c r="U266" s="332">
        <f>Gasto_o_ing_total!T266*1000/Gasto_o_ing_total!T$485</f>
        <v>2.7209857102209316</v>
      </c>
      <c r="V266" s="332">
        <f>Gasto_o_ing_total!U266*1000/Gasto_o_ing_total!U$485</f>
        <v>5.7790178754968675</v>
      </c>
      <c r="W266" s="21"/>
      <c r="X266" s="13"/>
    </row>
    <row r="267" spans="1:24">
      <c r="A267" s="351" t="str">
        <f>IF(B267="","",(IF(ISERROR(MATCH(B267,Tot_res!C:C,0)),"Eliminar!!!","")))</f>
        <v/>
      </c>
      <c r="B267" s="115" t="s">
        <v>278</v>
      </c>
      <c r="C267" s="329" t="str">
        <f>VLOOKUP(B267,Tot_res!C:D,2,FALSE)</f>
        <v xml:space="preserve">Infraestructuras portuarias, Puertos del Estado </v>
      </c>
      <c r="D267" s="332">
        <f>Gasto_o_ing_total!V267*1000/Gasto_o_ing_total!V$485</f>
        <v>8.057499592352853</v>
      </c>
      <c r="E267" s="332">
        <f>Gasto_o_ing_total!D267*1000/Gasto_o_ing_total!D$485</f>
        <v>6.7749560602305765</v>
      </c>
      <c r="F267" s="332">
        <f>Gasto_o_ing_total!E267*1000/Gasto_o_ing_total!E$485</f>
        <v>4.338602508416403</v>
      </c>
      <c r="G267" s="332">
        <f>Gasto_o_ing_total!F267*1000/Gasto_o_ing_total!F$485</f>
        <v>9.9218685218473475</v>
      </c>
      <c r="H267" s="332">
        <f>Gasto_o_ing_total!G267*1000/Gasto_o_ing_total!G$485</f>
        <v>5.2457027958686009</v>
      </c>
      <c r="I267" s="332">
        <f>Gasto_o_ing_total!H267*1000/Gasto_o_ing_total!H$485</f>
        <v>8.5340181246879521</v>
      </c>
      <c r="J267" s="332">
        <f>Gasto_o_ing_total!I267*1000/Gasto_o_ing_total!I$485</f>
        <v>17.937116888076691</v>
      </c>
      <c r="K267" s="332">
        <f>Gasto_o_ing_total!J267*1000/Gasto_o_ing_total!J$485</f>
        <v>3.0089176971876972</v>
      </c>
      <c r="L267" s="332">
        <f>Gasto_o_ing_total!K267*1000/Gasto_o_ing_total!K$485</f>
        <v>2.448587796372466</v>
      </c>
      <c r="M267" s="332">
        <f>Gasto_o_ing_total!L267*1000/Gasto_o_ing_total!L$485</f>
        <v>14.428604928149428</v>
      </c>
      <c r="N267" s="332">
        <f>Gasto_o_ing_total!M267*1000/Gasto_o_ing_total!M$485</f>
        <v>6.7619729693653863</v>
      </c>
      <c r="O267" s="332">
        <f>Gasto_o_ing_total!N267*1000/Gasto_o_ing_total!N$485</f>
        <v>1.5713991188324781</v>
      </c>
      <c r="P267" s="332">
        <f>Gasto_o_ing_total!O267*1000/Gasto_o_ing_total!O$485</f>
        <v>9.1810227643647995</v>
      </c>
      <c r="Q267" s="332">
        <f>Gasto_o_ing_total!P267*1000/Gasto_o_ing_total!P$485</f>
        <v>2.5757381892834386</v>
      </c>
      <c r="R267" s="332">
        <f>Gasto_o_ing_total!Q267*1000/Gasto_o_ing_total!Q$485</f>
        <v>13.58742593016847</v>
      </c>
      <c r="S267" s="332">
        <f>Gasto_o_ing_total!R267*1000/Gasto_o_ing_total!R$485</f>
        <v>4.6011085847031943</v>
      </c>
      <c r="T267" s="332">
        <f>Gasto_o_ing_total!S267*1000/Gasto_o_ing_total!S$485</f>
        <v>20.791963356174431</v>
      </c>
      <c r="U267" s="332">
        <f>Gasto_o_ing_total!T267*1000/Gasto_o_ing_total!T$485</f>
        <v>3.6327027741144251</v>
      </c>
      <c r="V267" s="332">
        <f>Gasto_o_ing_total!U267*1000/Gasto_o_ing_total!U$485</f>
        <v>6.6506213555683873</v>
      </c>
      <c r="W267" s="21"/>
      <c r="X267" s="22"/>
    </row>
    <row r="268" spans="1:24">
      <c r="A268" s="351" t="str">
        <f>IF(B268="","",(IF(ISERROR(MATCH(B268,Tot_res!C:C,0)),"Eliminar!!!","")))</f>
        <v/>
      </c>
      <c r="B268" s="115" t="s">
        <v>279</v>
      </c>
      <c r="C268" s="329" t="str">
        <f>VLOOKUP(B268,Tot_res!C:D,2,FALSE)</f>
        <v>Autopistas de peaje</v>
      </c>
      <c r="D268" s="332">
        <f>Gasto_o_ing_total!V268*1000/Gasto_o_ing_total!V$485</f>
        <v>2.2715815369832297</v>
      </c>
      <c r="E268" s="332">
        <f>Gasto_o_ing_total!D268*1000/Gasto_o_ing_total!D$485</f>
        <v>1.0173538903596466</v>
      </c>
      <c r="F268" s="332">
        <f>Gasto_o_ing_total!E268*1000/Gasto_o_ing_total!E$485</f>
        <v>3.3615142906949504</v>
      </c>
      <c r="G268" s="332">
        <f>Gasto_o_ing_total!F268*1000/Gasto_o_ing_total!F$485</f>
        <v>0.82217308730220873</v>
      </c>
      <c r="H268" s="332">
        <f>Gasto_o_ing_total!G268*1000/Gasto_o_ing_total!G$485</f>
        <v>0.15368086551800009</v>
      </c>
      <c r="I268" s="332">
        <f>Gasto_o_ing_total!H268*1000/Gasto_o_ing_total!H$485</f>
        <v>0.17344963948544717</v>
      </c>
      <c r="J268" s="332">
        <f>Gasto_o_ing_total!I268*1000/Gasto_o_ing_total!I$485</f>
        <v>0.38938910427868578</v>
      </c>
      <c r="K268" s="332">
        <f>Gasto_o_ing_total!J268*1000/Gasto_o_ing_total!J$485</f>
        <v>5.4004579833436779</v>
      </c>
      <c r="L268" s="332">
        <f>Gasto_o_ing_total!K268*1000/Gasto_o_ing_total!K$485</f>
        <v>4.302625415796073</v>
      </c>
      <c r="M268" s="332">
        <f>Gasto_o_ing_total!L268*1000/Gasto_o_ing_total!L$485</f>
        <v>4.0314737572376975</v>
      </c>
      <c r="N268" s="332">
        <f>Gasto_o_ing_total!M268*1000/Gasto_o_ing_total!M$485</f>
        <v>1.7931656577054227</v>
      </c>
      <c r="O268" s="332">
        <f>Gasto_o_ing_total!N268*1000/Gasto_o_ing_total!N$485</f>
        <v>0.3841942075420387</v>
      </c>
      <c r="P268" s="332">
        <f>Gasto_o_ing_total!O268*1000/Gasto_o_ing_total!O$485</f>
        <v>2.3858236145429643</v>
      </c>
      <c r="Q268" s="332">
        <f>Gasto_o_ing_total!P268*1000/Gasto_o_ing_total!P$485</f>
        <v>1.0858292968564309</v>
      </c>
      <c r="R268" s="332">
        <f>Gasto_o_ing_total!Q268*1000/Gasto_o_ing_total!Q$485</f>
        <v>0.60824924891980858</v>
      </c>
      <c r="S268" s="332">
        <f>Gasto_o_ing_total!R268*1000/Gasto_o_ing_total!R$485</f>
        <v>3.6229519512675852</v>
      </c>
      <c r="T268" s="332">
        <f>Gasto_o_ing_total!S268*1000/Gasto_o_ing_total!S$485</f>
        <v>3.3089978517724843</v>
      </c>
      <c r="U268" s="332">
        <f>Gasto_o_ing_total!T268*1000/Gasto_o_ing_total!T$485</f>
        <v>17.121603941337913</v>
      </c>
      <c r="V268" s="332">
        <f>Gasto_o_ing_total!U268*1000/Gasto_o_ing_total!U$485</f>
        <v>0.2353790201845439</v>
      </c>
      <c r="W268" s="21"/>
      <c r="X268" s="23"/>
    </row>
    <row r="269" spans="1:24">
      <c r="A269" s="351" t="str">
        <f>IF(B269="","",(IF(ISERROR(MATCH(B269,Tot_res!C:C,0)),"Eliminar!!!","")))</f>
        <v/>
      </c>
      <c r="B269" s="115" t="s">
        <v>281</v>
      </c>
      <c r="C269" s="329" t="str">
        <f>VLOOKUP(B269,Tot_res!C:D,2,FALSE)</f>
        <v>Excedente bruto de AENA</v>
      </c>
      <c r="D269" s="332">
        <f>Gasto_o_ing_total!V269*1000/Gasto_o_ing_total!V$485</f>
        <v>-42.153514888470859</v>
      </c>
      <c r="E269" s="332">
        <f>Gasto_o_ing_total!D269*1000/Gasto_o_ing_total!D$485</f>
        <v>-39.567367587735824</v>
      </c>
      <c r="F269" s="332">
        <f>Gasto_o_ing_total!E269*1000/Gasto_o_ing_total!E$485</f>
        <v>-43.459238968799667</v>
      </c>
      <c r="G269" s="332">
        <f>Gasto_o_ing_total!F269*1000/Gasto_o_ing_total!F$485</f>
        <v>-45.623668649595587</v>
      </c>
      <c r="H269" s="332">
        <f>Gasto_o_ing_total!G269*1000/Gasto_o_ing_total!G$485</f>
        <v>-41.527760855611639</v>
      </c>
      <c r="I269" s="332">
        <f>Gasto_o_ing_total!H269*1000/Gasto_o_ing_total!H$485</f>
        <v>-44.500061990246863</v>
      </c>
      <c r="J269" s="332">
        <f>Gasto_o_ing_total!I269*1000/Gasto_o_ing_total!I$485</f>
        <v>-45.25782949610997</v>
      </c>
      <c r="K269" s="332">
        <f>Gasto_o_ing_total!J269*1000/Gasto_o_ing_total!J$485</f>
        <v>-40.1358637892369</v>
      </c>
      <c r="L269" s="332">
        <f>Gasto_o_ing_total!K269*1000/Gasto_o_ing_total!K$485</f>
        <v>-47.518186061670903</v>
      </c>
      <c r="M269" s="332">
        <f>Gasto_o_ing_total!L269*1000/Gasto_o_ing_total!L$485</f>
        <v>-43.670664527051251</v>
      </c>
      <c r="N269" s="332">
        <f>Gasto_o_ing_total!M269*1000/Gasto_o_ing_total!M$485</f>
        <v>-42.205446577498655</v>
      </c>
      <c r="O269" s="332">
        <f>Gasto_o_ing_total!N269*1000/Gasto_o_ing_total!N$485</f>
        <v>-42.014769215491668</v>
      </c>
      <c r="P269" s="332">
        <f>Gasto_o_ing_total!O269*1000/Gasto_o_ing_total!O$485</f>
        <v>-42.407431058297909</v>
      </c>
      <c r="Q269" s="332">
        <f>Gasto_o_ing_total!P269*1000/Gasto_o_ing_total!P$485</f>
        <v>-38.718804356857127</v>
      </c>
      <c r="R269" s="332">
        <f>Gasto_o_ing_total!Q269*1000/Gasto_o_ing_total!Q$485</f>
        <v>-42.714735389136983</v>
      </c>
      <c r="S269" s="332">
        <f>Gasto_o_ing_total!R269*1000/Gasto_o_ing_total!R$485</f>
        <v>-45.81437062764919</v>
      </c>
      <c r="T269" s="332">
        <f>Gasto_o_ing_total!S269*1000/Gasto_o_ing_total!S$485</f>
        <v>-47.394954580633353</v>
      </c>
      <c r="U269" s="332">
        <f>Gasto_o_ing_total!T269*1000/Gasto_o_ing_total!T$485</f>
        <v>-40.834642048553363</v>
      </c>
      <c r="V269" s="332">
        <f>Gasto_o_ing_total!U269*1000/Gasto_o_ing_total!U$485</f>
        <v>-41.528827705580376</v>
      </c>
      <c r="W269" s="21"/>
      <c r="X269" s="22"/>
    </row>
    <row r="270" spans="1:24">
      <c r="A270" s="351" t="str">
        <f>IF(B270="","",(IF(ISERROR(MATCH(B270,Tot_res!C:C,0)),"Eliminar!!!","")))</f>
        <v/>
      </c>
      <c r="B270" s="115" t="s">
        <v>282</v>
      </c>
      <c r="C270" s="329" t="str">
        <f>VLOOKUP(B270,Tot_res!C:D,2,FALSE)</f>
        <v>Excedene bruto de puertos del Estado</v>
      </c>
      <c r="D270" s="332">
        <f>Gasto_o_ing_total!V270*1000/Gasto_o_ing_total!V$485</f>
        <v>-11.000945618462637</v>
      </c>
      <c r="E270" s="332">
        <f>Gasto_o_ing_total!D270*1000/Gasto_o_ing_total!D$485</f>
        <v>-10.496939863649262</v>
      </c>
      <c r="F270" s="332">
        <f>Gasto_o_ing_total!E270*1000/Gasto_o_ing_total!E$485</f>
        <v>-9.2115325928253924</v>
      </c>
      <c r="G270" s="332">
        <f>Gasto_o_ing_total!F270*1000/Gasto_o_ing_total!F$485</f>
        <v>-7.7241483750773918</v>
      </c>
      <c r="H270" s="332">
        <f>Gasto_o_ing_total!G270*1000/Gasto_o_ing_total!G$485</f>
        <v>-14.046629359462084</v>
      </c>
      <c r="I270" s="332">
        <f>Gasto_o_ing_total!H270*1000/Gasto_o_ing_total!H$485</f>
        <v>-17.214425397814939</v>
      </c>
      <c r="J270" s="332">
        <f>Gasto_o_ing_total!I270*1000/Gasto_o_ing_total!I$485</f>
        <v>-5.1276339455267728</v>
      </c>
      <c r="K270" s="332">
        <f>Gasto_o_ing_total!J270*1000/Gasto_o_ing_total!J$485</f>
        <v>-11.635190131572742</v>
      </c>
      <c r="L270" s="332">
        <f>Gasto_o_ing_total!K270*1000/Gasto_o_ing_total!K$485</f>
        <v>-11.946171732765963</v>
      </c>
      <c r="M270" s="332">
        <f>Gasto_o_ing_total!L270*1000/Gasto_o_ing_total!L$485</f>
        <v>-10.27790036940954</v>
      </c>
      <c r="N270" s="332">
        <f>Gasto_o_ing_total!M270*1000/Gasto_o_ing_total!M$485</f>
        <v>-9.7291228174707971</v>
      </c>
      <c r="O270" s="332">
        <f>Gasto_o_ing_total!N270*1000/Gasto_o_ing_total!N$485</f>
        <v>-13.93132851888612</v>
      </c>
      <c r="P270" s="332">
        <f>Gasto_o_ing_total!O270*1000/Gasto_o_ing_total!O$485</f>
        <v>-7.5147824737857416</v>
      </c>
      <c r="Q270" s="332">
        <f>Gasto_o_ing_total!P270*1000/Gasto_o_ing_total!P$485</f>
        <v>-15.999565741285336</v>
      </c>
      <c r="R270" s="332">
        <f>Gasto_o_ing_total!Q270*1000/Gasto_o_ing_total!Q$485</f>
        <v>-7.3769489834500153</v>
      </c>
      <c r="S270" s="332">
        <f>Gasto_o_ing_total!R270*1000/Gasto_o_ing_total!R$485</f>
        <v>-9.3705122780578893</v>
      </c>
      <c r="T270" s="332">
        <f>Gasto_o_ing_total!S270*1000/Gasto_o_ing_total!S$485</f>
        <v>-6.532760653769226</v>
      </c>
      <c r="U270" s="332">
        <f>Gasto_o_ing_total!T270*1000/Gasto_o_ing_total!T$485</f>
        <v>-10.779585237153443</v>
      </c>
      <c r="V270" s="332">
        <f>Gasto_o_ing_total!U270*1000/Gasto_o_ing_total!U$485</f>
        <v>14.533940069773955</v>
      </c>
      <c r="W270" s="2"/>
    </row>
    <row r="271" spans="1:24">
      <c r="A271" s="351" t="str">
        <f>IF(B271="","",(IF(ISERROR(MATCH(B271,Tot_res!C:C,0)),"Eliminar!!!","")))</f>
        <v/>
      </c>
      <c r="B271" s="115" t="s">
        <v>283</v>
      </c>
      <c r="C271" s="329" t="str">
        <f>VLOOKUP(B271,Tot_res!C:D,2,FALSE)</f>
        <v>Excedente bruto de los concesionarios de autopistas de peaje</v>
      </c>
      <c r="D271" s="332">
        <f>Gasto_o_ing_total!V271*1000/Gasto_o_ing_total!V$485</f>
        <v>-27.275480270119019</v>
      </c>
      <c r="E271" s="332">
        <f>Gasto_o_ing_total!D271*1000/Gasto_o_ing_total!D$485</f>
        <v>-18.377528731231546</v>
      </c>
      <c r="F271" s="332">
        <f>Gasto_o_ing_total!E271*1000/Gasto_o_ing_total!E$485</f>
        <v>-42.831553638759914</v>
      </c>
      <c r="G271" s="332">
        <f>Gasto_o_ing_total!F271*1000/Gasto_o_ing_total!F$485</f>
        <v>-21.483922910863779</v>
      </c>
      <c r="H271" s="332">
        <f>Gasto_o_ing_total!G271*1000/Gasto_o_ing_total!G$485</f>
        <v>-9.8136852199251887</v>
      </c>
      <c r="I271" s="332">
        <f>Gasto_o_ing_total!H271*1000/Gasto_o_ing_total!H$485</f>
        <v>-9.4226291438236895</v>
      </c>
      <c r="J271" s="332">
        <f>Gasto_o_ing_total!I271*1000/Gasto_o_ing_total!I$485</f>
        <v>-13.832010283771256</v>
      </c>
      <c r="K271" s="332">
        <f>Gasto_o_ing_total!J271*1000/Gasto_o_ing_total!J$485</f>
        <v>-33.160431273743406</v>
      </c>
      <c r="L271" s="332">
        <f>Gasto_o_ing_total!K271*1000/Gasto_o_ing_total!K$485</f>
        <v>-37.687746131984689</v>
      </c>
      <c r="M271" s="332">
        <f>Gasto_o_ing_total!L271*1000/Gasto_o_ing_total!L$485</f>
        <v>-31.20328353701915</v>
      </c>
      <c r="N271" s="332">
        <f>Gasto_o_ing_total!M271*1000/Gasto_o_ing_total!M$485</f>
        <v>-29.12123500023155</v>
      </c>
      <c r="O271" s="332">
        <f>Gasto_o_ing_total!N271*1000/Gasto_o_ing_total!N$485</f>
        <v>-17.027786409638797</v>
      </c>
      <c r="P271" s="332">
        <f>Gasto_o_ing_total!O271*1000/Gasto_o_ing_total!O$485</f>
        <v>-34.857646494597915</v>
      </c>
      <c r="Q271" s="332">
        <f>Gasto_o_ing_total!P271*1000/Gasto_o_ing_total!P$485</f>
        <v>-24.223336990395982</v>
      </c>
      <c r="R271" s="332">
        <f>Gasto_o_ing_total!Q271*1000/Gasto_o_ing_total!Q$485</f>
        <v>-26.224596893220479</v>
      </c>
      <c r="S271" s="332">
        <f>Gasto_o_ing_total!R271*1000/Gasto_o_ing_total!R$485</f>
        <v>-61.292564986167562</v>
      </c>
      <c r="T271" s="332">
        <f>Gasto_o_ing_total!S271*1000/Gasto_o_ing_total!S$485</f>
        <v>-38.388563133248418</v>
      </c>
      <c r="U271" s="332">
        <f>Gasto_o_ing_total!T271*1000/Gasto_o_ing_total!T$485</f>
        <v>-85.397218390161115</v>
      </c>
      <c r="V271" s="332">
        <f>Gasto_o_ing_total!U271*1000/Gasto_o_ing_total!U$485</f>
        <v>-10.739818166126343</v>
      </c>
      <c r="W271" s="2"/>
    </row>
    <row r="272" spans="1:24">
      <c r="A272" s="351" t="str">
        <f>IF(B272="","",(IF(ISERROR(MATCH(B272,Tot_res!C:C,0)),"Eliminar!!!","")))</f>
        <v/>
      </c>
      <c r="B272" s="115" t="s">
        <v>284</v>
      </c>
      <c r="C272" s="329" t="str">
        <f>VLOOKUP(B272,Tot_res!C:D,2,FALSE)</f>
        <v>Infraestructuras de carreteras, SEITT + AF06/2</v>
      </c>
      <c r="D272" s="332">
        <f>Gasto_o_ing_total!V272*1000/Gasto_o_ing_total!V$485</f>
        <v>8.0041747868881732</v>
      </c>
      <c r="E272" s="332">
        <f>Gasto_o_ing_total!D272*1000/Gasto_o_ing_total!D$485</f>
        <v>8.3093855214684904</v>
      </c>
      <c r="F272" s="332">
        <f>Gasto_o_ing_total!E272*1000/Gasto_o_ing_total!E$485</f>
        <v>21.518254824298754</v>
      </c>
      <c r="G272" s="332">
        <f>Gasto_o_ing_total!F272*1000/Gasto_o_ing_total!F$485</f>
        <v>19.654591948658666</v>
      </c>
      <c r="H272" s="332">
        <f>Gasto_o_ing_total!G272*1000/Gasto_o_ing_total!G$485</f>
        <v>0.54151193297685707</v>
      </c>
      <c r="I272" s="332">
        <f>Gasto_o_ing_total!H272*1000/Gasto_o_ing_total!H$485</f>
        <v>0.61116944673182083</v>
      </c>
      <c r="J272" s="332">
        <f>Gasto_o_ing_total!I272*1000/Gasto_o_ing_total!I$485</f>
        <v>1.3720566046225247</v>
      </c>
      <c r="K272" s="332">
        <f>Gasto_o_ing_total!J272*1000/Gasto_o_ing_total!J$485</f>
        <v>1.2023999351773782</v>
      </c>
      <c r="L272" s="332">
        <f>Gasto_o_ing_total!K272*1000/Gasto_o_ing_total!K$485</f>
        <v>34.115741705987304</v>
      </c>
      <c r="M272" s="332">
        <f>Gasto_o_ing_total!L272*1000/Gasto_o_ing_total!L$485</f>
        <v>8.2228224388802822</v>
      </c>
      <c r="N272" s="332">
        <f>Gasto_o_ing_total!M272*1000/Gasto_o_ing_total!M$485</f>
        <v>5.5236859238200093</v>
      </c>
      <c r="O272" s="332">
        <f>Gasto_o_ing_total!N272*1000/Gasto_o_ing_total!N$485</f>
        <v>1.35375179768384</v>
      </c>
      <c r="P272" s="332">
        <f>Gasto_o_ing_total!O272*1000/Gasto_o_ing_total!O$485</f>
        <v>18.446913400412967</v>
      </c>
      <c r="Q272" s="332">
        <f>Gasto_o_ing_total!P272*1000/Gasto_o_ing_total!P$485</f>
        <v>1.6331476792433628</v>
      </c>
      <c r="R272" s="332">
        <f>Gasto_o_ing_total!Q272*1000/Gasto_o_ing_total!Q$485</f>
        <v>1.2225332595408256</v>
      </c>
      <c r="S272" s="332">
        <f>Gasto_o_ing_total!R272*1000/Gasto_o_ing_total!R$485</f>
        <v>8.939801357533792</v>
      </c>
      <c r="T272" s="332">
        <f>Gasto_o_ing_total!S272*1000/Gasto_o_ing_total!S$485</f>
        <v>8.4213334971629212</v>
      </c>
      <c r="U272" s="332">
        <f>Gasto_o_ing_total!T272*1000/Gasto_o_ing_total!T$485</f>
        <v>1.5434702276473147</v>
      </c>
      <c r="V272" s="332">
        <f>Gasto_o_ing_total!U272*1000/Gasto_o_ing_total!U$485</f>
        <v>0.82938463271084339</v>
      </c>
      <c r="W272" s="2"/>
    </row>
    <row r="273" spans="1:23">
      <c r="A273" s="351" t="str">
        <f>IF(B273="","",(IF(ISERROR(MATCH(B273,Tot_res!C:C,0)),"Eliminar!!!","")))</f>
        <v/>
      </c>
      <c r="B273" s="115" t="s">
        <v>286</v>
      </c>
      <c r="C273" s="329" t="str">
        <f>VLOOKUP(B273,Tot_res!C:D,2,FALSE)</f>
        <v>"Y" ferroviaria vasca, parte financiada mediante descuento del cupo</v>
      </c>
      <c r="D273" s="332">
        <f>Gasto_o_ing_total!V273*1000/Gasto_o_ing_total!V$485</f>
        <v>5.4630115325516568</v>
      </c>
      <c r="E273" s="332">
        <f>Gasto_o_ing_total!D273*1000/Gasto_o_ing_total!D$485</f>
        <v>1.1573214211100158</v>
      </c>
      <c r="F273" s="332">
        <f>Gasto_o_ing_total!E273*1000/Gasto_o_ing_total!E$485</f>
        <v>1.8892273617570619</v>
      </c>
      <c r="G273" s="332">
        <f>Gasto_o_ing_total!F273*1000/Gasto_o_ing_total!F$485</f>
        <v>1.4682237758581598</v>
      </c>
      <c r="H273" s="332">
        <f>Gasto_o_ing_total!G273*1000/Gasto_o_ing_total!G$485</f>
        <v>0.36176462859421876</v>
      </c>
      <c r="I273" s="332">
        <f>Gasto_o_ing_total!H273*1000/Gasto_o_ing_total!H$485</f>
        <v>0.19704462078996773</v>
      </c>
      <c r="J273" s="332">
        <f>Gasto_o_ing_total!I273*1000/Gasto_o_ing_total!I$485</f>
        <v>1.1987786064306125</v>
      </c>
      <c r="K273" s="332">
        <f>Gasto_o_ing_total!J273*1000/Gasto_o_ing_total!J$485</f>
        <v>0.79950632980522984</v>
      </c>
      <c r="L273" s="332">
        <f>Gasto_o_ing_total!K273*1000/Gasto_o_ing_total!K$485</f>
        <v>1.4916043141139723</v>
      </c>
      <c r="M273" s="332">
        <f>Gasto_o_ing_total!L273*1000/Gasto_o_ing_total!L$485</f>
        <v>2.9465832906694795</v>
      </c>
      <c r="N273" s="332">
        <f>Gasto_o_ing_total!M273*1000/Gasto_o_ing_total!M$485</f>
        <v>1.6672370003674524</v>
      </c>
      <c r="O273" s="332">
        <f>Gasto_o_ing_total!N273*1000/Gasto_o_ing_total!N$485</f>
        <v>0.72725402212195489</v>
      </c>
      <c r="P273" s="332">
        <f>Gasto_o_ing_total!O273*1000/Gasto_o_ing_total!O$485</f>
        <v>0.89307633566059774</v>
      </c>
      <c r="Q273" s="332">
        <f>Gasto_o_ing_total!P273*1000/Gasto_o_ing_total!P$485</f>
        <v>3.7857209356540835</v>
      </c>
      <c r="R273" s="332">
        <f>Gasto_o_ing_total!Q273*1000/Gasto_o_ing_total!Q$485</f>
        <v>0.90352602300113205</v>
      </c>
      <c r="S273" s="332">
        <f>Gasto_o_ing_total!R273*1000/Gasto_o_ing_total!R$485</f>
        <v>2.7674063764319894</v>
      </c>
      <c r="T273" s="332">
        <f>Gasto_o_ing_total!S273*1000/Gasto_o_ing_total!S$485</f>
        <v>79.084826612728349</v>
      </c>
      <c r="U273" s="332">
        <f>Gasto_o_ing_total!T273*1000/Gasto_o_ing_total!T$485</f>
        <v>1.044098912595711</v>
      </c>
      <c r="V273" s="332">
        <f>Gasto_o_ing_total!U273*1000/Gasto_o_ing_total!U$485</f>
        <v>0.50355217914906991</v>
      </c>
      <c r="W273" s="2"/>
    </row>
    <row r="274" spans="1:23">
      <c r="A274" s="351" t="str">
        <f>IF(B274="","",(IF(ISERROR(MATCH(B274,Tot_res!C:C,0)),"Eliminar!!!","")))</f>
        <v/>
      </c>
      <c r="B274" s="115" t="s">
        <v>1210</v>
      </c>
      <c r="C274" s="329" t="str">
        <f>VLOOKUP(B274,Tot_res!C:D,2,FALSE)</f>
        <v>Parques Nacionales transferidos durante el año, coste efectivo</v>
      </c>
      <c r="D274" s="332">
        <f>Gasto_o_ing_total!V274*1000/Gasto_o_ing_total!V$485</f>
        <v>5.3214428245284856E-4</v>
      </c>
      <c r="E274" s="332">
        <f>Gasto_o_ing_total!D274*1000/Gasto_o_ing_total!D$485</f>
        <v>1.159884696509053E-4</v>
      </c>
      <c r="F274" s="332">
        <f>Gasto_o_ing_total!E274*1000/Gasto_o_ing_total!E$485</f>
        <v>1.4077584413116253E-4</v>
      </c>
      <c r="G274" s="332">
        <f>Gasto_o_ing_total!F274*1000/Gasto_o_ing_total!F$485</f>
        <v>1.2485861435111221E-4</v>
      </c>
      <c r="H274" s="332">
        <f>Gasto_o_ing_total!G274*1000/Gasto_o_ing_total!G$485</f>
        <v>1.3783365764397337E-4</v>
      </c>
      <c r="I274" s="332">
        <f>Gasto_o_ing_total!H274*1000/Gasto_o_ing_total!H$485</f>
        <v>8.9873681888990118E-3</v>
      </c>
      <c r="J274" s="332">
        <f>Gasto_o_ing_total!I274*1000/Gasto_o_ing_total!I$485</f>
        <v>1.2748657923759431E-4</v>
      </c>
      <c r="K274" s="332">
        <f>Gasto_o_ing_total!J274*1000/Gasto_o_ing_total!J$485</f>
        <v>1.2914999993026178E-4</v>
      </c>
      <c r="L274" s="332">
        <f>Gasto_o_ing_total!K274*1000/Gasto_o_ing_total!K$485</f>
        <v>1.1824381111279649E-4</v>
      </c>
      <c r="M274" s="332">
        <f>Gasto_o_ing_total!L274*1000/Gasto_o_ing_total!L$485</f>
        <v>1.4500482587303146E-4</v>
      </c>
      <c r="N274" s="332">
        <f>Gasto_o_ing_total!M274*1000/Gasto_o_ing_total!M$485</f>
        <v>1.2490713480174591E-4</v>
      </c>
      <c r="O274" s="332">
        <f>Gasto_o_ing_total!N274*1000/Gasto_o_ing_total!N$485</f>
        <v>1.1205158009592341E-4</v>
      </c>
      <c r="P274" s="332">
        <f>Gasto_o_ing_total!O274*1000/Gasto_o_ing_total!O$485</f>
        <v>1.2543944090807511E-4</v>
      </c>
      <c r="Q274" s="332">
        <f>Gasto_o_ing_total!P274*1000/Gasto_o_ing_total!P$485</f>
        <v>1.573802513485406E-4</v>
      </c>
      <c r="R274" s="332">
        <f>Gasto_o_ing_total!Q274*1000/Gasto_o_ing_total!Q$485</f>
        <v>1.207899294298373E-4</v>
      </c>
      <c r="S274" s="332">
        <f>Gasto_o_ing_total!R274*1000/Gasto_o_ing_total!R$485</f>
        <v>1.4996714196843382E-4</v>
      </c>
      <c r="T274" s="332">
        <f>Gasto_o_ing_total!S274*1000/Gasto_o_ing_total!S$485</f>
        <v>1.5403341612847308E-4</v>
      </c>
      <c r="U274" s="332">
        <f>Gasto_o_ing_total!T274*1000/Gasto_o_ing_total!T$485</f>
        <v>1.3849176414558234E-4</v>
      </c>
      <c r="V274" s="332">
        <f>Gasto_o_ing_total!U274*1000/Gasto_o_ing_total!U$485</f>
        <v>1.1861618284351278E-4</v>
      </c>
      <c r="W274" s="2"/>
    </row>
    <row r="275" spans="1:23">
      <c r="A275" s="351" t="str">
        <f>IF(B275="","",(IF(ISERROR(MATCH(B275,Tot_res!C:C,0)),"Eliminar!!!","")))</f>
        <v/>
      </c>
      <c r="B275" s="115" t="s">
        <v>226</v>
      </c>
      <c r="C275" s="329" t="str">
        <f>VLOOKUP(B275,Tot_res!C:D,2,FALSE)</f>
        <v>Ajuste forales, ayudas al transporte colectivo urbano</v>
      </c>
      <c r="D275" s="332">
        <f>Gasto_o_ing_total!V275*1000/Gasto_o_ing_total!V$485</f>
        <v>0.41133321203759016</v>
      </c>
      <c r="E275" s="332">
        <f>Gasto_o_ing_total!D275*1000/Gasto_o_ing_total!D$485</f>
        <v>0</v>
      </c>
      <c r="F275" s="332">
        <f>Gasto_o_ing_total!E275*1000/Gasto_o_ing_total!E$485</f>
        <v>0</v>
      </c>
      <c r="G275" s="332">
        <f>Gasto_o_ing_total!F275*1000/Gasto_o_ing_total!F$485</f>
        <v>0</v>
      </c>
      <c r="H275" s="332">
        <f>Gasto_o_ing_total!G275*1000/Gasto_o_ing_total!G$485</f>
        <v>0</v>
      </c>
      <c r="I275" s="332">
        <f>Gasto_o_ing_total!H275*1000/Gasto_o_ing_total!H$485</f>
        <v>0</v>
      </c>
      <c r="J275" s="332">
        <f>Gasto_o_ing_total!I275*1000/Gasto_o_ing_total!I$485</f>
        <v>0</v>
      </c>
      <c r="K275" s="332">
        <f>Gasto_o_ing_total!J275*1000/Gasto_o_ing_total!J$485</f>
        <v>0</v>
      </c>
      <c r="L275" s="332">
        <f>Gasto_o_ing_total!K275*1000/Gasto_o_ing_total!K$485</f>
        <v>0</v>
      </c>
      <c r="M275" s="332">
        <f>Gasto_o_ing_total!L275*1000/Gasto_o_ing_total!L$485</f>
        <v>0</v>
      </c>
      <c r="N275" s="332">
        <f>Gasto_o_ing_total!M275*1000/Gasto_o_ing_total!M$485</f>
        <v>0</v>
      </c>
      <c r="O275" s="332">
        <f>Gasto_o_ing_total!N275*1000/Gasto_o_ing_total!N$485</f>
        <v>0</v>
      </c>
      <c r="P275" s="332">
        <f>Gasto_o_ing_total!O275*1000/Gasto_o_ing_total!O$485</f>
        <v>0</v>
      </c>
      <c r="Q275" s="332">
        <f>Gasto_o_ing_total!P275*1000/Gasto_o_ing_total!P$485</f>
        <v>0</v>
      </c>
      <c r="R275" s="332">
        <f>Gasto_o_ing_total!Q275*1000/Gasto_o_ing_total!Q$485</f>
        <v>0</v>
      </c>
      <c r="S275" s="332">
        <f>Gasto_o_ing_total!R275*1000/Gasto_o_ing_total!R$485</f>
        <v>6.7919782871873373</v>
      </c>
      <c r="T275" s="332">
        <f>Gasto_o_ing_total!S275*1000/Gasto_o_ing_total!S$485</f>
        <v>6.7868409009944317</v>
      </c>
      <c r="U275" s="332">
        <f>Gasto_o_ing_total!T275*1000/Gasto_o_ing_total!T$485</f>
        <v>0</v>
      </c>
      <c r="V275" s="332">
        <f>Gasto_o_ing_total!U275*1000/Gasto_o_ing_total!U$485</f>
        <v>0</v>
      </c>
      <c r="W275" s="4"/>
    </row>
    <row r="276" spans="1:23">
      <c r="A276" s="352"/>
      <c r="C276" s="119"/>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0">
        <f>Gasto_o_ing_total!V277*1000/Gasto_o_ing_total!V$485</f>
        <v>100.84994940188209</v>
      </c>
      <c r="E277" s="110">
        <f>Gasto_o_ing_total!D277*1000/Gasto_o_ing_total!D$485</f>
        <v>142.16706063905067</v>
      </c>
      <c r="F277" s="110">
        <f>Gasto_o_ing_total!E277*1000/Gasto_o_ing_total!E$485</f>
        <v>60.032524522741788</v>
      </c>
      <c r="G277" s="110">
        <f>Gasto_o_ing_total!F277*1000/Gasto_o_ing_total!F$485</f>
        <v>100.66360109058765</v>
      </c>
      <c r="H277" s="110">
        <f>Gasto_o_ing_total!G277*1000/Gasto_o_ing_total!G$485</f>
        <v>304.6543503999427</v>
      </c>
      <c r="I277" s="110">
        <f>Gasto_o_ing_total!H277*1000/Gasto_o_ing_total!H$485</f>
        <v>577.66653471948143</v>
      </c>
      <c r="J277" s="110">
        <f>Gasto_o_ing_total!I277*1000/Gasto_o_ing_total!I$485</f>
        <v>81.106748361059871</v>
      </c>
      <c r="K277" s="110">
        <f>Gasto_o_ing_total!J277*1000/Gasto_o_ing_total!J$485</f>
        <v>106.83668251277405</v>
      </c>
      <c r="L277" s="110">
        <f>Gasto_o_ing_total!K277*1000/Gasto_o_ing_total!K$485</f>
        <v>100.71188588715094</v>
      </c>
      <c r="M277" s="110">
        <f>Gasto_o_ing_total!L277*1000/Gasto_o_ing_total!L$485</f>
        <v>15.656587554341531</v>
      </c>
      <c r="N277" s="110">
        <f>Gasto_o_ing_total!M277*1000/Gasto_o_ing_total!M$485</f>
        <v>32.999573070459512</v>
      </c>
      <c r="O277" s="110">
        <f>Gasto_o_ing_total!N277*1000/Gasto_o_ing_total!N$485</f>
        <v>250.07456565291469</v>
      </c>
      <c r="P277" s="110">
        <f>Gasto_o_ing_total!O277*1000/Gasto_o_ing_total!O$485</f>
        <v>129.77375216407515</v>
      </c>
      <c r="Q277" s="110">
        <f>Gasto_o_ing_total!P277*1000/Gasto_o_ing_total!P$485</f>
        <v>4.0088744015676658</v>
      </c>
      <c r="R277" s="110">
        <f>Gasto_o_ing_total!Q277*1000/Gasto_o_ing_total!Q$485</f>
        <v>66.148458587294371</v>
      </c>
      <c r="S277" s="110">
        <f>Gasto_o_ing_total!R277*1000/Gasto_o_ing_total!R$485</f>
        <v>6.5671758350831455</v>
      </c>
      <c r="T277" s="110">
        <f>Gasto_o_ing_total!S277*1000/Gasto_o_ing_total!S$485</f>
        <v>35.651218160998724</v>
      </c>
      <c r="U277" s="110">
        <f>Gasto_o_ing_total!T277*1000/Gasto_o_ing_total!T$485</f>
        <v>7.7786371853181748</v>
      </c>
      <c r="V277" s="110">
        <f>Gasto_o_ing_total!U277*1000/Gasto_o_ing_total!U$485</f>
        <v>810.35106897395599</v>
      </c>
      <c r="W277" s="114"/>
    </row>
    <row r="278" spans="1:23">
      <c r="A278" s="351" t="str">
        <f>IF(B278="","",(IF(ISERROR(MATCH(B278,Tot_res!C:C,0)),"Eliminar!!!","")))</f>
        <v/>
      </c>
      <c r="B278" s="115" t="s">
        <v>629</v>
      </c>
      <c r="C278" s="329" t="str">
        <f>VLOOKUP(B278,Tot_res!C:D,2,FALSE)</f>
        <v>Subsidio y renta para eventuales agrarios en Andalucía y Extremadura</v>
      </c>
      <c r="D278" s="332">
        <f>Gasto_o_ing_total!V278*1000/Gasto_o_ing_total!V$485</f>
        <v>21.920116111928621</v>
      </c>
      <c r="E278" s="332">
        <f>Gasto_o_ing_total!D278*1000/Gasto_o_ing_total!D$485</f>
        <v>106.30745247374719</v>
      </c>
      <c r="F278" s="332">
        <f>Gasto_o_ing_total!E278*1000/Gasto_o_ing_total!E$485</f>
        <v>0</v>
      </c>
      <c r="G278" s="332">
        <f>Gasto_o_ing_total!F278*1000/Gasto_o_ing_total!F$485</f>
        <v>0</v>
      </c>
      <c r="H278" s="332">
        <f>Gasto_o_ing_total!G278*1000/Gasto_o_ing_total!G$485</f>
        <v>0</v>
      </c>
      <c r="I278" s="332">
        <f>Gasto_o_ing_total!H278*1000/Gasto_o_ing_total!H$485</f>
        <v>0</v>
      </c>
      <c r="J278" s="332">
        <f>Gasto_o_ing_total!I278*1000/Gasto_o_ing_total!I$485</f>
        <v>0</v>
      </c>
      <c r="K278" s="332">
        <f>Gasto_o_ing_total!J278*1000/Gasto_o_ing_total!J$485</f>
        <v>0</v>
      </c>
      <c r="L278" s="332">
        <f>Gasto_o_ing_total!K278*1000/Gasto_o_ing_total!K$485</f>
        <v>0</v>
      </c>
      <c r="M278" s="332">
        <f>Gasto_o_ing_total!L278*1000/Gasto_o_ing_total!L$485</f>
        <v>0</v>
      </c>
      <c r="N278" s="332">
        <f>Gasto_o_ing_total!M278*1000/Gasto_o_ing_total!M$485</f>
        <v>0</v>
      </c>
      <c r="O278" s="332">
        <f>Gasto_o_ing_total!N278*1000/Gasto_o_ing_total!N$485</f>
        <v>119.09748001720099</v>
      </c>
      <c r="P278" s="332">
        <f>Gasto_o_ing_total!O278*1000/Gasto_o_ing_total!O$485</f>
        <v>0</v>
      </c>
      <c r="Q278" s="332">
        <f>Gasto_o_ing_total!P278*1000/Gasto_o_ing_total!P$485</f>
        <v>0</v>
      </c>
      <c r="R278" s="332">
        <f>Gasto_o_ing_total!Q278*1000/Gasto_o_ing_total!Q$485</f>
        <v>0</v>
      </c>
      <c r="S278" s="332">
        <f>Gasto_o_ing_total!R278*1000/Gasto_o_ing_total!R$485</f>
        <v>0</v>
      </c>
      <c r="T278" s="332">
        <f>Gasto_o_ing_total!S278*1000/Gasto_o_ing_total!S$485</f>
        <v>0</v>
      </c>
      <c r="U278" s="332">
        <f>Gasto_o_ing_total!T278*1000/Gasto_o_ing_total!T$485</f>
        <v>0</v>
      </c>
      <c r="V278" s="332">
        <f>Gasto_o_ing_total!U278*1000/Gasto_o_ing_total!U$485</f>
        <v>0</v>
      </c>
      <c r="W278" s="2"/>
    </row>
    <row r="279" spans="1:23">
      <c r="A279" s="351" t="str">
        <f>IF(B279="","",(IF(ISERROR(MATCH(B279,Tot_res!C:C,0)),"Eliminar!!!","")))</f>
        <v/>
      </c>
      <c r="B279" s="115" t="s">
        <v>288</v>
      </c>
      <c r="C279" s="329" t="str">
        <f>VLOOKUP(B279,Tot_res!C:D,2,FALSE)</f>
        <v>Incentivos regionales a la localización industrial</v>
      </c>
      <c r="D279" s="332">
        <f>Gasto_o_ing_total!V279*1000/Gasto_o_ing_total!V$485</f>
        <v>1.7409453719845394</v>
      </c>
      <c r="E279" s="332">
        <f>Gasto_o_ing_total!D279*1000/Gasto_o_ing_total!D$485</f>
        <v>1.7227007563076082</v>
      </c>
      <c r="F279" s="332">
        <f>Gasto_o_ing_total!E279*1000/Gasto_o_ing_total!E$485</f>
        <v>0.66427847307855592</v>
      </c>
      <c r="G279" s="332">
        <f>Gasto_o_ing_total!F279*1000/Gasto_o_ing_total!F$485</f>
        <v>2.330838241377355</v>
      </c>
      <c r="H279" s="332">
        <f>Gasto_o_ing_total!G279*1000/Gasto_o_ing_total!G$485</f>
        <v>0</v>
      </c>
      <c r="I279" s="332">
        <f>Gasto_o_ing_total!H279*1000/Gasto_o_ing_total!H$485</f>
        <v>0.24868134558812816</v>
      </c>
      <c r="J279" s="332">
        <f>Gasto_o_ing_total!I279*1000/Gasto_o_ing_total!I$485</f>
        <v>0.58298465521363874</v>
      </c>
      <c r="K279" s="332">
        <f>Gasto_o_ing_total!J279*1000/Gasto_o_ing_total!J$485</f>
        <v>5.4644753444079548</v>
      </c>
      <c r="L279" s="332">
        <f>Gasto_o_ing_total!K279*1000/Gasto_o_ing_total!K$485</f>
        <v>0.55831141420345753</v>
      </c>
      <c r="M279" s="332">
        <f>Gasto_o_ing_total!L279*1000/Gasto_o_ing_total!L$485</f>
        <v>0</v>
      </c>
      <c r="N279" s="332">
        <f>Gasto_o_ing_total!M279*1000/Gasto_o_ing_total!M$485</f>
        <v>7.5246414550944154</v>
      </c>
      <c r="O279" s="332">
        <f>Gasto_o_ing_total!N279*1000/Gasto_o_ing_total!N$485</f>
        <v>5.660800665254591</v>
      </c>
      <c r="P279" s="332">
        <f>Gasto_o_ing_total!O279*1000/Gasto_o_ing_total!O$485</f>
        <v>1.1469685974617407</v>
      </c>
      <c r="Q279" s="332">
        <f>Gasto_o_ing_total!P279*1000/Gasto_o_ing_total!P$485</f>
        <v>0</v>
      </c>
      <c r="R279" s="332">
        <f>Gasto_o_ing_total!Q279*1000/Gasto_o_ing_total!Q$485</f>
        <v>0.66619387932388363</v>
      </c>
      <c r="S279" s="332">
        <f>Gasto_o_ing_total!R279*1000/Gasto_o_ing_total!R$485</f>
        <v>0</v>
      </c>
      <c r="T279" s="332">
        <f>Gasto_o_ing_total!S279*1000/Gasto_o_ing_total!S$485</f>
        <v>0</v>
      </c>
      <c r="U279" s="332">
        <f>Gasto_o_ing_total!T279*1000/Gasto_o_ing_total!T$485</f>
        <v>0</v>
      </c>
      <c r="V279" s="332">
        <f>Gasto_o_ing_total!U279*1000/Gasto_o_ing_total!U$485</f>
        <v>0</v>
      </c>
      <c r="W279" s="2"/>
    </row>
    <row r="280" spans="1:23">
      <c r="A280" s="351" t="str">
        <f>IF(B280="","",(IF(ISERROR(MATCH(B280,Tot_res!C:C,0)),"Eliminar!!!","")))</f>
        <v/>
      </c>
      <c r="B280" s="115" t="s">
        <v>289</v>
      </c>
      <c r="C280" s="329" t="str">
        <f>VLOOKUP(B280,Tot_res!C:D,2,FALSE)</f>
        <v>Desarrollo alternativo de las comarcas mineras del carbón</v>
      </c>
      <c r="D280" s="332">
        <f>Gasto_o_ing_total!V280*1000/Gasto_o_ing_total!V$485</f>
        <v>0.21481284490939703</v>
      </c>
      <c r="E280" s="332">
        <f>Gasto_o_ing_total!D280*1000/Gasto_o_ing_total!D$485</f>
        <v>6.9217590160027639E-2</v>
      </c>
      <c r="F280" s="332">
        <f>Gasto_o_ing_total!E280*1000/Gasto_o_ing_total!E$485</f>
        <v>0.4407874828997228</v>
      </c>
      <c r="G280" s="332">
        <f>Gasto_o_ing_total!F280*1000/Gasto_o_ing_total!F$485</f>
        <v>4.5315310047160775</v>
      </c>
      <c r="H280" s="332">
        <f>Gasto_o_ing_total!G280*1000/Gasto_o_ing_total!G$485</f>
        <v>0</v>
      </c>
      <c r="I280" s="332">
        <f>Gasto_o_ing_total!H280*1000/Gasto_o_ing_total!H$485</f>
        <v>0</v>
      </c>
      <c r="J280" s="332">
        <f>Gasto_o_ing_total!I280*1000/Gasto_o_ing_total!I$485</f>
        <v>0</v>
      </c>
      <c r="K280" s="332">
        <f>Gasto_o_ing_total!J280*1000/Gasto_o_ing_total!J$485</f>
        <v>0.83991920016783295</v>
      </c>
      <c r="L280" s="332">
        <f>Gasto_o_ing_total!K280*1000/Gasto_o_ing_total!K$485</f>
        <v>0</v>
      </c>
      <c r="M280" s="332">
        <f>Gasto_o_ing_total!L280*1000/Gasto_o_ing_total!L$485</f>
        <v>9.2372605885841952E-2</v>
      </c>
      <c r="N280" s="332">
        <f>Gasto_o_ing_total!M280*1000/Gasto_o_ing_total!M$485</f>
        <v>0</v>
      </c>
      <c r="O280" s="332">
        <f>Gasto_o_ing_total!N280*1000/Gasto_o_ing_total!N$485</f>
        <v>0</v>
      </c>
      <c r="P280" s="332">
        <f>Gasto_o_ing_total!O280*1000/Gasto_o_ing_total!O$485</f>
        <v>0.47430061291265424</v>
      </c>
      <c r="Q280" s="332">
        <f>Gasto_o_ing_total!P280*1000/Gasto_o_ing_total!P$485</f>
        <v>0</v>
      </c>
      <c r="R280" s="332">
        <f>Gasto_o_ing_total!Q280*1000/Gasto_o_ing_total!Q$485</f>
        <v>0</v>
      </c>
      <c r="S280" s="332">
        <f>Gasto_o_ing_total!R280*1000/Gasto_o_ing_total!R$485</f>
        <v>0</v>
      </c>
      <c r="T280" s="332">
        <f>Gasto_o_ing_total!S280*1000/Gasto_o_ing_total!S$485</f>
        <v>0</v>
      </c>
      <c r="U280" s="332">
        <f>Gasto_o_ing_total!T280*1000/Gasto_o_ing_total!T$485</f>
        <v>0</v>
      </c>
      <c r="V280" s="332">
        <f>Gasto_o_ing_total!U280*1000/Gasto_o_ing_total!U$485</f>
        <v>0</v>
      </c>
      <c r="W280" s="2"/>
    </row>
    <row r="281" spans="1:23">
      <c r="A281" s="351" t="str">
        <f>IF(B281="","",(IF(ISERROR(MATCH(B281,Tot_res!C:C,0)),"Eliminar!!!","")))</f>
        <v/>
      </c>
      <c r="B281" s="115" t="s">
        <v>630</v>
      </c>
      <c r="C281" s="329" t="str">
        <f>VLOOKUP(B281,Tot_res!C:D,2,FALSE)</f>
        <v>Explotación minera</v>
      </c>
      <c r="D281" s="332">
        <f>Gasto_o_ing_total!V281*1000/Gasto_o_ing_total!V$485</f>
        <v>7.3643644880826109</v>
      </c>
      <c r="E281" s="332">
        <f>Gasto_o_ing_total!D281*1000/Gasto_o_ing_total!D$485</f>
        <v>1.8049850343640423</v>
      </c>
      <c r="F281" s="332">
        <f>Gasto_o_ing_total!E281*1000/Gasto_o_ing_total!E$485</f>
        <v>31.341980688213429</v>
      </c>
      <c r="G281" s="332">
        <f>Gasto_o_ing_total!F281*1000/Gasto_o_ing_total!F$485</f>
        <v>57.599349417673615</v>
      </c>
      <c r="H281" s="332">
        <f>Gasto_o_ing_total!G281*1000/Gasto_o_ing_total!G$485</f>
        <v>4.3803887211610076E-2</v>
      </c>
      <c r="I281" s="332">
        <f>Gasto_o_ing_total!H281*1000/Gasto_o_ing_total!H$485</f>
        <v>6.795220481530026E-2</v>
      </c>
      <c r="J281" s="332">
        <f>Gasto_o_ing_total!I281*1000/Gasto_o_ing_total!I$485</f>
        <v>0.88579907539867087</v>
      </c>
      <c r="K281" s="332">
        <f>Gasto_o_ing_total!J281*1000/Gasto_o_ing_total!J$485</f>
        <v>66.402286420617131</v>
      </c>
      <c r="L281" s="332">
        <f>Gasto_o_ing_total!K281*1000/Gasto_o_ing_total!K$485</f>
        <v>2.9202437995599269</v>
      </c>
      <c r="M281" s="332">
        <f>Gasto_o_ing_total!L281*1000/Gasto_o_ing_total!L$485</f>
        <v>0.625171243977522</v>
      </c>
      <c r="N281" s="332">
        <f>Gasto_o_ing_total!M281*1000/Gasto_o_ing_total!M$485</f>
        <v>0.31246894001914155</v>
      </c>
      <c r="O281" s="332">
        <f>Gasto_o_ing_total!N281*1000/Gasto_o_ing_total!N$485</f>
        <v>0.16847661533050307</v>
      </c>
      <c r="P281" s="332">
        <f>Gasto_o_ing_total!O281*1000/Gasto_o_ing_total!O$485</f>
        <v>17.002850860339141</v>
      </c>
      <c r="Q281" s="332">
        <f>Gasto_o_ing_total!P281*1000/Gasto_o_ing_total!P$485</f>
        <v>0.22794623368337885</v>
      </c>
      <c r="R281" s="332">
        <f>Gasto_o_ing_total!Q281*1000/Gasto_o_ing_total!Q$485</f>
        <v>7.5017544563533878E-2</v>
      </c>
      <c r="S281" s="332">
        <f>Gasto_o_ing_total!R281*1000/Gasto_o_ing_total!R$485</f>
        <v>2.0559975078642798E-2</v>
      </c>
      <c r="T281" s="332">
        <f>Gasto_o_ing_total!S281*1000/Gasto_o_ing_total!S$485</f>
        <v>6.488467470029996E-2</v>
      </c>
      <c r="U281" s="332">
        <f>Gasto_o_ing_total!T281*1000/Gasto_o_ing_total!T$485</f>
        <v>9.6720396855637797E-2</v>
      </c>
      <c r="V281" s="332">
        <f>Gasto_o_ing_total!U281*1000/Gasto_o_ing_total!U$485</f>
        <v>0</v>
      </c>
      <c r="W281" s="2"/>
    </row>
    <row r="282" spans="1:23">
      <c r="A282" s="351" t="str">
        <f>IF(B282="","",(IF(ISERROR(MATCH(B282,Tot_res!C:C,0)),"Eliminar!!!","")))</f>
        <v/>
      </c>
      <c r="B282" s="115" t="s">
        <v>1212</v>
      </c>
      <c r="C282" s="329" t="str">
        <f>VLOOKUP(B282,Tot_res!C:D,2,FALSE)</f>
        <v>Sobrecostes sistemas eléctricos extrapeninsulares</v>
      </c>
      <c r="D282" s="332">
        <f>Gasto_o_ing_total!V282*1000/Gasto_o_ing_total!V$485</f>
        <v>18.863718611825512</v>
      </c>
      <c r="E282" s="332">
        <f>Gasto_o_ing_total!D282*1000/Gasto_o_ing_total!D$485</f>
        <v>0</v>
      </c>
      <c r="F282" s="332">
        <f>Gasto_o_ing_total!E282*1000/Gasto_o_ing_total!E$485</f>
        <v>0</v>
      </c>
      <c r="G282" s="332">
        <f>Gasto_o_ing_total!F282*1000/Gasto_o_ing_total!F$485</f>
        <v>0</v>
      </c>
      <c r="H282" s="332">
        <f>Gasto_o_ing_total!G282*1000/Gasto_o_ing_total!G$485</f>
        <v>169.00449936991615</v>
      </c>
      <c r="I282" s="332">
        <f>Gasto_o_ing_total!H282*1000/Gasto_o_ing_total!H$485</f>
        <v>303.19822900657658</v>
      </c>
      <c r="J282" s="332">
        <f>Gasto_o_ing_total!I282*1000/Gasto_o_ing_total!I$485</f>
        <v>0</v>
      </c>
      <c r="K282" s="332">
        <f>Gasto_o_ing_total!J282*1000/Gasto_o_ing_total!J$485</f>
        <v>0</v>
      </c>
      <c r="L282" s="332">
        <f>Gasto_o_ing_total!K282*1000/Gasto_o_ing_total!K$485</f>
        <v>0</v>
      </c>
      <c r="M282" s="332">
        <f>Gasto_o_ing_total!L282*1000/Gasto_o_ing_total!L$485</f>
        <v>0</v>
      </c>
      <c r="N282" s="332">
        <f>Gasto_o_ing_total!M282*1000/Gasto_o_ing_total!M$485</f>
        <v>0</v>
      </c>
      <c r="O282" s="332">
        <f>Gasto_o_ing_total!N282*1000/Gasto_o_ing_total!N$485</f>
        <v>0</v>
      </c>
      <c r="P282" s="332">
        <f>Gasto_o_ing_total!O282*1000/Gasto_o_ing_total!O$485</f>
        <v>0</v>
      </c>
      <c r="Q282" s="332">
        <f>Gasto_o_ing_total!P282*1000/Gasto_o_ing_total!P$485</f>
        <v>0</v>
      </c>
      <c r="R282" s="332">
        <f>Gasto_o_ing_total!Q282*1000/Gasto_o_ing_total!Q$485</f>
        <v>0</v>
      </c>
      <c r="S282" s="332">
        <f>Gasto_o_ing_total!R282*1000/Gasto_o_ing_total!R$485</f>
        <v>0</v>
      </c>
      <c r="T282" s="332">
        <f>Gasto_o_ing_total!S282*1000/Gasto_o_ing_total!S$485</f>
        <v>0</v>
      </c>
      <c r="U282" s="332">
        <f>Gasto_o_ing_total!T282*1000/Gasto_o_ing_total!T$485</f>
        <v>0</v>
      </c>
      <c r="V282" s="332">
        <f>Gasto_o_ing_total!U282*1000/Gasto_o_ing_total!U$485</f>
        <v>334.95564648107251</v>
      </c>
      <c r="W282" s="2"/>
    </row>
    <row r="283" spans="1:23">
      <c r="A283" s="351" t="str">
        <f>IF(B283="","",(IF(ISERROR(MATCH(B283,Tot_res!C:C,0)),"Eliminar!!!","")))</f>
        <v/>
      </c>
      <c r="B283" s="115" t="s">
        <v>290</v>
      </c>
      <c r="C283" s="329" t="str">
        <f>VLOOKUP(B283,Tot_res!C:D,2,FALSE)</f>
        <v>Subvenciones y apoyo al transporte marítimo</v>
      </c>
      <c r="D283" s="332">
        <f>Gasto_o_ing_total!V283*1000/Gasto_o_ing_total!V$485</f>
        <v>2.0279811787526931</v>
      </c>
      <c r="E283" s="332">
        <f>Gasto_o_ing_total!D283*1000/Gasto_o_ing_total!D$485</f>
        <v>8.5837548709739891E-2</v>
      </c>
      <c r="F283" s="332">
        <f>Gasto_o_ing_total!E283*1000/Gasto_o_ing_total!E$485</f>
        <v>1.9581235310050786E-2</v>
      </c>
      <c r="G283" s="332">
        <f>Gasto_o_ing_total!F283*1000/Gasto_o_ing_total!F$485</f>
        <v>0</v>
      </c>
      <c r="H283" s="332">
        <f>Gasto_o_ing_total!G283*1000/Gasto_o_ing_total!G$485</f>
        <v>20.178492281320917</v>
      </c>
      <c r="I283" s="332">
        <f>Gasto_o_ing_total!H283*1000/Gasto_o_ing_total!H$485</f>
        <v>19.517789413443975</v>
      </c>
      <c r="J283" s="332">
        <f>Gasto_o_ing_total!I283*1000/Gasto_o_ing_total!I$485</f>
        <v>0</v>
      </c>
      <c r="K283" s="332">
        <f>Gasto_o_ing_total!J283*1000/Gasto_o_ing_total!J$485</f>
        <v>4.3866340675020696E-2</v>
      </c>
      <c r="L283" s="332">
        <f>Gasto_o_ing_total!K283*1000/Gasto_o_ing_total!K$485</f>
        <v>0</v>
      </c>
      <c r="M283" s="332">
        <f>Gasto_o_ing_total!L283*1000/Gasto_o_ing_total!L$485</f>
        <v>0.20820214208669552</v>
      </c>
      <c r="N283" s="332">
        <f>Gasto_o_ing_total!M283*1000/Gasto_o_ing_total!M$485</f>
        <v>0.1973421055933289</v>
      </c>
      <c r="O283" s="332">
        <f>Gasto_o_ing_total!N283*1000/Gasto_o_ing_total!N$485</f>
        <v>0</v>
      </c>
      <c r="P283" s="332">
        <f>Gasto_o_ing_total!O283*1000/Gasto_o_ing_total!O$485</f>
        <v>0</v>
      </c>
      <c r="Q283" s="332">
        <f>Gasto_o_ing_total!P283*1000/Gasto_o_ing_total!P$485</f>
        <v>9.918809054635519E-2</v>
      </c>
      <c r="R283" s="332">
        <f>Gasto_o_ing_total!Q283*1000/Gasto_o_ing_total!Q$485</f>
        <v>7.8622880442983961E-2</v>
      </c>
      <c r="S283" s="332">
        <f>Gasto_o_ing_total!R283*1000/Gasto_o_ing_total!R$485</f>
        <v>4.6849823629275922E-2</v>
      </c>
      <c r="T283" s="332">
        <f>Gasto_o_ing_total!S283*1000/Gasto_o_ing_total!S$485</f>
        <v>6.557711712831206E-2</v>
      </c>
      <c r="U283" s="332">
        <f>Gasto_o_ing_total!T283*1000/Gasto_o_ing_total!T$485</f>
        <v>5.3818498052642195E-2</v>
      </c>
      <c r="V283" s="332">
        <f>Gasto_o_ing_total!U283*1000/Gasto_o_ing_total!U$485</f>
        <v>159.36568984594692</v>
      </c>
      <c r="W283" s="2"/>
    </row>
    <row r="284" spans="1:23">
      <c r="A284" s="351" t="str">
        <f>IF(B284="","",(IF(ISERROR(MATCH(B284,Tot_res!C:C,0)),"Eliminar!!!","")))</f>
        <v/>
      </c>
      <c r="B284" s="115" t="s">
        <v>291</v>
      </c>
      <c r="C284" s="329" t="str">
        <f>VLOOKUP(B284,Tot_res!C:D,2,FALSE)</f>
        <v>Subvenciones y apoyo al transporte aéreo</v>
      </c>
      <c r="D284" s="332">
        <f>Gasto_o_ing_total!V284*1000/Gasto_o_ing_total!V$485</f>
        <v>8.0678801959699999</v>
      </c>
      <c r="E284" s="332">
        <f>Gasto_o_ing_total!D284*1000/Gasto_o_ing_total!D$485</f>
        <v>0.1911778339355078</v>
      </c>
      <c r="F284" s="332">
        <f>Gasto_o_ing_total!E284*1000/Gasto_o_ing_total!E$485</f>
        <v>0.18574889987130291</v>
      </c>
      <c r="G284" s="332">
        <f>Gasto_o_ing_total!F284*1000/Gasto_o_ing_total!F$485</f>
        <v>0.19579140393117814</v>
      </c>
      <c r="H284" s="332">
        <f>Gasto_o_ing_total!G284*1000/Gasto_o_ing_total!G$485</f>
        <v>114.15739745097072</v>
      </c>
      <c r="I284" s="332">
        <f>Gasto_o_ing_total!H284*1000/Gasto_o_ing_total!H$485</f>
        <v>114.64174196531506</v>
      </c>
      <c r="J284" s="332">
        <f>Gasto_o_ing_total!I284*1000/Gasto_o_ing_total!I$485</f>
        <v>0.2056917300825099</v>
      </c>
      <c r="K284" s="332">
        <f>Gasto_o_ing_total!J284*1000/Gasto_o_ing_total!J$485</f>
        <v>0.19032518516587987</v>
      </c>
      <c r="L284" s="332">
        <f>Gasto_o_ing_total!K284*1000/Gasto_o_ing_total!K$485</f>
        <v>0.1801386066817092</v>
      </c>
      <c r="M284" s="332">
        <f>Gasto_o_ing_total!L284*1000/Gasto_o_ing_total!L$485</f>
        <v>0.20329078232605663</v>
      </c>
      <c r="N284" s="332">
        <f>Gasto_o_ing_total!M284*1000/Gasto_o_ing_total!M$485</f>
        <v>0.19033467700157769</v>
      </c>
      <c r="O284" s="332">
        <f>Gasto_o_ing_total!N284*1000/Gasto_o_ing_total!N$485</f>
        <v>0.18126886303940243</v>
      </c>
      <c r="P284" s="332">
        <f>Gasto_o_ing_total!O284*1000/Gasto_o_ing_total!O$485</f>
        <v>0.19713095580423165</v>
      </c>
      <c r="Q284" s="332">
        <f>Gasto_o_ing_total!P284*1000/Gasto_o_ing_total!P$485</f>
        <v>0.20580302889740204</v>
      </c>
      <c r="R284" s="332">
        <f>Gasto_o_ing_total!Q284*1000/Gasto_o_ing_total!Q$485</f>
        <v>0.17929601738663251</v>
      </c>
      <c r="S284" s="332">
        <f>Gasto_o_ing_total!R284*1000/Gasto_o_ing_total!R$485</f>
        <v>0.19415112112734362</v>
      </c>
      <c r="T284" s="332">
        <f>Gasto_o_ing_total!S284*1000/Gasto_o_ing_total!S$485</f>
        <v>0.20712363712836362</v>
      </c>
      <c r="U284" s="332">
        <f>Gasto_o_ing_total!T284*1000/Gasto_o_ing_total!T$485</f>
        <v>0.18811967220863773</v>
      </c>
      <c r="V284" s="332">
        <f>Gasto_o_ing_total!U284*1000/Gasto_o_ing_total!U$485</f>
        <v>7.1788458413052174</v>
      </c>
      <c r="W284" s="2"/>
    </row>
    <row r="285" spans="1:23">
      <c r="A285" s="351" t="str">
        <f>IF(B285="","",(IF(ISERROR(MATCH(B285,Tot_res!C:C,0)),"Eliminar!!!","")))</f>
        <v/>
      </c>
      <c r="B285" s="115" t="s">
        <v>292</v>
      </c>
      <c r="C285" s="329" t="str">
        <f>VLOOKUP(B285,Tot_res!C:D,2,FALSE)</f>
        <v>Subvenciones al transporte extrapeninsular de mercancías</v>
      </c>
      <c r="D285" s="332">
        <f>Gasto_o_ing_total!V285*1000/Gasto_o_ing_total!V$485</f>
        <v>0.43149683139130468</v>
      </c>
      <c r="E285" s="332">
        <f>Gasto_o_ing_total!D285*1000/Gasto_o_ing_total!D$485</f>
        <v>0</v>
      </c>
      <c r="F285" s="332">
        <f>Gasto_o_ing_total!E285*1000/Gasto_o_ing_total!E$485</f>
        <v>0</v>
      </c>
      <c r="G285" s="332">
        <f>Gasto_o_ing_total!F285*1000/Gasto_o_ing_total!F$485</f>
        <v>0</v>
      </c>
      <c r="H285" s="332">
        <f>Gasto_o_ing_total!G285*1000/Gasto_o_ing_total!G$485</f>
        <v>1.035489947330543</v>
      </c>
      <c r="I285" s="332">
        <f>Gasto_o_ing_total!H285*1000/Gasto_o_ing_total!H$485</f>
        <v>9.0398536784078267</v>
      </c>
      <c r="J285" s="332">
        <f>Gasto_o_ing_total!I285*1000/Gasto_o_ing_total!I$485</f>
        <v>0</v>
      </c>
      <c r="K285" s="332">
        <f>Gasto_o_ing_total!J285*1000/Gasto_o_ing_total!J$485</f>
        <v>0</v>
      </c>
      <c r="L285" s="332">
        <f>Gasto_o_ing_total!K285*1000/Gasto_o_ing_total!K$485</f>
        <v>0</v>
      </c>
      <c r="M285" s="332">
        <f>Gasto_o_ing_total!L285*1000/Gasto_o_ing_total!L$485</f>
        <v>0</v>
      </c>
      <c r="N285" s="332">
        <f>Gasto_o_ing_total!M285*1000/Gasto_o_ing_total!M$485</f>
        <v>0</v>
      </c>
      <c r="O285" s="332">
        <f>Gasto_o_ing_total!N285*1000/Gasto_o_ing_total!N$485</f>
        <v>0</v>
      </c>
      <c r="P285" s="332">
        <f>Gasto_o_ing_total!O285*1000/Gasto_o_ing_total!O$485</f>
        <v>0</v>
      </c>
      <c r="Q285" s="332">
        <f>Gasto_o_ing_total!P285*1000/Gasto_o_ing_total!P$485</f>
        <v>0</v>
      </c>
      <c r="R285" s="332">
        <f>Gasto_o_ing_total!Q285*1000/Gasto_o_ing_total!Q$485</f>
        <v>0</v>
      </c>
      <c r="S285" s="332">
        <f>Gasto_o_ing_total!R285*1000/Gasto_o_ing_total!R$485</f>
        <v>0</v>
      </c>
      <c r="T285" s="332">
        <f>Gasto_o_ing_total!S285*1000/Gasto_o_ing_total!S$485</f>
        <v>0</v>
      </c>
      <c r="U285" s="332">
        <f>Gasto_o_ing_total!T285*1000/Gasto_o_ing_total!T$485</f>
        <v>0</v>
      </c>
      <c r="V285" s="332">
        <f>Gasto_o_ing_total!U285*1000/Gasto_o_ing_total!U$485</f>
        <v>0</v>
      </c>
      <c r="W285" s="2"/>
    </row>
    <row r="286" spans="1:23">
      <c r="A286" s="351" t="str">
        <f>IF(B286="","",(IF(ISERROR(MATCH(B286,Tot_res!C:C,0)),"Eliminar!!!","")))</f>
        <v/>
      </c>
      <c r="B286" s="115" t="s">
        <v>631</v>
      </c>
      <c r="C286" s="329" t="str">
        <f>VLOOKUP(B286,Tot_res!C:D,2,FALSE)</f>
        <v>Direc. y serv. grales. de hacienda y admones. Públicas, transferencias a la ZEC</v>
      </c>
      <c r="D286" s="332">
        <f>Gasto_o_ing_total!V286*1000/Gasto_o_ing_total!V$485</f>
        <v>2.3255882927315633E-2</v>
      </c>
      <c r="E286" s="332">
        <f>Gasto_o_ing_total!D286*1000/Gasto_o_ing_total!D$485</f>
        <v>0</v>
      </c>
      <c r="F286" s="332">
        <f>Gasto_o_ing_total!E286*1000/Gasto_o_ing_total!E$485</f>
        <v>0</v>
      </c>
      <c r="G286" s="332">
        <f>Gasto_o_ing_total!F286*1000/Gasto_o_ing_total!F$485</f>
        <v>0</v>
      </c>
      <c r="H286" s="332">
        <f>Gasto_o_ing_total!G286*1000/Gasto_o_ing_total!G$485</f>
        <v>0</v>
      </c>
      <c r="I286" s="332">
        <f>Gasto_o_ing_total!H286*1000/Gasto_o_ing_total!H$485</f>
        <v>0.51651308012302144</v>
      </c>
      <c r="J286" s="332">
        <f>Gasto_o_ing_total!I286*1000/Gasto_o_ing_total!I$485</f>
        <v>0</v>
      </c>
      <c r="K286" s="332">
        <f>Gasto_o_ing_total!J286*1000/Gasto_o_ing_total!J$485</f>
        <v>0</v>
      </c>
      <c r="L286" s="332">
        <f>Gasto_o_ing_total!K286*1000/Gasto_o_ing_total!K$485</f>
        <v>0</v>
      </c>
      <c r="M286" s="332">
        <f>Gasto_o_ing_total!L286*1000/Gasto_o_ing_total!L$485</f>
        <v>0</v>
      </c>
      <c r="N286" s="332">
        <f>Gasto_o_ing_total!M286*1000/Gasto_o_ing_total!M$485</f>
        <v>0</v>
      </c>
      <c r="O286" s="332">
        <f>Gasto_o_ing_total!N286*1000/Gasto_o_ing_total!N$485</f>
        <v>0</v>
      </c>
      <c r="P286" s="332">
        <f>Gasto_o_ing_total!O286*1000/Gasto_o_ing_total!O$485</f>
        <v>0</v>
      </c>
      <c r="Q286" s="332">
        <f>Gasto_o_ing_total!P286*1000/Gasto_o_ing_total!P$485</f>
        <v>0</v>
      </c>
      <c r="R286" s="332">
        <f>Gasto_o_ing_total!Q286*1000/Gasto_o_ing_total!Q$485</f>
        <v>0</v>
      </c>
      <c r="S286" s="332">
        <f>Gasto_o_ing_total!R286*1000/Gasto_o_ing_total!R$485</f>
        <v>0</v>
      </c>
      <c r="T286" s="332">
        <f>Gasto_o_ing_total!S286*1000/Gasto_o_ing_total!S$485</f>
        <v>0</v>
      </c>
      <c r="U286" s="332">
        <f>Gasto_o_ing_total!T286*1000/Gasto_o_ing_total!T$485</f>
        <v>0</v>
      </c>
      <c r="V286" s="332">
        <f>Gasto_o_ing_total!U286*1000/Gasto_o_ing_total!U$485</f>
        <v>0</v>
      </c>
      <c r="W286" s="2"/>
    </row>
    <row r="287" spans="1:23">
      <c r="A287" s="351" t="str">
        <f>IF(B287="","",(IF(ISERROR(MATCH(B287,Tot_res!C:C,0)),"Eliminar!!!","")))</f>
        <v/>
      </c>
      <c r="B287" s="115" t="s">
        <v>293</v>
      </c>
      <c r="C287" s="329" t="str">
        <f>VLOOKUP(B287,Tot_res!C:D,2,FALSE)</f>
        <v>Transfer. a cc.aa. por fondos de compens. intert.</v>
      </c>
      <c r="D287" s="332">
        <f>Gasto_o_ing_total!V287*1000/Gasto_o_ing_total!V$485</f>
        <v>9.3124555778640978</v>
      </c>
      <c r="E287" s="332">
        <f>Gasto_o_ing_total!D287*1000/Gasto_o_ing_total!D$485</f>
        <v>18.968748221868868</v>
      </c>
      <c r="F287" s="332">
        <f>Gasto_o_ing_total!E287*1000/Gasto_o_ing_total!E$485</f>
        <v>0</v>
      </c>
      <c r="G287" s="332">
        <f>Gasto_o_ing_total!F287*1000/Gasto_o_ing_total!F$485</f>
        <v>12.366609322830024</v>
      </c>
      <c r="H287" s="332">
        <f>Gasto_o_ing_total!G287*1000/Gasto_o_ing_total!G$485</f>
        <v>0</v>
      </c>
      <c r="I287" s="332">
        <f>Gasto_o_ing_total!H287*1000/Gasto_o_ing_total!H$485</f>
        <v>19.705616409135427</v>
      </c>
      <c r="J287" s="332">
        <f>Gasto_o_ing_total!I287*1000/Gasto_o_ing_total!I$485</f>
        <v>8.5339677211873912</v>
      </c>
      <c r="K287" s="332">
        <f>Gasto_o_ing_total!J287*1000/Gasto_o_ing_total!J$485</f>
        <v>8.4100963952547723</v>
      </c>
      <c r="L287" s="332">
        <f>Gasto_o_ing_total!K287*1000/Gasto_o_ing_total!K$485</f>
        <v>18.22991530285886</v>
      </c>
      <c r="M287" s="332">
        <f>Gasto_o_ing_total!L287*1000/Gasto_o_ing_total!L$485</f>
        <v>0</v>
      </c>
      <c r="N287" s="332">
        <f>Gasto_o_ing_total!M287*1000/Gasto_o_ing_total!M$485</f>
        <v>10.789048516488807</v>
      </c>
      <c r="O287" s="332">
        <f>Gasto_o_ing_total!N287*1000/Gasto_o_ing_total!N$485</f>
        <v>32.593699034355566</v>
      </c>
      <c r="P287" s="332">
        <f>Gasto_o_ing_total!O287*1000/Gasto_o_ing_total!O$485</f>
        <v>15.779665253431736</v>
      </c>
      <c r="Q287" s="332">
        <f>Gasto_o_ing_total!P287*1000/Gasto_o_ing_total!P$485</f>
        <v>0</v>
      </c>
      <c r="R287" s="332">
        <f>Gasto_o_ing_total!Q287*1000/Gasto_o_ing_total!Q$485</f>
        <v>12.458622830940667</v>
      </c>
      <c r="S287" s="332">
        <f>Gasto_o_ing_total!R287*1000/Gasto_o_ing_total!R$485</f>
        <v>0</v>
      </c>
      <c r="T287" s="332">
        <f>Gasto_o_ing_total!S287*1000/Gasto_o_ing_total!S$485</f>
        <v>0</v>
      </c>
      <c r="U287" s="332">
        <f>Gasto_o_ing_total!T287*1000/Gasto_o_ing_total!T$485</f>
        <v>0</v>
      </c>
      <c r="V287" s="332">
        <f>Gasto_o_ing_total!U287*1000/Gasto_o_ing_total!U$485</f>
        <v>37.082899867086724</v>
      </c>
      <c r="W287" s="2"/>
    </row>
    <row r="288" spans="1:23">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Gasto_o_ing_total!V288*1000/Gasto_o_ing_total!V$485</f>
        <v>2.0985971702365855</v>
      </c>
      <c r="E288" s="332">
        <f>Gasto_o_ing_total!D288*1000/Gasto_o_ing_total!D$485</f>
        <v>0</v>
      </c>
      <c r="F288" s="332">
        <f>Gasto_o_ing_total!E288*1000/Gasto_o_ing_total!E$485</f>
        <v>22.699483057105848</v>
      </c>
      <c r="G288" s="332">
        <f>Gasto_o_ing_total!F288*1000/Gasto_o_ing_total!F$485</f>
        <v>0</v>
      </c>
      <c r="H288" s="332">
        <f>Gasto_o_ing_total!G288*1000/Gasto_o_ing_total!G$485</f>
        <v>0</v>
      </c>
      <c r="I288" s="332">
        <f>Gasto_o_ing_total!H288*1000/Gasto_o_ing_total!H$485</f>
        <v>0</v>
      </c>
      <c r="J288" s="332">
        <f>Gasto_o_ing_total!I288*1000/Gasto_o_ing_total!I$485</f>
        <v>47.706875327452323</v>
      </c>
      <c r="K288" s="332">
        <f>Gasto_o_ing_total!J288*1000/Gasto_o_ing_total!J$485</f>
        <v>0</v>
      </c>
      <c r="L288" s="332">
        <f>Gasto_o_ing_total!K288*1000/Gasto_o_ing_total!K$485</f>
        <v>0</v>
      </c>
      <c r="M288" s="332">
        <f>Gasto_o_ing_total!L288*1000/Gasto_o_ing_total!L$485</f>
        <v>0</v>
      </c>
      <c r="N288" s="332">
        <f>Gasto_o_ing_total!M288*1000/Gasto_o_ing_total!M$485</f>
        <v>0</v>
      </c>
      <c r="O288" s="332">
        <f>Gasto_o_ing_total!N288*1000/Gasto_o_ing_total!N$485</f>
        <v>36.485880648299371</v>
      </c>
      <c r="P288" s="332">
        <f>Gasto_o_ing_total!O288*1000/Gasto_o_ing_total!O$485</f>
        <v>0</v>
      </c>
      <c r="Q288" s="332">
        <f>Gasto_o_ing_total!P288*1000/Gasto_o_ing_total!P$485</f>
        <v>0</v>
      </c>
      <c r="R288" s="332">
        <f>Gasto_o_ing_total!Q288*1000/Gasto_o_ing_total!Q$485</f>
        <v>0</v>
      </c>
      <c r="S288" s="332">
        <f>Gasto_o_ing_total!R288*1000/Gasto_o_ing_total!R$485</f>
        <v>0</v>
      </c>
      <c r="T288" s="332">
        <f>Gasto_o_ing_total!S288*1000/Gasto_o_ing_total!S$485</f>
        <v>0</v>
      </c>
      <c r="U288" s="332">
        <f>Gasto_o_ing_total!T288*1000/Gasto_o_ing_total!T$485</f>
        <v>0</v>
      </c>
      <c r="V288" s="332">
        <f>Gasto_o_ing_total!U288*1000/Gasto_o_ing_total!U$485</f>
        <v>0</v>
      </c>
      <c r="W288" s="2"/>
    </row>
    <row r="289" spans="1:23">
      <c r="A289" s="351" t="str">
        <f>IF(B289="","",(IF(ISERROR(MATCH(B289,Tot_res!C:C,0)),"Eliminar!!!","")))</f>
        <v/>
      </c>
      <c r="B289" s="115" t="s">
        <v>294</v>
      </c>
      <c r="C289" s="329" t="str">
        <f>VLOOKUP(B289,Tot_res!C:D,2,FALSE)</f>
        <v>Infraestructuras REF Canarias</v>
      </c>
      <c r="D289" s="332">
        <f>Gasto_o_ing_total!V289*1000/Gasto_o_ing_total!V$485</f>
        <v>2.5882703646186926</v>
      </c>
      <c r="E289" s="332">
        <f>Gasto_o_ing_total!D289*1000/Gasto_o_ing_total!D$485</f>
        <v>0</v>
      </c>
      <c r="F289" s="332">
        <f>Gasto_o_ing_total!E289*1000/Gasto_o_ing_total!E$485</f>
        <v>0</v>
      </c>
      <c r="G289" s="332">
        <f>Gasto_o_ing_total!F289*1000/Gasto_o_ing_total!F$485</f>
        <v>0</v>
      </c>
      <c r="H289" s="332">
        <f>Gasto_o_ing_total!G289*1000/Gasto_o_ing_total!G$485</f>
        <v>0</v>
      </c>
      <c r="I289" s="332">
        <f>Gasto_o_ing_total!H289*1000/Gasto_o_ing_total!H$485</f>
        <v>57.485475928763151</v>
      </c>
      <c r="J289" s="332">
        <f>Gasto_o_ing_total!I289*1000/Gasto_o_ing_total!I$485</f>
        <v>0</v>
      </c>
      <c r="K289" s="332">
        <f>Gasto_o_ing_total!J289*1000/Gasto_o_ing_total!J$485</f>
        <v>0</v>
      </c>
      <c r="L289" s="332">
        <f>Gasto_o_ing_total!K289*1000/Gasto_o_ing_total!K$485</f>
        <v>0</v>
      </c>
      <c r="M289" s="332">
        <f>Gasto_o_ing_total!L289*1000/Gasto_o_ing_total!L$485</f>
        <v>0</v>
      </c>
      <c r="N289" s="332">
        <f>Gasto_o_ing_total!M289*1000/Gasto_o_ing_total!M$485</f>
        <v>0</v>
      </c>
      <c r="O289" s="332">
        <f>Gasto_o_ing_total!N289*1000/Gasto_o_ing_total!N$485</f>
        <v>0</v>
      </c>
      <c r="P289" s="332">
        <f>Gasto_o_ing_total!O289*1000/Gasto_o_ing_total!O$485</f>
        <v>0</v>
      </c>
      <c r="Q289" s="332">
        <f>Gasto_o_ing_total!P289*1000/Gasto_o_ing_total!P$485</f>
        <v>0</v>
      </c>
      <c r="R289" s="332">
        <f>Gasto_o_ing_total!Q289*1000/Gasto_o_ing_total!Q$485</f>
        <v>0</v>
      </c>
      <c r="S289" s="332">
        <f>Gasto_o_ing_total!R289*1000/Gasto_o_ing_total!R$485</f>
        <v>0</v>
      </c>
      <c r="T289" s="332">
        <f>Gasto_o_ing_total!S289*1000/Gasto_o_ing_total!S$485</f>
        <v>0</v>
      </c>
      <c r="U289" s="332">
        <f>Gasto_o_ing_total!T289*1000/Gasto_o_ing_total!T$485</f>
        <v>0</v>
      </c>
      <c r="V289" s="332">
        <f>Gasto_o_ing_total!U289*1000/Gasto_o_ing_total!U$485</f>
        <v>0</v>
      </c>
      <c r="W289" s="2"/>
    </row>
    <row r="290" spans="1:23">
      <c r="A290" s="351" t="str">
        <f>IF(B290="","",(IF(ISERROR(MATCH(B290,Tot_res!C:C,0)),"Eliminar!!!","")))</f>
        <v/>
      </c>
      <c r="B290" s="115" t="s">
        <v>295</v>
      </c>
      <c r="C290" s="329" t="str">
        <f>VLOOKUP(B290,Tot_res!C:D,2,FALSE)</f>
        <v>Transporte interinsular Canarias</v>
      </c>
      <c r="D290" s="332">
        <f>Gasto_o_ing_total!V290*1000/Gasto_o_ing_total!V$485</f>
        <v>0.6700599568315958</v>
      </c>
      <c r="E290" s="332">
        <f>Gasto_o_ing_total!D290*1000/Gasto_o_ing_total!D$485</f>
        <v>0</v>
      </c>
      <c r="F290" s="332">
        <f>Gasto_o_ing_total!E290*1000/Gasto_o_ing_total!E$485</f>
        <v>0</v>
      </c>
      <c r="G290" s="332">
        <f>Gasto_o_ing_total!F290*1000/Gasto_o_ing_total!F$485</f>
        <v>0</v>
      </c>
      <c r="H290" s="332">
        <f>Gasto_o_ing_total!G290*1000/Gasto_o_ing_total!G$485</f>
        <v>0</v>
      </c>
      <c r="I290" s="332">
        <f>Gasto_o_ing_total!H290*1000/Gasto_o_ing_total!H$485</f>
        <v>14.882029345085595</v>
      </c>
      <c r="J290" s="332">
        <f>Gasto_o_ing_total!I290*1000/Gasto_o_ing_total!I$485</f>
        <v>0</v>
      </c>
      <c r="K290" s="332">
        <f>Gasto_o_ing_total!J290*1000/Gasto_o_ing_total!J$485</f>
        <v>0</v>
      </c>
      <c r="L290" s="332">
        <f>Gasto_o_ing_total!K290*1000/Gasto_o_ing_total!K$485</f>
        <v>0</v>
      </c>
      <c r="M290" s="332">
        <f>Gasto_o_ing_total!L290*1000/Gasto_o_ing_total!L$485</f>
        <v>0</v>
      </c>
      <c r="N290" s="332">
        <f>Gasto_o_ing_total!M290*1000/Gasto_o_ing_total!M$485</f>
        <v>0</v>
      </c>
      <c r="O290" s="332">
        <f>Gasto_o_ing_total!N290*1000/Gasto_o_ing_total!N$485</f>
        <v>0</v>
      </c>
      <c r="P290" s="332">
        <f>Gasto_o_ing_total!O290*1000/Gasto_o_ing_total!O$485</f>
        <v>0</v>
      </c>
      <c r="Q290" s="332">
        <f>Gasto_o_ing_total!P290*1000/Gasto_o_ing_total!P$485</f>
        <v>0</v>
      </c>
      <c r="R290" s="332">
        <f>Gasto_o_ing_total!Q290*1000/Gasto_o_ing_total!Q$485</f>
        <v>0</v>
      </c>
      <c r="S290" s="332">
        <f>Gasto_o_ing_total!R290*1000/Gasto_o_ing_total!R$485</f>
        <v>0</v>
      </c>
      <c r="T290" s="332">
        <f>Gasto_o_ing_total!S290*1000/Gasto_o_ing_total!S$485</f>
        <v>0</v>
      </c>
      <c r="U290" s="332">
        <f>Gasto_o_ing_total!T290*1000/Gasto_o_ing_total!T$485</f>
        <v>0</v>
      </c>
      <c r="V290" s="332">
        <f>Gasto_o_ing_total!U290*1000/Gasto_o_ing_total!U$485</f>
        <v>0</v>
      </c>
      <c r="W290" s="2"/>
    </row>
    <row r="291" spans="1:23">
      <c r="A291" s="351" t="str">
        <f>IF(B291="","",(IF(ISERROR(MATCH(B291,Tot_res!C:C,0)),"Eliminar!!!","")))</f>
        <v/>
      </c>
      <c r="B291" s="115" t="s">
        <v>296</v>
      </c>
      <c r="C291" s="329" t="str">
        <f>VLOOKUP(B291,Tot_res!C:D,2,FALSE)</f>
        <v>Ayudas de la UE gestionadas por las comunidades autónomas, excepto FEOGA Garantía</v>
      </c>
      <c r="D291" s="332">
        <f>Gasto_o_ing_total!V291*1000/Gasto_o_ing_total!V$485</f>
        <v>25.525994814559116</v>
      </c>
      <c r="E291" s="332">
        <f>Gasto_o_ing_total!D291*1000/Gasto_o_ing_total!D$485</f>
        <v>13.016941179957694</v>
      </c>
      <c r="F291" s="332">
        <f>Gasto_o_ing_total!E291*1000/Gasto_o_ing_total!E$485</f>
        <v>4.6806646862628867</v>
      </c>
      <c r="G291" s="332">
        <f>Gasto_o_ing_total!F291*1000/Gasto_o_ing_total!F$485</f>
        <v>23.639481700059385</v>
      </c>
      <c r="H291" s="332">
        <f>Gasto_o_ing_total!G291*1000/Gasto_o_ing_total!G$485</f>
        <v>0.23466746319275025</v>
      </c>
      <c r="I291" s="332">
        <f>Gasto_o_ing_total!H291*1000/Gasto_o_ing_total!H$485</f>
        <v>38.362652342227506</v>
      </c>
      <c r="J291" s="332">
        <f>Gasto_o_ing_total!I291*1000/Gasto_o_ing_total!I$485</f>
        <v>23.191429851725331</v>
      </c>
      <c r="K291" s="332">
        <f>Gasto_o_ing_total!J291*1000/Gasto_o_ing_total!J$485</f>
        <v>25.485713626485449</v>
      </c>
      <c r="L291" s="332">
        <f>Gasto_o_ing_total!K291*1000/Gasto_o_ing_total!K$485</f>
        <v>78.823276763847005</v>
      </c>
      <c r="M291" s="332">
        <f>Gasto_o_ing_total!L291*1000/Gasto_o_ing_total!L$485</f>
        <v>14.527550780065413</v>
      </c>
      <c r="N291" s="332">
        <f>Gasto_o_ing_total!M291*1000/Gasto_o_ing_total!M$485</f>
        <v>13.985737376262238</v>
      </c>
      <c r="O291" s="332">
        <f>Gasto_o_ing_total!N291*1000/Gasto_o_ing_total!N$485</f>
        <v>55.886959809434273</v>
      </c>
      <c r="P291" s="332">
        <f>Gasto_o_ing_total!O291*1000/Gasto_o_ing_total!O$485</f>
        <v>95.172835884125647</v>
      </c>
      <c r="Q291" s="332">
        <f>Gasto_o_ing_total!P291*1000/Gasto_o_ing_total!P$485</f>
        <v>3.4759370484405299</v>
      </c>
      <c r="R291" s="332">
        <f>Gasto_o_ing_total!Q291*1000/Gasto_o_ing_total!Q$485</f>
        <v>52.690705434636662</v>
      </c>
      <c r="S291" s="332">
        <f>Gasto_o_ing_total!R291*1000/Gasto_o_ing_total!R$485</f>
        <v>6.3056149152478831</v>
      </c>
      <c r="T291" s="332">
        <f>Gasto_o_ing_total!S291*1000/Gasto_o_ing_total!S$485</f>
        <v>35.313632732041754</v>
      </c>
      <c r="U291" s="332">
        <f>Gasto_o_ing_total!T291*1000/Gasto_o_ing_total!T$485</f>
        <v>7.4399786182012555</v>
      </c>
      <c r="V291" s="332">
        <f>Gasto_o_ing_total!U291*1000/Gasto_o_ing_total!U$485</f>
        <v>271.76798693854454</v>
      </c>
      <c r="W291" s="2"/>
    </row>
    <row r="292" spans="1:23">
      <c r="A292" s="352"/>
      <c r="C292" s="11"/>
      <c r="D292" s="19"/>
      <c r="E292" s="19"/>
      <c r="F292" s="19"/>
      <c r="G292" s="19"/>
      <c r="H292" s="19"/>
      <c r="I292" s="19"/>
      <c r="J292" s="19"/>
      <c r="K292" s="19"/>
      <c r="L292" s="19"/>
      <c r="M292" s="19"/>
      <c r="N292" s="19"/>
      <c r="O292" s="19"/>
      <c r="P292" s="19"/>
      <c r="Q292" s="19"/>
      <c r="R292" s="19"/>
      <c r="S292" s="19"/>
      <c r="T292" s="19"/>
      <c r="U292" s="19"/>
      <c r="V292" s="19"/>
      <c r="W292" s="2"/>
    </row>
    <row r="293" spans="1:23" ht="13.5">
      <c r="A293" s="352"/>
      <c r="C293" s="112" t="s">
        <v>22</v>
      </c>
      <c r="D293" s="113">
        <f>Gasto_o_ing_total!V293*1000/Gasto_o_ing_total!V$485</f>
        <v>414.43087056714973</v>
      </c>
      <c r="E293" s="113">
        <f>Gasto_o_ing_total!D293*1000/Gasto_o_ing_total!D$485</f>
        <v>387.04698109042874</v>
      </c>
      <c r="F293" s="113">
        <f>Gasto_o_ing_total!E293*1000/Gasto_o_ing_total!E$485</f>
        <v>461.68309826881068</v>
      </c>
      <c r="G293" s="113">
        <f>Gasto_o_ing_total!F293*1000/Gasto_o_ing_total!F$485</f>
        <v>402.08464021333242</v>
      </c>
      <c r="H293" s="113">
        <f>Gasto_o_ing_total!G293*1000/Gasto_o_ing_total!G$485</f>
        <v>397.34410080815155</v>
      </c>
      <c r="I293" s="113">
        <f>Gasto_o_ing_total!H293*1000/Gasto_o_ing_total!H$485</f>
        <v>382.00985689436703</v>
      </c>
      <c r="J293" s="113">
        <f>Gasto_o_ing_total!I293*1000/Gasto_o_ing_total!I$485</f>
        <v>401.81388815270117</v>
      </c>
      <c r="K293" s="113">
        <f>Gasto_o_ing_total!J293*1000/Gasto_o_ing_total!J$485</f>
        <v>454.16544664653946</v>
      </c>
      <c r="L293" s="113">
        <f>Gasto_o_ing_total!K293*1000/Gasto_o_ing_total!K$485</f>
        <v>367.32583083682164</v>
      </c>
      <c r="M293" s="113">
        <f>Gasto_o_ing_total!L293*1000/Gasto_o_ing_total!L$485</f>
        <v>442.76813423740907</v>
      </c>
      <c r="N293" s="113">
        <f>Gasto_o_ing_total!M293*1000/Gasto_o_ing_total!M$485</f>
        <v>353.60205709755797</v>
      </c>
      <c r="O293" s="113">
        <f>Gasto_o_ing_total!N293*1000/Gasto_o_ing_total!N$485</f>
        <v>397.69630790103758</v>
      </c>
      <c r="P293" s="113">
        <f>Gasto_o_ing_total!O293*1000/Gasto_o_ing_total!O$485</f>
        <v>405.30818611047175</v>
      </c>
      <c r="Q293" s="113">
        <f>Gasto_o_ing_total!P293*1000/Gasto_o_ing_total!P$485</f>
        <v>432.31767700004309</v>
      </c>
      <c r="R293" s="113">
        <f>Gasto_o_ing_total!Q293*1000/Gasto_o_ing_total!Q$485</f>
        <v>367.90726512132204</v>
      </c>
      <c r="S293" s="113">
        <f>Gasto_o_ing_total!R293*1000/Gasto_o_ing_total!R$485</f>
        <v>472.31955519976174</v>
      </c>
      <c r="T293" s="113">
        <f>Gasto_o_ing_total!S293*1000/Gasto_o_ing_total!S$485</f>
        <v>511.64762117135774</v>
      </c>
      <c r="U293" s="113">
        <f>Gasto_o_ing_total!T293*1000/Gasto_o_ing_total!T$485</f>
        <v>519.21806033504276</v>
      </c>
      <c r="V293" s="113">
        <f>Gasto_o_ing_total!U293*1000/Gasto_o_ing_total!U$485</f>
        <v>872.52193699985116</v>
      </c>
      <c r="W293" s="2"/>
    </row>
    <row r="294" spans="1:23">
      <c r="A294" s="352"/>
      <c r="C294" s="102"/>
      <c r="D294" s="110"/>
      <c r="E294" s="110"/>
      <c r="F294" s="110"/>
      <c r="G294" s="110"/>
      <c r="H294" s="110"/>
      <c r="I294" s="110"/>
      <c r="J294" s="110"/>
      <c r="K294" s="110"/>
      <c r="L294" s="110"/>
      <c r="M294" s="110"/>
      <c r="N294" s="110"/>
      <c r="O294" s="110"/>
      <c r="P294" s="110"/>
      <c r="Q294" s="110"/>
      <c r="R294" s="110"/>
      <c r="S294" s="110"/>
      <c r="T294" s="110"/>
      <c r="U294" s="110"/>
      <c r="V294" s="110"/>
      <c r="W294" s="2"/>
    </row>
    <row r="295" spans="1:23" ht="13.5">
      <c r="A295" s="352"/>
      <c r="C295" s="117" t="s">
        <v>28</v>
      </c>
      <c r="D295" s="113">
        <f>Gasto_o_ing_total!V295*1000/Gasto_o_ing_total!V$485</f>
        <v>77.803340401471928</v>
      </c>
      <c r="E295" s="113">
        <f>Gasto_o_ing_total!D295*1000/Gasto_o_ing_total!D$485</f>
        <v>82.563746635226735</v>
      </c>
      <c r="F295" s="113">
        <f>Gasto_o_ing_total!E295*1000/Gasto_o_ing_total!E$485</f>
        <v>97.487430531281291</v>
      </c>
      <c r="G295" s="113">
        <f>Gasto_o_ing_total!F295*1000/Gasto_o_ing_total!F$485</f>
        <v>72.359358220186181</v>
      </c>
      <c r="H295" s="113">
        <f>Gasto_o_ing_total!G295*1000/Gasto_o_ing_total!G$485</f>
        <v>64.933568159374687</v>
      </c>
      <c r="I295" s="113">
        <f>Gasto_o_ing_total!H295*1000/Gasto_o_ing_total!H$485</f>
        <v>72.875177422877229</v>
      </c>
      <c r="J295" s="113">
        <f>Gasto_o_ing_total!I295*1000/Gasto_o_ing_total!I$485</f>
        <v>86.888839210683031</v>
      </c>
      <c r="K295" s="113">
        <f>Gasto_o_ing_total!J295*1000/Gasto_o_ing_total!J$485</f>
        <v>88.390140333252575</v>
      </c>
      <c r="L295" s="113">
        <f>Gasto_o_ing_total!K295*1000/Gasto_o_ing_total!K$485</f>
        <v>72.32879576719067</v>
      </c>
      <c r="M295" s="113">
        <f>Gasto_o_ing_total!L295*1000/Gasto_o_ing_total!L$485</f>
        <v>60.433380968676545</v>
      </c>
      <c r="N295" s="113">
        <f>Gasto_o_ing_total!M295*1000/Gasto_o_ing_total!M$485</f>
        <v>69.924010651654811</v>
      </c>
      <c r="O295" s="113">
        <f>Gasto_o_ing_total!N295*1000/Gasto_o_ing_total!N$485</f>
        <v>86.999328942164453</v>
      </c>
      <c r="P295" s="113">
        <f>Gasto_o_ing_total!O295*1000/Gasto_o_ing_total!O$485</f>
        <v>104.3217168557391</v>
      </c>
      <c r="Q295" s="113">
        <f>Gasto_o_ing_total!P295*1000/Gasto_o_ing_total!P$485</f>
        <v>86.152690150138511</v>
      </c>
      <c r="R295" s="113">
        <f>Gasto_o_ing_total!Q295*1000/Gasto_o_ing_total!Q$485</f>
        <v>89.55283407270656</v>
      </c>
      <c r="S295" s="113">
        <f>Gasto_o_ing_total!R295*1000/Gasto_o_ing_total!R$485</f>
        <v>60.299669259534831</v>
      </c>
      <c r="T295" s="113">
        <f>Gasto_o_ing_total!S295*1000/Gasto_o_ing_total!S$485</f>
        <v>56.891033064094977</v>
      </c>
      <c r="U295" s="113">
        <f>Gasto_o_ing_total!T295*1000/Gasto_o_ing_total!T$485</f>
        <v>81.126306188348494</v>
      </c>
      <c r="V295" s="113">
        <f>Gasto_o_ing_total!U295*1000/Gasto_o_ing_total!U$485</f>
        <v>172.06585039188721</v>
      </c>
    </row>
    <row r="296" spans="1:23">
      <c r="A296" s="351" t="str">
        <f>IF(B296="","",(IF(ISERROR(MATCH(B296,Tot_res!C:C,0)),"Eliminar!!!","")))</f>
        <v/>
      </c>
      <c r="B296" s="115" t="s">
        <v>297</v>
      </c>
      <c r="C296" s="329" t="str">
        <f>VLOOKUP(B296,Tot_res!C:D,2,FALSE)</f>
        <v>Plan nacional sobre drogas + AF 11/1</v>
      </c>
      <c r="D296" s="332">
        <f>Gasto_o_ing_total!V296*1000/Gasto_o_ing_total!V$485</f>
        <v>0.71889804450137973</v>
      </c>
      <c r="E296" s="332">
        <f>Gasto_o_ing_total!D296*1000/Gasto_o_ing_total!D$485</f>
        <v>0.65368076238651984</v>
      </c>
      <c r="F296" s="332">
        <f>Gasto_o_ing_total!E296*1000/Gasto_o_ing_total!E$485</f>
        <v>0.73643996013363167</v>
      </c>
      <c r="G296" s="332">
        <f>Gasto_o_ing_total!F296*1000/Gasto_o_ing_total!F$485</f>
        <v>0.99143815498639887</v>
      </c>
      <c r="H296" s="332">
        <f>Gasto_o_ing_total!G296*1000/Gasto_o_ing_total!G$485</f>
        <v>0.7792538522239244</v>
      </c>
      <c r="I296" s="332">
        <f>Gasto_o_ing_total!H296*1000/Gasto_o_ing_total!H$485</f>
        <v>0.64521601284040386</v>
      </c>
      <c r="J296" s="332">
        <f>Gasto_o_ing_total!I296*1000/Gasto_o_ing_total!I$485</f>
        <v>1.222776663108033</v>
      </c>
      <c r="K296" s="332">
        <f>Gasto_o_ing_total!J296*1000/Gasto_o_ing_total!J$485</f>
        <v>1.0618257476957373</v>
      </c>
      <c r="L296" s="332">
        <f>Gasto_o_ing_total!K296*1000/Gasto_o_ing_total!K$485</f>
        <v>0.78289056331327611</v>
      </c>
      <c r="M296" s="332">
        <f>Gasto_o_ing_total!L296*1000/Gasto_o_ing_total!L$485</f>
        <v>0.65714161912132951</v>
      </c>
      <c r="N296" s="332">
        <f>Gasto_o_ing_total!M296*1000/Gasto_o_ing_total!M$485</f>
        <v>0.52593954578088287</v>
      </c>
      <c r="O296" s="332">
        <f>Gasto_o_ing_total!N296*1000/Gasto_o_ing_total!N$485</f>
        <v>0.99846423287993169</v>
      </c>
      <c r="P296" s="332">
        <f>Gasto_o_ing_total!O296*1000/Gasto_o_ing_total!O$485</f>
        <v>0.75848564334718671</v>
      </c>
      <c r="Q296" s="332">
        <f>Gasto_o_ing_total!P296*1000/Gasto_o_ing_total!P$485</f>
        <v>0.69895595615583839</v>
      </c>
      <c r="R296" s="332">
        <f>Gasto_o_ing_total!Q296*1000/Gasto_o_ing_total!Q$485</f>
        <v>0.64070461956723024</v>
      </c>
      <c r="S296" s="332">
        <f>Gasto_o_ing_total!R296*1000/Gasto_o_ing_total!R$485</f>
        <v>0.71889804450137973</v>
      </c>
      <c r="T296" s="332">
        <f>Gasto_o_ing_total!S296*1000/Gasto_o_ing_total!S$485</f>
        <v>0.71889804450137973</v>
      </c>
      <c r="U296" s="332">
        <f>Gasto_o_ing_total!T296*1000/Gasto_o_ing_total!T$485</f>
        <v>0.88641801787113539</v>
      </c>
      <c r="V296" s="332">
        <f>Gasto_o_ing_total!U296*1000/Gasto_o_ing_total!U$485</f>
        <v>2.1787394228538655</v>
      </c>
      <c r="W296" s="4"/>
    </row>
    <row r="297" spans="1:23">
      <c r="A297" s="351" t="str">
        <f>IF(B297="","",(IF(ISERROR(MATCH(B297,Tot_res!C:C,0)),"Eliminar!!!","")))</f>
        <v/>
      </c>
      <c r="B297" s="115" t="s">
        <v>298</v>
      </c>
      <c r="C297" s="329" t="str">
        <f>VLOOKUP(B297,Tot_res!C:D,2,FALSE)</f>
        <v>Direc. y serv. grales. de sanidad, serv. soc. e igualdad</v>
      </c>
      <c r="D297" s="332">
        <f>Gasto_o_ing_total!V297*1000/Gasto_o_ing_total!V$485</f>
        <v>0.94927612520329219</v>
      </c>
      <c r="E297" s="332">
        <f>Gasto_o_ing_total!D297*1000/Gasto_o_ing_total!D$485</f>
        <v>0.90661547715011859</v>
      </c>
      <c r="F297" s="332">
        <f>Gasto_o_ing_total!E297*1000/Gasto_o_ing_total!E$485</f>
        <v>1.0019057710167349</v>
      </c>
      <c r="G297" s="332">
        <f>Gasto_o_ing_total!F297*1000/Gasto_o_ing_total!F$485</f>
        <v>1.0663873952160912</v>
      </c>
      <c r="H297" s="332">
        <f>Gasto_o_ing_total!G297*1000/Gasto_o_ing_total!G$485</f>
        <v>0.88673610413867665</v>
      </c>
      <c r="I297" s="332">
        <f>Gasto_o_ing_total!H297*1000/Gasto_o_ing_total!H$485</f>
        <v>0.88380436350528957</v>
      </c>
      <c r="J297" s="332">
        <f>Gasto_o_ing_total!I297*1000/Gasto_o_ing_total!I$485</f>
        <v>0.99444639019850556</v>
      </c>
      <c r="K297" s="332">
        <f>Gasto_o_ing_total!J297*1000/Gasto_o_ing_total!J$485</f>
        <v>1.0621256685800617</v>
      </c>
      <c r="L297" s="332">
        <f>Gasto_o_ing_total!K297*1000/Gasto_o_ing_total!K$485</f>
        <v>0.94678662703365857</v>
      </c>
      <c r="M297" s="332">
        <f>Gasto_o_ing_total!L297*1000/Gasto_o_ing_total!L$485</f>
        <v>0.94303568858922293</v>
      </c>
      <c r="N297" s="332">
        <f>Gasto_o_ing_total!M297*1000/Gasto_o_ing_total!M$485</f>
        <v>0.94609622653803316</v>
      </c>
      <c r="O297" s="332">
        <f>Gasto_o_ing_total!N297*1000/Gasto_o_ing_total!N$485</f>
        <v>0.97834029080238349</v>
      </c>
      <c r="P297" s="332">
        <f>Gasto_o_ing_total!O297*1000/Gasto_o_ing_total!O$485</f>
        <v>1.0523359133705443</v>
      </c>
      <c r="Q297" s="332">
        <f>Gasto_o_ing_total!P297*1000/Gasto_o_ing_total!P$485</f>
        <v>0.91786647216015016</v>
      </c>
      <c r="R297" s="332">
        <f>Gasto_o_ing_total!Q297*1000/Gasto_o_ing_total!Q$485</f>
        <v>0.88144144186517592</v>
      </c>
      <c r="S297" s="332">
        <f>Gasto_o_ing_total!R297*1000/Gasto_o_ing_total!R$485</f>
        <v>0.96104694110892441</v>
      </c>
      <c r="T297" s="332">
        <f>Gasto_o_ing_total!S297*1000/Gasto_o_ing_total!S$485</f>
        <v>1.0076853551961678</v>
      </c>
      <c r="U297" s="332">
        <f>Gasto_o_ing_total!T297*1000/Gasto_o_ing_total!T$485</f>
        <v>0.97913846239640401</v>
      </c>
      <c r="V297" s="332">
        <f>Gasto_o_ing_total!U297*1000/Gasto_o_ing_total!U$485</f>
        <v>0.80614522010166123</v>
      </c>
      <c r="W297" s="2"/>
    </row>
    <row r="298" spans="1:23">
      <c r="A298" s="351" t="str">
        <f>IF(B298="","",(IF(ISERROR(MATCH(B298,Tot_res!C:C,0)),"Eliminar!!!","")))</f>
        <v/>
      </c>
      <c r="B298" s="115" t="s">
        <v>299</v>
      </c>
      <c r="C298" s="329" t="str">
        <f>VLOOKUP(B298,Tot_res!C:D,2,FALSE)</f>
        <v>Políticas de salud y ordenación profesional</v>
      </c>
      <c r="D298" s="332">
        <f>Gasto_o_ing_total!V298*1000/Gasto_o_ing_total!V$485</f>
        <v>0.35750998661898042</v>
      </c>
      <c r="E298" s="332">
        <f>Gasto_o_ing_total!D298*1000/Gasto_o_ing_total!D$485</f>
        <v>0.30514297292180942</v>
      </c>
      <c r="F298" s="332">
        <f>Gasto_o_ing_total!E298*1000/Gasto_o_ing_total!E$485</f>
        <v>0.35617628599732237</v>
      </c>
      <c r="G298" s="332">
        <f>Gasto_o_ing_total!F298*1000/Gasto_o_ing_total!F$485</f>
        <v>0.38442742317210454</v>
      </c>
      <c r="H298" s="332">
        <f>Gasto_o_ing_total!G298*1000/Gasto_o_ing_total!G$485</f>
        <v>0.30651789054418987</v>
      </c>
      <c r="I298" s="332">
        <f>Gasto_o_ing_total!H298*1000/Gasto_o_ing_total!H$485</f>
        <v>0.29307383627780131</v>
      </c>
      <c r="J298" s="332">
        <f>Gasto_o_ing_total!I298*1000/Gasto_o_ing_total!I$485</f>
        <v>0.35070701507207697</v>
      </c>
      <c r="K298" s="332">
        <f>Gasto_o_ing_total!J298*1000/Gasto_o_ing_total!J$485</f>
        <v>0.37124934885204419</v>
      </c>
      <c r="L298" s="332">
        <f>Gasto_o_ing_total!K298*1000/Gasto_o_ing_total!K$485</f>
        <v>0.32960267702456819</v>
      </c>
      <c r="M298" s="332">
        <f>Gasto_o_ing_total!L298*1000/Gasto_o_ing_total!L$485</f>
        <v>0.51186823291167061</v>
      </c>
      <c r="N298" s="332">
        <f>Gasto_o_ing_total!M298*1000/Gasto_o_ing_total!M$485</f>
        <v>0.31631926645077552</v>
      </c>
      <c r="O298" s="332">
        <f>Gasto_o_ing_total!N298*1000/Gasto_o_ing_total!N$485</f>
        <v>0.34555556465817838</v>
      </c>
      <c r="P298" s="332">
        <f>Gasto_o_ing_total!O298*1000/Gasto_o_ing_total!O$485</f>
        <v>0.37055299404977976</v>
      </c>
      <c r="Q298" s="332">
        <f>Gasto_o_ing_total!P298*1000/Gasto_o_ing_total!P$485</f>
        <v>0.3211176447794733</v>
      </c>
      <c r="R298" s="332">
        <f>Gasto_o_ing_total!Q298*1000/Gasto_o_ing_total!Q$485</f>
        <v>0.30251913616086051</v>
      </c>
      <c r="S298" s="332">
        <f>Gasto_o_ing_total!R298*1000/Gasto_o_ing_total!R$485</f>
        <v>0.33012933188427179</v>
      </c>
      <c r="T298" s="332">
        <f>Gasto_o_ing_total!S298*1000/Gasto_o_ing_total!S$485</f>
        <v>0.36217228337989205</v>
      </c>
      <c r="U298" s="332">
        <f>Gasto_o_ing_total!T298*1000/Gasto_o_ing_total!T$485</f>
        <v>0.34837451619539822</v>
      </c>
      <c r="V298" s="332">
        <f>Gasto_o_ing_total!U298*1000/Gasto_o_ing_total!U$485</f>
        <v>0.24765007993597651</v>
      </c>
      <c r="W298" s="2"/>
    </row>
    <row r="299" spans="1:23">
      <c r="A299" s="351" t="str">
        <f>IF(B299="","",(IF(ISERROR(MATCH(B299,Tot_res!C:C,0)),"Eliminar!!!","")))</f>
        <v/>
      </c>
      <c r="B299" s="115" t="s">
        <v>300</v>
      </c>
      <c r="C299" s="329" t="str">
        <f>VLOOKUP(B299,Tot_res!C:D,2,FALSE)</f>
        <v>Asistencia sanitaria del mutualismo administrativo</v>
      </c>
      <c r="D299" s="332">
        <f>Gasto_o_ing_total!V299*1000/Gasto_o_ing_total!V$485</f>
        <v>43.535700465427105</v>
      </c>
      <c r="E299" s="332">
        <f>Gasto_o_ing_total!D299*1000/Gasto_o_ing_total!D$485</f>
        <v>56.600113660228054</v>
      </c>
      <c r="F299" s="332">
        <f>Gasto_o_ing_total!E299*1000/Gasto_o_ing_total!E$485</f>
        <v>53.752167741021843</v>
      </c>
      <c r="G299" s="332">
        <f>Gasto_o_ing_total!F299*1000/Gasto_o_ing_total!F$485</f>
        <v>35.622862622952404</v>
      </c>
      <c r="H299" s="332">
        <f>Gasto_o_ing_total!G299*1000/Gasto_o_ing_total!G$485</f>
        <v>29.661657483687925</v>
      </c>
      <c r="I299" s="332">
        <f>Gasto_o_ing_total!H299*1000/Gasto_o_ing_total!H$485</f>
        <v>39.082134036485385</v>
      </c>
      <c r="J299" s="332">
        <f>Gasto_o_ing_total!I299*1000/Gasto_o_ing_total!I$485</f>
        <v>40.332750401692316</v>
      </c>
      <c r="K299" s="332">
        <f>Gasto_o_ing_total!J299*1000/Gasto_o_ing_total!J$485</f>
        <v>62.218719266799468</v>
      </c>
      <c r="L299" s="332">
        <f>Gasto_o_ing_total!K299*1000/Gasto_o_ing_total!K$485</f>
        <v>45.867017009793365</v>
      </c>
      <c r="M299" s="332">
        <f>Gasto_o_ing_total!L299*1000/Gasto_o_ing_total!L$485</f>
        <v>20.676598203673862</v>
      </c>
      <c r="N299" s="332">
        <f>Gasto_o_ing_total!M299*1000/Gasto_o_ing_total!M$485</f>
        <v>36.16971895996712</v>
      </c>
      <c r="O299" s="332">
        <f>Gasto_o_ing_total!N299*1000/Gasto_o_ing_total!N$485</f>
        <v>65.970878368285355</v>
      </c>
      <c r="P299" s="332">
        <f>Gasto_o_ing_total!O299*1000/Gasto_o_ing_total!O$485</f>
        <v>50.328571621876122</v>
      </c>
      <c r="Q299" s="332">
        <f>Gasto_o_ing_total!P299*1000/Gasto_o_ing_total!P$485</f>
        <v>52.350060400015266</v>
      </c>
      <c r="R299" s="332">
        <f>Gasto_o_ing_total!Q299*1000/Gasto_o_ing_total!Q$485</f>
        <v>61.003027815931389</v>
      </c>
      <c r="S299" s="332">
        <f>Gasto_o_ing_total!R299*1000/Gasto_o_ing_total!R$485</f>
        <v>23.401582858537903</v>
      </c>
      <c r="T299" s="332">
        <f>Gasto_o_ing_total!S299*1000/Gasto_o_ing_total!S$485</f>
        <v>15.685931404133287</v>
      </c>
      <c r="U299" s="332">
        <f>Gasto_o_ing_total!T299*1000/Gasto_o_ing_total!T$485</f>
        <v>40.697235801567984</v>
      </c>
      <c r="V299" s="332">
        <f>Gasto_o_ing_total!U299*1000/Gasto_o_ing_total!U$485</f>
        <v>150.16591949503692</v>
      </c>
      <c r="W299" s="2"/>
    </row>
    <row r="300" spans="1:23">
      <c r="A300" s="351" t="str">
        <f>IF(B300="","",(IF(ISERROR(MATCH(B300,Tot_res!C:C,0)),"Eliminar!!!","")))</f>
        <v/>
      </c>
      <c r="B300" s="115" t="s">
        <v>302</v>
      </c>
      <c r="C300" s="329" t="str">
        <f>VLOOKUP(B300,Tot_res!C:D,2,FALSE)</f>
        <v>Prestaciones y farmacia</v>
      </c>
      <c r="D300" s="332">
        <f>Gasto_o_ing_total!V300*1000/Gasto_o_ing_total!V$485</f>
        <v>1.5094751983450032</v>
      </c>
      <c r="E300" s="332">
        <f>Gasto_o_ing_total!D300*1000/Gasto_o_ing_total!D$485</f>
        <v>1.4256181053984838</v>
      </c>
      <c r="F300" s="332">
        <f>Gasto_o_ing_total!E300*1000/Gasto_o_ing_total!E$485</f>
        <v>1.6565161805605808</v>
      </c>
      <c r="G300" s="332">
        <f>Gasto_o_ing_total!F300*1000/Gasto_o_ing_total!F$485</f>
        <v>1.6464990918986158</v>
      </c>
      <c r="H300" s="332">
        <f>Gasto_o_ing_total!G300*1000/Gasto_o_ing_total!G$485</f>
        <v>1.469993198877338</v>
      </c>
      <c r="I300" s="332">
        <f>Gasto_o_ing_total!H300*1000/Gasto_o_ing_total!H$485</f>
        <v>1.4325159421856246</v>
      </c>
      <c r="J300" s="332">
        <f>Gasto_o_ing_total!I300*1000/Gasto_o_ing_total!I$485</f>
        <v>1.5924183481040597</v>
      </c>
      <c r="K300" s="332">
        <f>Gasto_o_ing_total!J300*1000/Gasto_o_ing_total!J$485</f>
        <v>1.6780461472845187</v>
      </c>
      <c r="L300" s="332">
        <f>Gasto_o_ing_total!K300*1000/Gasto_o_ing_total!K$485</f>
        <v>1.6146483765503949</v>
      </c>
      <c r="M300" s="332">
        <f>Gasto_o_ing_total!L300*1000/Gasto_o_ing_total!L$485</f>
        <v>1.4731532282686495</v>
      </c>
      <c r="N300" s="332">
        <f>Gasto_o_ing_total!M300*1000/Gasto_o_ing_total!M$485</f>
        <v>1.4967679408982779</v>
      </c>
      <c r="O300" s="332">
        <f>Gasto_o_ing_total!N300*1000/Gasto_o_ing_total!N$485</f>
        <v>1.6041250854199129</v>
      </c>
      <c r="P300" s="332">
        <f>Gasto_o_ing_total!O300*1000/Gasto_o_ing_total!O$485</f>
        <v>1.5890491369271875</v>
      </c>
      <c r="Q300" s="332">
        <f>Gasto_o_ing_total!P300*1000/Gasto_o_ing_total!P$485</f>
        <v>1.4838182677648535</v>
      </c>
      <c r="R300" s="332">
        <f>Gasto_o_ing_total!Q300*1000/Gasto_o_ing_total!Q$485</f>
        <v>1.4397328728040246</v>
      </c>
      <c r="S300" s="332">
        <f>Gasto_o_ing_total!R300*1000/Gasto_o_ing_total!R$485</f>
        <v>1.5674511898511432</v>
      </c>
      <c r="T300" s="332">
        <f>Gasto_o_ing_total!S300*1000/Gasto_o_ing_total!S$485</f>
        <v>1.5676977189309138</v>
      </c>
      <c r="U300" s="332">
        <f>Gasto_o_ing_total!T300*1000/Gasto_o_ing_total!T$485</f>
        <v>1.6884040421519746</v>
      </c>
      <c r="V300" s="332">
        <f>Gasto_o_ing_total!U300*1000/Gasto_o_ing_total!U$485</f>
        <v>1.1944455981651956</v>
      </c>
      <c r="W300" s="2"/>
    </row>
    <row r="301" spans="1:23">
      <c r="A301" s="351" t="str">
        <f>IF(B301="","",(IF(ISERROR(MATCH(B301,Tot_res!C:C,0)),"Eliminar!!!","")))</f>
        <v/>
      </c>
      <c r="B301" s="115" t="s">
        <v>303</v>
      </c>
      <c r="C301" s="329" t="str">
        <f>VLOOKUP(B301,Tot_res!C:D,2,FALSE)</f>
        <v>Salud pública, sanidad exterior y calidad + AF11/2</v>
      </c>
      <c r="D301" s="332">
        <f>Gasto_o_ing_total!V301*1000/Gasto_o_ing_total!V$485</f>
        <v>0.40343262947280245</v>
      </c>
      <c r="E301" s="332">
        <f>Gasto_o_ing_total!D301*1000/Gasto_o_ing_total!D$485</f>
        <v>0.3859105560363072</v>
      </c>
      <c r="F301" s="332">
        <f>Gasto_o_ing_total!E301*1000/Gasto_o_ing_total!E$485</f>
        <v>0.41536628674333509</v>
      </c>
      <c r="G301" s="332">
        <f>Gasto_o_ing_total!F301*1000/Gasto_o_ing_total!F$485</f>
        <v>0.41431642646892619</v>
      </c>
      <c r="H301" s="332">
        <f>Gasto_o_ing_total!G301*1000/Gasto_o_ing_total!G$485</f>
        <v>0.41263163990356866</v>
      </c>
      <c r="I301" s="332">
        <f>Gasto_o_ing_total!H301*1000/Gasto_o_ing_total!H$485</f>
        <v>0.39574705881206768</v>
      </c>
      <c r="J301" s="332">
        <f>Gasto_o_ing_total!I301*1000/Gasto_o_ing_total!I$485</f>
        <v>0.50533649775978962</v>
      </c>
      <c r="K301" s="332">
        <f>Gasto_o_ing_total!J301*1000/Gasto_o_ing_total!J$485</f>
        <v>0.39302995665484342</v>
      </c>
      <c r="L301" s="332">
        <f>Gasto_o_ing_total!K301*1000/Gasto_o_ing_total!K$485</f>
        <v>0.39621661179240464</v>
      </c>
      <c r="M301" s="332">
        <f>Gasto_o_ing_total!L301*1000/Gasto_o_ing_total!L$485</f>
        <v>0.40343320827367996</v>
      </c>
      <c r="N301" s="332">
        <f>Gasto_o_ing_total!M301*1000/Gasto_o_ing_total!M$485</f>
        <v>0.39934354041181463</v>
      </c>
      <c r="O301" s="332">
        <f>Gasto_o_ing_total!N301*1000/Gasto_o_ing_total!N$485</f>
        <v>0.41288033088006726</v>
      </c>
      <c r="P301" s="332">
        <f>Gasto_o_ing_total!O301*1000/Gasto_o_ing_total!O$485</f>
        <v>0.39581067457559971</v>
      </c>
      <c r="Q301" s="332">
        <f>Gasto_o_ing_total!P301*1000/Gasto_o_ing_total!P$485</f>
        <v>0.41732009725390157</v>
      </c>
      <c r="R301" s="332">
        <f>Gasto_o_ing_total!Q301*1000/Gasto_o_ing_total!Q$485</f>
        <v>0.42079089782916745</v>
      </c>
      <c r="S301" s="332">
        <f>Gasto_o_ing_total!R301*1000/Gasto_o_ing_total!R$485</f>
        <v>0.40343262947280251</v>
      </c>
      <c r="T301" s="332">
        <f>Gasto_o_ing_total!S301*1000/Gasto_o_ing_total!S$485</f>
        <v>0.40343262947280251</v>
      </c>
      <c r="U301" s="332">
        <f>Gasto_o_ing_total!T301*1000/Gasto_o_ing_total!T$485</f>
        <v>0.50067874586065786</v>
      </c>
      <c r="V301" s="332">
        <f>Gasto_o_ing_total!U301*1000/Gasto_o_ing_total!U$485</f>
        <v>0.35580800355063763</v>
      </c>
      <c r="W301" s="2"/>
    </row>
    <row r="302" spans="1:23">
      <c r="A302" s="351" t="str">
        <f>IF(B302="","",(IF(ISERROR(MATCH(B302,Tot_res!C:C,0)),"Eliminar!!!","")))</f>
        <v/>
      </c>
      <c r="B302" s="115" t="s">
        <v>304</v>
      </c>
      <c r="C302" s="329" t="str">
        <f>VLOOKUP(B302,Tot_res!C:D,2,FALSE)</f>
        <v>Seguridad alimentaria y nutrición</v>
      </c>
      <c r="D302" s="332">
        <f>Gasto_o_ing_total!V302*1000/Gasto_o_ing_total!V$485</f>
        <v>0.33500672188168618</v>
      </c>
      <c r="E302" s="332">
        <f>Gasto_o_ing_total!D302*1000/Gasto_o_ing_total!D$485</f>
        <v>0.33500672188168618</v>
      </c>
      <c r="F302" s="332">
        <f>Gasto_o_ing_total!E302*1000/Gasto_o_ing_total!E$485</f>
        <v>0.33500672188168618</v>
      </c>
      <c r="G302" s="332">
        <f>Gasto_o_ing_total!F302*1000/Gasto_o_ing_total!F$485</f>
        <v>0.33500672188168618</v>
      </c>
      <c r="H302" s="332">
        <f>Gasto_o_ing_total!G302*1000/Gasto_o_ing_total!G$485</f>
        <v>0.33500672188168618</v>
      </c>
      <c r="I302" s="332">
        <f>Gasto_o_ing_total!H302*1000/Gasto_o_ing_total!H$485</f>
        <v>0.33500672188168612</v>
      </c>
      <c r="J302" s="332">
        <f>Gasto_o_ing_total!I302*1000/Gasto_o_ing_total!I$485</f>
        <v>0.33500672188168618</v>
      </c>
      <c r="K302" s="332">
        <f>Gasto_o_ing_total!J302*1000/Gasto_o_ing_total!J$485</f>
        <v>0.33500672188168618</v>
      </c>
      <c r="L302" s="332">
        <f>Gasto_o_ing_total!K302*1000/Gasto_o_ing_total!K$485</f>
        <v>0.33500672188168618</v>
      </c>
      <c r="M302" s="332">
        <f>Gasto_o_ing_total!L302*1000/Gasto_o_ing_total!L$485</f>
        <v>0.33500672188168618</v>
      </c>
      <c r="N302" s="332">
        <f>Gasto_o_ing_total!M302*1000/Gasto_o_ing_total!M$485</f>
        <v>0.33500672188168618</v>
      </c>
      <c r="O302" s="332">
        <f>Gasto_o_ing_total!N302*1000/Gasto_o_ing_total!N$485</f>
        <v>0.33500672188168618</v>
      </c>
      <c r="P302" s="332">
        <f>Gasto_o_ing_total!O302*1000/Gasto_o_ing_total!O$485</f>
        <v>0.33500672188168612</v>
      </c>
      <c r="Q302" s="332">
        <f>Gasto_o_ing_total!P302*1000/Gasto_o_ing_total!P$485</f>
        <v>0.33500672188168618</v>
      </c>
      <c r="R302" s="332">
        <f>Gasto_o_ing_total!Q302*1000/Gasto_o_ing_total!Q$485</f>
        <v>0.33500672188168618</v>
      </c>
      <c r="S302" s="332">
        <f>Gasto_o_ing_total!R302*1000/Gasto_o_ing_total!R$485</f>
        <v>0.33500672188168612</v>
      </c>
      <c r="T302" s="332">
        <f>Gasto_o_ing_total!S302*1000/Gasto_o_ing_total!S$485</f>
        <v>0.33500672188168618</v>
      </c>
      <c r="U302" s="332">
        <f>Gasto_o_ing_total!T302*1000/Gasto_o_ing_total!T$485</f>
        <v>0.33500672188168618</v>
      </c>
      <c r="V302" s="332">
        <f>Gasto_o_ing_total!U302*1000/Gasto_o_ing_total!U$485</f>
        <v>0.33500672188168618</v>
      </c>
      <c r="W302" s="2"/>
    </row>
    <row r="303" spans="1:23">
      <c r="A303" s="351" t="str">
        <f>IF(B303="","",(IF(ISERROR(MATCH(B303,Tot_res!C:C,0)),"Eliminar!!!","")))</f>
        <v/>
      </c>
      <c r="B303" s="115" t="s">
        <v>305</v>
      </c>
      <c r="C303" s="329" t="str">
        <f>VLOOKUP(B303,Tot_res!C:D,2,FALSE)</f>
        <v>Donación y trasplante de órganos, tejidos y células</v>
      </c>
      <c r="D303" s="332">
        <f>Gasto_o_ing_total!V303*1000/Gasto_o_ing_total!V$485</f>
        <v>7.8502576825707521E-2</v>
      </c>
      <c r="E303" s="332">
        <f>Gasto_o_ing_total!D303*1000/Gasto_o_ing_total!D$485</f>
        <v>7.4893626270314345E-2</v>
      </c>
      <c r="F303" s="332">
        <f>Gasto_o_ing_total!E303*1000/Gasto_o_ing_total!E$485</f>
        <v>8.2954871813158859E-2</v>
      </c>
      <c r="G303" s="332">
        <f>Gasto_o_ing_total!F303*1000/Gasto_o_ing_total!F$485</f>
        <v>8.8409805202282782E-2</v>
      </c>
      <c r="H303" s="332">
        <f>Gasto_o_ing_total!G303*1000/Gasto_o_ing_total!G$485</f>
        <v>7.3211896677714466E-2</v>
      </c>
      <c r="I303" s="332">
        <f>Gasto_o_ing_total!H303*1000/Gasto_o_ing_total!H$485</f>
        <v>7.2963881059809568E-2</v>
      </c>
      <c r="J303" s="332">
        <f>Gasto_o_ing_total!I303*1000/Gasto_o_ing_total!I$485</f>
        <v>8.2323832722677084E-2</v>
      </c>
      <c r="K303" s="332">
        <f>Gasto_o_ing_total!J303*1000/Gasto_o_ing_total!J$485</f>
        <v>8.8049277141601115E-2</v>
      </c>
      <c r="L303" s="332">
        <f>Gasto_o_ing_total!K303*1000/Gasto_o_ing_total!K$485</f>
        <v>7.8291973466125389E-2</v>
      </c>
      <c r="M303" s="332">
        <f>Gasto_o_ing_total!L303*1000/Gasto_o_ing_total!L$485</f>
        <v>7.7974656406960718E-2</v>
      </c>
      <c r="N303" s="332">
        <f>Gasto_o_ing_total!M303*1000/Gasto_o_ing_total!M$485</f>
        <v>7.823356785425975E-2</v>
      </c>
      <c r="O303" s="332">
        <f>Gasto_o_ing_total!N303*1000/Gasto_o_ing_total!N$485</f>
        <v>8.096130967125971E-2</v>
      </c>
      <c r="P303" s="332">
        <f>Gasto_o_ing_total!O303*1000/Gasto_o_ing_total!O$485</f>
        <v>8.7221096039979934E-2</v>
      </c>
      <c r="Q303" s="332">
        <f>Gasto_o_ing_total!P303*1000/Gasto_o_ing_total!P$485</f>
        <v>7.5845423454444547E-2</v>
      </c>
      <c r="R303" s="332">
        <f>Gasto_o_ing_total!Q303*1000/Gasto_o_ing_total!Q$485</f>
        <v>7.2763985658436156E-2</v>
      </c>
      <c r="S303" s="332">
        <f>Gasto_o_ing_total!R303*1000/Gasto_o_ing_total!R$485</f>
        <v>7.9498349148413777E-2</v>
      </c>
      <c r="T303" s="332">
        <f>Gasto_o_ing_total!S303*1000/Gasto_o_ing_total!S$485</f>
        <v>8.3443805631236503E-2</v>
      </c>
      <c r="U303" s="332">
        <f>Gasto_o_ing_total!T303*1000/Gasto_o_ing_total!T$485</f>
        <v>8.1028832363693945E-2</v>
      </c>
      <c r="V303" s="332">
        <f>Gasto_o_ing_total!U303*1000/Gasto_o_ing_total!U$485</f>
        <v>6.6394172874210802E-2</v>
      </c>
      <c r="W303" s="2"/>
    </row>
    <row r="304" spans="1:23">
      <c r="A304" s="351" t="str">
        <f>IF(B304="","",(IF(ISERROR(MATCH(B304,Tot_res!C:C,0)),"Eliminar!!!","")))</f>
        <v/>
      </c>
      <c r="B304" s="115" t="s">
        <v>306</v>
      </c>
      <c r="C304" s="329" t="str">
        <f>VLOOKUP(B304,Tot_res!C:D,2,FALSE)</f>
        <v>Protec. y promoc. de derechos de consum. y usuar.</v>
      </c>
      <c r="D304" s="332">
        <f>Gasto_o_ing_total!V304*1000/Gasto_o_ing_total!V$485</f>
        <v>0.33915240851018419</v>
      </c>
      <c r="E304" s="332">
        <f>Gasto_o_ing_total!D304*1000/Gasto_o_ing_total!D$485</f>
        <v>0.33915240851018413</v>
      </c>
      <c r="F304" s="332">
        <f>Gasto_o_ing_total!E304*1000/Gasto_o_ing_total!E$485</f>
        <v>0.33915240851018419</v>
      </c>
      <c r="G304" s="332">
        <f>Gasto_o_ing_total!F304*1000/Gasto_o_ing_total!F$485</f>
        <v>0.33915240851018419</v>
      </c>
      <c r="H304" s="332">
        <f>Gasto_o_ing_total!G304*1000/Gasto_o_ing_total!G$485</f>
        <v>0.33915240851018413</v>
      </c>
      <c r="I304" s="332">
        <f>Gasto_o_ing_total!H304*1000/Gasto_o_ing_total!H$485</f>
        <v>0.33915240851018413</v>
      </c>
      <c r="J304" s="332">
        <f>Gasto_o_ing_total!I304*1000/Gasto_o_ing_total!I$485</f>
        <v>0.33915240851018419</v>
      </c>
      <c r="K304" s="332">
        <f>Gasto_o_ing_total!J304*1000/Gasto_o_ing_total!J$485</f>
        <v>0.33915240851018419</v>
      </c>
      <c r="L304" s="332">
        <f>Gasto_o_ing_total!K304*1000/Gasto_o_ing_total!K$485</f>
        <v>0.33915240851018419</v>
      </c>
      <c r="M304" s="332">
        <f>Gasto_o_ing_total!L304*1000/Gasto_o_ing_total!L$485</f>
        <v>0.33915240851018424</v>
      </c>
      <c r="N304" s="332">
        <f>Gasto_o_ing_total!M304*1000/Gasto_o_ing_total!M$485</f>
        <v>0.33915240851018419</v>
      </c>
      <c r="O304" s="332">
        <f>Gasto_o_ing_total!N304*1000/Gasto_o_ing_total!N$485</f>
        <v>0.33915240851018419</v>
      </c>
      <c r="P304" s="332">
        <f>Gasto_o_ing_total!O304*1000/Gasto_o_ing_total!O$485</f>
        <v>0.33915240851018413</v>
      </c>
      <c r="Q304" s="332">
        <f>Gasto_o_ing_total!P304*1000/Gasto_o_ing_total!P$485</f>
        <v>0.33915240851018419</v>
      </c>
      <c r="R304" s="332">
        <f>Gasto_o_ing_total!Q304*1000/Gasto_o_ing_total!Q$485</f>
        <v>0.33915240851018419</v>
      </c>
      <c r="S304" s="332">
        <f>Gasto_o_ing_total!R304*1000/Gasto_o_ing_total!R$485</f>
        <v>0.33915240851018413</v>
      </c>
      <c r="T304" s="332">
        <f>Gasto_o_ing_total!S304*1000/Gasto_o_ing_total!S$485</f>
        <v>0.33915240851018419</v>
      </c>
      <c r="U304" s="332">
        <f>Gasto_o_ing_total!T304*1000/Gasto_o_ing_total!T$485</f>
        <v>0.33915240851018419</v>
      </c>
      <c r="V304" s="332">
        <f>Gasto_o_ing_total!U304*1000/Gasto_o_ing_total!U$485</f>
        <v>0.33915240851018419</v>
      </c>
      <c r="W304" s="2"/>
    </row>
    <row r="305" spans="1:23">
      <c r="A305" s="351" t="str">
        <f>IF(B305="","",(IF(ISERROR(MATCH(B305,Tot_res!C:C,0)),"Eliminar!!!","")))</f>
        <v/>
      </c>
      <c r="B305" s="115" t="s">
        <v>783</v>
      </c>
      <c r="C305" s="329" t="str">
        <f>VLOOKUP(B305,Tot_res!C:D,2,FALSE)</f>
        <v>Atención Primaria de Salud, ISM</v>
      </c>
      <c r="D305" s="332">
        <f>Gasto_o_ing_total!V305*1000/Gasto_o_ing_total!V$485</f>
        <v>2.2984071979398887E-2</v>
      </c>
      <c r="E305" s="332">
        <f>Gasto_o_ing_total!D305*1000/Gasto_o_ing_total!D$485</f>
        <v>0</v>
      </c>
      <c r="F305" s="332">
        <f>Gasto_o_ing_total!E305*1000/Gasto_o_ing_total!E$485</f>
        <v>0</v>
      </c>
      <c r="G305" s="332">
        <f>Gasto_o_ing_total!F305*1000/Gasto_o_ing_total!F$485</f>
        <v>0</v>
      </c>
      <c r="H305" s="332">
        <f>Gasto_o_ing_total!G305*1000/Gasto_o_ing_total!G$485</f>
        <v>0</v>
      </c>
      <c r="I305" s="332">
        <f>Gasto_o_ing_total!H305*1000/Gasto_o_ing_total!H$485</f>
        <v>0</v>
      </c>
      <c r="J305" s="332">
        <f>Gasto_o_ing_total!I305*1000/Gasto_o_ing_total!I$485</f>
        <v>0</v>
      </c>
      <c r="K305" s="332">
        <f>Gasto_o_ing_total!J305*1000/Gasto_o_ing_total!J$485</f>
        <v>0</v>
      </c>
      <c r="L305" s="332">
        <f>Gasto_o_ing_total!K305*1000/Gasto_o_ing_total!K$485</f>
        <v>0</v>
      </c>
      <c r="M305" s="332">
        <f>Gasto_o_ing_total!L305*1000/Gasto_o_ing_total!L$485</f>
        <v>0</v>
      </c>
      <c r="N305" s="332">
        <f>Gasto_o_ing_total!M305*1000/Gasto_o_ing_total!M$485</f>
        <v>0</v>
      </c>
      <c r="O305" s="332">
        <f>Gasto_o_ing_total!N305*1000/Gasto_o_ing_total!N$485</f>
        <v>0</v>
      </c>
      <c r="P305" s="332">
        <f>Gasto_o_ing_total!O305*1000/Gasto_o_ing_total!O$485</f>
        <v>0</v>
      </c>
      <c r="Q305" s="332">
        <f>Gasto_o_ing_total!P305*1000/Gasto_o_ing_total!P$485</f>
        <v>0.16651473272643946</v>
      </c>
      <c r="R305" s="332">
        <f>Gasto_o_ing_total!Q305*1000/Gasto_o_ing_total!Q$485</f>
        <v>0</v>
      </c>
      <c r="S305" s="332">
        <f>Gasto_o_ing_total!R305*1000/Gasto_o_ing_total!R$485</f>
        <v>0</v>
      </c>
      <c r="T305" s="332">
        <f>Gasto_o_ing_total!S305*1000/Gasto_o_ing_total!S$485</f>
        <v>0</v>
      </c>
      <c r="U305" s="332">
        <f>Gasto_o_ing_total!T305*1000/Gasto_o_ing_total!T$485</f>
        <v>0</v>
      </c>
      <c r="V305" s="332">
        <f>Gasto_o_ing_total!U305*1000/Gasto_o_ing_total!U$485</f>
        <v>0</v>
      </c>
      <c r="W305" s="2"/>
    </row>
    <row r="306" spans="1:23">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Gasto_o_ing_total!V306*1000/Gasto_o_ing_total!V$485</f>
        <v>17.067012518026182</v>
      </c>
      <c r="E306" s="332">
        <f>Gasto_o_ing_total!D306*1000/Gasto_o_ing_total!D$485</f>
        <v>12.670347646324213</v>
      </c>
      <c r="F306" s="332">
        <f>Gasto_o_ing_total!E306*1000/Gasto_o_ing_total!E$485</f>
        <v>15.548888288770762</v>
      </c>
      <c r="G306" s="332">
        <f>Gasto_o_ing_total!F306*1000/Gasto_o_ing_total!F$485</f>
        <v>20.668126113529848</v>
      </c>
      <c r="H306" s="332">
        <f>Gasto_o_ing_total!G306*1000/Gasto_o_ing_total!G$485</f>
        <v>20.133073280006631</v>
      </c>
      <c r="I306" s="332">
        <f>Gasto_o_ing_total!H306*1000/Gasto_o_ing_total!H$485</f>
        <v>16.688300727623968</v>
      </c>
      <c r="J306" s="332">
        <f>Gasto_o_ing_total!I306*1000/Gasto_o_ing_total!I$485</f>
        <v>19.003811653069484</v>
      </c>
      <c r="K306" s="332">
        <f>Gasto_o_ing_total!J306*1000/Gasto_o_ing_total!J$485</f>
        <v>16.759562094809709</v>
      </c>
      <c r="L306" s="332">
        <f>Gasto_o_ing_total!K306*1000/Gasto_o_ing_total!K$485</f>
        <v>17.425200717650213</v>
      </c>
      <c r="M306" s="332">
        <f>Gasto_o_ing_total!L306*1000/Gasto_o_ing_total!L$485</f>
        <v>22.04088735615651</v>
      </c>
      <c r="N306" s="332">
        <f>Gasto_o_ing_total!M306*1000/Gasto_o_ing_total!M$485</f>
        <v>18.108207034765055</v>
      </c>
      <c r="O306" s="332">
        <f>Gasto_o_ing_total!N306*1000/Gasto_o_ing_total!N$485</f>
        <v>12.358034881057867</v>
      </c>
      <c r="P306" s="332">
        <f>Gasto_o_ing_total!O306*1000/Gasto_o_ing_total!O$485</f>
        <v>16.955209299226336</v>
      </c>
      <c r="Q306" s="332">
        <f>Gasto_o_ing_total!P306*1000/Gasto_o_ing_total!P$485</f>
        <v>15.418328264317825</v>
      </c>
      <c r="R306" s="332">
        <f>Gasto_o_ing_total!Q306*1000/Gasto_o_ing_total!Q$485</f>
        <v>14.856733845614611</v>
      </c>
      <c r="S306" s="332">
        <f>Gasto_o_ing_total!R306*1000/Gasto_o_ing_total!R$485</f>
        <v>24.472720245280222</v>
      </c>
      <c r="T306" s="332">
        <f>Gasto_o_ing_total!S306*1000/Gasto_o_ing_total!S$485</f>
        <v>17.281892447468866</v>
      </c>
      <c r="U306" s="332">
        <f>Gasto_o_ing_total!T306*1000/Gasto_o_ing_total!T$485</f>
        <v>29.516049680817687</v>
      </c>
      <c r="V306" s="332">
        <f>Gasto_o_ing_total!U306*1000/Gasto_o_ing_total!U$485</f>
        <v>11.343102064307272</v>
      </c>
      <c r="W306" s="2"/>
    </row>
    <row r="307" spans="1:23">
      <c r="A307" s="351" t="str">
        <f>IF(B307="","",(IF(ISERROR(MATCH(B307,Tot_res!C:C,0)),"Eliminar!!!","")))</f>
        <v/>
      </c>
      <c r="B307" s="115" t="s">
        <v>786</v>
      </c>
      <c r="C307" s="329" t="str">
        <f>VLOOKUP(B307,Tot_res!C:D,2,FALSE)</f>
        <v>Atenció Primaria de Salud INGESA neto de Ceuta y Melilla</v>
      </c>
      <c r="D307" s="332">
        <f>Gasto_o_ing_total!V307*1000/Gasto_o_ing_total!V$485</f>
        <v>3.4344442089708972E-2</v>
      </c>
      <c r="E307" s="332">
        <f>Gasto_o_ing_total!D307*1000/Gasto_o_ing_total!D$485</f>
        <v>0</v>
      </c>
      <c r="F307" s="332">
        <f>Gasto_o_ing_total!E307*1000/Gasto_o_ing_total!E$485</f>
        <v>9.4104539826865063E-2</v>
      </c>
      <c r="G307" s="332">
        <f>Gasto_o_ing_total!F307*1000/Gasto_o_ing_total!F$485</f>
        <v>0.1015687095875619</v>
      </c>
      <c r="H307" s="332">
        <f>Gasto_o_ing_total!G307*1000/Gasto_o_ing_total!G$485</f>
        <v>8.0984406240283038E-2</v>
      </c>
      <c r="I307" s="332">
        <f>Gasto_o_ing_total!H307*1000/Gasto_o_ing_total!H$485</f>
        <v>0</v>
      </c>
      <c r="J307" s="332">
        <f>Gasto_o_ing_total!I307*1000/Gasto_o_ing_total!I$485</f>
        <v>9.2659515989392219E-2</v>
      </c>
      <c r="K307" s="332">
        <f>Gasto_o_ing_total!J307*1000/Gasto_o_ing_total!J$485</f>
        <v>9.8086960048226104E-2</v>
      </c>
      <c r="L307" s="332">
        <f>Gasto_o_ing_total!K307*1000/Gasto_o_ing_total!K$485</f>
        <v>8.7083586040124519E-2</v>
      </c>
      <c r="M307" s="332">
        <f>Gasto_o_ing_total!L307*1000/Gasto_o_ing_total!L$485</f>
        <v>0</v>
      </c>
      <c r="N307" s="332">
        <f>Gasto_o_ing_total!M307*1000/Gasto_o_ing_total!M$485</f>
        <v>0</v>
      </c>
      <c r="O307" s="332">
        <f>Gasto_o_ing_total!N307*1000/Gasto_o_ing_total!N$485</f>
        <v>9.1298462798320185E-2</v>
      </c>
      <c r="P307" s="332">
        <f>Gasto_o_ing_total!O307*1000/Gasto_o_ing_total!O$485</f>
        <v>0</v>
      </c>
      <c r="Q307" s="332">
        <f>Gasto_o_ing_total!P307*1000/Gasto_o_ing_total!P$485</f>
        <v>8.4841774650000784E-2</v>
      </c>
      <c r="R307" s="332">
        <f>Gasto_o_ing_total!Q307*1000/Gasto_o_ing_total!Q$485</f>
        <v>7.9927904289092758E-2</v>
      </c>
      <c r="S307" s="332">
        <f>Gasto_o_ing_total!R307*1000/Gasto_o_ing_total!R$485</f>
        <v>0</v>
      </c>
      <c r="T307" s="332">
        <f>Gasto_o_ing_total!S307*1000/Gasto_o_ing_total!S$485</f>
        <v>0</v>
      </c>
      <c r="U307" s="332">
        <f>Gasto_o_ing_total!T307*1000/Gasto_o_ing_total!T$485</f>
        <v>9.2043251678527407E-2</v>
      </c>
      <c r="V307" s="332">
        <f>Gasto_o_ing_total!U307*1000/Gasto_o_ing_total!U$485</f>
        <v>6.5431073675232307E-2</v>
      </c>
      <c r="W307" s="2"/>
    </row>
    <row r="308" spans="1:23">
      <c r="A308" s="351" t="str">
        <f>IF(B308="","",(IF(ISERROR(MATCH(B308,Tot_res!C:C,0)),"Eliminar!!!","")))</f>
        <v/>
      </c>
      <c r="B308" s="115" t="s">
        <v>788</v>
      </c>
      <c r="C308" s="329" t="str">
        <f>VLOOKUP(B308,Tot_res!C:D,2,FALSE)</f>
        <v>Atención Especializada, INGESA neto de Ceuta y Melilla</v>
      </c>
      <c r="D308" s="332">
        <f>Gasto_o_ing_total!V308*1000/Gasto_o_ing_total!V$485</f>
        <v>7.0887808860979243E-2</v>
      </c>
      <c r="E308" s="332">
        <f>Gasto_o_ing_total!D308*1000/Gasto_o_ing_total!D$485</f>
        <v>6.3250873969243032E-2</v>
      </c>
      <c r="F308" s="332">
        <f>Gasto_o_ing_total!E308*1000/Gasto_o_ing_total!E$485</f>
        <v>8.1772061316426517E-2</v>
      </c>
      <c r="G308" s="332">
        <f>Gasto_o_ing_total!F308*1000/Gasto_o_ing_total!F$485</f>
        <v>8.8258045398287716E-2</v>
      </c>
      <c r="H308" s="332">
        <f>Gasto_o_ing_total!G308*1000/Gasto_o_ing_total!G$485</f>
        <v>7.0371332190121247E-2</v>
      </c>
      <c r="I308" s="332">
        <f>Gasto_o_ing_total!H308*1000/Gasto_o_ing_total!H$485</f>
        <v>6.074915015932477E-2</v>
      </c>
      <c r="J308" s="332">
        <f>Gasto_o_ing_total!I308*1000/Gasto_o_ing_total!I$485</f>
        <v>8.0516409059277996E-2</v>
      </c>
      <c r="K308" s="332">
        <f>Gasto_o_ing_total!J308*1000/Gasto_o_ing_total!J$485</f>
        <v>8.5232582042929703E-2</v>
      </c>
      <c r="L308" s="332">
        <f>Gasto_o_ing_total!K308*1000/Gasto_o_ing_total!K$485</f>
        <v>7.5671209385101884E-2</v>
      </c>
      <c r="M308" s="332">
        <f>Gasto_o_ing_total!L308*1000/Gasto_o_ing_total!L$485</f>
        <v>6.8085155855453688E-2</v>
      </c>
      <c r="N308" s="332">
        <f>Gasto_o_ing_total!M308*1000/Gasto_o_ing_total!M$485</f>
        <v>6.5567526804715795E-2</v>
      </c>
      <c r="O308" s="332">
        <f>Gasto_o_ing_total!N308*1000/Gasto_o_ing_total!N$485</f>
        <v>7.9333723025213909E-2</v>
      </c>
      <c r="P308" s="332">
        <f>Gasto_o_ing_total!O308*1000/Gasto_o_ing_total!O$485</f>
        <v>7.6809242897341895E-2</v>
      </c>
      <c r="Q308" s="332">
        <f>Gasto_o_ing_total!P308*1000/Gasto_o_ing_total!P$485</f>
        <v>7.3723189249300464E-2</v>
      </c>
      <c r="R308" s="332">
        <f>Gasto_o_ing_total!Q308*1000/Gasto_o_ing_total!Q$485</f>
        <v>6.9453285701688267E-2</v>
      </c>
      <c r="S308" s="332">
        <f>Gasto_o_ing_total!R308*1000/Gasto_o_ing_total!R$485</f>
        <v>6.8430115118243498E-2</v>
      </c>
      <c r="T308" s="332">
        <f>Gasto_o_ing_total!S308*1000/Gasto_o_ing_total!S$485</f>
        <v>7.5072066159244139E-2</v>
      </c>
      <c r="U308" s="332">
        <f>Gasto_o_ing_total!T308*1000/Gasto_o_ing_total!T$485</f>
        <v>7.9980906700859597E-2</v>
      </c>
      <c r="V308" s="332">
        <f>Gasto_o_ing_total!U308*1000/Gasto_o_ing_total!U$485</f>
        <v>5.6856276842908185E-2</v>
      </c>
      <c r="W308" s="2"/>
    </row>
    <row r="309" spans="1:23">
      <c r="A309" s="351" t="str">
        <f>IF(B309="","",(IF(ISERROR(MATCH(B309,Tot_res!C:C,0)),"Eliminar!!!","")))</f>
        <v/>
      </c>
      <c r="B309" s="115" t="s">
        <v>790</v>
      </c>
      <c r="C309" s="329" t="str">
        <f>VLOOKUP(B309,Tot_res!C:D,2,FALSE)</f>
        <v>Atención Especializada, ISM</v>
      </c>
      <c r="D309" s="332">
        <f>Gasto_o_ing_total!V309*1000/Gasto_o_ing_total!V$485</f>
        <v>5.8787634204619851E-3</v>
      </c>
      <c r="E309" s="332">
        <f>Gasto_o_ing_total!D309*1000/Gasto_o_ing_total!D$485</f>
        <v>0</v>
      </c>
      <c r="F309" s="332">
        <f>Gasto_o_ing_total!E309*1000/Gasto_o_ing_total!E$485</f>
        <v>0</v>
      </c>
      <c r="G309" s="332">
        <f>Gasto_o_ing_total!F309*1000/Gasto_o_ing_total!F$485</f>
        <v>0</v>
      </c>
      <c r="H309" s="332">
        <f>Gasto_o_ing_total!G309*1000/Gasto_o_ing_total!G$485</f>
        <v>0</v>
      </c>
      <c r="I309" s="332">
        <f>Gasto_o_ing_total!H309*1000/Gasto_o_ing_total!H$485</f>
        <v>0</v>
      </c>
      <c r="J309" s="332">
        <f>Gasto_o_ing_total!I309*1000/Gasto_o_ing_total!I$485</f>
        <v>0</v>
      </c>
      <c r="K309" s="332">
        <f>Gasto_o_ing_total!J309*1000/Gasto_o_ing_total!J$485</f>
        <v>0</v>
      </c>
      <c r="L309" s="332">
        <f>Gasto_o_ing_total!K309*1000/Gasto_o_ing_total!K$485</f>
        <v>0</v>
      </c>
      <c r="M309" s="332">
        <f>Gasto_o_ing_total!L309*1000/Gasto_o_ing_total!L$485</f>
        <v>0</v>
      </c>
      <c r="N309" s="332">
        <f>Gasto_o_ing_total!M309*1000/Gasto_o_ing_total!M$485</f>
        <v>0</v>
      </c>
      <c r="O309" s="332">
        <f>Gasto_o_ing_total!N309*1000/Gasto_o_ing_total!N$485</f>
        <v>0</v>
      </c>
      <c r="P309" s="332">
        <f>Gasto_o_ing_total!O309*1000/Gasto_o_ing_total!O$485</f>
        <v>0</v>
      </c>
      <c r="Q309" s="332">
        <f>Gasto_o_ing_total!P309*1000/Gasto_o_ing_total!P$485</f>
        <v>4.0838302265162711E-2</v>
      </c>
      <c r="R309" s="332">
        <f>Gasto_o_ing_total!Q309*1000/Gasto_o_ing_total!Q$485</f>
        <v>0</v>
      </c>
      <c r="S309" s="332">
        <f>Gasto_o_ing_total!R309*1000/Gasto_o_ing_total!R$485</f>
        <v>0</v>
      </c>
      <c r="T309" s="332">
        <f>Gasto_o_ing_total!S309*1000/Gasto_o_ing_total!S$485</f>
        <v>5.1589199500621484E-3</v>
      </c>
      <c r="U309" s="332">
        <f>Gasto_o_ing_total!T309*1000/Gasto_o_ing_total!T$485</f>
        <v>0</v>
      </c>
      <c r="V309" s="332">
        <f>Gasto_o_ing_total!U309*1000/Gasto_o_ing_total!U$485</f>
        <v>0</v>
      </c>
      <c r="W309" s="2"/>
    </row>
    <row r="310" spans="1:23">
      <c r="A310" s="351" t="str">
        <f>IF(B310="","",(IF(ISERROR(MATCH(B310,Tot_res!C:C,0)),"Eliminar!!!","")))</f>
        <v/>
      </c>
      <c r="B310" s="115" t="s">
        <v>792</v>
      </c>
      <c r="C310" s="329" t="str">
        <f>VLOOKUP(B310,Tot_res!C:D,2,FALSE)</f>
        <v>Atención Especializada, mutuas de la Seg. Social</v>
      </c>
      <c r="D310" s="332">
        <f>Gasto_o_ing_total!V310*1000/Gasto_o_ing_total!V$485</f>
        <v>8.283458385155388</v>
      </c>
      <c r="E310" s="332">
        <f>Gasto_o_ing_total!D310*1000/Gasto_o_ing_total!D$485</f>
        <v>4.0231558215242567</v>
      </c>
      <c r="F310" s="332">
        <f>Gasto_o_ing_total!E310*1000/Gasto_o_ing_total!E$485</f>
        <v>21.933144781530533</v>
      </c>
      <c r="G310" s="332">
        <f>Gasto_o_ing_total!F310*1000/Gasto_o_ing_total!F$485</f>
        <v>4.6868289661995339</v>
      </c>
      <c r="H310" s="332">
        <f>Gasto_o_ing_total!G310*1000/Gasto_o_ing_total!G$485</f>
        <v>7.8140565637879131</v>
      </c>
      <c r="I310" s="332">
        <f>Gasto_o_ing_total!H310*1000/Gasto_o_ing_total!H$485</f>
        <v>4.4669991791207089</v>
      </c>
      <c r="J310" s="332">
        <f>Gasto_o_ing_total!I310*1000/Gasto_o_ing_total!I$485</f>
        <v>9.9698887549426001</v>
      </c>
      <c r="K310" s="332">
        <f>Gasto_o_ing_total!J310*1000/Gasto_o_ing_total!J$485</f>
        <v>2.7457839783424443</v>
      </c>
      <c r="L310" s="332">
        <f>Gasto_o_ing_total!K310*1000/Gasto_o_ing_total!K$485</f>
        <v>2.8981605081288997</v>
      </c>
      <c r="M310" s="332">
        <f>Gasto_o_ing_total!L310*1000/Gasto_o_ing_total!L$485</f>
        <v>11.278469113568187</v>
      </c>
      <c r="N310" s="332">
        <f>Gasto_o_ing_total!M310*1000/Gasto_o_ing_total!M$485</f>
        <v>8.1993397655910343</v>
      </c>
      <c r="O310" s="332">
        <f>Gasto_o_ing_total!N310*1000/Gasto_o_ing_total!N$485</f>
        <v>2.2517698203178229</v>
      </c>
      <c r="P310" s="332">
        <f>Gasto_o_ing_total!O310*1000/Gasto_o_ing_total!O$485</f>
        <v>7.924557433415707</v>
      </c>
      <c r="Q310" s="332">
        <f>Gasto_o_ing_total!P310*1000/Gasto_o_ing_total!P$485</f>
        <v>12.261146541697515</v>
      </c>
      <c r="R310" s="332">
        <f>Gasto_o_ing_total!Q310*1000/Gasto_o_ing_total!Q$485</f>
        <v>6.5471808219128356</v>
      </c>
      <c r="S310" s="332">
        <f>Gasto_o_ing_total!R310*1000/Gasto_o_ing_total!R$485</f>
        <v>6.4750123266965716</v>
      </c>
      <c r="T310" s="332">
        <f>Gasto_o_ing_total!S310*1000/Gasto_o_ing_total!S$485</f>
        <v>17.420556494104623</v>
      </c>
      <c r="U310" s="332">
        <f>Gasto_o_ing_total!T310*1000/Gasto_o_ing_total!T$485</f>
        <v>4.42918560359323</v>
      </c>
      <c r="V310" s="332">
        <f>Gasto_o_ing_total!U310*1000/Gasto_o_ing_total!U$485</f>
        <v>1.2090889149066795</v>
      </c>
      <c r="W310" s="2"/>
    </row>
    <row r="311" spans="1:23">
      <c r="A311" s="351" t="str">
        <f>IF(B311="","",(IF(ISERROR(MATCH(B311,Tot_res!C:C,0)),"Eliminar!!!","")))</f>
        <v/>
      </c>
      <c r="B311" s="115" t="s">
        <v>622</v>
      </c>
      <c r="C311" s="329" t="str">
        <f>VLOOKUP(B311,Tot_res!C:D,2,FALSE)</f>
        <v xml:space="preserve">Medicina Marítima </v>
      </c>
      <c r="D311" s="332">
        <f>Gasto_o_ing_total!V311*1000/Gasto_o_ing_total!V$485</f>
        <v>0.48025134491437044</v>
      </c>
      <c r="E311" s="332">
        <f>Gasto_o_ing_total!D311*1000/Gasto_o_ing_total!D$485</f>
        <v>0.28688853310048756</v>
      </c>
      <c r="F311" s="332">
        <f>Gasto_o_ing_total!E311*1000/Gasto_o_ing_total!E$485</f>
        <v>0</v>
      </c>
      <c r="G311" s="332">
        <f>Gasto_o_ing_total!F311*1000/Gasto_o_ing_total!F$485</f>
        <v>0.53761276149750159</v>
      </c>
      <c r="H311" s="332">
        <f>Gasto_o_ing_total!G311*1000/Gasto_o_ing_total!G$485</f>
        <v>0.36493091880581213</v>
      </c>
      <c r="I311" s="332">
        <f>Gasto_o_ing_total!H311*1000/Gasto_o_ing_total!H$485</f>
        <v>2.8588343330115165</v>
      </c>
      <c r="J311" s="332">
        <f>Gasto_o_ing_total!I311*1000/Gasto_o_ing_total!I$485</f>
        <v>7.8911182267151281</v>
      </c>
      <c r="K311" s="332">
        <f>Gasto_o_ing_total!J311*1000/Gasto_o_ing_total!J$485</f>
        <v>0</v>
      </c>
      <c r="L311" s="332">
        <f>Gasto_o_ing_total!K311*1000/Gasto_o_ing_total!K$485</f>
        <v>0</v>
      </c>
      <c r="M311" s="332">
        <f>Gasto_o_ing_total!L311*1000/Gasto_o_ing_total!L$485</f>
        <v>0.1686614920001607</v>
      </c>
      <c r="N311" s="332">
        <f>Gasto_o_ing_total!M311*1000/Gasto_o_ing_total!M$485</f>
        <v>0.15914563070878632</v>
      </c>
      <c r="O311" s="332">
        <f>Gasto_o_ing_total!N311*1000/Gasto_o_ing_total!N$485</f>
        <v>0</v>
      </c>
      <c r="P311" s="332">
        <f>Gasto_o_ing_total!O311*1000/Gasto_o_ing_total!O$485</f>
        <v>1.6269483157576443</v>
      </c>
      <c r="Q311" s="332">
        <f>Gasto_o_ing_total!P311*1000/Gasto_o_ing_total!P$485</f>
        <v>1.5332355188836154E-2</v>
      </c>
      <c r="R311" s="332">
        <f>Gasto_o_ing_total!Q311*1000/Gasto_o_ing_total!Q$485</f>
        <v>0.23877535690771839</v>
      </c>
      <c r="S311" s="332">
        <f>Gasto_o_ing_total!R311*1000/Gasto_o_ing_total!R$485</f>
        <v>0</v>
      </c>
      <c r="T311" s="332">
        <f>Gasto_o_ing_total!S311*1000/Gasto_o_ing_total!S$485</f>
        <v>0.45725919766609791</v>
      </c>
      <c r="U311" s="332">
        <f>Gasto_o_ing_total!T311*1000/Gasto_o_ing_total!T$485</f>
        <v>0</v>
      </c>
      <c r="V311" s="332">
        <f>Gasto_o_ing_total!U311*1000/Gasto_o_ing_total!U$485</f>
        <v>2.5514122171687412</v>
      </c>
      <c r="W311" s="2"/>
    </row>
    <row r="312" spans="1:23">
      <c r="A312" s="351" t="str">
        <f>IF(B312="","",(IF(ISERROR(MATCH(B312,Tot_res!C:C,0)),"Eliminar!!!","")))</f>
        <v/>
      </c>
      <c r="B312" s="115" t="s">
        <v>794</v>
      </c>
      <c r="C312" s="329" t="str">
        <f>VLOOKUP(B312,Tot_res!C:D,2,FALSE)</f>
        <v>Admón.,Ser.Grales.y Cont.Int.Asist.San., neto CyMel</v>
      </c>
      <c r="D312" s="332">
        <f>Gasto_o_ing_total!V312*1000/Gasto_o_ing_total!V$485</f>
        <v>5.8739531492317202E-3</v>
      </c>
      <c r="E312" s="332">
        <f>Gasto_o_ing_total!D312*1000/Gasto_o_ing_total!D$485</f>
        <v>3.3495359657608349E-3</v>
      </c>
      <c r="F312" s="332">
        <f>Gasto_o_ing_total!E312*1000/Gasto_o_ing_total!E$485</f>
        <v>1.0139178644930613E-2</v>
      </c>
      <c r="G312" s="332">
        <f>Gasto_o_ing_total!F312*1000/Gasto_o_ing_total!F$485</f>
        <v>1.0943396494346084E-2</v>
      </c>
      <c r="H312" s="332">
        <f>Gasto_o_ing_total!G312*1000/Gasto_o_ing_total!G$485</f>
        <v>8.7255658848612756E-3</v>
      </c>
      <c r="I312" s="332">
        <f>Gasto_o_ing_total!H312*1000/Gasto_o_ing_total!H$485</f>
        <v>3.21705378248229E-3</v>
      </c>
      <c r="J312" s="332">
        <f>Gasto_o_ing_total!I312*1000/Gasto_o_ing_total!I$485</f>
        <v>9.9834863174267929E-3</v>
      </c>
      <c r="K312" s="332">
        <f>Gasto_o_ing_total!J312*1000/Gasto_o_ing_total!J$485</f>
        <v>1.0568259645038073E-2</v>
      </c>
      <c r="L312" s="332">
        <f>Gasto_o_ing_total!K312*1000/Gasto_o_ing_total!K$485</f>
        <v>9.3827145590051602E-3</v>
      </c>
      <c r="M312" s="332">
        <f>Gasto_o_ing_total!L312*1000/Gasto_o_ing_total!L$485</f>
        <v>3.6055419310596346E-3</v>
      </c>
      <c r="N312" s="332">
        <f>Gasto_o_ing_total!M312*1000/Gasto_o_ing_total!M$485</f>
        <v>3.4722174641441017E-3</v>
      </c>
      <c r="O312" s="332">
        <f>Gasto_o_ing_total!N312*1000/Gasto_o_ing_total!N$485</f>
        <v>9.8368413046046529E-3</v>
      </c>
      <c r="P312" s="332">
        <f>Gasto_o_ing_total!O312*1000/Gasto_o_ing_total!O$485</f>
        <v>4.0675378131946735E-3</v>
      </c>
      <c r="Q312" s="332">
        <f>Gasto_o_ing_total!P312*1000/Gasto_o_ing_total!P$485</f>
        <v>9.1411733303404883E-3</v>
      </c>
      <c r="R312" s="332">
        <f>Gasto_o_ing_total!Q312*1000/Gasto_o_ing_total!Q$485</f>
        <v>8.6117343732089752E-3</v>
      </c>
      <c r="S312" s="332">
        <f>Gasto_o_ing_total!R312*1000/Gasto_o_ing_total!R$485</f>
        <v>3.6238097174936795E-3</v>
      </c>
      <c r="T312" s="332">
        <f>Gasto_o_ing_total!S312*1000/Gasto_o_ing_total!S$485</f>
        <v>3.9755432588432036E-3</v>
      </c>
      <c r="U312" s="332">
        <f>Gasto_o_ing_total!T312*1000/Gasto_o_ing_total!T$485</f>
        <v>9.9170876723470823E-3</v>
      </c>
      <c r="V312" s="332">
        <f>Gasto_o_ing_total!U312*1000/Gasto_o_ing_total!U$485</f>
        <v>7.0497910743027086E-3</v>
      </c>
      <c r="W312" s="2"/>
    </row>
    <row r="313" spans="1:23">
      <c r="A313" s="351" t="str">
        <f>IF(B313="","",(IF(ISERROR(MATCH(B313,Tot_res!C:C,0)),"Eliminar!!!","")))</f>
        <v/>
      </c>
      <c r="B313" s="115" t="s">
        <v>796</v>
      </c>
      <c r="C313" s="329" t="str">
        <f>VLOOKUP(B313,Tot_res!C:D,2,FALSE)</f>
        <v>Formación del Personal Sanitario, neto de CyMel</v>
      </c>
      <c r="D313" s="332">
        <f>Gasto_o_ing_total!V313*1000/Gasto_o_ing_total!V$485</f>
        <v>1.4060601040585124E-4</v>
      </c>
      <c r="E313" s="332">
        <f>Gasto_o_ing_total!D313*1000/Gasto_o_ing_total!D$485</f>
        <v>1.3080727687426097E-4</v>
      </c>
      <c r="F313" s="332">
        <f>Gasto_o_ing_total!E313*1000/Gasto_o_ing_total!E$485</f>
        <v>1.5268400124828096E-4</v>
      </c>
      <c r="G313" s="332">
        <f>Gasto_o_ing_total!F313*1000/Gasto_o_ing_total!F$485</f>
        <v>1.6479456793461062E-4</v>
      </c>
      <c r="H313" s="332">
        <f>Gasto_o_ing_total!G313*1000/Gasto_o_ing_total!G$485</f>
        <v>1.3139667019499823E-4</v>
      </c>
      <c r="I313" s="332">
        <f>Gasto_o_ing_total!H313*1000/Gasto_o_ing_total!H$485</f>
        <v>1.2563353525567027E-4</v>
      </c>
      <c r="J313" s="332">
        <f>Gasto_o_ing_total!I313*1000/Gasto_o_ing_total!I$485</f>
        <v>1.5033945950980137E-4</v>
      </c>
      <c r="K313" s="332">
        <f>Gasto_o_ing_total!J313*1000/Gasto_o_ing_total!J$485</f>
        <v>1.5914545204723463E-4</v>
      </c>
      <c r="L313" s="332">
        <f>Gasto_o_ing_total!K313*1000/Gasto_o_ing_total!K$485</f>
        <v>1.4129254958493849E-4</v>
      </c>
      <c r="M313" s="332">
        <f>Gasto_o_ing_total!L313*1000/Gasto_o_ing_total!L$485</f>
        <v>1.4080491342052088E-4</v>
      </c>
      <c r="N313" s="332">
        <f>Gasto_o_ing_total!M313*1000/Gasto_o_ing_total!M$485</f>
        <v>1.3559827864000076E-4</v>
      </c>
      <c r="O313" s="332">
        <f>Gasto_o_ing_total!N313*1000/Gasto_o_ing_total!N$485</f>
        <v>1.4813115959667333E-4</v>
      </c>
      <c r="P313" s="332">
        <f>Gasto_o_ing_total!O313*1000/Gasto_o_ing_total!O$485</f>
        <v>1.5884694189459921E-4</v>
      </c>
      <c r="Q313" s="332">
        <f>Gasto_o_ing_total!P313*1000/Gasto_o_ing_total!P$485</f>
        <v>1.3765522524630607E-4</v>
      </c>
      <c r="R313" s="332">
        <f>Gasto_o_ing_total!Q313*1000/Gasto_o_ing_total!Q$485</f>
        <v>1.2968250267947636E-4</v>
      </c>
      <c r="S313" s="332">
        <f>Gasto_o_ing_total!R313*1000/Gasto_o_ing_total!R$485</f>
        <v>1.4151831355187764E-4</v>
      </c>
      <c r="T313" s="332">
        <f>Gasto_o_ing_total!S313*1000/Gasto_o_ing_total!S$485</f>
        <v>1.5525433764583614E-4</v>
      </c>
      <c r="U313" s="332">
        <f>Gasto_o_ing_total!T313*1000/Gasto_o_ing_total!T$485</f>
        <v>1.4933957469040295E-4</v>
      </c>
      <c r="V313" s="332">
        <f>Gasto_o_ing_total!U313*1000/Gasto_o_ing_total!U$485</f>
        <v>1.0616148969099467E-4</v>
      </c>
      <c r="W313" s="2"/>
    </row>
    <row r="314" spans="1:23">
      <c r="A314" s="351" t="str">
        <f>IF(B314="","",(IF(ISERROR(MATCH(B314,Tot_res!C:C,0)),"Eliminar!!!","")))</f>
        <v/>
      </c>
      <c r="B314" s="115" t="s">
        <v>309</v>
      </c>
      <c r="C314" s="329" t="str">
        <f>VLOOKUP(B314,Tot_res!C:D,2,FALSE)</f>
        <v>ISM sanidad transferida</v>
      </c>
      <c r="D314" s="332">
        <f>Gasto_o_ing_total!V314*1000/Gasto_o_ing_total!V$485</f>
        <v>0.74387291006950818</v>
      </c>
      <c r="E314" s="332">
        <f>Gasto_o_ing_total!D314*1000/Gasto_o_ing_total!D$485</f>
        <v>3.0614294851479245</v>
      </c>
      <c r="F314" s="332">
        <f>Gasto_o_ing_total!E314*1000/Gasto_o_ing_total!E$485</f>
        <v>0</v>
      </c>
      <c r="G314" s="332">
        <f>Gasto_o_ing_total!F314*1000/Gasto_o_ing_total!F$485</f>
        <v>4.2338126131104312</v>
      </c>
      <c r="H314" s="332">
        <f>Gasto_o_ing_total!G314*1000/Gasto_o_ing_total!G$485</f>
        <v>0.99460418094694181</v>
      </c>
      <c r="I314" s="332">
        <f>Gasto_o_ing_total!H314*1000/Gasto_o_ing_total!H$485</f>
        <v>0</v>
      </c>
      <c r="J314" s="332">
        <f>Gasto_o_ing_total!I314*1000/Gasto_o_ing_total!I$485</f>
        <v>2.9422497765688536</v>
      </c>
      <c r="K314" s="332">
        <f>Gasto_o_ing_total!J314*1000/Gasto_o_ing_total!J$485</f>
        <v>0</v>
      </c>
      <c r="L314" s="332">
        <f>Gasto_o_ing_total!K314*1000/Gasto_o_ing_total!K$485</f>
        <v>0</v>
      </c>
      <c r="M314" s="332">
        <f>Gasto_o_ing_total!L314*1000/Gasto_o_ing_total!L$485</f>
        <v>0</v>
      </c>
      <c r="N314" s="332">
        <f>Gasto_o_ing_total!M314*1000/Gasto_o_ing_total!M$485</f>
        <v>0</v>
      </c>
      <c r="O314" s="332">
        <f>Gasto_o_ing_total!N314*1000/Gasto_o_ing_total!N$485</f>
        <v>0</v>
      </c>
      <c r="P314" s="332">
        <f>Gasto_o_ing_total!O314*1000/Gasto_o_ing_total!O$485</f>
        <v>0</v>
      </c>
      <c r="Q314" s="332">
        <f>Gasto_o_ing_total!P314*1000/Gasto_o_ing_total!P$485</f>
        <v>0</v>
      </c>
      <c r="R314" s="332">
        <f>Gasto_o_ing_total!Q314*1000/Gasto_o_ing_total!Q$485</f>
        <v>1.1733387716845238</v>
      </c>
      <c r="S314" s="332">
        <f>Gasto_o_ing_total!R314*1000/Gasto_o_ing_total!R$485</f>
        <v>0</v>
      </c>
      <c r="T314" s="332">
        <f>Gasto_o_ing_total!S314*1000/Gasto_o_ing_total!S$485</f>
        <v>0</v>
      </c>
      <c r="U314" s="332">
        <f>Gasto_o_ing_total!T314*1000/Gasto_o_ing_total!T$485</f>
        <v>0</v>
      </c>
      <c r="V314" s="332">
        <f>Gasto_o_ing_total!U314*1000/Gasto_o_ing_total!U$485</f>
        <v>0</v>
      </c>
      <c r="W314" s="2"/>
    </row>
    <row r="315" spans="1:23">
      <c r="A315" s="351" t="str">
        <f>IF(B315="","",(IF(ISERROR(MATCH(B315,Tot_res!C:C,0)),"Eliminar!!!","")))</f>
        <v/>
      </c>
      <c r="B315" s="115" t="s">
        <v>798</v>
      </c>
      <c r="C315" s="329" t="str">
        <f>VLOOKUP(B315,Tot_res!C:D,2,FALSE)</f>
        <v>ISM transf. antes de 2002, sanidad</v>
      </c>
      <c r="D315" s="332">
        <f>Gasto_o_ing_total!V315*1000/Gasto_o_ing_total!V$485</f>
        <v>1.6653813738218668</v>
      </c>
      <c r="E315" s="332">
        <f>Gasto_o_ing_total!D315*1000/Gasto_o_ing_total!D$485</f>
        <v>0</v>
      </c>
      <c r="F315" s="332">
        <f>Gasto_o_ing_total!E315*1000/Gasto_o_ing_total!E$485</f>
        <v>0</v>
      </c>
      <c r="G315" s="332">
        <f>Gasto_o_ing_total!F315*1000/Gasto_o_ing_total!F$485</f>
        <v>0</v>
      </c>
      <c r="H315" s="332">
        <f>Gasto_o_ing_total!G315*1000/Gasto_o_ing_total!G$485</f>
        <v>0</v>
      </c>
      <c r="I315" s="332">
        <f>Gasto_o_ing_total!H315*1000/Gasto_o_ing_total!H$485</f>
        <v>4.1737943145736622</v>
      </c>
      <c r="J315" s="332">
        <f>Gasto_o_ing_total!I315*1000/Gasto_o_ing_total!I$485</f>
        <v>0</v>
      </c>
      <c r="K315" s="332">
        <f>Gasto_o_ing_total!J315*1000/Gasto_o_ing_total!J$485</f>
        <v>0</v>
      </c>
      <c r="L315" s="332">
        <f>Gasto_o_ing_total!K315*1000/Gasto_o_ing_total!K$485</f>
        <v>0</v>
      </c>
      <c r="M315" s="332">
        <f>Gasto_o_ing_total!L315*1000/Gasto_o_ing_total!L$485</f>
        <v>0.31262476710246456</v>
      </c>
      <c r="N315" s="332">
        <f>Gasto_o_ing_total!M315*1000/Gasto_o_ing_total!M$485</f>
        <v>1.6380219302373615</v>
      </c>
      <c r="O315" s="332">
        <f>Gasto_o_ing_total!N315*1000/Gasto_o_ing_total!N$485</f>
        <v>0</v>
      </c>
      <c r="P315" s="332">
        <f>Gasto_o_ing_total!O315*1000/Gasto_o_ing_total!O$485</f>
        <v>21.334237199596664</v>
      </c>
      <c r="Q315" s="332">
        <f>Gasto_o_ing_total!P315*1000/Gasto_o_ing_total!P$485</f>
        <v>0</v>
      </c>
      <c r="R315" s="332">
        <f>Gasto_o_ing_total!Q315*1000/Gasto_o_ing_total!Q$485</f>
        <v>0</v>
      </c>
      <c r="S315" s="332">
        <f>Gasto_o_ing_total!R315*1000/Gasto_o_ing_total!R$485</f>
        <v>0</v>
      </c>
      <c r="T315" s="332">
        <f>Gasto_o_ing_total!S315*1000/Gasto_o_ing_total!S$485</f>
        <v>0</v>
      </c>
      <c r="U315" s="332">
        <f>Gasto_o_ing_total!T315*1000/Gasto_o_ing_total!T$485</f>
        <v>0</v>
      </c>
      <c r="V315" s="332">
        <f>Gasto_o_ing_total!U315*1000/Gasto_o_ing_total!U$485</f>
        <v>0</v>
      </c>
      <c r="W315" s="2"/>
    </row>
    <row r="316" spans="1:23">
      <c r="A316" s="351" t="str">
        <f>IF(B316="","",(IF(ISERROR(MATCH(B316,Tot_res!C:C,0)),"Eliminar!!!","")))</f>
        <v/>
      </c>
      <c r="B316" s="115" t="s">
        <v>623</v>
      </c>
      <c r="C316" s="329" t="str">
        <f>VLOOKUP(B316,Tot_res!C:D,2,FALSE)</f>
        <v>Compensación Fondo Cohesión Sanitaria, extrapresupuestario</v>
      </c>
      <c r="D316" s="332">
        <f>Gasto_o_ing_total!V316*1000/Gasto_o_ing_total!V$485</f>
        <v>1.143542769512047</v>
      </c>
      <c r="E316" s="332">
        <f>Gasto_o_ing_total!D316*1000/Gasto_o_ing_total!D$485</f>
        <v>1.1435427695120473</v>
      </c>
      <c r="F316" s="332">
        <f>Gasto_o_ing_total!E316*1000/Gasto_o_ing_total!E$485</f>
        <v>1.1435427695120473</v>
      </c>
      <c r="G316" s="332">
        <f>Gasto_o_ing_total!F316*1000/Gasto_o_ing_total!F$485</f>
        <v>1.1435427695120473</v>
      </c>
      <c r="H316" s="332">
        <f>Gasto_o_ing_total!G316*1000/Gasto_o_ing_total!G$485</f>
        <v>1.1435427695120473</v>
      </c>
      <c r="I316" s="332">
        <f>Gasto_o_ing_total!H316*1000/Gasto_o_ing_total!H$485</f>
        <v>1.1435427695120473</v>
      </c>
      <c r="J316" s="332">
        <f>Gasto_o_ing_total!I316*1000/Gasto_o_ing_total!I$485</f>
        <v>1.143542769512047</v>
      </c>
      <c r="K316" s="332">
        <f>Gasto_o_ing_total!J316*1000/Gasto_o_ing_total!J$485</f>
        <v>1.1435427695120473</v>
      </c>
      <c r="L316" s="332">
        <f>Gasto_o_ing_total!K316*1000/Gasto_o_ing_total!K$485</f>
        <v>1.143542769512047</v>
      </c>
      <c r="M316" s="332">
        <f>Gasto_o_ing_total!L316*1000/Gasto_o_ing_total!L$485</f>
        <v>1.1435427695120473</v>
      </c>
      <c r="N316" s="332">
        <f>Gasto_o_ing_total!M316*1000/Gasto_o_ing_total!M$485</f>
        <v>1.1435427695120473</v>
      </c>
      <c r="O316" s="332">
        <f>Gasto_o_ing_total!N316*1000/Gasto_o_ing_total!N$485</f>
        <v>1.1435427695120473</v>
      </c>
      <c r="P316" s="332">
        <f>Gasto_o_ing_total!O316*1000/Gasto_o_ing_total!O$485</f>
        <v>1.143542769512047</v>
      </c>
      <c r="Q316" s="332">
        <f>Gasto_o_ing_total!P316*1000/Gasto_o_ing_total!P$485</f>
        <v>1.1435427695120473</v>
      </c>
      <c r="R316" s="332">
        <f>Gasto_o_ing_total!Q316*1000/Gasto_o_ing_total!Q$485</f>
        <v>1.1435427695120473</v>
      </c>
      <c r="S316" s="332">
        <f>Gasto_o_ing_total!R316*1000/Gasto_o_ing_total!R$485</f>
        <v>1.143542769512047</v>
      </c>
      <c r="T316" s="332">
        <f>Gasto_o_ing_total!S316*1000/Gasto_o_ing_total!S$485</f>
        <v>1.143542769512047</v>
      </c>
      <c r="U316" s="332">
        <f>Gasto_o_ing_total!T316*1000/Gasto_o_ing_total!T$485</f>
        <v>1.143542769512047</v>
      </c>
      <c r="V316" s="332">
        <f>Gasto_o_ing_total!U316*1000/Gasto_o_ing_total!U$485</f>
        <v>1.143542769512047</v>
      </c>
      <c r="W316" s="2"/>
    </row>
    <row r="317" spans="1:23">
      <c r="A317" s="351" t="str">
        <f>IF(B317="","",(IF(ISERROR(MATCH(B317,Tot_res!C:C,0)),"Eliminar!!!","")))</f>
        <v/>
      </c>
      <c r="B317" s="115" t="s">
        <v>1214</v>
      </c>
      <c r="C317" s="329" t="str">
        <f>VLOOKUP(B317,Tot_res!C:D,2,FALSE)</f>
        <v>Gestion del Hospital Militar San Carlos (San Fernando)</v>
      </c>
      <c r="D317" s="332">
        <f>Gasto_o_ing_total!V317*1000/Gasto_o_ing_total!V$485</f>
        <v>5.1362826539712109E-2</v>
      </c>
      <c r="E317" s="332">
        <f>Gasto_o_ing_total!D317*1000/Gasto_o_ing_total!D$485</f>
        <v>0.28551687162244366</v>
      </c>
      <c r="F317" s="332">
        <f>Gasto_o_ing_total!E317*1000/Gasto_o_ing_total!E$485</f>
        <v>0</v>
      </c>
      <c r="G317" s="332">
        <f>Gasto_o_ing_total!F317*1000/Gasto_o_ing_total!F$485</f>
        <v>0</v>
      </c>
      <c r="H317" s="332">
        <f>Gasto_o_ing_total!G317*1000/Gasto_o_ing_total!G$485</f>
        <v>0</v>
      </c>
      <c r="I317" s="332">
        <f>Gasto_o_ing_total!H317*1000/Gasto_o_ing_total!H$485</f>
        <v>0</v>
      </c>
      <c r="J317" s="332">
        <f>Gasto_o_ing_total!I317*1000/Gasto_o_ing_total!I$485</f>
        <v>0</v>
      </c>
      <c r="K317" s="332">
        <f>Gasto_o_ing_total!J317*1000/Gasto_o_ing_total!J$485</f>
        <v>0</v>
      </c>
      <c r="L317" s="332">
        <f>Gasto_o_ing_total!K317*1000/Gasto_o_ing_total!K$485</f>
        <v>0</v>
      </c>
      <c r="M317" s="332">
        <f>Gasto_o_ing_total!L317*1000/Gasto_o_ing_total!L$485</f>
        <v>0</v>
      </c>
      <c r="N317" s="332">
        <f>Gasto_o_ing_total!M317*1000/Gasto_o_ing_total!M$485</f>
        <v>0</v>
      </c>
      <c r="O317" s="332">
        <f>Gasto_o_ing_total!N317*1000/Gasto_o_ing_total!N$485</f>
        <v>0</v>
      </c>
      <c r="P317" s="332">
        <f>Gasto_o_ing_total!O317*1000/Gasto_o_ing_total!O$485</f>
        <v>0</v>
      </c>
      <c r="Q317" s="332">
        <f>Gasto_o_ing_total!P317*1000/Gasto_o_ing_total!P$485</f>
        <v>0</v>
      </c>
      <c r="R317" s="332">
        <f>Gasto_o_ing_total!Q317*1000/Gasto_o_ing_total!Q$485</f>
        <v>0</v>
      </c>
      <c r="S317" s="332">
        <f>Gasto_o_ing_total!R317*1000/Gasto_o_ing_total!R$485</f>
        <v>0</v>
      </c>
      <c r="T317" s="332">
        <f>Gasto_o_ing_total!S317*1000/Gasto_o_ing_total!S$485</f>
        <v>0</v>
      </c>
      <c r="U317" s="332">
        <f>Gasto_o_ing_total!T317*1000/Gasto_o_ing_total!T$485</f>
        <v>0</v>
      </c>
      <c r="V317" s="332">
        <f>Gasto_o_ing_total!U317*1000/Gasto_o_ing_total!U$485</f>
        <v>0</v>
      </c>
      <c r="W317" s="2"/>
    </row>
    <row r="318" spans="1:23">
      <c r="A318" s="351" t="str">
        <f>IF(B318="","",(IF(ISERROR(MATCH(B318,Tot_res!C:C,0)),"Eliminar!!!","")))</f>
        <v/>
      </c>
      <c r="B318" s="115" t="s">
        <v>1216</v>
      </c>
      <c r="C318" s="329" t="str">
        <f>VLOOKUP(B318,Tot_res!C:D,2,FALSE)</f>
        <v>Gestion de funciones y servicios traspasados en materia sanitaria</v>
      </c>
      <c r="D318" s="332">
        <f>Gasto_o_ing_total!V318*1000/Gasto_o_ing_total!V$485</f>
        <v>1.3944711365423018E-3</v>
      </c>
      <c r="E318" s="332">
        <f>Gasto_o_ing_total!D318*1000/Gasto_o_ing_total!D$485</f>
        <v>0</v>
      </c>
      <c r="F318" s="332">
        <f>Gasto_o_ing_total!E318*1000/Gasto_o_ing_total!E$485</f>
        <v>0</v>
      </c>
      <c r="G318" s="332">
        <f>Gasto_o_ing_total!F318*1000/Gasto_o_ing_total!F$485</f>
        <v>0</v>
      </c>
      <c r="H318" s="332">
        <f>Gasto_o_ing_total!G318*1000/Gasto_o_ing_total!G$485</f>
        <v>5.8986548884674771E-2</v>
      </c>
      <c r="I318" s="332">
        <f>Gasto_o_ing_total!H318*1000/Gasto_o_ing_total!H$485</f>
        <v>0</v>
      </c>
      <c r="J318" s="332">
        <f>Gasto_o_ing_total!I318*1000/Gasto_o_ing_total!I$485</f>
        <v>0</v>
      </c>
      <c r="K318" s="332">
        <f>Gasto_o_ing_total!J318*1000/Gasto_o_ing_total!J$485</f>
        <v>0</v>
      </c>
      <c r="L318" s="332">
        <f>Gasto_o_ing_total!K318*1000/Gasto_o_ing_total!K$485</f>
        <v>0</v>
      </c>
      <c r="M318" s="332">
        <f>Gasto_o_ing_total!L318*1000/Gasto_o_ing_total!L$485</f>
        <v>0</v>
      </c>
      <c r="N318" s="332">
        <f>Gasto_o_ing_total!M318*1000/Gasto_o_ing_total!M$485</f>
        <v>0</v>
      </c>
      <c r="O318" s="332">
        <f>Gasto_o_ing_total!N318*1000/Gasto_o_ing_total!N$485</f>
        <v>0</v>
      </c>
      <c r="P318" s="332">
        <f>Gasto_o_ing_total!O318*1000/Gasto_o_ing_total!O$485</f>
        <v>0</v>
      </c>
      <c r="Q318" s="332">
        <f>Gasto_o_ing_total!P318*1000/Gasto_o_ing_total!P$485</f>
        <v>0</v>
      </c>
      <c r="R318" s="332">
        <f>Gasto_o_ing_total!Q318*1000/Gasto_o_ing_total!Q$485</f>
        <v>0</v>
      </c>
      <c r="S318" s="332">
        <f>Gasto_o_ing_total!R318*1000/Gasto_o_ing_total!R$485</f>
        <v>0</v>
      </c>
      <c r="T318" s="332">
        <f>Gasto_o_ing_total!S318*1000/Gasto_o_ing_total!S$485</f>
        <v>0</v>
      </c>
      <c r="U318" s="332">
        <f>Gasto_o_ing_total!T318*1000/Gasto_o_ing_total!T$485</f>
        <v>0</v>
      </c>
      <c r="V318" s="332">
        <f>Gasto_o_ing_total!U318*1000/Gasto_o_ing_total!U$485</f>
        <v>0</v>
      </c>
      <c r="W318" s="2"/>
    </row>
    <row r="319" spans="1:23">
      <c r="A319" s="352"/>
      <c r="C319" s="12"/>
      <c r="D319" s="19"/>
      <c r="E319" s="19"/>
      <c r="F319" s="19"/>
      <c r="G319" s="19"/>
      <c r="H319" s="19"/>
      <c r="I319" s="19"/>
      <c r="J319" s="19"/>
      <c r="K319" s="19"/>
      <c r="L319" s="19"/>
      <c r="M319" s="19"/>
      <c r="N319" s="19"/>
      <c r="O319" s="19"/>
      <c r="P319" s="19"/>
      <c r="Q319" s="19"/>
      <c r="R319" s="19"/>
      <c r="S319" s="19"/>
      <c r="T319" s="19"/>
      <c r="U319" s="19"/>
      <c r="V319" s="19"/>
      <c r="W319" s="2"/>
    </row>
    <row r="320" spans="1:23">
      <c r="A320" s="352"/>
      <c r="C320" s="2"/>
      <c r="D320" s="19"/>
      <c r="E320" s="19"/>
      <c r="F320" s="19"/>
      <c r="G320" s="19"/>
      <c r="H320" s="19"/>
      <c r="I320" s="19"/>
      <c r="J320" s="19"/>
      <c r="K320" s="19"/>
      <c r="L320" s="19"/>
      <c r="M320" s="19"/>
      <c r="N320" s="19"/>
      <c r="O320" s="19"/>
      <c r="P320" s="19"/>
      <c r="Q320" s="19"/>
      <c r="R320" s="19"/>
      <c r="S320" s="19"/>
      <c r="T320" s="19"/>
      <c r="U320" s="19"/>
      <c r="V320" s="19"/>
    </row>
    <row r="321" spans="1:23" s="102" customFormat="1" ht="13.5">
      <c r="A321" s="358"/>
      <c r="B321" s="115"/>
      <c r="C321" s="117" t="s">
        <v>58</v>
      </c>
      <c r="D321" s="113">
        <f>Gasto_o_ing_total!V321*1000/Gasto_o_ing_total!V$485</f>
        <v>11.585078048869443</v>
      </c>
      <c r="E321" s="113">
        <f>Gasto_o_ing_total!D321*1000/Gasto_o_ing_total!D$485</f>
        <v>13.856134446565646</v>
      </c>
      <c r="F321" s="113">
        <f>Gasto_o_ing_total!E321*1000/Gasto_o_ing_total!E$485</f>
        <v>12.400014882075011</v>
      </c>
      <c r="G321" s="113">
        <f>Gasto_o_ing_total!F321*1000/Gasto_o_ing_total!F$485</f>
        <v>12.395993201652589</v>
      </c>
      <c r="H321" s="113">
        <f>Gasto_o_ing_total!G321*1000/Gasto_o_ing_total!G$485</f>
        <v>8.8774181785518351</v>
      </c>
      <c r="I321" s="113">
        <f>Gasto_o_ing_total!H321*1000/Gasto_o_ing_total!H$485</f>
        <v>14.846916274776964</v>
      </c>
      <c r="J321" s="113">
        <f>Gasto_o_ing_total!I321*1000/Gasto_o_ing_total!I$485</f>
        <v>12.245715875847983</v>
      </c>
      <c r="K321" s="113">
        <f>Gasto_o_ing_total!J321*1000/Gasto_o_ing_total!J$485</f>
        <v>11.272747122929504</v>
      </c>
      <c r="L321" s="113">
        <f>Gasto_o_ing_total!K321*1000/Gasto_o_ing_total!K$485</f>
        <v>12.048584082787803</v>
      </c>
      <c r="M321" s="113">
        <f>Gasto_o_ing_total!L321*1000/Gasto_o_ing_total!L$485</f>
        <v>6.7481249153893286</v>
      </c>
      <c r="N321" s="113">
        <f>Gasto_o_ing_total!M321*1000/Gasto_o_ing_total!M$485</f>
        <v>11.410382830937674</v>
      </c>
      <c r="O321" s="113">
        <f>Gasto_o_ing_total!N321*1000/Gasto_o_ing_total!N$485</f>
        <v>13.155520171285874</v>
      </c>
      <c r="P321" s="113">
        <f>Gasto_o_ing_total!O321*1000/Gasto_o_ing_total!O$485</f>
        <v>11.267931391993171</v>
      </c>
      <c r="Q321" s="113">
        <f>Gasto_o_ing_total!P321*1000/Gasto_o_ing_total!P$485</f>
        <v>12.741283492106556</v>
      </c>
      <c r="R321" s="113">
        <f>Gasto_o_ing_total!Q321*1000/Gasto_o_ing_total!Q$485</f>
        <v>16.375996216080768</v>
      </c>
      <c r="S321" s="113">
        <f>Gasto_o_ing_total!R321*1000/Gasto_o_ing_total!R$485</f>
        <v>11.907887442872035</v>
      </c>
      <c r="T321" s="113">
        <f>Gasto_o_ing_total!S321*1000/Gasto_o_ing_total!S$485</f>
        <v>10.317062069348411</v>
      </c>
      <c r="U321" s="113">
        <f>Gasto_o_ing_total!T321*1000/Gasto_o_ing_total!T$485</f>
        <v>11.044541073675331</v>
      </c>
      <c r="V321" s="113">
        <f>Gasto_o_ing_total!U321*1000/Gasto_o_ing_total!U$485</f>
        <v>6.6911787447779796</v>
      </c>
      <c r="W321" s="114"/>
    </row>
    <row r="322" spans="1:23" s="102" customFormat="1">
      <c r="A322" s="351" t="str">
        <f>IF(B322="","",(IF(ISERROR(MATCH(B322,Tot_res!C:C,0)),"Eliminar!!!","")))</f>
        <v/>
      </c>
      <c r="B322" s="115" t="s">
        <v>637</v>
      </c>
      <c r="C322" s="329" t="str">
        <f>VLOOKUP(B322,Tot_res!C:D,2,FALSE)</f>
        <v xml:space="preserve">Dirección y servicios generales de la educación,cultura y deporte, neto del gasto directo del Estado en Ceuta y Melilla </v>
      </c>
      <c r="D322" s="332">
        <f>Gasto_o_ing_total!V322*1000/Gasto_o_ing_total!V$485</f>
        <v>1.237846387487771</v>
      </c>
      <c r="E322" s="332">
        <f>Gasto_o_ing_total!D322*1000/Gasto_o_ing_total!D$485</f>
        <v>1.3421509048073383</v>
      </c>
      <c r="F322" s="332">
        <f>Gasto_o_ing_total!E322*1000/Gasto_o_ing_total!E$485</f>
        <v>1.1675057830690656</v>
      </c>
      <c r="G322" s="332">
        <f>Gasto_o_ing_total!F322*1000/Gasto_o_ing_total!F$485</f>
        <v>0.95888055125531935</v>
      </c>
      <c r="H322" s="332">
        <f>Gasto_o_ing_total!G322*1000/Gasto_o_ing_total!G$485</f>
        <v>1.1112316881829103</v>
      </c>
      <c r="I322" s="332">
        <f>Gasto_o_ing_total!H322*1000/Gasto_o_ing_total!H$485</f>
        <v>1.1991305944299702</v>
      </c>
      <c r="J322" s="332">
        <f>Gasto_o_ing_total!I322*1000/Gasto_o_ing_total!I$485</f>
        <v>1.1285499250717208</v>
      </c>
      <c r="K322" s="332">
        <f>Gasto_o_ing_total!J322*1000/Gasto_o_ing_total!J$485</f>
        <v>1.0793851259359437</v>
      </c>
      <c r="L322" s="332">
        <f>Gasto_o_ing_total!K322*1000/Gasto_o_ing_total!K$485</f>
        <v>1.2867636510648082</v>
      </c>
      <c r="M322" s="332">
        <f>Gasto_o_ing_total!L322*1000/Gasto_o_ing_total!L$485</f>
        <v>1.2303612799800774</v>
      </c>
      <c r="N322" s="332">
        <f>Gasto_o_ing_total!M322*1000/Gasto_o_ing_total!M$485</f>
        <v>1.2263016376933995</v>
      </c>
      <c r="O322" s="332">
        <f>Gasto_o_ing_total!N322*1000/Gasto_o_ing_total!N$485</f>
        <v>1.2386956154013102</v>
      </c>
      <c r="P322" s="332">
        <f>Gasto_o_ing_total!O322*1000/Gasto_o_ing_total!O$485</f>
        <v>1.0742740409487646</v>
      </c>
      <c r="Q322" s="332">
        <f>Gasto_o_ing_total!P322*1000/Gasto_o_ing_total!P$485</f>
        <v>1.3129082119929463</v>
      </c>
      <c r="R322" s="332">
        <f>Gasto_o_ing_total!Q322*1000/Gasto_o_ing_total!Q$485</f>
        <v>1.3928572454865855</v>
      </c>
      <c r="S322" s="332">
        <f>Gasto_o_ing_total!R322*1000/Gasto_o_ing_total!R$485</f>
        <v>1.2143197217434525</v>
      </c>
      <c r="T322" s="332">
        <f>Gasto_o_ing_total!S322*1000/Gasto_o_ing_total!S$485</f>
        <v>1.1949727988064363</v>
      </c>
      <c r="U322" s="332">
        <f>Gasto_o_ing_total!T322*1000/Gasto_o_ing_total!T$485</f>
        <v>1.1958620563781071</v>
      </c>
      <c r="V322" s="332">
        <f>Gasto_o_ing_total!U322*1000/Gasto_o_ing_total!U$485</f>
        <v>1.5995973041787646</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Gasto_o_ing_total!V323*1000/Gasto_o_ing_total!V$485</f>
        <v>4.4888182513454049E-2</v>
      </c>
      <c r="E323" s="332">
        <f>Gasto_o_ing_total!D323*1000/Gasto_o_ing_total!D$485</f>
        <v>5.1492081228274603E-2</v>
      </c>
      <c r="F323" s="332">
        <f>Gasto_o_ing_total!E323*1000/Gasto_o_ing_total!E$485</f>
        <v>4.9219365274422756E-2</v>
      </c>
      <c r="G323" s="332">
        <f>Gasto_o_ing_total!F323*1000/Gasto_o_ing_total!F$485</f>
        <v>4.7676375573022116E-2</v>
      </c>
      <c r="H323" s="332">
        <f>Gasto_o_ing_total!G323*1000/Gasto_o_ing_total!G$485</f>
        <v>3.7495033124489284E-2</v>
      </c>
      <c r="I323" s="332">
        <f>Gasto_o_ing_total!H323*1000/Gasto_o_ing_total!H$485</f>
        <v>5.2023561388633482E-2</v>
      </c>
      <c r="J323" s="332">
        <f>Gasto_o_ing_total!I323*1000/Gasto_o_ing_total!I$485</f>
        <v>4.9539793667427841E-2</v>
      </c>
      <c r="K323" s="332">
        <f>Gasto_o_ing_total!J323*1000/Gasto_o_ing_total!J$485</f>
        <v>5.1570685115915012E-2</v>
      </c>
      <c r="L323" s="332">
        <f>Gasto_o_ing_total!K323*1000/Gasto_o_ing_total!K$485</f>
        <v>5.1148561549458071E-2</v>
      </c>
      <c r="M323" s="332">
        <f>Gasto_o_ing_total!L323*1000/Gasto_o_ing_total!L$485</f>
        <v>4.0038900321852817E-2</v>
      </c>
      <c r="N323" s="332">
        <f>Gasto_o_ing_total!M323*1000/Gasto_o_ing_total!M$485</f>
        <v>3.9680438044787873E-2</v>
      </c>
      <c r="O323" s="332">
        <f>Gasto_o_ing_total!N323*1000/Gasto_o_ing_total!N$485</f>
        <v>5.7533930945659124E-2</v>
      </c>
      <c r="P323" s="332">
        <f>Gasto_o_ing_total!O323*1000/Gasto_o_ing_total!O$485</f>
        <v>4.1654478070285862E-2</v>
      </c>
      <c r="Q323" s="332">
        <f>Gasto_o_ing_total!P323*1000/Gasto_o_ing_total!P$485</f>
        <v>3.6699272570487579E-2</v>
      </c>
      <c r="R323" s="332">
        <f>Gasto_o_ing_total!Q323*1000/Gasto_o_ing_total!Q$485</f>
        <v>5.6926771498310283E-2</v>
      </c>
      <c r="S323" s="332">
        <f>Gasto_o_ing_total!R323*1000/Gasto_o_ing_total!R$485</f>
        <v>4.8434592647284364E-2</v>
      </c>
      <c r="T323" s="332">
        <f>Gasto_o_ing_total!S323*1000/Gasto_o_ing_total!S$485</f>
        <v>3.7606782384454238E-2</v>
      </c>
      <c r="U323" s="332">
        <f>Gasto_o_ing_total!T323*1000/Gasto_o_ing_total!T$485</f>
        <v>4.8784712713539402E-2</v>
      </c>
      <c r="V323" s="332">
        <f>Gasto_o_ing_total!U323*1000/Gasto_o_ing_total!U$485</f>
        <v>5.5024802416499631E-2</v>
      </c>
      <c r="W323" s="105"/>
    </row>
    <row r="324" spans="1:23" s="102" customFormat="1">
      <c r="A324" s="351" t="str">
        <f>IF(B324="","",(IF(ISERROR(MATCH(B324,Tot_res!C:C,0)),"Eliminar!!!","")))</f>
        <v/>
      </c>
      <c r="B324" s="115" t="s">
        <v>639</v>
      </c>
      <c r="C324" s="329" t="str">
        <f>VLOOKUP(B324,Tot_res!C:D,2,FALSE)</f>
        <v>Educación infantil y primaria +AF12/1</v>
      </c>
      <c r="D324" s="332">
        <f>Gasto_o_ing_total!V324*1000/Gasto_o_ing_total!V$485</f>
        <v>2.4456119982498832</v>
      </c>
      <c r="E324" s="332">
        <f>Gasto_o_ing_total!D324*1000/Gasto_o_ing_total!D$485</f>
        <v>8.2412188169929212</v>
      </c>
      <c r="F324" s="332">
        <f>Gasto_o_ing_total!E324*1000/Gasto_o_ing_total!E$485</f>
        <v>5.7208117187722598</v>
      </c>
      <c r="G324" s="332">
        <f>Gasto_o_ing_total!F324*1000/Gasto_o_ing_total!F$485</f>
        <v>7.4422115434078659E-2</v>
      </c>
      <c r="H324" s="332">
        <f>Gasto_o_ing_total!G324*1000/Gasto_o_ing_total!G$485</f>
        <v>0.10254298765825308</v>
      </c>
      <c r="I324" s="332">
        <f>Gasto_o_ing_total!H324*1000/Gasto_o_ing_total!H$485</f>
        <v>7.8694234074293492</v>
      </c>
      <c r="J324" s="332">
        <f>Gasto_o_ing_total!I324*1000/Gasto_o_ing_total!I$485</f>
        <v>5.8376283843337706</v>
      </c>
      <c r="K324" s="332">
        <f>Gasto_o_ing_total!J324*1000/Gasto_o_ing_total!J$485</f>
        <v>8.2400852933503702E-2</v>
      </c>
      <c r="L324" s="332">
        <f>Gasto_o_ing_total!K324*1000/Gasto_o_ing_total!K$485</f>
        <v>0.10819023565581419</v>
      </c>
      <c r="M324" s="332">
        <f>Gasto_o_ing_total!L324*1000/Gasto_o_ing_total!L$485</f>
        <v>0.1105317459289149</v>
      </c>
      <c r="N324" s="332">
        <f>Gasto_o_ing_total!M324*1000/Gasto_o_ing_total!M$485</f>
        <v>0.10481505910898815</v>
      </c>
      <c r="O324" s="332">
        <f>Gasto_o_ing_total!N324*1000/Gasto_o_ing_total!N$485</f>
        <v>9.6841063410064682E-2</v>
      </c>
      <c r="P324" s="332">
        <f>Gasto_o_ing_total!O324*1000/Gasto_o_ing_total!O$485</f>
        <v>8.5737089371024658E-2</v>
      </c>
      <c r="Q324" s="332">
        <f>Gasto_o_ing_total!P324*1000/Gasto_o_ing_total!P$485</f>
        <v>0.11327495190343388</v>
      </c>
      <c r="R324" s="332">
        <f>Gasto_o_ing_total!Q324*1000/Gasto_o_ing_total!Q$485</f>
        <v>0.11887402535772228</v>
      </c>
      <c r="S324" s="332">
        <f>Gasto_o_ing_total!R324*1000/Gasto_o_ing_total!R$485</f>
        <v>5.0057429743133861</v>
      </c>
      <c r="T324" s="332">
        <f>Gasto_o_ing_total!S324*1000/Gasto_o_ing_total!S$485</f>
        <v>5.0049279040019616</v>
      </c>
      <c r="U324" s="332">
        <f>Gasto_o_ing_total!T324*1000/Gasto_o_ing_total!T$485</f>
        <v>0.10371168745137863</v>
      </c>
      <c r="V324" s="332">
        <f>Gasto_o_ing_total!U324*1000/Gasto_o_ing_total!U$485</f>
        <v>0.14271072902081705</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Gasto_o_ing_total!V325*1000/Gasto_o_ing_total!V$485</f>
        <v>0.6391851521937465</v>
      </c>
      <c r="E325" s="332">
        <f>Gasto_o_ing_total!D325*1000/Gasto_o_ing_total!D$485</f>
        <v>0.58597948305296366</v>
      </c>
      <c r="F325" s="332">
        <f>Gasto_o_ing_total!E325*1000/Gasto_o_ing_total!E$485</f>
        <v>0.88098251806498584</v>
      </c>
      <c r="G325" s="332">
        <f>Gasto_o_ing_total!F325*1000/Gasto_o_ing_total!F$485</f>
        <v>0.45411300140036043</v>
      </c>
      <c r="H325" s="332">
        <f>Gasto_o_ing_total!G325*1000/Gasto_o_ing_total!G$485</f>
        <v>0.78003976143094556</v>
      </c>
      <c r="I325" s="332">
        <f>Gasto_o_ing_total!H325*1000/Gasto_o_ing_total!H$485</f>
        <v>0.61144560244184121</v>
      </c>
      <c r="J325" s="332">
        <f>Gasto_o_ing_total!I325*1000/Gasto_o_ing_total!I$485</f>
        <v>0.87139148908700459</v>
      </c>
      <c r="K325" s="332">
        <f>Gasto_o_ing_total!J325*1000/Gasto_o_ing_total!J$485</f>
        <v>0.9718747077839005</v>
      </c>
      <c r="L325" s="332">
        <f>Gasto_o_ing_total!K325*1000/Gasto_o_ing_total!K$485</f>
        <v>0.78045840313794423</v>
      </c>
      <c r="M325" s="332">
        <f>Gasto_o_ing_total!L325*1000/Gasto_o_ing_total!L$485</f>
        <v>0.33353358823323881</v>
      </c>
      <c r="N325" s="332">
        <f>Gasto_o_ing_total!M325*1000/Gasto_o_ing_total!M$485</f>
        <v>0.91380019079372476</v>
      </c>
      <c r="O325" s="332">
        <f>Gasto_o_ing_total!N325*1000/Gasto_o_ing_total!N$485</f>
        <v>0.80220378426983996</v>
      </c>
      <c r="P325" s="332">
        <f>Gasto_o_ing_total!O325*1000/Gasto_o_ing_total!O$485</f>
        <v>0.51875073389211224</v>
      </c>
      <c r="Q325" s="332">
        <f>Gasto_o_ing_total!P325*1000/Gasto_o_ing_total!P$485</f>
        <v>0.68898452441373337</v>
      </c>
      <c r="R325" s="332">
        <f>Gasto_o_ing_total!Q325*1000/Gasto_o_ing_total!Q$485</f>
        <v>0.69684051992864093</v>
      </c>
      <c r="S325" s="332">
        <f>Gasto_o_ing_total!R325*1000/Gasto_o_ing_total!R$485</f>
        <v>0.82591148275629556</v>
      </c>
      <c r="T325" s="332">
        <f>Gasto_o_ing_total!S325*1000/Gasto_o_ing_total!S$485</f>
        <v>0.33363936488765289</v>
      </c>
      <c r="U325" s="332">
        <f>Gasto_o_ing_total!T325*1000/Gasto_o_ing_total!T$485</f>
        <v>1.3885554004017677</v>
      </c>
      <c r="V325" s="332">
        <f>Gasto_o_ing_total!U325*1000/Gasto_o_ing_total!U$485</f>
        <v>0.3627211765187569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Gasto_o_ing_total!V326*1000/Gasto_o_ing_total!V$485</f>
        <v>2.4033454525535394</v>
      </c>
      <c r="E326" s="332">
        <f>Gasto_o_ing_total!D326*1000/Gasto_o_ing_total!D$485</f>
        <v>2.158016910937949</v>
      </c>
      <c r="F326" s="332">
        <f>Gasto_o_ing_total!E326*1000/Gasto_o_ing_total!E$485</f>
        <v>2.9532609983944305</v>
      </c>
      <c r="G326" s="332">
        <f>Gasto_o_ing_total!F326*1000/Gasto_o_ing_total!F$485</f>
        <v>2.4825143450509346</v>
      </c>
      <c r="H326" s="332">
        <f>Gasto_o_ing_total!G326*1000/Gasto_o_ing_total!G$485</f>
        <v>2.1727891165771425</v>
      </c>
      <c r="I326" s="332">
        <f>Gasto_o_ing_total!H326*1000/Gasto_o_ing_total!H$485</f>
        <v>2.3936768697486968</v>
      </c>
      <c r="J326" s="332">
        <f>Gasto_o_ing_total!I326*1000/Gasto_o_ing_total!I$485</f>
        <v>2.8453270383878393</v>
      </c>
      <c r="K326" s="332">
        <f>Gasto_o_ing_total!J326*1000/Gasto_o_ing_total!J$485</f>
        <v>2.5452175157823969</v>
      </c>
      <c r="L326" s="332">
        <f>Gasto_o_ing_total!K326*1000/Gasto_o_ing_total!K$485</f>
        <v>2.7187759770851043</v>
      </c>
      <c r="M326" s="332">
        <f>Gasto_o_ing_total!L326*1000/Gasto_o_ing_total!L$485</f>
        <v>1.4294806785583802</v>
      </c>
      <c r="N326" s="332">
        <f>Gasto_o_ing_total!M326*1000/Gasto_o_ing_total!M$485</f>
        <v>2.0921410686320252</v>
      </c>
      <c r="O326" s="332">
        <f>Gasto_o_ing_total!N326*1000/Gasto_o_ing_total!N$485</f>
        <v>2.4618316176973916</v>
      </c>
      <c r="P326" s="332">
        <f>Gasto_o_ing_total!O326*1000/Gasto_o_ing_total!O$485</f>
        <v>2.6152164167722582</v>
      </c>
      <c r="Q326" s="332">
        <f>Gasto_o_ing_total!P326*1000/Gasto_o_ing_total!P$485</f>
        <v>3.6964526978353254</v>
      </c>
      <c r="R326" s="332">
        <f>Gasto_o_ing_total!Q326*1000/Gasto_o_ing_total!Q$485</f>
        <v>2.4337278832617733</v>
      </c>
      <c r="S326" s="332">
        <f>Gasto_o_ing_total!R326*1000/Gasto_o_ing_total!R$485</f>
        <v>3.4474938588338579</v>
      </c>
      <c r="T326" s="332">
        <f>Gasto_o_ing_total!S326*1000/Gasto_o_ing_total!S$485</f>
        <v>2.0631481377085468</v>
      </c>
      <c r="U326" s="332">
        <f>Gasto_o_ing_total!T326*1000/Gasto_o_ing_total!T$485</f>
        <v>2.398053498012235</v>
      </c>
      <c r="V326" s="332">
        <f>Gasto_o_ing_total!U326*1000/Gasto_o_ing_total!U$485</f>
        <v>3.4943902745588389</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Gasto_o_ing_total!V327*1000/Gasto_o_ing_total!V$485</f>
        <v>6.540963337261172E-5</v>
      </c>
      <c r="E327" s="332">
        <f>Gasto_o_ing_total!D327*1000/Gasto_o_ing_total!D$485</f>
        <v>5.2551982272838303E-5</v>
      </c>
      <c r="F327" s="332">
        <f>Gasto_o_ing_total!E327*1000/Gasto_o_ing_total!E$485</f>
        <v>7.6422601128258276E-5</v>
      </c>
      <c r="G327" s="332">
        <f>Gasto_o_ing_total!F327*1000/Gasto_o_ing_total!F$485</f>
        <v>2.2801792959150454E-5</v>
      </c>
      <c r="H327" s="332">
        <f>Gasto_o_ing_total!G327*1000/Gasto_o_ing_total!G$485</f>
        <v>1.5760406560824996E-5</v>
      </c>
      <c r="I327" s="332">
        <f>Gasto_o_ing_total!H327*1000/Gasto_o_ing_total!H$485</f>
        <v>9.0588943180607381E-5</v>
      </c>
      <c r="J327" s="332">
        <f>Gasto_o_ing_total!I327*1000/Gasto_o_ing_total!I$485</f>
        <v>3.1015952817798396E-5</v>
      </c>
      <c r="K327" s="332">
        <f>Gasto_o_ing_total!J327*1000/Gasto_o_ing_total!J$485</f>
        <v>7.0705127303769721E-5</v>
      </c>
      <c r="L327" s="332">
        <f>Gasto_o_ing_total!K327*1000/Gasto_o_ing_total!K$485</f>
        <v>6.6970556907296758E-5</v>
      </c>
      <c r="M327" s="332">
        <f>Gasto_o_ing_total!L327*1000/Gasto_o_ing_total!L$485</f>
        <v>8.1403648827889588E-5</v>
      </c>
      <c r="N327" s="332">
        <f>Gasto_o_ing_total!M327*1000/Gasto_o_ing_total!M$485</f>
        <v>3.8011580687543967E-5</v>
      </c>
      <c r="O327" s="332">
        <f>Gasto_o_ing_total!N327*1000/Gasto_o_ing_total!N$485</f>
        <v>1.8918314989096889E-5</v>
      </c>
      <c r="P327" s="332">
        <f>Gasto_o_ing_total!O327*1000/Gasto_o_ing_total!O$485</f>
        <v>7.2355005642735432E-5</v>
      </c>
      <c r="Q327" s="332">
        <f>Gasto_o_ing_total!P327*1000/Gasto_o_ing_total!P$485</f>
        <v>6.7202519253734043E-5</v>
      </c>
      <c r="R327" s="332">
        <f>Gasto_o_ing_total!Q327*1000/Gasto_o_ing_total!Q$485</f>
        <v>2.7175787029015733E-5</v>
      </c>
      <c r="S327" s="332">
        <f>Gasto_o_ing_total!R327*1000/Gasto_o_ing_total!R$485</f>
        <v>1.8084143318347723E-4</v>
      </c>
      <c r="T327" s="332">
        <f>Gasto_o_ing_total!S327*1000/Gasto_o_ing_total!S$485</f>
        <v>1.3926505977519634E-4</v>
      </c>
      <c r="U327" s="332">
        <f>Gasto_o_ing_total!T327*1000/Gasto_o_ing_total!T$485</f>
        <v>8.8203288464271305E-5</v>
      </c>
      <c r="V327" s="332">
        <f>Gasto_o_ing_total!U327*1000/Gasto_o_ing_total!U$485</f>
        <v>3.2181031614826536E-5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Gasto_o_ing_total!V328*1000/Gasto_o_ing_total!V$485</f>
        <v>2.3863742986830676E-2</v>
      </c>
      <c r="E328" s="332">
        <f>Gasto_o_ing_total!D328*1000/Gasto_o_ing_total!D$485</f>
        <v>1.7104437206929796E-2</v>
      </c>
      <c r="F328" s="332">
        <f>Gasto_o_ing_total!E328*1000/Gasto_o_ing_total!E$485</f>
        <v>1.3227026896229045E-2</v>
      </c>
      <c r="G328" s="332">
        <f>Gasto_o_ing_total!F328*1000/Gasto_o_ing_total!F$485</f>
        <v>1.1308118563245498E-2</v>
      </c>
      <c r="H328" s="332">
        <f>Gasto_o_ing_total!G328*1000/Gasto_o_ing_total!G$485</f>
        <v>1.0867054826104358E-2</v>
      </c>
      <c r="I328" s="332">
        <f>Gasto_o_ing_total!H328*1000/Gasto_o_ing_total!H$485</f>
        <v>1.5175958090775345E-2</v>
      </c>
      <c r="J328" s="332">
        <f>Gasto_o_ing_total!I328*1000/Gasto_o_ing_total!I$485</f>
        <v>3.3515645979654951E-2</v>
      </c>
      <c r="K328" s="332">
        <f>Gasto_o_ing_total!J328*1000/Gasto_o_ing_total!J$485</f>
        <v>1.9887661807158001E-2</v>
      </c>
      <c r="L328" s="332">
        <f>Gasto_o_ing_total!K328*1000/Gasto_o_ing_total!K$485</f>
        <v>1.2425643869468015E-2</v>
      </c>
      <c r="M328" s="332">
        <f>Gasto_o_ing_total!L328*1000/Gasto_o_ing_total!L$485</f>
        <v>2.106171625795774E-2</v>
      </c>
      <c r="N328" s="332">
        <f>Gasto_o_ing_total!M328*1000/Gasto_o_ing_total!M$485</f>
        <v>1.2139947494245166E-2</v>
      </c>
      <c r="O328" s="332">
        <f>Gasto_o_ing_total!N328*1000/Gasto_o_ing_total!N$485</f>
        <v>1.2028602241424633E-2</v>
      </c>
      <c r="P328" s="332">
        <f>Gasto_o_ing_total!O328*1000/Gasto_o_ing_total!O$485</f>
        <v>1.0755740958161812E-2</v>
      </c>
      <c r="Q328" s="332">
        <f>Gasto_o_ing_total!P328*1000/Gasto_o_ing_total!P$485</f>
        <v>6.1805337265506861E-2</v>
      </c>
      <c r="R328" s="332">
        <f>Gasto_o_ing_total!Q328*1000/Gasto_o_ing_total!Q$485</f>
        <v>4.5386844931752782E-2</v>
      </c>
      <c r="S328" s="332">
        <f>Gasto_o_ing_total!R328*1000/Gasto_o_ing_total!R$485</f>
        <v>2.7168468398217172E-2</v>
      </c>
      <c r="T328" s="332">
        <f>Gasto_o_ing_total!S328*1000/Gasto_o_ing_total!S$485</f>
        <v>2.0650485154908214E-2</v>
      </c>
      <c r="U328" s="332">
        <f>Gasto_o_ing_total!T328*1000/Gasto_o_ing_total!T$485</f>
        <v>3.0428000967928411E-2</v>
      </c>
      <c r="V328" s="332">
        <f>Gasto_o_ing_total!U328*1000/Gasto_o_ing_total!U$485</f>
        <v>2.2517333004210903E-2</v>
      </c>
      <c r="W328" s="105"/>
    </row>
    <row r="329" spans="1:23" s="102" customFormat="1">
      <c r="A329" s="351" t="str">
        <f>IF(B329="","",(IF(ISERROR(MATCH(B329,Tot_res!C:C,0)),"Eliminar!!!","")))</f>
        <v/>
      </c>
      <c r="B329" s="115" t="s">
        <v>644</v>
      </c>
      <c r="C329" s="329" t="str">
        <f>VLOOKUP(B329,Tot_res!C:D,2,FALSE)</f>
        <v xml:space="preserve">Deporte en edad escolar y en la universidad, neto del gasto directo del Estado en Ceuta y Melilla  </v>
      </c>
      <c r="D329" s="332">
        <f>Gasto_o_ing_total!V329*1000/Gasto_o_ing_total!V$485</f>
        <v>4.8327613888700251E-2</v>
      </c>
      <c r="E329" s="332">
        <f>Gasto_o_ing_total!D329*1000/Gasto_o_ing_total!D$485</f>
        <v>4.3131667661766265E-2</v>
      </c>
      <c r="F329" s="332">
        <f>Gasto_o_ing_total!E329*1000/Gasto_o_ing_total!E$485</f>
        <v>7.4949936112816903E-2</v>
      </c>
      <c r="G329" s="332">
        <f>Gasto_o_ing_total!F329*1000/Gasto_o_ing_total!F$485</f>
        <v>0.1375943240448316</v>
      </c>
      <c r="H329" s="332">
        <f>Gasto_o_ing_total!G329*1000/Gasto_o_ing_total!G$485</f>
        <v>2.8089155948900341E-2</v>
      </c>
      <c r="I329" s="332">
        <f>Gasto_o_ing_total!H329*1000/Gasto_o_ing_total!H$485</f>
        <v>3.185057172874959E-2</v>
      </c>
      <c r="J329" s="332">
        <f>Gasto_o_ing_total!I329*1000/Gasto_o_ing_total!I$485</f>
        <v>8.0989146141750956E-2</v>
      </c>
      <c r="K329" s="332">
        <f>Gasto_o_ing_total!J329*1000/Gasto_o_ing_total!J$485</f>
        <v>7.3113274953897647E-2</v>
      </c>
      <c r="L329" s="332">
        <f>Gasto_o_ing_total!K329*1000/Gasto_o_ing_total!K$485</f>
        <v>3.3735502370180859E-2</v>
      </c>
      <c r="M329" s="332">
        <f>Gasto_o_ing_total!L329*1000/Gasto_o_ing_total!L$485</f>
        <v>3.5369300726369207E-2</v>
      </c>
      <c r="N329" s="332">
        <f>Gasto_o_ing_total!M329*1000/Gasto_o_ing_total!M$485</f>
        <v>4.0185928695202031E-2</v>
      </c>
      <c r="O329" s="332">
        <f>Gasto_o_ing_total!N329*1000/Gasto_o_ing_total!N$485</f>
        <v>0.11135202569161796</v>
      </c>
      <c r="P329" s="332">
        <f>Gasto_o_ing_total!O329*1000/Gasto_o_ing_total!O$485</f>
        <v>3.6184993922300727E-2</v>
      </c>
      <c r="Q329" s="332">
        <f>Gasto_o_ing_total!P329*1000/Gasto_o_ing_total!P$485</f>
        <v>4.9780852035520975E-2</v>
      </c>
      <c r="R329" s="332">
        <f>Gasto_o_ing_total!Q329*1000/Gasto_o_ing_total!Q$485</f>
        <v>8.8938110368739789E-2</v>
      </c>
      <c r="S329" s="332">
        <f>Gasto_o_ing_total!R329*1000/Gasto_o_ing_total!R$485</f>
        <v>3.069496343436048E-2</v>
      </c>
      <c r="T329" s="332">
        <f>Gasto_o_ing_total!S329*1000/Gasto_o_ing_total!S$485</f>
        <v>3.5651029519538448E-2</v>
      </c>
      <c r="U329" s="332">
        <f>Gasto_o_ing_total!T329*1000/Gasto_o_ing_total!T$485</f>
        <v>3.0228399848734534E-2</v>
      </c>
      <c r="V329" s="332">
        <f>Gasto_o_ing_total!U329*1000/Gasto_o_ing_total!U$485</f>
        <v>4.0433816467193948E-2</v>
      </c>
      <c r="W329" s="105"/>
    </row>
    <row r="330" spans="1:23" s="102" customFormat="1">
      <c r="A330" s="351" t="str">
        <f>IF(B330="","",(IF(ISERROR(MATCH(B330,Tot_res!C:C,0)),"Eliminar!!!","")))</f>
        <v/>
      </c>
      <c r="B330" s="115" t="s">
        <v>645</v>
      </c>
      <c r="C330" s="329" t="str">
        <f>VLOOKUP(B330,Tot_res!C:D,2,FALSE)</f>
        <v xml:space="preserve">Otras enseñanzas y actividades educativas, neto del gasto directo del Estado en Ceuta y Melilla  </v>
      </c>
      <c r="D330" s="332">
        <f>Gasto_o_ing_total!V330*1000/Gasto_o_ing_total!V$485</f>
        <v>0.41177116258310875</v>
      </c>
      <c r="E330" s="332">
        <f>Gasto_o_ing_total!D330*1000/Gasto_o_ing_total!D$485</f>
        <v>0.33153631207903222</v>
      </c>
      <c r="F330" s="332">
        <f>Gasto_o_ing_total!E330*1000/Gasto_o_ing_total!E$485</f>
        <v>0.40249288884147522</v>
      </c>
      <c r="G330" s="332">
        <f>Gasto_o_ing_total!F330*1000/Gasto_o_ing_total!F$485</f>
        <v>0.20278402552269256</v>
      </c>
      <c r="H330" s="332">
        <f>Gasto_o_ing_total!G330*1000/Gasto_o_ing_total!G$485</f>
        <v>0.32822967158792538</v>
      </c>
      <c r="I330" s="332">
        <f>Gasto_o_ing_total!H330*1000/Gasto_o_ing_total!H$485</f>
        <v>1.575225704883354</v>
      </c>
      <c r="J330" s="332">
        <f>Gasto_o_ing_total!I330*1000/Gasto_o_ing_total!I$485</f>
        <v>0.3169557822103844</v>
      </c>
      <c r="K330" s="332">
        <f>Gasto_o_ing_total!J330*1000/Gasto_o_ing_total!J$485</f>
        <v>0.37335309123919208</v>
      </c>
      <c r="L330" s="332">
        <f>Gasto_o_ing_total!K330*1000/Gasto_o_ing_total!K$485</f>
        <v>0.31993183622353311</v>
      </c>
      <c r="M330" s="332">
        <f>Gasto_o_ing_total!L330*1000/Gasto_o_ing_total!L$485</f>
        <v>0.28753057043029995</v>
      </c>
      <c r="N330" s="332">
        <f>Gasto_o_ing_total!M330*1000/Gasto_o_ing_total!M$485</f>
        <v>0.29955734768280806</v>
      </c>
      <c r="O330" s="332">
        <f>Gasto_o_ing_total!N330*1000/Gasto_o_ing_total!N$485</f>
        <v>0.26779807780059034</v>
      </c>
      <c r="P330" s="332">
        <f>Gasto_o_ing_total!O330*1000/Gasto_o_ing_total!O$485</f>
        <v>0.24595089138017184</v>
      </c>
      <c r="Q330" s="332">
        <f>Gasto_o_ing_total!P330*1000/Gasto_o_ing_total!P$485</f>
        <v>0.55998315353758366</v>
      </c>
      <c r="R330" s="332">
        <f>Gasto_o_ing_total!Q330*1000/Gasto_o_ing_total!Q$485</f>
        <v>0.28301853190244913</v>
      </c>
      <c r="S330" s="332">
        <f>Gasto_o_ing_total!R330*1000/Gasto_o_ing_total!R$485</f>
        <v>0.23452175925423371</v>
      </c>
      <c r="T330" s="332">
        <f>Gasto_o_ing_total!S330*1000/Gasto_o_ing_total!S$485</f>
        <v>0.58547963536372516</v>
      </c>
      <c r="U330" s="332">
        <f>Gasto_o_ing_total!T330*1000/Gasto_o_ing_total!T$485</f>
        <v>0.37732545477940754</v>
      </c>
      <c r="V330" s="332">
        <f>Gasto_o_ing_total!U330*1000/Gasto_o_ing_total!U$485</f>
        <v>0.28177052390056151</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Gasto_o_ing_total!V331*1000/Gasto_o_ing_total!V$485</f>
        <v>0.13055596046941031</v>
      </c>
      <c r="E331" s="332">
        <f>Gasto_o_ing_total!D331*1000/Gasto_o_ing_total!D$485</f>
        <v>0.13816287620555082</v>
      </c>
      <c r="F331" s="332">
        <f>Gasto_o_ing_total!E331*1000/Gasto_o_ing_total!E$485</f>
        <v>0.1255366155710638</v>
      </c>
      <c r="G331" s="332">
        <f>Gasto_o_ing_total!F331*1000/Gasto_o_ing_total!F$485</f>
        <v>0.11318391185507118</v>
      </c>
      <c r="H331" s="332">
        <f>Gasto_o_ing_total!G331*1000/Gasto_o_ing_total!G$485</f>
        <v>0.11082832515391358</v>
      </c>
      <c r="I331" s="332">
        <f>Gasto_o_ing_total!H331*1000/Gasto_o_ing_total!H$485</f>
        <v>0.13865869960115307</v>
      </c>
      <c r="J331" s="332">
        <f>Gasto_o_ing_total!I331*1000/Gasto_o_ing_total!I$485</f>
        <v>0.12430553975537023</v>
      </c>
      <c r="K331" s="332">
        <f>Gasto_o_ing_total!J331*1000/Gasto_o_ing_total!J$485</f>
        <v>0.12719116576032921</v>
      </c>
      <c r="L331" s="332">
        <f>Gasto_o_ing_total!K331*1000/Gasto_o_ing_total!K$485</f>
        <v>0.13787973062372108</v>
      </c>
      <c r="M331" s="332">
        <f>Gasto_o_ing_total!L331*1000/Gasto_o_ing_total!L$485</f>
        <v>0.12456331120368391</v>
      </c>
      <c r="N331" s="332">
        <f>Gasto_o_ing_total!M331*1000/Gasto_o_ing_total!M$485</f>
        <v>0.13015290745471034</v>
      </c>
      <c r="O331" s="332">
        <f>Gasto_o_ing_total!N331*1000/Gasto_o_ing_total!N$485</f>
        <v>0.14137870285837165</v>
      </c>
      <c r="P331" s="332">
        <f>Gasto_o_ing_total!O331*1000/Gasto_o_ing_total!O$485</f>
        <v>0.12250854426349864</v>
      </c>
      <c r="Q331" s="332">
        <f>Gasto_o_ing_total!P331*1000/Gasto_o_ing_total!P$485</f>
        <v>0.13210326648892617</v>
      </c>
      <c r="R331" s="332">
        <f>Gasto_o_ing_total!Q331*1000/Gasto_o_ing_total!Q$485</f>
        <v>0.14614052429520324</v>
      </c>
      <c r="S331" s="332">
        <f>Gasto_o_ing_total!R331*1000/Gasto_o_ing_total!R$485</f>
        <v>0.12699280744480268</v>
      </c>
      <c r="T331" s="332">
        <f>Gasto_o_ing_total!S331*1000/Gasto_o_ing_total!S$485</f>
        <v>0.12422556778134766</v>
      </c>
      <c r="U331" s="332">
        <f>Gasto_o_ing_total!T331*1000/Gasto_o_ing_total!T$485</f>
        <v>0.12559987000952003</v>
      </c>
      <c r="V331" s="332">
        <f>Gasto_o_ing_total!U331*1000/Gasto_o_ing_total!U$485</f>
        <v>0.15888044676196061</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Gasto_o_ing_total!V332*1000/Gasto_o_ing_total!V$485</f>
        <v>0.9166210986800668</v>
      </c>
      <c r="E332" s="332">
        <f>Gasto_o_ing_total!D332*1000/Gasto_o_ing_total!D$485</f>
        <v>0.94728840441064588</v>
      </c>
      <c r="F332" s="332">
        <f>Gasto_o_ing_total!E332*1000/Gasto_o_ing_total!E$485</f>
        <v>1.0119516084771321</v>
      </c>
      <c r="G332" s="332">
        <f>Gasto_o_ing_total!F332*1000/Gasto_o_ing_total!F$485</f>
        <v>0.95018796480454915</v>
      </c>
      <c r="H332" s="332">
        <f>Gasto_o_ing_total!G332*1000/Gasto_o_ing_total!G$485</f>
        <v>0.85801975408210385</v>
      </c>
      <c r="I332" s="332">
        <f>Gasto_o_ing_total!H332*1000/Gasto_o_ing_total!H$485</f>
        <v>0.9602147160912583</v>
      </c>
      <c r="J332" s="332">
        <f>Gasto_o_ing_total!I332*1000/Gasto_o_ing_total!I$485</f>
        <v>0.95748211526024274</v>
      </c>
      <c r="K332" s="332">
        <f>Gasto_o_ing_total!J332*1000/Gasto_o_ing_total!J$485</f>
        <v>1.0269791583378884</v>
      </c>
      <c r="L332" s="332">
        <f>Gasto_o_ing_total!K332*1000/Gasto_o_ing_total!K$485</f>
        <v>1.0169595209000433</v>
      </c>
      <c r="M332" s="332">
        <f>Gasto_o_ing_total!L332*1000/Gasto_o_ing_total!L$485</f>
        <v>0.81454171198477188</v>
      </c>
      <c r="N332" s="332">
        <f>Gasto_o_ing_total!M332*1000/Gasto_o_ing_total!M$485</f>
        <v>0.87298235652305589</v>
      </c>
      <c r="O332" s="332">
        <f>Gasto_o_ing_total!N332*1000/Gasto_o_ing_total!N$485</f>
        <v>1.2999845567121073</v>
      </c>
      <c r="P332" s="332">
        <f>Gasto_o_ing_total!O332*1000/Gasto_o_ing_total!O$485</f>
        <v>1.0176883371275267</v>
      </c>
      <c r="Q332" s="332">
        <f>Gasto_o_ing_total!P332*1000/Gasto_o_ing_total!P$485</f>
        <v>0.81851545761233957</v>
      </c>
      <c r="R332" s="332">
        <f>Gasto_o_ing_total!Q332*1000/Gasto_o_ing_total!Q$485</f>
        <v>0.9345697826835776</v>
      </c>
      <c r="S332" s="332">
        <f>Gasto_o_ing_total!R332*1000/Gasto_o_ing_total!R$485</f>
        <v>0.94642597261295902</v>
      </c>
      <c r="T332" s="332">
        <f>Gasto_o_ing_total!S332*1000/Gasto_o_ing_total!S$485</f>
        <v>0.9166210986800668</v>
      </c>
      <c r="U332" s="332">
        <f>Gasto_o_ing_total!T332*1000/Gasto_o_ing_total!T$485</f>
        <v>0.87860488642700751</v>
      </c>
      <c r="V332" s="332">
        <f>Gasto_o_ing_total!U332*1000/Gasto_o_ing_total!U$485</f>
        <v>0.53310015691875945</v>
      </c>
      <c r="W332" s="105"/>
    </row>
    <row r="333" spans="1:23" s="102" customFormat="1">
      <c r="A333" s="351" t="str">
        <f>IF(B333="","",(IF(ISERROR(MATCH(B333,Tot_res!C:C,0)),"Eliminar!!!","")))</f>
        <v/>
      </c>
      <c r="B333" s="115" t="s">
        <v>311</v>
      </c>
      <c r="C333" s="329" t="str">
        <f>VLOOKUP(B333,Tot_res!C:D,2,FALSE)</f>
        <v>Profesores de religión</v>
      </c>
      <c r="D333" s="332">
        <f>Gasto_o_ing_total!V333*1000/Gasto_o_ing_total!V$485</f>
        <v>3.2829958876295584</v>
      </c>
      <c r="E333" s="332">
        <f>Gasto_o_ing_total!D333*1000/Gasto_o_ing_total!D$485</f>
        <v>0</v>
      </c>
      <c r="F333" s="332">
        <f>Gasto_o_ing_total!E333*1000/Gasto_o_ing_total!E$485</f>
        <v>0</v>
      </c>
      <c r="G333" s="332">
        <f>Gasto_o_ing_total!F333*1000/Gasto_o_ing_total!F$485</f>
        <v>6.9633056663555246</v>
      </c>
      <c r="H333" s="332">
        <f>Gasto_o_ing_total!G333*1000/Gasto_o_ing_total!G$485</f>
        <v>3.3372698695725882</v>
      </c>
      <c r="I333" s="332">
        <f>Gasto_o_ing_total!H333*1000/Gasto_o_ing_total!H$485</f>
        <v>0</v>
      </c>
      <c r="J333" s="332">
        <f>Gasto_o_ing_total!I333*1000/Gasto_o_ing_total!I$485</f>
        <v>0</v>
      </c>
      <c r="K333" s="332">
        <f>Gasto_o_ing_total!J333*1000/Gasto_o_ing_total!J$485</f>
        <v>4.9217031781520744</v>
      </c>
      <c r="L333" s="332">
        <f>Gasto_o_ing_total!K333*1000/Gasto_o_ing_total!K$485</f>
        <v>5.5822480497508238</v>
      </c>
      <c r="M333" s="332">
        <f>Gasto_o_ing_total!L333*1000/Gasto_o_ing_total!L$485</f>
        <v>2.321030708114955</v>
      </c>
      <c r="N333" s="332">
        <f>Gasto_o_ing_total!M333*1000/Gasto_o_ing_total!M$485</f>
        <v>5.6785879372340382</v>
      </c>
      <c r="O333" s="332">
        <f>Gasto_o_ing_total!N333*1000/Gasto_o_ing_total!N$485</f>
        <v>6.6658532759425091</v>
      </c>
      <c r="P333" s="332">
        <f>Gasto_o_ing_total!O333*1000/Gasto_o_ing_total!O$485</f>
        <v>5.4991377702814228</v>
      </c>
      <c r="Q333" s="332">
        <f>Gasto_o_ing_total!P333*1000/Gasto_o_ing_total!P$485</f>
        <v>5.2707085639314988</v>
      </c>
      <c r="R333" s="332">
        <f>Gasto_o_ing_total!Q333*1000/Gasto_o_ing_total!Q$485</f>
        <v>10.178688800578982</v>
      </c>
      <c r="S333" s="332">
        <f>Gasto_o_ing_total!R333*1000/Gasto_o_ing_total!R$485</f>
        <v>0</v>
      </c>
      <c r="T333" s="332">
        <f>Gasto_o_ing_total!S333*1000/Gasto_o_ing_total!S$485</f>
        <v>0</v>
      </c>
      <c r="U333" s="332">
        <f>Gasto_o_ing_total!T333*1000/Gasto_o_ing_total!T$485</f>
        <v>4.467298903397241</v>
      </c>
      <c r="V333" s="332">
        <f>Gasto_o_ing_total!U333*1000/Gasto_o_ing_total!U$485</f>
        <v>0</v>
      </c>
      <c r="W333" s="105"/>
    </row>
    <row r="334" spans="1:23">
      <c r="A334" s="352"/>
      <c r="D334" s="19"/>
      <c r="E334" s="19"/>
      <c r="F334" s="19"/>
      <c r="G334" s="19"/>
      <c r="H334" s="19"/>
      <c r="I334" s="19"/>
      <c r="J334" s="19"/>
      <c r="K334" s="19"/>
      <c r="L334" s="19"/>
      <c r="M334" s="19"/>
      <c r="N334" s="19"/>
      <c r="O334" s="19"/>
      <c r="P334" s="19"/>
      <c r="Q334" s="19"/>
      <c r="R334" s="19"/>
      <c r="S334" s="19"/>
      <c r="T334" s="19"/>
      <c r="U334" s="19"/>
      <c r="V334" s="19"/>
      <c r="W334" s="2"/>
    </row>
    <row r="335" spans="1:23" s="102" customFormat="1" ht="13.5">
      <c r="A335" s="352"/>
      <c r="B335" s="115"/>
      <c r="C335" s="117" t="s">
        <v>76</v>
      </c>
      <c r="D335" s="113">
        <f>Gasto_o_ing_total!V335*1000/Gasto_o_ing_total!V$485</f>
        <v>275.889576362551</v>
      </c>
      <c r="E335" s="113">
        <f>Gasto_o_ing_total!D335*1000/Gasto_o_ing_total!D$485</f>
        <v>249.76568523500043</v>
      </c>
      <c r="F335" s="113">
        <f>Gasto_o_ing_total!E335*1000/Gasto_o_ing_total!E$485</f>
        <v>282.22871023028654</v>
      </c>
      <c r="G335" s="113">
        <f>Gasto_o_ing_total!F335*1000/Gasto_o_ing_total!F$485</f>
        <v>267.97015802617955</v>
      </c>
      <c r="H335" s="113">
        <f>Gasto_o_ing_total!G335*1000/Gasto_o_ing_total!G$485</f>
        <v>275.94807325651271</v>
      </c>
      <c r="I335" s="113">
        <f>Gasto_o_ing_total!H335*1000/Gasto_o_ing_total!H$485</f>
        <v>262.67894951049885</v>
      </c>
      <c r="J335" s="113">
        <f>Gasto_o_ing_total!I335*1000/Gasto_o_ing_total!I$485</f>
        <v>252.71368427134729</v>
      </c>
      <c r="K335" s="113">
        <f>Gasto_o_ing_total!J335*1000/Gasto_o_ing_total!J$485</f>
        <v>308.51220174746834</v>
      </c>
      <c r="L335" s="113">
        <f>Gasto_o_ing_total!K335*1000/Gasto_o_ing_total!K$485</f>
        <v>242.29627717879043</v>
      </c>
      <c r="M335" s="113">
        <f>Gasto_o_ing_total!L335*1000/Gasto_o_ing_total!L$485</f>
        <v>321.58017149077205</v>
      </c>
      <c r="N335" s="113">
        <f>Gasto_o_ing_total!M335*1000/Gasto_o_ing_total!M$485</f>
        <v>226.27678537117427</v>
      </c>
      <c r="O335" s="113">
        <f>Gasto_o_ing_total!N335*1000/Gasto_o_ing_total!N$485</f>
        <v>258.58988475007908</v>
      </c>
      <c r="P335" s="113">
        <f>Gasto_o_ing_total!O335*1000/Gasto_o_ing_total!O$485</f>
        <v>243.26817401478516</v>
      </c>
      <c r="Q335" s="113">
        <f>Gasto_o_ing_total!P335*1000/Gasto_o_ing_total!P$485</f>
        <v>265.7570479398089</v>
      </c>
      <c r="R335" s="113">
        <f>Gasto_o_ing_total!Q335*1000/Gasto_o_ing_total!Q$485</f>
        <v>223.46334057583249</v>
      </c>
      <c r="S335" s="113">
        <f>Gasto_o_ing_total!R335*1000/Gasto_o_ing_total!R$485</f>
        <v>349.18443403794203</v>
      </c>
      <c r="T335" s="113">
        <f>Gasto_o_ing_total!S335*1000/Gasto_o_ing_total!S$485</f>
        <v>394.09087972159398</v>
      </c>
      <c r="U335" s="113">
        <f>Gasto_o_ing_total!T335*1000/Gasto_o_ing_total!T$485</f>
        <v>373.0816128061557</v>
      </c>
      <c r="V335" s="113">
        <f>Gasto_o_ing_total!U335*1000/Gasto_o_ing_total!U$485</f>
        <v>674.46680236088207</v>
      </c>
      <c r="W335" s="105"/>
    </row>
    <row r="336" spans="1:23" s="102" customFormat="1">
      <c r="A336" s="351" t="str">
        <f>IF(B336="","",(IF(ISERROR(MATCH(B336,Tot_res!C:C,0)),"Eliminar!!!","")))</f>
        <v/>
      </c>
      <c r="B336" s="115" t="s">
        <v>313</v>
      </c>
      <c r="C336" s="329" t="str">
        <f>VLOOKUP(B336,Tot_res!C:D,2,FALSE)</f>
        <v>Dirección y servicios generales de justicia</v>
      </c>
      <c r="D336" s="332">
        <f>Gasto_o_ing_total!V336*1000/Gasto_o_ing_total!V$485</f>
        <v>1.1604049650110853</v>
      </c>
      <c r="E336" s="332">
        <f>Gasto_o_ing_total!D336*1000/Gasto_o_ing_total!D$485</f>
        <v>1.0102850093753646</v>
      </c>
      <c r="F336" s="332">
        <f>Gasto_o_ing_total!E336*1000/Gasto_o_ing_total!E$485</f>
        <v>1.0381130973035715</v>
      </c>
      <c r="G336" s="332">
        <f>Gasto_o_ing_total!F336*1000/Gasto_o_ing_total!F$485</f>
        <v>1.0749586198730197</v>
      </c>
      <c r="H336" s="332">
        <f>Gasto_o_ing_total!G336*1000/Gasto_o_ing_total!G$485</f>
        <v>1.7984087539453117</v>
      </c>
      <c r="I336" s="332">
        <f>Gasto_o_ing_total!H336*1000/Gasto_o_ing_total!H$485</f>
        <v>1.0741883937097332</v>
      </c>
      <c r="J336" s="332">
        <f>Gasto_o_ing_total!I336*1000/Gasto_o_ing_total!I$485</f>
        <v>1.0559057705341879</v>
      </c>
      <c r="K336" s="332">
        <f>Gasto_o_ing_total!J336*1000/Gasto_o_ing_total!J$485</f>
        <v>1.7815636431479021</v>
      </c>
      <c r="L336" s="332">
        <f>Gasto_o_ing_total!K336*1000/Gasto_o_ing_total!K$485</f>
        <v>1.5410136726288826</v>
      </c>
      <c r="M336" s="332">
        <f>Gasto_o_ing_total!L336*1000/Gasto_o_ing_total!L$485</f>
        <v>1.0450992580369594</v>
      </c>
      <c r="N336" s="332">
        <f>Gasto_o_ing_total!M336*1000/Gasto_o_ing_total!M$485</f>
        <v>1.0172353483453485</v>
      </c>
      <c r="O336" s="332">
        <f>Gasto_o_ing_total!N336*1000/Gasto_o_ing_total!N$485</f>
        <v>1.6156585397926404</v>
      </c>
      <c r="P336" s="332">
        <f>Gasto_o_ing_total!O336*1000/Gasto_o_ing_total!O$485</f>
        <v>1.0506384764996919</v>
      </c>
      <c r="Q336" s="332">
        <f>Gasto_o_ing_total!P336*1000/Gasto_o_ing_total!P$485</f>
        <v>1.0861604362135913</v>
      </c>
      <c r="R336" s="332">
        <f>Gasto_o_ing_total!Q336*1000/Gasto_o_ing_total!Q$485</f>
        <v>1.6284751037958771</v>
      </c>
      <c r="S336" s="332">
        <f>Gasto_o_ing_total!R336*1000/Gasto_o_ing_total!R$485</f>
        <v>1.0101065182229174</v>
      </c>
      <c r="T336" s="332">
        <f>Gasto_o_ing_total!S336*1000/Gasto_o_ing_total!S$485</f>
        <v>1.0417085361727765</v>
      </c>
      <c r="U336" s="332">
        <f>Gasto_o_ing_total!T336*1000/Gasto_o_ing_total!T$485</f>
        <v>1.7788160425444011</v>
      </c>
      <c r="V336" s="332">
        <f>Gasto_o_ing_total!U336*1000/Gasto_o_ing_total!U$485</f>
        <v>1.4872443169957708</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Gasto_o_ing_total!V337*1000/Gasto_o_ing_total!V$485</f>
        <v>0.10354790957611623</v>
      </c>
      <c r="E337" s="332">
        <f>Gasto_o_ing_total!D337*1000/Gasto_o_ing_total!D$485</f>
        <v>9.3208824039412899E-2</v>
      </c>
      <c r="F337" s="332">
        <f>Gasto_o_ing_total!E337*1000/Gasto_o_ing_total!E$485</f>
        <v>0.10475065793530874</v>
      </c>
      <c r="G337" s="332">
        <f>Gasto_o_ing_total!F337*1000/Gasto_o_ing_total!F$485</f>
        <v>0.11795784109360859</v>
      </c>
      <c r="H337" s="332">
        <f>Gasto_o_ing_total!G337*1000/Gasto_o_ing_total!G$485</f>
        <v>0.11196979417467449</v>
      </c>
      <c r="I337" s="332">
        <f>Gasto_o_ing_total!H337*1000/Gasto_o_ing_total!H$485</f>
        <v>0.11079198021417187</v>
      </c>
      <c r="J337" s="332">
        <f>Gasto_o_ing_total!I337*1000/Gasto_o_ing_total!I$485</f>
        <v>0.11345439267394269</v>
      </c>
      <c r="K337" s="332">
        <f>Gasto_o_ing_total!J337*1000/Gasto_o_ing_total!J$485</f>
        <v>0.11179248841736295</v>
      </c>
      <c r="L337" s="332">
        <f>Gasto_o_ing_total!K337*1000/Gasto_o_ing_total!K$485</f>
        <v>9.0553592382815143E-2</v>
      </c>
      <c r="M337" s="332">
        <f>Gasto_o_ing_total!L337*1000/Gasto_o_ing_total!L$485</f>
        <v>0.10422687827518046</v>
      </c>
      <c r="N337" s="332">
        <f>Gasto_o_ing_total!M337*1000/Gasto_o_ing_total!M$485</f>
        <v>9.8414698137313919E-2</v>
      </c>
      <c r="O337" s="332">
        <f>Gasto_o_ing_total!N337*1000/Gasto_o_ing_total!N$485</f>
        <v>9.5634881298097274E-2</v>
      </c>
      <c r="P337" s="332">
        <f>Gasto_o_ing_total!O337*1000/Gasto_o_ing_total!O$485</f>
        <v>0.10815172099791832</v>
      </c>
      <c r="Q337" s="332">
        <f>Gasto_o_ing_total!P337*1000/Gasto_o_ing_total!P$485</f>
        <v>0.10994292152867242</v>
      </c>
      <c r="R337" s="332">
        <f>Gasto_o_ing_total!Q337*1000/Gasto_o_ing_total!Q$485</f>
        <v>9.977117417664505E-2</v>
      </c>
      <c r="S337" s="332">
        <f>Gasto_o_ing_total!R337*1000/Gasto_o_ing_total!R$485</f>
        <v>9.8622420206651559E-2</v>
      </c>
      <c r="T337" s="332">
        <f>Gasto_o_ing_total!S337*1000/Gasto_o_ing_total!S$485</f>
        <v>0.1050423466308734</v>
      </c>
      <c r="U337" s="332">
        <f>Gasto_o_ing_total!T337*1000/Gasto_o_ing_total!T$485</f>
        <v>0.11054446587283304</v>
      </c>
      <c r="V337" s="332">
        <f>Gasto_o_ing_total!U337*1000/Gasto_o_ing_total!U$485</f>
        <v>0.24897441749325605</v>
      </c>
      <c r="W337" s="105"/>
    </row>
    <row r="338" spans="1:23" s="102" customFormat="1">
      <c r="A338" s="351" t="str">
        <f>IF(B338="","",(IF(ISERROR(MATCH(B338,Tot_res!C:C,0)),"Eliminar!!!","")))</f>
        <v/>
      </c>
      <c r="B338" s="115" t="s">
        <v>315</v>
      </c>
      <c r="C338" s="329" t="str">
        <f>VLOOKUP(B338,Tot_res!C:D,2,FALSE)</f>
        <v>Formación de la carrera fiscal</v>
      </c>
      <c r="D338" s="332">
        <f>Gasto_o_ing_total!V338*1000/Gasto_o_ing_total!V$485</f>
        <v>2.9618598915926803E-2</v>
      </c>
      <c r="E338" s="332">
        <f>Gasto_o_ing_total!D338*1000/Gasto_o_ing_total!D$485</f>
        <v>2.9462977760789197E-2</v>
      </c>
      <c r="F338" s="332">
        <f>Gasto_o_ing_total!E338*1000/Gasto_o_ing_total!E$485</f>
        <v>2.8924480427627658E-2</v>
      </c>
      <c r="G338" s="332">
        <f>Gasto_o_ing_total!F338*1000/Gasto_o_ing_total!F$485</f>
        <v>2.8696959649597183E-2</v>
      </c>
      <c r="H338" s="332">
        <f>Gasto_o_ing_total!G338*1000/Gasto_o_ing_total!G$485</f>
        <v>3.1805636207593975E-2</v>
      </c>
      <c r="I338" s="332">
        <f>Gasto_o_ing_total!H338*1000/Gasto_o_ing_total!H$485</f>
        <v>3.2580734599015906E-2</v>
      </c>
      <c r="J338" s="332">
        <f>Gasto_o_ing_total!I338*1000/Gasto_o_ing_total!I$485</f>
        <v>2.9035636981733861E-2</v>
      </c>
      <c r="K338" s="332">
        <f>Gasto_o_ing_total!J338*1000/Gasto_o_ing_total!J$485</f>
        <v>3.0625422086136223E-2</v>
      </c>
      <c r="L338" s="332">
        <f>Gasto_o_ing_total!K338*1000/Gasto_o_ing_total!K$485</f>
        <v>2.4942250636326751E-2</v>
      </c>
      <c r="M338" s="332">
        <f>Gasto_o_ing_total!L338*1000/Gasto_o_ing_total!L$485</f>
        <v>3.1149802383238164E-2</v>
      </c>
      <c r="N338" s="332">
        <f>Gasto_o_ing_total!M338*1000/Gasto_o_ing_total!M$485</f>
        <v>2.9538364448683355E-2</v>
      </c>
      <c r="O338" s="332">
        <f>Gasto_o_ing_total!N338*1000/Gasto_o_ing_total!N$485</f>
        <v>2.9463319097462998E-2</v>
      </c>
      <c r="P338" s="332">
        <f>Gasto_o_ing_total!O338*1000/Gasto_o_ing_total!O$485</f>
        <v>3.0984519938224552E-2</v>
      </c>
      <c r="Q338" s="332">
        <f>Gasto_o_ing_total!P338*1000/Gasto_o_ing_total!P$485</f>
        <v>2.9919443587589023E-2</v>
      </c>
      <c r="R338" s="332">
        <f>Gasto_o_ing_total!Q338*1000/Gasto_o_ing_total!Q$485</f>
        <v>2.5362390609604237E-2</v>
      </c>
      <c r="S338" s="332">
        <f>Gasto_o_ing_total!R338*1000/Gasto_o_ing_total!R$485</f>
        <v>2.4097168683333919E-2</v>
      </c>
      <c r="T338" s="332">
        <f>Gasto_o_ing_total!S338*1000/Gasto_o_ing_total!S$485</f>
        <v>2.8745947494674132E-2</v>
      </c>
      <c r="U338" s="332">
        <f>Gasto_o_ing_total!T338*1000/Gasto_o_ing_total!T$485</f>
        <v>2.6823788924804168E-2</v>
      </c>
      <c r="V338" s="332">
        <f>Gasto_o_ing_total!U338*1000/Gasto_o_ing_total!U$485</f>
        <v>1.8046523828697217E-2</v>
      </c>
      <c r="W338" s="105"/>
    </row>
    <row r="339" spans="1:23" s="102" customFormat="1">
      <c r="A339" s="351" t="str">
        <f>IF(B339="","",(IF(ISERROR(MATCH(B339,Tot_res!C:C,0)),"Eliminar!!!","")))</f>
        <v/>
      </c>
      <c r="B339" s="115" t="s">
        <v>317</v>
      </c>
      <c r="C339" s="329" t="str">
        <f>VLOOKUP(B339,Tot_res!C:D,2,FALSE)</f>
        <v>Tribunales de justicia y ministerio fiscal</v>
      </c>
      <c r="D339" s="332">
        <f>Gasto_o_ing_total!V339*1000/Gasto_o_ing_total!V$485</f>
        <v>30.320476038072965</v>
      </c>
      <c r="E339" s="332">
        <f>Gasto_o_ing_total!D339*1000/Gasto_o_ing_total!D$485</f>
        <v>22.165621402178171</v>
      </c>
      <c r="F339" s="332">
        <f>Gasto_o_ing_total!E339*1000/Gasto_o_ing_total!E$485</f>
        <v>23.668248005804156</v>
      </c>
      <c r="G339" s="332">
        <f>Gasto_o_ing_total!F339*1000/Gasto_o_ing_total!F$485</f>
        <v>25.659376073243358</v>
      </c>
      <c r="H339" s="332">
        <f>Gasto_o_ing_total!G339*1000/Gasto_o_ing_total!G$485</f>
        <v>65.012274244407806</v>
      </c>
      <c r="I339" s="332">
        <f>Gasto_o_ing_total!H339*1000/Gasto_o_ing_total!H$485</f>
        <v>25.620763890890363</v>
      </c>
      <c r="J339" s="332">
        <f>Gasto_o_ing_total!I339*1000/Gasto_o_ing_total!I$485</f>
        <v>24.627215126244838</v>
      </c>
      <c r="K339" s="332">
        <f>Gasto_o_ing_total!J339*1000/Gasto_o_ing_total!J$485</f>
        <v>64.097389724426179</v>
      </c>
      <c r="L339" s="332">
        <f>Gasto_o_ing_total!K339*1000/Gasto_o_ing_total!K$485</f>
        <v>51.040278191454675</v>
      </c>
      <c r="M339" s="332">
        <f>Gasto_o_ing_total!L339*1000/Gasto_o_ing_total!L$485</f>
        <v>24.046538868315903</v>
      </c>
      <c r="N339" s="332">
        <f>Gasto_o_ing_total!M339*1000/Gasto_o_ing_total!M$485</f>
        <v>22.538384122946862</v>
      </c>
      <c r="O339" s="332">
        <f>Gasto_o_ing_total!N339*1000/Gasto_o_ing_total!N$485</f>
        <v>55.090771738330098</v>
      </c>
      <c r="P339" s="332">
        <f>Gasto_o_ing_total!O339*1000/Gasto_o_ing_total!O$485</f>
        <v>24.344069390636324</v>
      </c>
      <c r="Q339" s="332">
        <f>Gasto_o_ing_total!P339*1000/Gasto_o_ing_total!P$485</f>
        <v>26.275459547526175</v>
      </c>
      <c r="R339" s="332">
        <f>Gasto_o_ing_total!Q339*1000/Gasto_o_ing_total!Q$485</f>
        <v>55.787857033313934</v>
      </c>
      <c r="S339" s="332">
        <f>Gasto_o_ing_total!R339*1000/Gasto_o_ing_total!R$485</f>
        <v>22.155865094937823</v>
      </c>
      <c r="T339" s="332">
        <f>Gasto_o_ing_total!S339*1000/Gasto_o_ing_total!S$485</f>
        <v>23.863698552965971</v>
      </c>
      <c r="U339" s="332">
        <f>Gasto_o_ing_total!T339*1000/Gasto_o_ing_total!T$485</f>
        <v>63.952991435743293</v>
      </c>
      <c r="V339" s="332">
        <f>Gasto_o_ing_total!U339*1000/Gasto_o_ing_total!U$485</f>
        <v>47.964121449005127</v>
      </c>
    </row>
    <row r="340" spans="1:23" s="102" customFormat="1">
      <c r="A340" s="351" t="str">
        <f>IF(B340="","",(IF(ISERROR(MATCH(B340,Tot_res!C:C,0)),"Eliminar!!!","")))</f>
        <v/>
      </c>
      <c r="B340" s="115" t="s">
        <v>318</v>
      </c>
      <c r="C340" s="329" t="str">
        <f>VLOOKUP(B340,Tot_res!C:D,2,FALSE)</f>
        <v>Dirección y serv. grales. seguridad y protecc. civil</v>
      </c>
      <c r="D340" s="332">
        <f>Gasto_o_ing_total!V340*1000/Gasto_o_ing_total!V$485</f>
        <v>2.4988088816443979</v>
      </c>
      <c r="E340" s="332">
        <f>Gasto_o_ing_total!D340*1000/Gasto_o_ing_total!D$485</f>
        <v>2.5113783776159728</v>
      </c>
      <c r="F340" s="332">
        <f>Gasto_o_ing_total!E340*1000/Gasto_o_ing_total!E$485</f>
        <v>2.5797935450266292</v>
      </c>
      <c r="G340" s="332">
        <f>Gasto_o_ing_total!F340*1000/Gasto_o_ing_total!F$485</f>
        <v>2.506480951469594</v>
      </c>
      <c r="H340" s="332">
        <f>Gasto_o_ing_total!G340*1000/Gasto_o_ing_total!G$485</f>
        <v>2.5153618680855221</v>
      </c>
      <c r="I340" s="332">
        <f>Gasto_o_ing_total!H340*1000/Gasto_o_ing_total!H$485</f>
        <v>2.5249033677453459</v>
      </c>
      <c r="J340" s="332">
        <f>Gasto_o_ing_total!I340*1000/Gasto_o_ing_total!I$485</f>
        <v>2.4749514519452536</v>
      </c>
      <c r="K340" s="332">
        <f>Gasto_o_ing_total!J340*1000/Gasto_o_ing_total!J$485</f>
        <v>2.6092856325693248</v>
      </c>
      <c r="L340" s="332">
        <f>Gasto_o_ing_total!K340*1000/Gasto_o_ing_total!K$485</f>
        <v>2.4692418134070024</v>
      </c>
      <c r="M340" s="332">
        <f>Gasto_o_ing_total!L340*1000/Gasto_o_ing_total!L$485</f>
        <v>2.2595545598142617</v>
      </c>
      <c r="N340" s="332">
        <f>Gasto_o_ing_total!M340*1000/Gasto_o_ing_total!M$485</f>
        <v>2.448352312406008</v>
      </c>
      <c r="O340" s="332">
        <f>Gasto_o_ing_total!N340*1000/Gasto_o_ing_total!N$485</f>
        <v>2.5424662457958638</v>
      </c>
      <c r="P340" s="332">
        <f>Gasto_o_ing_total!O340*1000/Gasto_o_ing_total!O$485</f>
        <v>2.494182434489125</v>
      </c>
      <c r="Q340" s="332">
        <f>Gasto_o_ing_total!P340*1000/Gasto_o_ing_total!P$485</f>
        <v>2.5502001962339409</v>
      </c>
      <c r="R340" s="332">
        <f>Gasto_o_ing_total!Q340*1000/Gasto_o_ing_total!Q$485</f>
        <v>2.415791073699753</v>
      </c>
      <c r="S340" s="332">
        <f>Gasto_o_ing_total!R340*1000/Gasto_o_ing_total!R$485</f>
        <v>4.5781808525710561</v>
      </c>
      <c r="T340" s="332">
        <f>Gasto_o_ing_total!S340*1000/Gasto_o_ing_total!S$485</f>
        <v>2.377836685160688</v>
      </c>
      <c r="U340" s="332">
        <f>Gasto_o_ing_total!T340*1000/Gasto_o_ing_total!T$485</f>
        <v>2.6682762005080125</v>
      </c>
      <c r="V340" s="332">
        <f>Gasto_o_ing_total!U340*1000/Gasto_o_ing_total!U$485</f>
        <v>3.622646580840057</v>
      </c>
      <c r="W340" s="114"/>
    </row>
    <row r="341" spans="1:23" s="102" customFormat="1">
      <c r="A341" s="351" t="str">
        <f>IF(B341="","",(IF(ISERROR(MATCH(B341,Tot_res!C:C,0)),"Eliminar!!!","")))</f>
        <v/>
      </c>
      <c r="B341" s="115" t="s">
        <v>319</v>
      </c>
      <c r="C341" s="329" t="str">
        <f>VLOOKUP(B341,Tot_res!C:D,2,FALSE)</f>
        <v>Formac. fuerzas y cuerpos de segur. del estado</v>
      </c>
      <c r="D341" s="332">
        <f>Gasto_o_ing_total!V341*1000/Gasto_o_ing_total!V$485</f>
        <v>1.5172825312353972</v>
      </c>
      <c r="E341" s="332">
        <f>Gasto_o_ing_total!D341*1000/Gasto_o_ing_total!D$485</f>
        <v>1.5818567812192919</v>
      </c>
      <c r="F341" s="332">
        <f>Gasto_o_ing_total!E341*1000/Gasto_o_ing_total!E$485</f>
        <v>1.8993126432259813</v>
      </c>
      <c r="G341" s="332">
        <f>Gasto_o_ing_total!F341*1000/Gasto_o_ing_total!F$485</f>
        <v>1.6552903996531394</v>
      </c>
      <c r="H341" s="332">
        <f>Gasto_o_ing_total!G341*1000/Gasto_o_ing_total!G$485</f>
        <v>1.7278494200061654</v>
      </c>
      <c r="I341" s="332">
        <f>Gasto_o_ing_total!H341*1000/Gasto_o_ing_total!H$485</f>
        <v>1.723358662686324</v>
      </c>
      <c r="J341" s="332">
        <f>Gasto_o_ing_total!I341*1000/Gasto_o_ing_total!I$485</f>
        <v>1.5239714532804012</v>
      </c>
      <c r="K341" s="332">
        <f>Gasto_o_ing_total!J341*1000/Gasto_o_ing_total!J$485</f>
        <v>1.9015056982145448</v>
      </c>
      <c r="L341" s="332">
        <f>Gasto_o_ing_total!K341*1000/Gasto_o_ing_total!K$485</f>
        <v>1.6013189662742233</v>
      </c>
      <c r="M341" s="332">
        <f>Gasto_o_ing_total!L341*1000/Gasto_o_ing_total!L$485</f>
        <v>0.88308890650015281</v>
      </c>
      <c r="N341" s="332">
        <f>Gasto_o_ing_total!M341*1000/Gasto_o_ing_total!M$485</f>
        <v>1.4633925309373603</v>
      </c>
      <c r="O341" s="332">
        <f>Gasto_o_ing_total!N341*1000/Gasto_o_ing_total!N$485</f>
        <v>1.7122030975301485</v>
      </c>
      <c r="P341" s="332">
        <f>Gasto_o_ing_total!O341*1000/Gasto_o_ing_total!O$485</f>
        <v>1.5797379376325262</v>
      </c>
      <c r="Q341" s="332">
        <f>Gasto_o_ing_total!P341*1000/Gasto_o_ing_total!P$485</f>
        <v>1.7300950034951486</v>
      </c>
      <c r="R341" s="332">
        <f>Gasto_o_ing_total!Q341*1000/Gasto_o_ing_total!Q$485</f>
        <v>1.3206970622539438</v>
      </c>
      <c r="S341" s="332">
        <f>Gasto_o_ing_total!R341*1000/Gasto_o_ing_total!R$485</f>
        <v>1.8722546328273957</v>
      </c>
      <c r="T341" s="332">
        <f>Gasto_o_ing_total!S341*1000/Gasto_o_ing_total!S$485</f>
        <v>1.2798657738104544</v>
      </c>
      <c r="U341" s="332">
        <f>Gasto_o_ing_total!T341*1000/Gasto_o_ing_total!T$485</f>
        <v>2.3324574686446367</v>
      </c>
      <c r="V341" s="332">
        <f>Gasto_o_ing_total!U341*1000/Gasto_o_ing_total!U$485</f>
        <v>5.1014202987770005</v>
      </c>
      <c r="W341" s="105"/>
    </row>
    <row r="342" spans="1:23" s="102" customFormat="1">
      <c r="A342" s="351" t="str">
        <f>IF(B342="","",(IF(ISERROR(MATCH(B342,Tot_res!C:C,0)),"Eliminar!!!","")))</f>
        <v/>
      </c>
      <c r="B342" s="115" t="s">
        <v>320</v>
      </c>
      <c r="C342" s="329" t="str">
        <f>VLOOKUP(B342,Tot_res!C:D,2,FALSE)</f>
        <v>Fuerzas y cuerpos en reserva</v>
      </c>
      <c r="D342" s="332">
        <f>Gasto_o_ing_total!V342*1000/Gasto_o_ing_total!V$485</f>
        <v>11.27334799538947</v>
      </c>
      <c r="E342" s="332">
        <f>Gasto_o_ing_total!D342*1000/Gasto_o_ing_total!D$485</f>
        <v>16.604099905722453</v>
      </c>
      <c r="F342" s="332">
        <f>Gasto_o_ing_total!E342*1000/Gasto_o_ing_total!E$485</f>
        <v>11.376084448170923</v>
      </c>
      <c r="G342" s="332">
        <f>Gasto_o_ing_total!F342*1000/Gasto_o_ing_total!F$485</f>
        <v>12.770192551011345</v>
      </c>
      <c r="H342" s="332">
        <f>Gasto_o_ing_total!G342*1000/Gasto_o_ing_total!G$485</f>
        <v>8.1299784780301554</v>
      </c>
      <c r="I342" s="332">
        <f>Gasto_o_ing_total!H342*1000/Gasto_o_ing_total!H$485</f>
        <v>11.729675906770058</v>
      </c>
      <c r="J342" s="332">
        <f>Gasto_o_ing_total!I342*1000/Gasto_o_ing_total!I$485</f>
        <v>12.063089561060407</v>
      </c>
      <c r="K342" s="332">
        <f>Gasto_o_ing_total!J342*1000/Gasto_o_ing_total!J$485</f>
        <v>12.513414391146814</v>
      </c>
      <c r="L342" s="332">
        <f>Gasto_o_ing_total!K342*1000/Gasto_o_ing_total!K$485</f>
        <v>8.6766593283795039</v>
      </c>
      <c r="M342" s="332">
        <f>Gasto_o_ing_total!L342*1000/Gasto_o_ing_total!L$485</f>
        <v>6.1211032047893079</v>
      </c>
      <c r="N342" s="332">
        <f>Gasto_o_ing_total!M342*1000/Gasto_o_ing_total!M$485</f>
        <v>10.864972596121786</v>
      </c>
      <c r="O342" s="332">
        <f>Gasto_o_ing_total!N342*1000/Gasto_o_ing_total!N$485</f>
        <v>10.604033465548385</v>
      </c>
      <c r="P342" s="332">
        <f>Gasto_o_ing_total!O342*1000/Gasto_o_ing_total!O$485</f>
        <v>12.992346477542331</v>
      </c>
      <c r="Q342" s="332">
        <f>Gasto_o_ing_total!P342*1000/Gasto_o_ing_total!P$485</f>
        <v>10.051455213306316</v>
      </c>
      <c r="R342" s="332">
        <f>Gasto_o_ing_total!Q342*1000/Gasto_o_ing_total!Q$485</f>
        <v>10.155139518589438</v>
      </c>
      <c r="S342" s="332">
        <f>Gasto_o_ing_total!R342*1000/Gasto_o_ing_total!R$485</f>
        <v>9.88998715932237</v>
      </c>
      <c r="T342" s="332">
        <f>Gasto_o_ing_total!S342*1000/Gasto_o_ing_total!S$485</f>
        <v>8.2552890035924911</v>
      </c>
      <c r="U342" s="332">
        <f>Gasto_o_ing_total!T342*1000/Gasto_o_ing_total!T$485</f>
        <v>19.151694567563911</v>
      </c>
      <c r="V342" s="332">
        <f>Gasto_o_ing_total!U342*1000/Gasto_o_ing_total!U$485</f>
        <v>65.01618562969206</v>
      </c>
      <c r="W342" s="105"/>
    </row>
    <row r="343" spans="1:23" s="102" customFormat="1">
      <c r="A343" s="351" t="str">
        <f>IF(B343="","",(IF(ISERROR(MATCH(B343,Tot_res!C:C,0)),"Eliminar!!!","")))</f>
        <v/>
      </c>
      <c r="B343" s="115" t="s">
        <v>321</v>
      </c>
      <c r="C343" s="329" t="str">
        <f>VLOOKUP(B343,Tot_res!C:D,2,FALSE)</f>
        <v>Seguridad ciudadana</v>
      </c>
      <c r="D343" s="332">
        <f>Gasto_o_ing_total!V343*1000/Gasto_o_ing_total!V$485</f>
        <v>114.64213041190338</v>
      </c>
      <c r="E343" s="332">
        <f>Gasto_o_ing_total!D343*1000/Gasto_o_ing_total!D$485</f>
        <v>119.43613395232187</v>
      </c>
      <c r="F343" s="332">
        <f>Gasto_o_ing_total!E343*1000/Gasto_o_ing_total!E$485</f>
        <v>137.42981429057704</v>
      </c>
      <c r="G343" s="332">
        <f>Gasto_o_ing_total!F343*1000/Gasto_o_ing_total!F$485</f>
        <v>124.21321814519499</v>
      </c>
      <c r="H343" s="332">
        <f>Gasto_o_ing_total!G343*1000/Gasto_o_ing_total!G$485</f>
        <v>130.60486975398607</v>
      </c>
      <c r="I343" s="332">
        <f>Gasto_o_ing_total!H343*1000/Gasto_o_ing_total!H$485</f>
        <v>130.32408266585642</v>
      </c>
      <c r="J343" s="332">
        <f>Gasto_o_ing_total!I343*1000/Gasto_o_ing_total!I$485</f>
        <v>113.17668126787932</v>
      </c>
      <c r="K343" s="332">
        <f>Gasto_o_ing_total!J343*1000/Gasto_o_ing_total!J$485</f>
        <v>135.30080726924172</v>
      </c>
      <c r="L343" s="332">
        <f>Gasto_o_ing_total!K343*1000/Gasto_o_ing_total!K$485</f>
        <v>116.44618725819824</v>
      </c>
      <c r="M343" s="332">
        <f>Gasto_o_ing_total!L343*1000/Gasto_o_ing_total!L$485</f>
        <v>69.825080013266827</v>
      </c>
      <c r="N343" s="332">
        <f>Gasto_o_ing_total!M343*1000/Gasto_o_ing_total!M$485</f>
        <v>110.26848570761229</v>
      </c>
      <c r="O343" s="332">
        <f>Gasto_o_ing_total!N343*1000/Gasto_o_ing_total!N$485</f>
        <v>124.62584930080671</v>
      </c>
      <c r="P343" s="332">
        <f>Gasto_o_ing_total!O343*1000/Gasto_o_ing_total!O$485</f>
        <v>115.559108445866</v>
      </c>
      <c r="Q343" s="332">
        <f>Gasto_o_ing_total!P343*1000/Gasto_o_ing_total!P$485</f>
        <v>133.47014301954511</v>
      </c>
      <c r="R343" s="332">
        <f>Gasto_o_ing_total!Q343*1000/Gasto_o_ing_total!Q$485</f>
        <v>99.580444174619146</v>
      </c>
      <c r="S343" s="332">
        <f>Gasto_o_ing_total!R343*1000/Gasto_o_ing_total!R$485</f>
        <v>140.66108341884842</v>
      </c>
      <c r="T343" s="332">
        <f>Gasto_o_ing_total!S343*1000/Gasto_o_ing_total!S$485</f>
        <v>101.25511113135508</v>
      </c>
      <c r="U343" s="332">
        <f>Gasto_o_ing_total!T343*1000/Gasto_o_ing_total!T$485</f>
        <v>173.20763496693837</v>
      </c>
      <c r="V343" s="332">
        <f>Gasto_o_ing_total!U343*1000/Gasto_o_ing_total!U$485</f>
        <v>436.38769955130113</v>
      </c>
      <c r="W343" s="105"/>
    </row>
    <row r="344" spans="1:23" s="102" customFormat="1">
      <c r="A344" s="351" t="str">
        <f>IF(B344="","",(IF(ISERROR(MATCH(B344,Tot_res!C:C,0)),"Eliminar!!!","")))</f>
        <v/>
      </c>
      <c r="B344" s="115" t="s">
        <v>323</v>
      </c>
      <c r="C344" s="329" t="str">
        <f>VLOOKUP(B344,Tot_res!C:D,2,FALSE)</f>
        <v>Seguridad vial</v>
      </c>
      <c r="D344" s="332">
        <f>Gasto_o_ing_total!V344*1000/Gasto_o_ing_total!V$485</f>
        <v>14.315019352652801</v>
      </c>
      <c r="E344" s="332">
        <f>Gasto_o_ing_total!D344*1000/Gasto_o_ing_total!D$485</f>
        <v>13.706603672596588</v>
      </c>
      <c r="F344" s="332">
        <f>Gasto_o_ing_total!E344*1000/Gasto_o_ing_total!E$485</f>
        <v>25.221759722911347</v>
      </c>
      <c r="G344" s="332">
        <f>Gasto_o_ing_total!F344*1000/Gasto_o_ing_total!F$485</f>
        <v>18.706297454350317</v>
      </c>
      <c r="H344" s="332">
        <f>Gasto_o_ing_total!G344*1000/Gasto_o_ing_total!G$485</f>
        <v>15.890257322330649</v>
      </c>
      <c r="I344" s="332">
        <f>Gasto_o_ing_total!H344*1000/Gasto_o_ing_total!H$485</f>
        <v>14.853736457924979</v>
      </c>
      <c r="J344" s="332">
        <f>Gasto_o_ing_total!I344*1000/Gasto_o_ing_total!I$485</f>
        <v>18.619395342979857</v>
      </c>
      <c r="K344" s="332">
        <f>Gasto_o_ing_total!J344*1000/Gasto_o_ing_total!J$485</f>
        <v>28.992452921981393</v>
      </c>
      <c r="L344" s="332">
        <f>Gasto_o_ing_total!K344*1000/Gasto_o_ing_total!K$485</f>
        <v>21.632191477431626</v>
      </c>
      <c r="M344" s="332">
        <f>Gasto_o_ing_total!L344*1000/Gasto_o_ing_total!L$485</f>
        <v>5.8086480813605945</v>
      </c>
      <c r="N344" s="332">
        <f>Gasto_o_ing_total!M344*1000/Gasto_o_ing_total!M$485</f>
        <v>13.134075393645205</v>
      </c>
      <c r="O344" s="332">
        <f>Gasto_o_ing_total!N344*1000/Gasto_o_ing_total!N$485</f>
        <v>23.107617582015305</v>
      </c>
      <c r="P344" s="332">
        <f>Gasto_o_ing_total!O344*1000/Gasto_o_ing_total!O$485</f>
        <v>20.957876428482699</v>
      </c>
      <c r="Q344" s="332">
        <f>Gasto_o_ing_total!P344*1000/Gasto_o_ing_total!P$485</f>
        <v>12.379313805237146</v>
      </c>
      <c r="R344" s="332">
        <f>Gasto_o_ing_total!Q344*1000/Gasto_o_ing_total!Q$485</f>
        <v>12.422250637576612</v>
      </c>
      <c r="S344" s="332">
        <f>Gasto_o_ing_total!R344*1000/Gasto_o_ing_total!R$485</f>
        <v>17.471665844981189</v>
      </c>
      <c r="T344" s="332">
        <f>Gasto_o_ing_total!S344*1000/Gasto_o_ing_total!S$485</f>
        <v>6.1880377859295814</v>
      </c>
      <c r="U344" s="332">
        <f>Gasto_o_ing_total!T344*1000/Gasto_o_ing_total!T$485</f>
        <v>23.529308879107539</v>
      </c>
      <c r="V344" s="332">
        <f>Gasto_o_ing_total!U344*1000/Gasto_o_ing_total!U$485</f>
        <v>9.1698356925684585</v>
      </c>
      <c r="W344" s="105"/>
    </row>
    <row r="345" spans="1:23" s="102" customFormat="1">
      <c r="A345" s="351" t="str">
        <f>IF(B345="","",(IF(ISERROR(MATCH(B345,Tot_res!C:C,0)),"Eliminar!!!","")))</f>
        <v/>
      </c>
      <c r="B345" s="115" t="s">
        <v>324</v>
      </c>
      <c r="C345" s="329" t="str">
        <f>VLOOKUP(B345,Tot_res!C:D,2,FALSE)</f>
        <v>Actuaciones policiales en materia de droga</v>
      </c>
      <c r="D345" s="332">
        <f>Gasto_o_ing_total!V345*1000/Gasto_o_ing_total!V$485</f>
        <v>1.7563471586380892</v>
      </c>
      <c r="E345" s="332">
        <f>Gasto_o_ing_total!D345*1000/Gasto_o_ing_total!D$485</f>
        <v>1.8761224097520839</v>
      </c>
      <c r="F345" s="332">
        <f>Gasto_o_ing_total!E345*1000/Gasto_o_ing_total!E$485</f>
        <v>2.0021243400513797</v>
      </c>
      <c r="G345" s="332">
        <f>Gasto_o_ing_total!F345*1000/Gasto_o_ing_total!F$485</f>
        <v>1.8738407281024261</v>
      </c>
      <c r="H345" s="332">
        <f>Gasto_o_ing_total!G345*1000/Gasto_o_ing_total!G$485</f>
        <v>1.9309189679955225</v>
      </c>
      <c r="I345" s="332">
        <f>Gasto_o_ing_total!H345*1000/Gasto_o_ing_total!H$485</f>
        <v>1.9819516969550945</v>
      </c>
      <c r="J345" s="332">
        <f>Gasto_o_ing_total!I345*1000/Gasto_o_ing_total!I$485</f>
        <v>1.7324744682524349</v>
      </c>
      <c r="K345" s="332">
        <f>Gasto_o_ing_total!J345*1000/Gasto_o_ing_total!J$485</f>
        <v>2.0074291982873818</v>
      </c>
      <c r="L345" s="332">
        <f>Gasto_o_ing_total!K345*1000/Gasto_o_ing_total!K$485</f>
        <v>1.8206015289269954</v>
      </c>
      <c r="M345" s="332">
        <f>Gasto_o_ing_total!L345*1000/Gasto_o_ing_total!L$485</f>
        <v>1.1866163969359882</v>
      </c>
      <c r="N345" s="332">
        <f>Gasto_o_ing_total!M345*1000/Gasto_o_ing_total!M$485</f>
        <v>1.7420452312390768</v>
      </c>
      <c r="O345" s="332">
        <f>Gasto_o_ing_total!N345*1000/Gasto_o_ing_total!N$485</f>
        <v>1.9525632495114711</v>
      </c>
      <c r="P345" s="332">
        <f>Gasto_o_ing_total!O345*1000/Gasto_o_ing_total!O$485</f>
        <v>1.7935994228690149</v>
      </c>
      <c r="Q345" s="332">
        <f>Gasto_o_ing_total!P345*1000/Gasto_o_ing_total!P$485</f>
        <v>1.8969384743480828</v>
      </c>
      <c r="R345" s="332">
        <f>Gasto_o_ing_total!Q345*1000/Gasto_o_ing_total!Q$485</f>
        <v>1.62691061129951</v>
      </c>
      <c r="S345" s="332">
        <f>Gasto_o_ing_total!R345*1000/Gasto_o_ing_total!R$485</f>
        <v>1.9989245472783963</v>
      </c>
      <c r="T345" s="332">
        <f>Gasto_o_ing_total!S345*1000/Gasto_o_ing_total!S$485</f>
        <v>1.5257136650545799</v>
      </c>
      <c r="U345" s="332">
        <f>Gasto_o_ing_total!T345*1000/Gasto_o_ing_total!T$485</f>
        <v>2.4298575244276761</v>
      </c>
      <c r="V345" s="332">
        <f>Gasto_o_ing_total!U345*1000/Gasto_o_ing_total!U$485</f>
        <v>5.2289444046087663</v>
      </c>
      <c r="W345" s="105"/>
    </row>
    <row r="346" spans="1:23" s="102" customFormat="1">
      <c r="A346" s="351" t="str">
        <f>IF(B346="","",(IF(ISERROR(MATCH(B346,Tot_res!C:C,0)),"Eliminar!!!","")))</f>
        <v/>
      </c>
      <c r="B346" s="115" t="s">
        <v>326</v>
      </c>
      <c r="C346" s="329" t="str">
        <f>VLOOKUP(B346,Tot_res!C:D,2,FALSE)</f>
        <v>Centros e instituciones penitenciarias</v>
      </c>
      <c r="D346" s="332">
        <f>Gasto_o_ing_total!V346*1000/Gasto_o_ing_total!V$485</f>
        <v>23.566470751985079</v>
      </c>
      <c r="E346" s="332">
        <f>Gasto_o_ing_total!D346*1000/Gasto_o_ing_total!D$485</f>
        <v>29.191194086036699</v>
      </c>
      <c r="F346" s="332">
        <f>Gasto_o_ing_total!E346*1000/Gasto_o_ing_total!E$485</f>
        <v>28.900799278232665</v>
      </c>
      <c r="G346" s="332">
        <f>Gasto_o_ing_total!F346*1000/Gasto_o_ing_total!F$485</f>
        <v>21.05885098550004</v>
      </c>
      <c r="H346" s="332">
        <f>Gasto_o_ing_total!G346*1000/Gasto_o_ing_total!G$485</f>
        <v>28.664222399858566</v>
      </c>
      <c r="I346" s="332">
        <f>Gasto_o_ing_total!H346*1000/Gasto_o_ing_total!H$485</f>
        <v>29.583677766128169</v>
      </c>
      <c r="J346" s="332">
        <f>Gasto_o_ing_total!I346*1000/Gasto_o_ing_total!I$485</f>
        <v>24.145720378555772</v>
      </c>
      <c r="K346" s="332">
        <f>Gasto_o_ing_total!J346*1000/Gasto_o_ing_total!J$485</f>
        <v>40.659211131107249</v>
      </c>
      <c r="L346" s="332">
        <f>Gasto_o_ing_total!K346*1000/Gasto_o_ing_total!K$485</f>
        <v>20.080705421482303</v>
      </c>
      <c r="M346" s="332">
        <f>Gasto_o_ing_total!L346*1000/Gasto_o_ing_total!L$485</f>
        <v>6.6945236199700133</v>
      </c>
      <c r="N346" s="332">
        <f>Gasto_o_ing_total!M346*1000/Gasto_o_ing_total!M$485</f>
        <v>24.678871054247889</v>
      </c>
      <c r="O346" s="332">
        <f>Gasto_o_ing_total!N346*1000/Gasto_o_ing_total!N$485</f>
        <v>21.061042736745147</v>
      </c>
      <c r="P346" s="332">
        <f>Gasto_o_ing_total!O346*1000/Gasto_o_ing_total!O$485</f>
        <v>26.317137128383571</v>
      </c>
      <c r="Q346" s="332">
        <f>Gasto_o_ing_total!P346*1000/Gasto_o_ing_total!P$485</f>
        <v>27.050751473631429</v>
      </c>
      <c r="R346" s="332">
        <f>Gasto_o_ing_total!Q346*1000/Gasto_o_ing_total!Q$485</f>
        <v>21.216702946335875</v>
      </c>
      <c r="S346" s="332">
        <f>Gasto_o_ing_total!R346*1000/Gasto_o_ing_total!R$485</f>
        <v>18.582410172531763</v>
      </c>
      <c r="T346" s="332">
        <f>Gasto_o_ing_total!S346*1000/Gasto_o_ing_total!S$485</f>
        <v>16.526326965761932</v>
      </c>
      <c r="U346" s="332">
        <f>Gasto_o_ing_total!T346*1000/Gasto_o_ing_total!T$485</f>
        <v>24.691962006144358</v>
      </c>
      <c r="V346" s="332">
        <f>Gasto_o_ing_total!U346*1000/Gasto_o_ing_total!U$485</f>
        <v>83.387131260483216</v>
      </c>
      <c r="W346" s="114"/>
    </row>
    <row r="347" spans="1:23" s="102" customFormat="1">
      <c r="A347" s="351" t="str">
        <f>IF(B347="","",(IF(ISERROR(MATCH(B347,Tot_res!C:C,0)),"Eliminar!!!","")))</f>
        <v/>
      </c>
      <c r="B347" s="115" t="s">
        <v>327</v>
      </c>
      <c r="C347" s="329" t="str">
        <f>VLOOKUP(B347,Tot_res!C:D,2,FALSE)</f>
        <v>Protección civil</v>
      </c>
      <c r="D347" s="332">
        <f>Gasto_o_ing_total!V347*1000/Gasto_o_ing_total!V$485</f>
        <v>0.33677099860343707</v>
      </c>
      <c r="E347" s="332">
        <f>Gasto_o_ing_total!D347*1000/Gasto_o_ing_total!D$485</f>
        <v>0.38551076637857462</v>
      </c>
      <c r="F347" s="332">
        <f>Gasto_o_ing_total!E347*1000/Gasto_o_ing_total!E$485</f>
        <v>0.28195090351203206</v>
      </c>
      <c r="G347" s="332">
        <f>Gasto_o_ing_total!F347*1000/Gasto_o_ing_total!F$485</f>
        <v>0.3384557301610448</v>
      </c>
      <c r="H347" s="332">
        <f>Gasto_o_ing_total!G347*1000/Gasto_o_ing_total!G$485</f>
        <v>0.26733641797131158</v>
      </c>
      <c r="I347" s="332">
        <f>Gasto_o_ing_total!H347*1000/Gasto_o_ing_total!H$485</f>
        <v>0.26960909369556024</v>
      </c>
      <c r="J347" s="332">
        <f>Gasto_o_ing_total!I347*1000/Gasto_o_ing_total!I$485</f>
        <v>0.58291353925746248</v>
      </c>
      <c r="K347" s="332">
        <f>Gasto_o_ing_total!J347*1000/Gasto_o_ing_total!J$485</f>
        <v>0.45748088564180545</v>
      </c>
      <c r="L347" s="332">
        <f>Gasto_o_ing_total!K347*1000/Gasto_o_ing_total!K$485</f>
        <v>0.34752505181744581</v>
      </c>
      <c r="M347" s="332">
        <f>Gasto_o_ing_total!L347*1000/Gasto_o_ing_total!L$485</f>
        <v>0.30313143322112474</v>
      </c>
      <c r="N347" s="332">
        <f>Gasto_o_ing_total!M347*1000/Gasto_o_ing_total!M$485</f>
        <v>0.2956909782703786</v>
      </c>
      <c r="O347" s="332">
        <f>Gasto_o_ing_total!N347*1000/Gasto_o_ing_total!N$485</f>
        <v>0.49291170464596623</v>
      </c>
      <c r="P347" s="332">
        <f>Gasto_o_ing_total!O347*1000/Gasto_o_ing_total!O$485</f>
        <v>0.30593941740096342</v>
      </c>
      <c r="Q347" s="332">
        <f>Gasto_o_ing_total!P347*1000/Gasto_o_ing_total!P$485</f>
        <v>0.2706453297889026</v>
      </c>
      <c r="R347" s="332">
        <f>Gasto_o_ing_total!Q347*1000/Gasto_o_ing_total!Q$485</f>
        <v>0.30304972356275417</v>
      </c>
      <c r="S347" s="332">
        <f>Gasto_o_ing_total!R347*1000/Gasto_o_ing_total!R$485</f>
        <v>0.26148039635611958</v>
      </c>
      <c r="T347" s="332">
        <f>Gasto_o_ing_total!S347*1000/Gasto_o_ing_total!S$485</f>
        <v>0.49500113171799659</v>
      </c>
      <c r="U347" s="332">
        <f>Gasto_o_ing_total!T347*1000/Gasto_o_ing_total!T$485</f>
        <v>0.25745312957467054</v>
      </c>
      <c r="V347" s="332">
        <f>Gasto_o_ing_total!U347*1000/Gasto_o_ing_total!U$485</f>
        <v>0.25745312957467059</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Gasto_o_ing_total!V348*1000/Gasto_o_ing_total!V$485</f>
        <v>0.27945267279530561</v>
      </c>
      <c r="E348" s="332">
        <f>Gasto_o_ing_total!D348*1000/Gasto_o_ing_total!D$485</f>
        <v>6.0910713365138341E-2</v>
      </c>
      <c r="F348" s="332">
        <f>Gasto_o_ing_total!E348*1000/Gasto_o_ing_total!E$485</f>
        <v>7.3927668124395399E-2</v>
      </c>
      <c r="G348" s="332">
        <f>Gasto_o_ing_total!F348*1000/Gasto_o_ing_total!F$485</f>
        <v>6.5568821563028401E-2</v>
      </c>
      <c r="H348" s="332">
        <f>Gasto_o_ing_total!G348*1000/Gasto_o_ing_total!G$485</f>
        <v>7.2382594908692671E-2</v>
      </c>
      <c r="I348" s="332">
        <f>Gasto_o_ing_total!H348*1000/Gasto_o_ing_total!H$485</f>
        <v>6.4685295909003376E-2</v>
      </c>
      <c r="J348" s="332">
        <f>Gasto_o_ing_total!I348*1000/Gasto_o_ing_total!I$485</f>
        <v>6.6948883015825675E-2</v>
      </c>
      <c r="K348" s="332">
        <f>Gasto_o_ing_total!J348*1000/Gasto_o_ing_total!J$485</f>
        <v>6.7822419336475967E-2</v>
      </c>
      <c r="L348" s="332">
        <f>Gasto_o_ing_total!K348*1000/Gasto_o_ing_total!K$485</f>
        <v>6.209509365517258E-2</v>
      </c>
      <c r="M348" s="332">
        <f>Gasto_o_ing_total!L348*1000/Gasto_o_ing_total!L$485</f>
        <v>7.614849486243809E-2</v>
      </c>
      <c r="N348" s="332">
        <f>Gasto_o_ing_total!M348*1000/Gasto_o_ing_total!M$485</f>
        <v>6.5594301813520481E-2</v>
      </c>
      <c r="O348" s="332">
        <f>Gasto_o_ing_total!N348*1000/Gasto_o_ing_total!N$485</f>
        <v>5.8843277248811957E-2</v>
      </c>
      <c r="P348" s="332">
        <f>Gasto_o_ing_total!O348*1000/Gasto_o_ing_total!O$485</f>
        <v>6.5873839467243442E-2</v>
      </c>
      <c r="Q348" s="332">
        <f>Gasto_o_ing_total!P348*1000/Gasto_o_ing_total!P$485</f>
        <v>8.2647382175798575E-2</v>
      </c>
      <c r="R348" s="332">
        <f>Gasto_o_ing_total!Q348*1000/Gasto_o_ing_total!Q$485</f>
        <v>6.3432173827622215E-2</v>
      </c>
      <c r="S348" s="332">
        <f>Gasto_o_ing_total!R348*1000/Gasto_o_ing_total!R$485</f>
        <v>7.8754428143771843E-2</v>
      </c>
      <c r="T348" s="332">
        <f>Gasto_o_ing_total!S348*1000/Gasto_o_ing_total!S$485</f>
        <v>4.5518083463621206</v>
      </c>
      <c r="U348" s="332">
        <f>Gasto_o_ing_total!T348*1000/Gasto_o_ing_total!T$485</f>
        <v>7.2728195955106045E-2</v>
      </c>
      <c r="V348" s="332">
        <f>Gasto_o_ing_total!U348*1000/Gasto_o_ing_total!U$485</f>
        <v>6.2290642642267642E-2</v>
      </c>
      <c r="W348" s="105"/>
    </row>
    <row r="349" spans="1:23" s="102" customFormat="1">
      <c r="A349" s="351" t="str">
        <f>IF(B349="","",(IF(ISERROR(MATCH(B349,Tot_res!C:C,0)),"Eliminar!!!","")))</f>
        <v/>
      </c>
      <c r="B349" s="115" t="s">
        <v>329</v>
      </c>
      <c r="C349" s="329" t="str">
        <f>VLOOKUP(B349,Tot_res!C:D,2,FALSE)</f>
        <v>Administración de Justicia + AF13</v>
      </c>
      <c r="D349" s="332">
        <f>Gasto_o_ing_total!V349*1000/Gasto_o_ing_total!V$485</f>
        <v>27.882940163458798</v>
      </c>
      <c r="E349" s="332">
        <f>Gasto_o_ing_total!D349*1000/Gasto_o_ing_total!D$485</f>
        <v>31.041827932453831</v>
      </c>
      <c r="F349" s="332">
        <f>Gasto_o_ing_total!E349*1000/Gasto_o_ing_total!E$485</f>
        <v>35.39931047917532</v>
      </c>
      <c r="G349" s="332">
        <f>Gasto_o_ing_total!F349*1000/Gasto_o_ing_total!F$485</f>
        <v>47.059295176934924</v>
      </c>
      <c r="H349" s="332">
        <f>Gasto_o_ing_total!G349*1000/Gasto_o_ing_total!G$485</f>
        <v>7.2221157970218517</v>
      </c>
      <c r="I349" s="332">
        <f>Gasto_o_ing_total!H349*1000/Gasto_o_ing_total!H$485</f>
        <v>32.089355263862089</v>
      </c>
      <c r="J349" s="332">
        <f>Gasto_o_ing_total!I349*1000/Gasto_o_ing_total!I$485</f>
        <v>41.432058923323567</v>
      </c>
      <c r="K349" s="332">
        <f>Gasto_o_ing_total!J349*1000/Gasto_o_ing_total!J$485</f>
        <v>6.7671153085916655</v>
      </c>
      <c r="L349" s="332">
        <f>Gasto_o_ing_total!K349*1000/Gasto_o_ing_total!K$485</f>
        <v>6.1956601220263288</v>
      </c>
      <c r="M349" s="332">
        <f>Gasto_o_ing_total!L349*1000/Gasto_o_ing_total!L$485</f>
        <v>34.839688876922175</v>
      </c>
      <c r="N349" s="332">
        <f>Gasto_o_ing_total!M349*1000/Gasto_o_ing_total!M$485</f>
        <v>26.785842032579321</v>
      </c>
      <c r="O349" s="332">
        <f>Gasto_o_ing_total!N349*1000/Gasto_o_ing_total!N$485</f>
        <v>5.8712037431549025</v>
      </c>
      <c r="P349" s="332">
        <f>Gasto_o_ing_total!O349*1000/Gasto_o_ing_total!O$485</f>
        <v>24.776416666791889</v>
      </c>
      <c r="Q349" s="332">
        <f>Gasto_o_ing_total!P349*1000/Gasto_o_ing_total!P$485</f>
        <v>35.067233078515564</v>
      </c>
      <c r="R349" s="332">
        <f>Gasto_o_ing_total!Q349*1000/Gasto_o_ing_total!Q$485</f>
        <v>6.3290699265175139</v>
      </c>
      <c r="S349" s="332">
        <f>Gasto_o_ing_total!R349*1000/Gasto_o_ing_total!R$485</f>
        <v>33.250329937780137</v>
      </c>
      <c r="T349" s="332">
        <f>Gasto_o_ing_total!S349*1000/Gasto_o_ing_total!S$485</f>
        <v>33.347855968939413</v>
      </c>
      <c r="U349" s="332">
        <f>Gasto_o_ing_total!T349*1000/Gasto_o_ing_total!T$485</f>
        <v>46.845597863293001</v>
      </c>
      <c r="V349" s="332">
        <f>Gasto_o_ing_total!U349*1000/Gasto_o_ing_total!U$485</f>
        <v>6.215171406894914</v>
      </c>
      <c r="W349" s="105"/>
    </row>
    <row r="350" spans="1:23" s="102" customFormat="1">
      <c r="A350" s="351" t="str">
        <f>IF(B350="","",(IF(ISERROR(MATCH(B350,Tot_res!C:C,0)),"Eliminar!!!","")))</f>
        <v/>
      </c>
      <c r="B350" s="115" t="s">
        <v>331</v>
      </c>
      <c r="C350" s="329" t="str">
        <f>VLOOKUP(B350,Tot_res!C:D,2,FALSE)</f>
        <v>Instituciones Penitenciarias transferidas, Cataluña</v>
      </c>
      <c r="D350" s="332">
        <f>Gasto_o_ing_total!V350*1000/Gasto_o_ing_total!V$485</f>
        <v>8.7263952435236654</v>
      </c>
      <c r="E350" s="332">
        <f>Gasto_o_ing_total!D350*1000/Gasto_o_ing_total!D$485</f>
        <v>1.9020428542421348</v>
      </c>
      <c r="F350" s="332">
        <f>Gasto_o_ing_total!E350*1000/Gasto_o_ing_total!E$485</f>
        <v>2.3085198829286595</v>
      </c>
      <c r="G350" s="332">
        <f>Gasto_o_ing_total!F350*1000/Gasto_o_ing_total!F$485</f>
        <v>2.0475003759587396</v>
      </c>
      <c r="H350" s="332">
        <f>Gasto_o_ing_total!G350*1000/Gasto_o_ing_total!G$485</f>
        <v>2.2602722872784291</v>
      </c>
      <c r="I350" s="332">
        <f>Gasto_o_ing_total!H350*1000/Gasto_o_ing_total!H$485</f>
        <v>2.0199107523287569</v>
      </c>
      <c r="J350" s="332">
        <f>Gasto_o_ing_total!I350*1000/Gasto_o_ing_total!I$485</f>
        <v>2.0905951926122972</v>
      </c>
      <c r="K350" s="332">
        <f>Gasto_o_ing_total!J350*1000/Gasto_o_ing_total!J$485</f>
        <v>2.1178728819516706</v>
      </c>
      <c r="L350" s="332">
        <f>Gasto_o_ing_total!K350*1000/Gasto_o_ing_total!K$485</f>
        <v>1.93902718660187</v>
      </c>
      <c r="M350" s="332">
        <f>Gasto_o_ing_total!L350*1000/Gasto_o_ing_total!L$485</f>
        <v>43.05502541629405</v>
      </c>
      <c r="N350" s="332">
        <f>Gasto_o_ing_total!M350*1000/Gasto_o_ing_total!M$485</f>
        <v>2.0482960410510564</v>
      </c>
      <c r="O350" s="332">
        <f>Gasto_o_ing_total!N350*1000/Gasto_o_ing_total!N$485</f>
        <v>1.8374835694396789</v>
      </c>
      <c r="P350" s="332">
        <f>Gasto_o_ing_total!O350*1000/Gasto_o_ing_total!O$485</f>
        <v>2.0570250899716958</v>
      </c>
      <c r="Q350" s="332">
        <f>Gasto_o_ing_total!P350*1000/Gasto_o_ing_total!P$485</f>
        <v>2.5808081042647535</v>
      </c>
      <c r="R350" s="332">
        <f>Gasto_o_ing_total!Q350*1000/Gasto_o_ing_total!Q$485</f>
        <v>1.9807798380986794</v>
      </c>
      <c r="S350" s="332">
        <f>Gasto_o_ing_total!R350*1000/Gasto_o_ing_total!R$485</f>
        <v>2.4592438507955516</v>
      </c>
      <c r="T350" s="332">
        <f>Gasto_o_ing_total!S350*1000/Gasto_o_ing_total!S$485</f>
        <v>2.5259248556641398</v>
      </c>
      <c r="U350" s="332">
        <f>Gasto_o_ing_total!T350*1000/Gasto_o_ing_total!T$485</f>
        <v>2.2710642804177734</v>
      </c>
      <c r="V350" s="332">
        <f>Gasto_o_ing_total!U350*1000/Gasto_o_ing_total!U$485</f>
        <v>1.9451335434808115</v>
      </c>
      <c r="W350" s="105"/>
    </row>
    <row r="351" spans="1:23" s="102" customFormat="1">
      <c r="A351" s="351" t="str">
        <f>IF(B351="","",(IF(ISERROR(MATCH(B351,Tot_res!C:C,0)),"Eliminar!!!","")))</f>
        <v/>
      </c>
      <c r="B351" s="115" t="s">
        <v>332</v>
      </c>
      <c r="C351" s="329" t="str">
        <f>VLOOKUP(B351,Tot_res!C:D,2,FALSE)</f>
        <v>Policía áutonómica catalana y tráfico</v>
      </c>
      <c r="D351" s="332">
        <f>Gasto_o_ing_total!V351*1000/Gasto_o_ing_total!V$485</f>
        <v>24.689489701873637</v>
      </c>
      <c r="E351" s="332">
        <f>Gasto_o_ing_total!D351*1000/Gasto_o_ing_total!D$485</f>
        <v>5.3814279724707026</v>
      </c>
      <c r="F351" s="332">
        <f>Gasto_o_ing_total!E351*1000/Gasto_o_ing_total!E$485</f>
        <v>6.5314687549177499</v>
      </c>
      <c r="G351" s="332">
        <f>Gasto_o_ing_total!F351*1000/Gasto_o_ing_total!F$485</f>
        <v>5.7929692657839365</v>
      </c>
      <c r="H351" s="332">
        <f>Gasto_o_ing_total!G351*1000/Gasto_o_ing_total!G$485</f>
        <v>6.3949623874310619</v>
      </c>
      <c r="I351" s="332">
        <f>Gasto_o_ing_total!H351*1000/Gasto_o_ing_total!H$485</f>
        <v>5.7149102609506901</v>
      </c>
      <c r="J351" s="332">
        <f>Gasto_o_ing_total!I351*1000/Gasto_o_ing_total!I$485</f>
        <v>5.9148969349164799</v>
      </c>
      <c r="K351" s="332">
        <f>Gasto_o_ing_total!J351*1000/Gasto_o_ing_total!J$485</f>
        <v>5.9920733876488015</v>
      </c>
      <c r="L351" s="332">
        <f>Gasto_o_ing_total!K351*1000/Gasto_o_ing_total!K$485</f>
        <v>5.4860673186662625</v>
      </c>
      <c r="M351" s="332">
        <f>Gasto_o_ing_total!L351*1000/Gasto_o_ing_total!L$485</f>
        <v>121.81508824258393</v>
      </c>
      <c r="N351" s="332">
        <f>Gasto_o_ing_total!M351*1000/Gasto_o_ing_total!M$485</f>
        <v>5.7952204318788336</v>
      </c>
      <c r="O351" s="332">
        <f>Gasto_o_ing_total!N351*1000/Gasto_o_ing_total!N$485</f>
        <v>5.1987711304632871</v>
      </c>
      <c r="P351" s="332">
        <f>Gasto_o_ing_total!O351*1000/Gasto_o_ing_total!O$485</f>
        <v>5.8199174295988518</v>
      </c>
      <c r="Q351" s="332">
        <f>Gasto_o_ing_total!P351*1000/Gasto_o_ing_total!P$485</f>
        <v>7.3018506880084191</v>
      </c>
      <c r="R351" s="332">
        <f>Gasto_o_ing_total!Q351*1000/Gasto_o_ing_total!Q$485</f>
        <v>5.6041976153568056</v>
      </c>
      <c r="S351" s="332">
        <f>Gasto_o_ing_total!R351*1000/Gasto_o_ing_total!R$485</f>
        <v>6.9579103437555858</v>
      </c>
      <c r="T351" s="332">
        <f>Gasto_o_ing_total!S351*1000/Gasto_o_ing_total!S$485</f>
        <v>7.1465701439446079</v>
      </c>
      <c r="U351" s="332">
        <f>Gasto_o_ing_total!T351*1000/Gasto_o_ing_total!T$485</f>
        <v>6.4254960495035292</v>
      </c>
      <c r="V351" s="332">
        <f>Gasto_o_ing_total!U351*1000/Gasto_o_ing_total!U$485</f>
        <v>5.5033439639557917</v>
      </c>
      <c r="W351" s="105"/>
    </row>
    <row r="352" spans="1:23" s="102" customFormat="1">
      <c r="A352" s="351" t="str">
        <f>IF(B352="","",(IF(ISERROR(MATCH(B352,Tot_res!C:C,0)),"Eliminar!!!","")))</f>
        <v/>
      </c>
      <c r="B352" s="115" t="s">
        <v>225</v>
      </c>
      <c r="C352" s="329" t="str">
        <f>VLOOKUP(B352,Tot_res!C:D,2,FALSE)</f>
        <v>Ajuste forales, seguridad ciudadana y vial</v>
      </c>
      <c r="D352" s="332">
        <f>Gasto_o_ing_total!V352*1000/Gasto_o_ing_total!V$485</f>
        <v>12.78360865616934</v>
      </c>
      <c r="E352" s="332">
        <f>Gasto_o_ing_total!D352*1000/Gasto_o_ing_total!D$485</f>
        <v>2.7863706395765502</v>
      </c>
      <c r="F352" s="332">
        <f>Gasto_o_ing_total!E352*1000/Gasto_o_ing_total!E$485</f>
        <v>3.3818333842084143</v>
      </c>
      <c r="G352" s="332">
        <f>Gasto_o_ing_total!F352*1000/Gasto_o_ing_total!F$485</f>
        <v>2.9994565681678935</v>
      </c>
      <c r="H352" s="332">
        <f>Gasto_o_ing_total!G352*1000/Gasto_o_ing_total!G$485</f>
        <v>3.311153754856146</v>
      </c>
      <c r="I352" s="332">
        <f>Gasto_o_ing_total!H352*1000/Gasto_o_ing_total!H$485</f>
        <v>2.9590395412496528</v>
      </c>
      <c r="J352" s="332">
        <f>Gasto_o_ing_total!I352*1000/Gasto_o_ing_total!I$485</f>
        <v>3.0625877071817165</v>
      </c>
      <c r="K352" s="332">
        <f>Gasto_o_ing_total!J352*1000/Gasto_o_ing_total!J$485</f>
        <v>3.1025477703954358</v>
      </c>
      <c r="L352" s="332">
        <f>Gasto_o_ing_total!K352*1000/Gasto_o_ing_total!K$485</f>
        <v>2.840550311491759</v>
      </c>
      <c r="M352" s="332">
        <f>Gasto_o_ing_total!L352*1000/Gasto_o_ing_total!L$485</f>
        <v>3.4834254700106855</v>
      </c>
      <c r="N352" s="332">
        <f>Gasto_o_ing_total!M352*1000/Gasto_o_ing_total!M$485</f>
        <v>3.0006221664335806</v>
      </c>
      <c r="O352" s="332">
        <f>Gasto_o_ing_total!N352*1000/Gasto_o_ing_total!N$485</f>
        <v>2.6917954330903116</v>
      </c>
      <c r="P352" s="332">
        <f>Gasto_o_ing_total!O352*1000/Gasto_o_ing_total!O$485</f>
        <v>3.0134096625563158</v>
      </c>
      <c r="Q352" s="332">
        <f>Gasto_o_ing_total!P352*1000/Gasto_o_ing_total!P$485</f>
        <v>3.7807181431618146</v>
      </c>
      <c r="R352" s="332">
        <f>Gasto_o_ing_total!Q352*1000/Gasto_o_ing_total!Q$485</f>
        <v>2.9017152647396376</v>
      </c>
      <c r="S352" s="332">
        <f>Gasto_o_ing_total!R352*1000/Gasto_o_ing_total!R$485</f>
        <v>87.83141367759174</v>
      </c>
      <c r="T352" s="332">
        <f>Gasto_o_ing_total!S352*1000/Gasto_o_ing_total!S$485</f>
        <v>183.57418227073464</v>
      </c>
      <c r="U352" s="332">
        <f>Gasto_o_ing_total!T352*1000/Gasto_o_ing_total!T$485</f>
        <v>3.326963331784929</v>
      </c>
      <c r="V352" s="332">
        <f>Gasto_o_ing_total!U352*1000/Gasto_o_ing_total!U$485</f>
        <v>2.8494957321926182</v>
      </c>
      <c r="W352" s="105"/>
    </row>
    <row r="353" spans="1:23" s="102" customFormat="1">
      <c r="A353" s="351" t="str">
        <f>IF(B353="","",(IF(ISERROR(MATCH(B353,Tot_res!C:C,0)),"Eliminar!!!","")))</f>
        <v/>
      </c>
      <c r="B353" s="115" t="s">
        <v>1218</v>
      </c>
      <c r="C353" s="329" t="str">
        <f>VLOOKUP(B353,Tot_res!C:D,2,FALSE)</f>
        <v>Administración de justicia, coste efectivo</v>
      </c>
      <c r="D353" s="332">
        <f>Gasto_o_ing_total!V353*1000/Gasto_o_ing_total!V$485</f>
        <v>7.4643311021854808E-3</v>
      </c>
      <c r="E353" s="332">
        <f>Gasto_o_ing_total!D353*1000/Gasto_o_ing_total!D$485</f>
        <v>1.6269578948015151E-3</v>
      </c>
      <c r="F353" s="332">
        <f>Gasto_o_ing_total!E353*1000/Gasto_o_ing_total!E$485</f>
        <v>1.9746477533144585E-3</v>
      </c>
      <c r="G353" s="332">
        <f>Gasto_o_ing_total!F353*1000/Gasto_o_ing_total!F$485</f>
        <v>1.7513784686005141E-3</v>
      </c>
      <c r="H353" s="332">
        <f>Gasto_o_ing_total!G353*1000/Gasto_o_ing_total!G$485</f>
        <v>1.9333780172129495E-3</v>
      </c>
      <c r="I353" s="332">
        <f>Gasto_o_ing_total!H353*1000/Gasto_o_ing_total!H$485</f>
        <v>1.7277790234674613E-3</v>
      </c>
      <c r="J353" s="332">
        <f>Gasto_o_ing_total!I353*1000/Gasto_o_ing_total!I$485</f>
        <v>1.7882406518174463E-3</v>
      </c>
      <c r="K353" s="332">
        <f>Gasto_o_ing_total!J353*1000/Gasto_o_ing_total!J$485</f>
        <v>1.8115732764865783E-3</v>
      </c>
      <c r="L353" s="332">
        <f>Gasto_o_ing_total!K353*1000/Gasto_o_ing_total!K$485</f>
        <v>1.6585933289782122E-3</v>
      </c>
      <c r="M353" s="332">
        <f>Gasto_o_ing_total!L353*1000/Gasto_o_ing_total!L$485</f>
        <v>2.0339672292297218E-3</v>
      </c>
      <c r="N353" s="332">
        <f>Gasto_o_ing_total!M353*1000/Gasto_o_ing_total!M$485</f>
        <v>1.7520590597873403E-3</v>
      </c>
      <c r="O353" s="332">
        <f>Gasto_o_ing_total!N353*1000/Gasto_o_ing_total!N$485</f>
        <v>1.5717355648430524E-3</v>
      </c>
      <c r="P353" s="332">
        <f>Gasto_o_ing_total!O353*1000/Gasto_o_ing_total!O$485</f>
        <v>1.7595256607757825E-3</v>
      </c>
      <c r="Q353" s="332">
        <f>Gasto_o_ing_total!P353*1000/Gasto_o_ing_total!P$485</f>
        <v>4.2765679240444908E-2</v>
      </c>
      <c r="R353" s="332">
        <f>Gasto_o_ing_total!Q353*1000/Gasto_o_ing_total!Q$485</f>
        <v>1.6943074590936964E-3</v>
      </c>
      <c r="S353" s="332">
        <f>Gasto_o_ing_total!R353*1000/Gasto_o_ing_total!R$485</f>
        <v>2.1035731079193406E-3</v>
      </c>
      <c r="T353" s="332">
        <f>Gasto_o_ing_total!S353*1000/Gasto_o_ing_total!S$485</f>
        <v>2.1606103019353898E-3</v>
      </c>
      <c r="U353" s="332">
        <f>Gasto_o_ing_total!T353*1000/Gasto_o_ing_total!T$485</f>
        <v>1.9426092069306468E-3</v>
      </c>
      <c r="V353" s="332">
        <f>Gasto_o_ing_total!U353*1000/Gasto_o_ing_total!U$485</f>
        <v>1.6638165475353079E-3</v>
      </c>
      <c r="W353" s="105"/>
    </row>
    <row r="354" spans="1:23">
      <c r="A354" s="352"/>
      <c r="D354" s="19"/>
      <c r="E354" s="19"/>
      <c r="F354" s="19"/>
      <c r="G354" s="19"/>
      <c r="H354" s="19"/>
      <c r="I354" s="19"/>
      <c r="J354" s="19"/>
      <c r="K354" s="19"/>
      <c r="L354" s="19"/>
      <c r="M354" s="19"/>
      <c r="N354" s="19"/>
      <c r="O354" s="19"/>
      <c r="P354" s="19"/>
      <c r="Q354" s="19"/>
      <c r="R354" s="19"/>
      <c r="S354" s="19"/>
      <c r="T354" s="19"/>
      <c r="U354" s="19"/>
      <c r="V354" s="19"/>
      <c r="W354" s="2"/>
    </row>
    <row r="355" spans="1:23" s="102" customFormat="1" ht="13.5">
      <c r="A355" s="352"/>
      <c r="B355" s="115"/>
      <c r="C355" s="117" t="s">
        <v>6</v>
      </c>
      <c r="D355" s="113">
        <f>Gasto_o_ing_total!V355*1000/Gasto_o_ing_total!V$485</f>
        <v>18.237928573194157</v>
      </c>
      <c r="E355" s="113">
        <f>Gasto_o_ing_total!D355*1000/Gasto_o_ing_total!D$485</f>
        <v>21.22956395504411</v>
      </c>
      <c r="F355" s="113">
        <f>Gasto_o_ing_total!E355*1000/Gasto_o_ing_total!E$485</f>
        <v>46.995768240278174</v>
      </c>
      <c r="G355" s="113">
        <f>Gasto_o_ing_total!F355*1000/Gasto_o_ing_total!F$485</f>
        <v>28.393133785002906</v>
      </c>
      <c r="H355" s="113">
        <f>Gasto_o_ing_total!G355*1000/Gasto_o_ing_total!G$485</f>
        <v>8.1459532691035275</v>
      </c>
      <c r="I355" s="113">
        <f>Gasto_o_ing_total!H355*1000/Gasto_o_ing_total!H$485</f>
        <v>12.902247677334625</v>
      </c>
      <c r="J355" s="113">
        <f>Gasto_o_ing_total!I355*1000/Gasto_o_ing_total!I$485</f>
        <v>16.918038545320719</v>
      </c>
      <c r="K355" s="113">
        <f>Gasto_o_ing_total!J355*1000/Gasto_o_ing_total!J$485</f>
        <v>17.278563336918968</v>
      </c>
      <c r="L355" s="113">
        <f>Gasto_o_ing_total!K355*1000/Gasto_o_ing_total!K$485</f>
        <v>16.409878597243292</v>
      </c>
      <c r="M355" s="113">
        <f>Gasto_o_ing_total!L355*1000/Gasto_o_ing_total!L$485</f>
        <v>24.124990294790873</v>
      </c>
      <c r="N355" s="113">
        <f>Gasto_o_ing_total!M355*1000/Gasto_o_ing_total!M$485</f>
        <v>17.004045204378475</v>
      </c>
      <c r="O355" s="113">
        <f>Gasto_o_ing_total!N355*1000/Gasto_o_ing_total!N$485</f>
        <v>15.160127012971147</v>
      </c>
      <c r="P355" s="113">
        <f>Gasto_o_ing_total!O355*1000/Gasto_o_ing_total!O$485</f>
        <v>11.015718037820273</v>
      </c>
      <c r="Q355" s="113">
        <f>Gasto_o_ing_total!P355*1000/Gasto_o_ing_total!P$485</f>
        <v>9.1660764821848542</v>
      </c>
      <c r="R355" s="113">
        <f>Gasto_o_ing_total!Q355*1000/Gasto_o_ing_total!Q$485</f>
        <v>16.137528865336332</v>
      </c>
      <c r="S355" s="113">
        <f>Gasto_o_ing_total!R355*1000/Gasto_o_ing_total!R$485</f>
        <v>18.264635390425685</v>
      </c>
      <c r="T355" s="113">
        <f>Gasto_o_ing_total!S355*1000/Gasto_o_ing_total!S$485</f>
        <v>18.26682710582304</v>
      </c>
      <c r="U355" s="113">
        <f>Gasto_o_ing_total!T355*1000/Gasto_o_ing_total!T$485</f>
        <v>32.921990053354115</v>
      </c>
      <c r="V355" s="113">
        <f>Gasto_o_ing_total!U355*1000/Gasto_o_ing_total!U$485</f>
        <v>2.5127020403943328</v>
      </c>
      <c r="W355" s="105"/>
    </row>
    <row r="356" spans="1:23" s="102" customFormat="1">
      <c r="A356" s="351" t="str">
        <f>IF(B356="","",(IF(ISERROR(MATCH(B356,Tot_res!C:C,0)),"Eliminar!!!","")))</f>
        <v/>
      </c>
      <c r="B356" s="115" t="s">
        <v>333</v>
      </c>
      <c r="C356" s="329" t="str">
        <f>VLOOKUP(B356,Tot_res!C:D,2,FALSE)</f>
        <v>Promoción, administración y ayudas para rehabilitación y acceso a vivienda+AF15</v>
      </c>
      <c r="D356" s="332">
        <f>Gasto_o_ing_total!V356*1000/Gasto_o_ing_total!V$485</f>
        <v>17.667335864575151</v>
      </c>
      <c r="E356" s="332">
        <f>Gasto_o_ing_total!D356*1000/Gasto_o_ing_total!D$485</f>
        <v>20.448297362327366</v>
      </c>
      <c r="F356" s="332">
        <f>Gasto_o_ing_total!E356*1000/Gasto_o_ing_total!E$485</f>
        <v>46.42723064565093</v>
      </c>
      <c r="G356" s="332">
        <f>Gasto_o_ing_total!F356*1000/Gasto_o_ing_total!F$485</f>
        <v>28.290151941819357</v>
      </c>
      <c r="H356" s="332">
        <f>Gasto_o_ing_total!G356*1000/Gasto_o_ing_total!G$485</f>
        <v>6.2768073829130078</v>
      </c>
      <c r="I356" s="332">
        <f>Gasto_o_ing_total!H356*1000/Gasto_o_ing_total!H$485</f>
        <v>12.225700188834331</v>
      </c>
      <c r="J356" s="332">
        <f>Gasto_o_ing_total!I356*1000/Gasto_o_ing_total!I$485</f>
        <v>16.812582061323088</v>
      </c>
      <c r="K356" s="332">
        <f>Gasto_o_ing_total!J356*1000/Gasto_o_ing_total!J$485</f>
        <v>14.683120147068868</v>
      </c>
      <c r="L356" s="332">
        <f>Gasto_o_ing_total!K356*1000/Gasto_o_ing_total!K$485</f>
        <v>15.935338240626765</v>
      </c>
      <c r="M356" s="332">
        <f>Gasto_o_ing_total!L356*1000/Gasto_o_ing_total!L$485</f>
        <v>23.930412718883666</v>
      </c>
      <c r="N356" s="332">
        <f>Gasto_o_ing_total!M356*1000/Gasto_o_ing_total!M$485</f>
        <v>16.841280957992215</v>
      </c>
      <c r="O356" s="332">
        <f>Gasto_o_ing_total!N356*1000/Gasto_o_ing_total!N$485</f>
        <v>14.69820228432909</v>
      </c>
      <c r="P356" s="332">
        <f>Gasto_o_ing_total!O356*1000/Gasto_o_ing_total!O$485</f>
        <v>10.088079142200344</v>
      </c>
      <c r="Q356" s="332">
        <f>Gasto_o_ing_total!P356*1000/Gasto_o_ing_total!P$485</f>
        <v>9.0256297297390642</v>
      </c>
      <c r="R356" s="332">
        <f>Gasto_o_ing_total!Q356*1000/Gasto_o_ing_total!Q$485</f>
        <v>16.034547022152786</v>
      </c>
      <c r="S356" s="332">
        <f>Gasto_o_ing_total!R356*1000/Gasto_o_ing_total!R$485</f>
        <v>17.667335864575151</v>
      </c>
      <c r="T356" s="332">
        <f>Gasto_o_ing_total!S356*1000/Gasto_o_ing_total!S$485</f>
        <v>17.667335864575154</v>
      </c>
      <c r="U356" s="332">
        <f>Gasto_o_ing_total!T356*1000/Gasto_o_ing_total!T$485</f>
        <v>32.435119426967866</v>
      </c>
      <c r="V356" s="332">
        <f>Gasto_o_ing_total!U356*1000/Gasto_o_ing_total!U$485</f>
        <v>2.4097201972107856</v>
      </c>
      <c r="W356" s="105"/>
    </row>
    <row r="357" spans="1:23" s="102" customFormat="1">
      <c r="A357" s="351" t="str">
        <f>IF(B357="","",(IF(ISERROR(MATCH(B357,Tot_res!C:C,0)),"Eliminar!!!","")))</f>
        <v/>
      </c>
      <c r="B357" s="115" t="s">
        <v>824</v>
      </c>
      <c r="C357" s="329" t="str">
        <f>VLOOKUP(B357,Tot_res!C:D,2,FALSE)</f>
        <v>Ordenación y fomento de la edificación, neto de actuaciones relacionadas con el 1% cultural</v>
      </c>
      <c r="D357" s="332">
        <f>Gasto_o_ing_total!V357*1000/Gasto_o_ing_total!V$485</f>
        <v>0.54130040109010147</v>
      </c>
      <c r="E357" s="332">
        <f>Gasto_o_ing_total!D357*1000/Gasto_o_ing_total!D$485</f>
        <v>0.75197428518783893</v>
      </c>
      <c r="F357" s="332">
        <f>Gasto_o_ing_total!E357*1000/Gasto_o_ing_total!E$485</f>
        <v>0.53924528709833375</v>
      </c>
      <c r="G357" s="332">
        <f>Gasto_o_ing_total!F357*1000/Gasto_o_ing_total!F$485</f>
        <v>7.3689535654646643E-2</v>
      </c>
      <c r="H357" s="332">
        <f>Gasto_o_ing_total!G357*1000/Gasto_o_ing_total!G$485</f>
        <v>1.8398535786616201</v>
      </c>
      <c r="I357" s="332">
        <f>Gasto_o_ing_total!H357*1000/Gasto_o_ing_total!H$485</f>
        <v>0.64725518097139256</v>
      </c>
      <c r="J357" s="332">
        <f>Gasto_o_ing_total!I357*1000/Gasto_o_ing_total!I$485</f>
        <v>7.6164176468730374E-2</v>
      </c>
      <c r="K357" s="332">
        <f>Gasto_o_ing_total!J357*1000/Gasto_o_ing_total!J$485</f>
        <v>2.5661508823212005</v>
      </c>
      <c r="L357" s="332">
        <f>Gasto_o_ing_total!K357*1000/Gasto_o_ing_total!K$485</f>
        <v>0.44524804908762389</v>
      </c>
      <c r="M357" s="332">
        <f>Gasto_o_ing_total!L357*1000/Gasto_o_ing_total!L$485</f>
        <v>0.16528526837830443</v>
      </c>
      <c r="N357" s="332">
        <f>Gasto_o_ing_total!M357*1000/Gasto_o_ing_total!M$485</f>
        <v>0.13347193885736</v>
      </c>
      <c r="O357" s="332">
        <f>Gasto_o_ing_total!N357*1000/Gasto_o_ing_total!N$485</f>
        <v>0.43263242111315336</v>
      </c>
      <c r="P357" s="332">
        <f>Gasto_o_ing_total!O357*1000/Gasto_o_ing_total!O$485</f>
        <v>0.89834658809102652</v>
      </c>
      <c r="Q357" s="332">
        <f>Gasto_o_ing_total!P357*1000/Gasto_o_ing_total!P$485</f>
        <v>0.11115444491688863</v>
      </c>
      <c r="R357" s="332">
        <f>Gasto_o_ing_total!Q357*1000/Gasto_o_ing_total!Q$485</f>
        <v>7.3689535654646629E-2</v>
      </c>
      <c r="S357" s="332">
        <f>Gasto_o_ing_total!R357*1000/Gasto_o_ing_total!R$485</f>
        <v>0.5680072183216337</v>
      </c>
      <c r="T357" s="332">
        <f>Gasto_o_ing_total!S357*1000/Gasto_o_ing_total!S$485</f>
        <v>0.57019893371898389</v>
      </c>
      <c r="U357" s="332">
        <f>Gasto_o_ing_total!T357*1000/Gasto_o_ing_total!T$485</f>
        <v>0.45757831885735706</v>
      </c>
      <c r="V357" s="332">
        <f>Gasto_o_ing_total!U357*1000/Gasto_o_ing_total!U$485</f>
        <v>7.3689535654646629E-2</v>
      </c>
      <c r="W357" s="105"/>
    </row>
    <row r="358" spans="1:23" s="102" customFormat="1">
      <c r="A358" s="351" t="str">
        <f>IF(B358="","",(IF(ISERROR(MATCH(B358,Tot_res!C:C,0)),"Eliminar!!!","")))</f>
        <v/>
      </c>
      <c r="B358" s="115" t="s">
        <v>334</v>
      </c>
      <c r="C358" s="329" t="str">
        <f>VLOOKUP(B358,Tot_res!C:D,2,FALSE)</f>
        <v>Suelo y políticas urbanas</v>
      </c>
      <c r="D358" s="332">
        <f>Gasto_o_ing_total!V358*1000/Gasto_o_ing_total!V$485</f>
        <v>2.9292307528900441E-2</v>
      </c>
      <c r="E358" s="332">
        <f>Gasto_o_ing_total!D358*1000/Gasto_o_ing_total!D$485</f>
        <v>2.9292307528900441E-2</v>
      </c>
      <c r="F358" s="332">
        <f>Gasto_o_ing_total!E358*1000/Gasto_o_ing_total!E$485</f>
        <v>2.9292307528900444E-2</v>
      </c>
      <c r="G358" s="332">
        <f>Gasto_o_ing_total!F358*1000/Gasto_o_ing_total!F$485</f>
        <v>2.9292307528900444E-2</v>
      </c>
      <c r="H358" s="332">
        <f>Gasto_o_ing_total!G358*1000/Gasto_o_ing_total!G$485</f>
        <v>2.9292307528900444E-2</v>
      </c>
      <c r="I358" s="332">
        <f>Gasto_o_ing_total!H358*1000/Gasto_o_ing_total!H$485</f>
        <v>2.9292307528900444E-2</v>
      </c>
      <c r="J358" s="332">
        <f>Gasto_o_ing_total!I358*1000/Gasto_o_ing_total!I$485</f>
        <v>2.9292307528900448E-2</v>
      </c>
      <c r="K358" s="332">
        <f>Gasto_o_ing_total!J358*1000/Gasto_o_ing_total!J$485</f>
        <v>2.9292307528900441E-2</v>
      </c>
      <c r="L358" s="332">
        <f>Gasto_o_ing_total!K358*1000/Gasto_o_ing_total!K$485</f>
        <v>2.9292307528900441E-2</v>
      </c>
      <c r="M358" s="332">
        <f>Gasto_o_ing_total!L358*1000/Gasto_o_ing_total!L$485</f>
        <v>2.9292307528900444E-2</v>
      </c>
      <c r="N358" s="332">
        <f>Gasto_o_ing_total!M358*1000/Gasto_o_ing_total!M$485</f>
        <v>2.9292307528900444E-2</v>
      </c>
      <c r="O358" s="332">
        <f>Gasto_o_ing_total!N358*1000/Gasto_o_ing_total!N$485</f>
        <v>2.9292307528900444E-2</v>
      </c>
      <c r="P358" s="332">
        <f>Gasto_o_ing_total!O358*1000/Gasto_o_ing_total!O$485</f>
        <v>2.9292307528900444E-2</v>
      </c>
      <c r="Q358" s="332">
        <f>Gasto_o_ing_total!P358*1000/Gasto_o_ing_total!P$485</f>
        <v>2.9292307528900441E-2</v>
      </c>
      <c r="R358" s="332">
        <f>Gasto_o_ing_total!Q358*1000/Gasto_o_ing_total!Q$485</f>
        <v>2.9292307528900441E-2</v>
      </c>
      <c r="S358" s="332">
        <f>Gasto_o_ing_total!R358*1000/Gasto_o_ing_total!R$485</f>
        <v>2.9292307528900444E-2</v>
      </c>
      <c r="T358" s="332">
        <f>Gasto_o_ing_total!S358*1000/Gasto_o_ing_total!S$485</f>
        <v>2.9292307528900444E-2</v>
      </c>
      <c r="U358" s="332">
        <f>Gasto_o_ing_total!T358*1000/Gasto_o_ing_total!T$485</f>
        <v>2.9292307528900441E-2</v>
      </c>
      <c r="V358" s="332">
        <f>Gasto_o_ing_total!U358*1000/Gasto_o_ing_total!U$485</f>
        <v>2.9292307528900441E-2</v>
      </c>
      <c r="W358" s="105"/>
    </row>
    <row r="359" spans="1:23">
      <c r="A359" s="352"/>
      <c r="D359" s="19"/>
      <c r="E359" s="19"/>
      <c r="F359" s="19"/>
      <c r="G359" s="19"/>
      <c r="H359" s="19"/>
      <c r="I359" s="19"/>
      <c r="J359" s="19"/>
      <c r="K359" s="19"/>
      <c r="L359" s="19"/>
      <c r="M359" s="19"/>
      <c r="N359" s="19"/>
      <c r="O359" s="19"/>
      <c r="P359" s="19"/>
      <c r="Q359" s="19"/>
      <c r="R359" s="19"/>
      <c r="S359" s="19"/>
      <c r="T359" s="19"/>
      <c r="U359" s="19"/>
      <c r="V359" s="19"/>
      <c r="W359" s="2"/>
    </row>
    <row r="360" spans="1:23" s="102" customFormat="1" ht="13.5">
      <c r="A360" s="352"/>
      <c r="B360" s="115"/>
      <c r="C360" s="117" t="s">
        <v>45</v>
      </c>
      <c r="D360" s="113">
        <f>Gasto_o_ing_total!V360*1000/Gasto_o_ing_total!V$485</f>
        <v>30.914947181063152</v>
      </c>
      <c r="E360" s="113">
        <f>Gasto_o_ing_total!D360*1000/Gasto_o_ing_total!D$485</f>
        <v>19.631850818591793</v>
      </c>
      <c r="F360" s="113">
        <f>Gasto_o_ing_total!E360*1000/Gasto_o_ing_total!E$485</f>
        <v>22.571174384889652</v>
      </c>
      <c r="G360" s="113">
        <f>Gasto_o_ing_total!F360*1000/Gasto_o_ing_total!F$485</f>
        <v>20.965996980311253</v>
      </c>
      <c r="H360" s="113">
        <f>Gasto_o_ing_total!G360*1000/Gasto_o_ing_total!G$485</f>
        <v>39.439087944608772</v>
      </c>
      <c r="I360" s="113">
        <f>Gasto_o_ing_total!H360*1000/Gasto_o_ing_total!H$485</f>
        <v>18.706566008879374</v>
      </c>
      <c r="J360" s="113">
        <f>Gasto_o_ing_total!I360*1000/Gasto_o_ing_total!I$485</f>
        <v>33.047610249502199</v>
      </c>
      <c r="K360" s="113">
        <f>Gasto_o_ing_total!J360*1000/Gasto_o_ing_total!J$485</f>
        <v>28.711794105970007</v>
      </c>
      <c r="L360" s="113">
        <f>Gasto_o_ing_total!K360*1000/Gasto_o_ing_total!K$485</f>
        <v>24.242295210809527</v>
      </c>
      <c r="M360" s="113">
        <f>Gasto_o_ing_total!L360*1000/Gasto_o_ing_total!L$485</f>
        <v>29.881466567780237</v>
      </c>
      <c r="N360" s="113">
        <f>Gasto_o_ing_total!M360*1000/Gasto_o_ing_total!M$485</f>
        <v>28.986833039412691</v>
      </c>
      <c r="O360" s="113">
        <f>Gasto_o_ing_total!N360*1000/Gasto_o_ing_total!N$485</f>
        <v>23.791447024536975</v>
      </c>
      <c r="P360" s="113">
        <f>Gasto_o_ing_total!O360*1000/Gasto_o_ing_total!O$485</f>
        <v>35.434645810133944</v>
      </c>
      <c r="Q360" s="113">
        <f>Gasto_o_ing_total!P360*1000/Gasto_o_ing_total!P$485</f>
        <v>58.500578935804306</v>
      </c>
      <c r="R360" s="113">
        <f>Gasto_o_ing_total!Q360*1000/Gasto_o_ing_total!Q$485</f>
        <v>22.377565391365959</v>
      </c>
      <c r="S360" s="113">
        <f>Gasto_o_ing_total!R360*1000/Gasto_o_ing_total!R$485</f>
        <v>32.662929068987111</v>
      </c>
      <c r="T360" s="113">
        <f>Gasto_o_ing_total!S360*1000/Gasto_o_ing_total!S$485</f>
        <v>32.081819210497322</v>
      </c>
      <c r="U360" s="113">
        <f>Gasto_o_ing_total!T360*1000/Gasto_o_ing_total!T$485</f>
        <v>21.043610213509037</v>
      </c>
      <c r="V360" s="113">
        <f>Gasto_o_ing_total!U360*1000/Gasto_o_ing_total!U$485</f>
        <v>16.785403461909684</v>
      </c>
      <c r="W360" s="105"/>
    </row>
    <row r="361" spans="1:23" s="102" customFormat="1">
      <c r="A361" s="351" t="str">
        <f>IF(B361="","",(IF(ISERROR(MATCH(B361,Tot_res!C:C,0)),"Eliminar!!!","")))</f>
        <v/>
      </c>
      <c r="B361" s="115" t="s">
        <v>648</v>
      </c>
      <c r="C361" s="329" t="str">
        <f>VLOOKUP(B361,Tot_res!C:D,2,FALSE)</f>
        <v>Dirección y servicios generales de Cultura</v>
      </c>
      <c r="D361" s="332">
        <f>Gasto_o_ing_total!V361*1000/Gasto_o_ing_total!V$485</f>
        <v>0.52556785325020294</v>
      </c>
      <c r="E361" s="332">
        <f>Gasto_o_ing_total!D361*1000/Gasto_o_ing_total!D$485</f>
        <v>0.39096106225423838</v>
      </c>
      <c r="F361" s="332">
        <f>Gasto_o_ing_total!E361*1000/Gasto_o_ing_total!E$485</f>
        <v>0.43319826034411157</v>
      </c>
      <c r="G361" s="332">
        <f>Gasto_o_ing_total!F361*1000/Gasto_o_ing_total!F$485</f>
        <v>0.40349940362561137</v>
      </c>
      <c r="H361" s="332">
        <f>Gasto_o_ing_total!G361*1000/Gasto_o_ing_total!G$485</f>
        <v>0.42739672567181131</v>
      </c>
      <c r="I361" s="332">
        <f>Gasto_o_ing_total!H361*1000/Gasto_o_ing_total!H$485</f>
        <v>0.39108612172454171</v>
      </c>
      <c r="J361" s="332">
        <f>Gasto_o_ing_total!I361*1000/Gasto_o_ing_total!I$485</f>
        <v>0.56439263182057453</v>
      </c>
      <c r="K361" s="332">
        <f>Gasto_o_ing_total!J361*1000/Gasto_o_ing_total!J$485</f>
        <v>0.51865234678555183</v>
      </c>
      <c r="L361" s="332">
        <f>Gasto_o_ing_total!K361*1000/Gasto_o_ing_total!K$485</f>
        <v>0.45455448094759093</v>
      </c>
      <c r="M361" s="332">
        <f>Gasto_o_ing_total!L361*1000/Gasto_o_ing_total!L$485</f>
        <v>0.44054535030638342</v>
      </c>
      <c r="N361" s="332">
        <f>Gasto_o_ing_total!M361*1000/Gasto_o_ing_total!M$485</f>
        <v>0.41292202306145126</v>
      </c>
      <c r="O361" s="332">
        <f>Gasto_o_ing_total!N361*1000/Gasto_o_ing_total!N$485</f>
        <v>0.43289576233149474</v>
      </c>
      <c r="P361" s="332">
        <f>Gasto_o_ing_total!O361*1000/Gasto_o_ing_total!O$485</f>
        <v>0.4384481869483085</v>
      </c>
      <c r="Q361" s="332">
        <f>Gasto_o_ing_total!P361*1000/Gasto_o_ing_total!P$485</f>
        <v>1.1266314583175772</v>
      </c>
      <c r="R361" s="332">
        <f>Gasto_o_ing_total!Q361*1000/Gasto_o_ing_total!Q$485</f>
        <v>0.41953081587518548</v>
      </c>
      <c r="S361" s="332">
        <f>Gasto_o_ing_total!R361*1000/Gasto_o_ing_total!R$485</f>
        <v>0.43888711971991978</v>
      </c>
      <c r="T361" s="332">
        <f>Gasto_o_ing_total!S361*1000/Gasto_o_ing_total!S$485</f>
        <v>0.45317276132978129</v>
      </c>
      <c r="U361" s="332">
        <f>Gasto_o_ing_total!T361*1000/Gasto_o_ing_total!T$485</f>
        <v>0.44556563268399874</v>
      </c>
      <c r="V361" s="332">
        <f>Gasto_o_ing_total!U361*1000/Gasto_o_ing_total!U$485</f>
        <v>0.38753826679787134</v>
      </c>
      <c r="W361" s="105"/>
    </row>
    <row r="362" spans="1:23" s="102" customFormat="1">
      <c r="A362" s="351" t="str">
        <f>IF(B362="","",(IF(ISERROR(MATCH(B362,Tot_res!C:C,0)),"Eliminar!!!","")))</f>
        <v/>
      </c>
      <c r="B362" s="115" t="s">
        <v>335</v>
      </c>
      <c r="C362" s="329" t="str">
        <f>VLOOKUP(B362,Tot_res!C:D,2,FALSE)</f>
        <v>Archivos</v>
      </c>
      <c r="D362" s="332">
        <f>Gasto_o_ing_total!V362*1000/Gasto_o_ing_total!V$485</f>
        <v>0.54073794107252648</v>
      </c>
      <c r="E362" s="332">
        <f>Gasto_o_ing_total!D362*1000/Gasto_o_ing_total!D$485</f>
        <v>0.37745178244561689</v>
      </c>
      <c r="F362" s="332">
        <f>Gasto_o_ing_total!E362*1000/Gasto_o_ing_total!E$485</f>
        <v>0.29485855470728933</v>
      </c>
      <c r="G362" s="332">
        <f>Gasto_o_ing_total!F362*1000/Gasto_o_ing_total!F$485</f>
        <v>0.25640411290932741</v>
      </c>
      <c r="H362" s="332">
        <f>Gasto_o_ing_total!G362*1000/Gasto_o_ing_total!G$485</f>
        <v>0.82425816854817391</v>
      </c>
      <c r="I362" s="332">
        <f>Gasto_o_ing_total!H362*1000/Gasto_o_ing_total!H$485</f>
        <v>0.27615916832206666</v>
      </c>
      <c r="J362" s="332">
        <f>Gasto_o_ing_total!I362*1000/Gasto_o_ing_total!I$485</f>
        <v>0.3108591158900364</v>
      </c>
      <c r="K362" s="332">
        <f>Gasto_o_ing_total!J362*1000/Gasto_o_ing_total!J$485</f>
        <v>1.5195124496057097</v>
      </c>
      <c r="L362" s="332">
        <f>Gasto_o_ing_total!K362*1000/Gasto_o_ing_total!K$485</f>
        <v>0.39630276294873401</v>
      </c>
      <c r="M362" s="332">
        <f>Gasto_o_ing_total!L362*1000/Gasto_o_ing_total!L$485</f>
        <v>0.41102800309282828</v>
      </c>
      <c r="N362" s="332">
        <f>Gasto_o_ing_total!M362*1000/Gasto_o_ing_total!M$485</f>
        <v>0.2704893716567226</v>
      </c>
      <c r="O362" s="332">
        <f>Gasto_o_ing_total!N362*1000/Gasto_o_ing_total!N$485</f>
        <v>0.28064348116180482</v>
      </c>
      <c r="P362" s="332">
        <f>Gasto_o_ing_total!O362*1000/Gasto_o_ing_total!O$485</f>
        <v>0.73128536938715805</v>
      </c>
      <c r="Q362" s="332">
        <f>Gasto_o_ing_total!P362*1000/Gasto_o_ing_total!P$485</f>
        <v>1.0884477920946931</v>
      </c>
      <c r="R362" s="332">
        <f>Gasto_o_ing_total!Q362*1000/Gasto_o_ing_total!Q$485</f>
        <v>0.24619494883647519</v>
      </c>
      <c r="S362" s="332">
        <f>Gasto_o_ing_total!R362*1000/Gasto_o_ing_total!R$485</f>
        <v>0.30549174616983432</v>
      </c>
      <c r="T362" s="332">
        <f>Gasto_o_ing_total!S362*1000/Gasto_o_ing_total!S$485</f>
        <v>0.3194600316698904</v>
      </c>
      <c r="U362" s="332">
        <f>Gasto_o_ing_total!T362*1000/Gasto_o_ing_total!T$485</f>
        <v>0.28217035615750108</v>
      </c>
      <c r="V362" s="332">
        <f>Gasto_o_ing_total!U362*1000/Gasto_o_ing_total!U$485</f>
        <v>0.24177724750147414</v>
      </c>
      <c r="W362" s="105"/>
    </row>
    <row r="363" spans="1:23" s="102" customFormat="1">
      <c r="A363" s="351" t="str">
        <f>IF(B363="","",(IF(ISERROR(MATCH(B363,Tot_res!C:C,0)),"Eliminar!!!","")))</f>
        <v/>
      </c>
      <c r="B363" s="115" t="s">
        <v>337</v>
      </c>
      <c r="C363" s="329" t="str">
        <f>VLOOKUP(B363,Tot_res!C:D,2,FALSE)</f>
        <v>Bibliotecas</v>
      </c>
      <c r="D363" s="332">
        <f>Gasto_o_ing_total!V363*1000/Gasto_o_ing_total!V$485</f>
        <v>0.86079613153163348</v>
      </c>
      <c r="E363" s="332">
        <f>Gasto_o_ing_total!D363*1000/Gasto_o_ing_total!D$485</f>
        <v>0.27871347960410908</v>
      </c>
      <c r="F363" s="332">
        <f>Gasto_o_ing_total!E363*1000/Gasto_o_ing_total!E$485</f>
        <v>0.24312712347448243</v>
      </c>
      <c r="G363" s="332">
        <f>Gasto_o_ing_total!F363*1000/Gasto_o_ing_total!F$485</f>
        <v>0.27006280519574566</v>
      </c>
      <c r="H363" s="332">
        <f>Gasto_o_ing_total!G363*1000/Gasto_o_ing_total!G$485</f>
        <v>0.46157582826486648</v>
      </c>
      <c r="I363" s="332">
        <f>Gasto_o_ing_total!H363*1000/Gasto_o_ing_total!H$485</f>
        <v>0.23700056212601386</v>
      </c>
      <c r="J363" s="332">
        <f>Gasto_o_ing_total!I363*1000/Gasto_o_ing_total!I$485</f>
        <v>0.17944691277219607</v>
      </c>
      <c r="K363" s="332">
        <f>Gasto_o_ing_total!J363*1000/Gasto_o_ing_total!J$485</f>
        <v>2.1617160652336014</v>
      </c>
      <c r="L363" s="332">
        <f>Gasto_o_ing_total!K363*1000/Gasto_o_ing_total!K$485</f>
        <v>0.29920746791483688</v>
      </c>
      <c r="M363" s="332">
        <f>Gasto_o_ing_total!L363*1000/Gasto_o_ing_total!L$485</f>
        <v>0.29881429330570008</v>
      </c>
      <c r="N363" s="332">
        <f>Gasto_o_ing_total!M363*1000/Gasto_o_ing_total!M$485</f>
        <v>0.19522196738485767</v>
      </c>
      <c r="O363" s="332">
        <f>Gasto_o_ing_total!N363*1000/Gasto_o_ing_total!N$485</f>
        <v>0.5608200193033761</v>
      </c>
      <c r="P363" s="332">
        <f>Gasto_o_ing_total!O363*1000/Gasto_o_ing_total!O$485</f>
        <v>1.0778197410933985</v>
      </c>
      <c r="Q363" s="332">
        <f>Gasto_o_ing_total!P363*1000/Gasto_o_ing_total!P$485</f>
        <v>3.3994859586794615</v>
      </c>
      <c r="R363" s="332">
        <f>Gasto_o_ing_total!Q363*1000/Gasto_o_ing_total!Q$485</f>
        <v>0.26718485721895685</v>
      </c>
      <c r="S363" s="332">
        <f>Gasto_o_ing_total!R363*1000/Gasto_o_ing_total!R$485</f>
        <v>0.18995680743080834</v>
      </c>
      <c r="T363" s="332">
        <f>Gasto_o_ing_total!S363*1000/Gasto_o_ing_total!S$485</f>
        <v>0.21103876624491966</v>
      </c>
      <c r="U363" s="332">
        <f>Gasto_o_ing_total!T363*1000/Gasto_o_ing_total!T$485</f>
        <v>0.9894407313463347</v>
      </c>
      <c r="V363" s="332">
        <f>Gasto_o_ing_total!U363*1000/Gasto_o_ing_total!U$485</f>
        <v>0.92968067379958796</v>
      </c>
      <c r="W363" s="105"/>
    </row>
    <row r="364" spans="1:23" s="102" customFormat="1">
      <c r="A364" s="351" t="str">
        <f>IF(B364="","",(IF(ISERROR(MATCH(B364,Tot_res!C:C,0)),"Eliminar!!!","")))</f>
        <v/>
      </c>
      <c r="B364" s="115" t="s">
        <v>338</v>
      </c>
      <c r="C364" s="329" t="str">
        <f>VLOOKUP(B364,Tot_res!C:D,2,FALSE)</f>
        <v>Museos</v>
      </c>
      <c r="D364" s="332">
        <f>Gasto_o_ing_total!V364*1000/Gasto_o_ing_total!V$485</f>
        <v>2.6991591259484125</v>
      </c>
      <c r="E364" s="332">
        <f>Gasto_o_ing_total!D364*1000/Gasto_o_ing_total!D$485</f>
        <v>0.7700195463091396</v>
      </c>
      <c r="F364" s="332">
        <f>Gasto_o_ing_total!E364*1000/Gasto_o_ing_total!E$485</f>
        <v>0.81662047090865963</v>
      </c>
      <c r="G364" s="332">
        <f>Gasto_o_ing_total!F364*1000/Gasto_o_ing_total!F$485</f>
        <v>0.68592648574382831</v>
      </c>
      <c r="H364" s="332">
        <f>Gasto_o_ing_total!G364*1000/Gasto_o_ing_total!G$485</f>
        <v>1.0969103795099242</v>
      </c>
      <c r="I364" s="332">
        <f>Gasto_o_ing_total!H364*1000/Gasto_o_ing_total!H$485</f>
        <v>0.65132637857319875</v>
      </c>
      <c r="J364" s="332">
        <f>Gasto_o_ing_total!I364*1000/Gasto_o_ing_total!I$485</f>
        <v>7.3497856882315222</v>
      </c>
      <c r="K364" s="332">
        <f>Gasto_o_ing_total!J364*1000/Gasto_o_ing_total!J$485</f>
        <v>2.1936708233668063</v>
      </c>
      <c r="L364" s="332">
        <f>Gasto_o_ing_total!K364*1000/Gasto_o_ing_total!K$485</f>
        <v>2.9660835915340313</v>
      </c>
      <c r="M364" s="332">
        <f>Gasto_o_ing_total!L364*1000/Gasto_o_ing_total!L$485</f>
        <v>1.1657022904683914</v>
      </c>
      <c r="N364" s="332">
        <f>Gasto_o_ing_total!M364*1000/Gasto_o_ing_total!M$485</f>
        <v>1.7905733551788161</v>
      </c>
      <c r="O364" s="332">
        <f>Gasto_o_ing_total!N364*1000/Gasto_o_ing_total!N$485</f>
        <v>2.9256156625690464</v>
      </c>
      <c r="P364" s="332">
        <f>Gasto_o_ing_total!O364*1000/Gasto_o_ing_total!O$485</f>
        <v>0.70079836535941475</v>
      </c>
      <c r="Q364" s="332">
        <f>Gasto_o_ing_total!P364*1000/Gasto_o_ing_total!P$485</f>
        <v>10.810959743923648</v>
      </c>
      <c r="R364" s="332">
        <f>Gasto_o_ing_total!Q364*1000/Gasto_o_ing_total!Q$485</f>
        <v>2.437433488952387</v>
      </c>
      <c r="S364" s="332">
        <f>Gasto_o_ing_total!R364*1000/Gasto_o_ing_total!R$485</f>
        <v>0.78604418066699111</v>
      </c>
      <c r="T364" s="332">
        <f>Gasto_o_ing_total!S364*1000/Gasto_o_ing_total!S$485</f>
        <v>0.98384778296807451</v>
      </c>
      <c r="U364" s="332">
        <f>Gasto_o_ing_total!T364*1000/Gasto_o_ing_total!T$485</f>
        <v>1.3947249117644385</v>
      </c>
      <c r="V364" s="332">
        <f>Gasto_o_ing_total!U364*1000/Gasto_o_ing_total!U$485</f>
        <v>0.62702485034699607</v>
      </c>
      <c r="W364" s="105"/>
    </row>
    <row r="365" spans="1:23" s="102" customFormat="1">
      <c r="A365" s="351" t="str">
        <f>IF(B365="","",(IF(ISERROR(MATCH(B365,Tot_res!C:C,0)),"Eliminar!!!","")))</f>
        <v/>
      </c>
      <c r="B365" s="115" t="s">
        <v>340</v>
      </c>
      <c r="C365" s="329" t="str">
        <f>VLOOKUP(B365,Tot_res!C:D,2,FALSE)</f>
        <v>Exposiciones</v>
      </c>
      <c r="D365" s="332">
        <f>Gasto_o_ing_total!V365*1000/Gasto_o_ing_total!V$485</f>
        <v>4.2761402682219174E-2</v>
      </c>
      <c r="E365" s="332">
        <f>Gasto_o_ing_total!D365*1000/Gasto_o_ing_total!D$485</f>
        <v>3.6374302250400123E-3</v>
      </c>
      <c r="F365" s="332">
        <f>Gasto_o_ing_total!E365*1000/Gasto_o_ing_total!E$485</f>
        <v>1.4238586932487914E-2</v>
      </c>
      <c r="G365" s="332">
        <f>Gasto_o_ing_total!F365*1000/Gasto_o_ing_total!F$485</f>
        <v>3.6374302250400128E-3</v>
      </c>
      <c r="H365" s="332">
        <f>Gasto_o_ing_total!G365*1000/Gasto_o_ing_total!G$485</f>
        <v>3.6374302250400128E-3</v>
      </c>
      <c r="I365" s="332">
        <f>Gasto_o_ing_total!H365*1000/Gasto_o_ing_total!H$485</f>
        <v>3.6374302250400123E-3</v>
      </c>
      <c r="J365" s="332">
        <f>Gasto_o_ing_total!I365*1000/Gasto_o_ing_total!I$485</f>
        <v>3.6374302250400128E-3</v>
      </c>
      <c r="K365" s="332">
        <f>Gasto_o_ing_total!J365*1000/Gasto_o_ing_total!J$485</f>
        <v>0.12738634170166285</v>
      </c>
      <c r="L365" s="332">
        <f>Gasto_o_ing_total!K365*1000/Gasto_o_ing_total!K$485</f>
        <v>4.6748020698572326E-2</v>
      </c>
      <c r="M365" s="332">
        <f>Gasto_o_ing_total!L365*1000/Gasto_o_ing_total!L$485</f>
        <v>0.11006426334328258</v>
      </c>
      <c r="N365" s="332">
        <f>Gasto_o_ing_total!M365*1000/Gasto_o_ing_total!M$485</f>
        <v>2.530243858009653E-2</v>
      </c>
      <c r="O365" s="332">
        <f>Gasto_o_ing_total!N365*1000/Gasto_o_ing_total!N$485</f>
        <v>3.6374302250400123E-3</v>
      </c>
      <c r="P365" s="332">
        <f>Gasto_o_ing_total!O365*1000/Gasto_o_ing_total!O$485</f>
        <v>3.6374302250400119E-3</v>
      </c>
      <c r="Q365" s="332">
        <f>Gasto_o_ing_total!P365*1000/Gasto_o_ing_total!P$485</f>
        <v>7.8847826103265364E-2</v>
      </c>
      <c r="R365" s="332">
        <f>Gasto_o_ing_total!Q365*1000/Gasto_o_ing_total!Q$485</f>
        <v>3.6374302250400128E-3</v>
      </c>
      <c r="S365" s="332">
        <f>Gasto_o_ing_total!R365*1000/Gasto_o_ing_total!R$485</f>
        <v>3.6374302250400123E-3</v>
      </c>
      <c r="T365" s="332">
        <f>Gasto_o_ing_total!S365*1000/Gasto_o_ing_total!S$485</f>
        <v>1.4551025038307743E-2</v>
      </c>
      <c r="U365" s="332">
        <f>Gasto_o_ing_total!T365*1000/Gasto_o_ing_total!T$485</f>
        <v>3.6374302250400128E-3</v>
      </c>
      <c r="V365" s="332">
        <f>Gasto_o_ing_total!U365*1000/Gasto_o_ing_total!U$485</f>
        <v>3.6374302250400132E-3</v>
      </c>
      <c r="W365" s="111"/>
    </row>
    <row r="366" spans="1:23" s="102" customFormat="1">
      <c r="A366" s="351" t="str">
        <f>IF(B366="","",(IF(ISERROR(MATCH(B366,Tot_res!C:C,0)),"Eliminar!!!","")))</f>
        <v/>
      </c>
      <c r="B366" s="115" t="s">
        <v>341</v>
      </c>
      <c r="C366" s="329" t="str">
        <f>VLOOKUP(B366,Tot_res!C:D,2,FALSE)</f>
        <v>Promoción y cooperación cultural</v>
      </c>
      <c r="D366" s="332">
        <f>Gasto_o_ing_total!V366*1000/Gasto_o_ing_total!V$485</f>
        <v>0.19650620896205276</v>
      </c>
      <c r="E366" s="332">
        <f>Gasto_o_ing_total!D366*1000/Gasto_o_ing_total!D$485</f>
        <v>0.1188787097848828</v>
      </c>
      <c r="F366" s="332">
        <f>Gasto_o_ing_total!E366*1000/Gasto_o_ing_total!E$485</f>
        <v>0.16422844203943468</v>
      </c>
      <c r="G366" s="332">
        <f>Gasto_o_ing_total!F366*1000/Gasto_o_ing_total!F$485</f>
        <v>0.2648276902222344</v>
      </c>
      <c r="H366" s="332">
        <f>Gasto_o_ing_total!G366*1000/Gasto_o_ing_total!G$485</f>
        <v>0.11899556273903891</v>
      </c>
      <c r="I366" s="332">
        <f>Gasto_o_ing_total!H366*1000/Gasto_o_ing_total!H$485</f>
        <v>7.1028043470450636E-2</v>
      </c>
      <c r="J366" s="332">
        <f>Gasto_o_ing_total!I366*1000/Gasto_o_ing_total!I$485</f>
        <v>0.75872783191770632</v>
      </c>
      <c r="K366" s="332">
        <f>Gasto_o_ing_total!J366*1000/Gasto_o_ing_total!J$485</f>
        <v>0.16625126655915376</v>
      </c>
      <c r="L366" s="332">
        <f>Gasto_o_ing_total!K366*1000/Gasto_o_ing_total!K$485</f>
        <v>7.4935589242173611E-2</v>
      </c>
      <c r="M366" s="332">
        <f>Gasto_o_ing_total!L366*1000/Gasto_o_ing_total!L$485</f>
        <v>0.11767714244758659</v>
      </c>
      <c r="N366" s="332">
        <f>Gasto_o_ing_total!M366*1000/Gasto_o_ing_total!M$485</f>
        <v>7.4136801370163236E-2</v>
      </c>
      <c r="O366" s="332">
        <f>Gasto_o_ing_total!N366*1000/Gasto_o_ing_total!N$485</f>
        <v>0.13055628388225263</v>
      </c>
      <c r="P366" s="332">
        <f>Gasto_o_ing_total!O366*1000/Gasto_o_ing_total!O$485</f>
        <v>0.12784720350857715</v>
      </c>
      <c r="Q366" s="332">
        <f>Gasto_o_ing_total!P366*1000/Gasto_o_ing_total!P$485</f>
        <v>0.36311330149142329</v>
      </c>
      <c r="R366" s="332">
        <f>Gasto_o_ing_total!Q366*1000/Gasto_o_ing_total!Q$485</f>
        <v>6.3989563303128855E-2</v>
      </c>
      <c r="S366" s="332">
        <f>Gasto_o_ing_total!R366*1000/Gasto_o_ing_total!R$485</f>
        <v>0.15757077312232459</v>
      </c>
      <c r="T366" s="332">
        <f>Gasto_o_ing_total!S366*1000/Gasto_o_ing_total!S$485</f>
        <v>0.94439967446498485</v>
      </c>
      <c r="U366" s="332">
        <f>Gasto_o_ing_total!T366*1000/Gasto_o_ing_total!T$485</f>
        <v>5.1606456382049304E-2</v>
      </c>
      <c r="V366" s="332">
        <f>Gasto_o_ing_total!U366*1000/Gasto_o_ing_total!U$485</f>
        <v>0.11800323729242665</v>
      </c>
      <c r="W366" s="105"/>
    </row>
    <row r="367" spans="1:23" s="102" customFormat="1">
      <c r="A367" s="351" t="str">
        <f>IF(B367="","",(IF(ISERROR(MATCH(B367,Tot_res!C:C,0)),"Eliminar!!!","")))</f>
        <v/>
      </c>
      <c r="B367" s="115" t="s">
        <v>343</v>
      </c>
      <c r="C367" s="329" t="str">
        <f>VLOOKUP(B367,Tot_res!C:D,2,FALSE)</f>
        <v>Promoción del libro y publicaciones culturales</v>
      </c>
      <c r="D367" s="332">
        <f>Gasto_o_ing_total!V367*1000/Gasto_o_ing_total!V$485</f>
        <v>0.13322713782086146</v>
      </c>
      <c r="E367" s="332">
        <f>Gasto_o_ing_total!D367*1000/Gasto_o_ing_total!D$485</f>
        <v>0.13322713782086143</v>
      </c>
      <c r="F367" s="332">
        <f>Gasto_o_ing_total!E367*1000/Gasto_o_ing_total!E$485</f>
        <v>0.13322713782086146</v>
      </c>
      <c r="G367" s="332">
        <f>Gasto_o_ing_total!F367*1000/Gasto_o_ing_total!F$485</f>
        <v>0.13322713782086146</v>
      </c>
      <c r="H367" s="332">
        <f>Gasto_o_ing_total!G367*1000/Gasto_o_ing_total!G$485</f>
        <v>0.13322713782086146</v>
      </c>
      <c r="I367" s="332">
        <f>Gasto_o_ing_total!H367*1000/Gasto_o_ing_total!H$485</f>
        <v>0.13322713782086143</v>
      </c>
      <c r="J367" s="332">
        <f>Gasto_o_ing_total!I367*1000/Gasto_o_ing_total!I$485</f>
        <v>0.13322713782086143</v>
      </c>
      <c r="K367" s="332">
        <f>Gasto_o_ing_total!J367*1000/Gasto_o_ing_total!J$485</f>
        <v>0.13322713782086143</v>
      </c>
      <c r="L367" s="332">
        <f>Gasto_o_ing_total!K367*1000/Gasto_o_ing_total!K$485</f>
        <v>0.13322713782086146</v>
      </c>
      <c r="M367" s="332">
        <f>Gasto_o_ing_total!L367*1000/Gasto_o_ing_total!L$485</f>
        <v>0.13322713782086146</v>
      </c>
      <c r="N367" s="332">
        <f>Gasto_o_ing_total!M367*1000/Gasto_o_ing_total!M$485</f>
        <v>0.13322713782086146</v>
      </c>
      <c r="O367" s="332">
        <f>Gasto_o_ing_total!N367*1000/Gasto_o_ing_total!N$485</f>
        <v>0.13322713782086143</v>
      </c>
      <c r="P367" s="332">
        <f>Gasto_o_ing_total!O367*1000/Gasto_o_ing_total!O$485</f>
        <v>0.13322713782086146</v>
      </c>
      <c r="Q367" s="332">
        <f>Gasto_o_ing_total!P367*1000/Gasto_o_ing_total!P$485</f>
        <v>0.13322713782086146</v>
      </c>
      <c r="R367" s="332">
        <f>Gasto_o_ing_total!Q367*1000/Gasto_o_ing_total!Q$485</f>
        <v>0.13322713782086146</v>
      </c>
      <c r="S367" s="332">
        <f>Gasto_o_ing_total!R367*1000/Gasto_o_ing_total!R$485</f>
        <v>0.13322713782086146</v>
      </c>
      <c r="T367" s="332">
        <f>Gasto_o_ing_total!S367*1000/Gasto_o_ing_total!S$485</f>
        <v>0.13322713782086146</v>
      </c>
      <c r="U367" s="332">
        <f>Gasto_o_ing_total!T367*1000/Gasto_o_ing_total!T$485</f>
        <v>0.13322713782086146</v>
      </c>
      <c r="V367" s="332">
        <f>Gasto_o_ing_total!U367*1000/Gasto_o_ing_total!U$485</f>
        <v>0.13322713782086146</v>
      </c>
      <c r="W367" s="114"/>
    </row>
    <row r="368" spans="1:23" s="102" customFormat="1">
      <c r="A368" s="351" t="str">
        <f>IF(B368="","",(IF(ISERROR(MATCH(B368,Tot_res!C:C,0)),"Eliminar!!!","")))</f>
        <v/>
      </c>
      <c r="B368" s="115" t="s">
        <v>345</v>
      </c>
      <c r="C368" s="329" t="str">
        <f>VLOOKUP(B368,Tot_res!C:D,2,FALSE)</f>
        <v>Fomento de las industrias culturales</v>
      </c>
      <c r="D368" s="332">
        <f>Gasto_o_ing_total!V368*1000/Gasto_o_ing_total!V$485</f>
        <v>6.3652689106545049E-2</v>
      </c>
      <c r="E368" s="332">
        <f>Gasto_o_ing_total!D368*1000/Gasto_o_ing_total!D$485</f>
        <v>2.8763127259227219E-2</v>
      </c>
      <c r="F368" s="332">
        <f>Gasto_o_ing_total!E368*1000/Gasto_o_ing_total!E$485</f>
        <v>6.1635386730807339E-2</v>
      </c>
      <c r="G368" s="332">
        <f>Gasto_o_ing_total!F368*1000/Gasto_o_ing_total!F$485</f>
        <v>4.0257280554581616E-2</v>
      </c>
      <c r="H368" s="332">
        <f>Gasto_o_ing_total!G368*1000/Gasto_o_ing_total!G$485</f>
        <v>3.0140977594718382E-2</v>
      </c>
      <c r="I368" s="332">
        <f>Gasto_o_ing_total!H368*1000/Gasto_o_ing_total!H$485</f>
        <v>6.9167804814157796E-2</v>
      </c>
      <c r="J368" s="332">
        <f>Gasto_o_ing_total!I368*1000/Gasto_o_ing_total!I$485</f>
        <v>1.2385584600673275E-2</v>
      </c>
      <c r="K368" s="332">
        <f>Gasto_o_ing_total!J368*1000/Gasto_o_ing_total!J$485</f>
        <v>3.2578547500777426E-2</v>
      </c>
      <c r="L368" s="332">
        <f>Gasto_o_ing_total!K368*1000/Gasto_o_ing_total!K$485</f>
        <v>1.3943022184843196E-2</v>
      </c>
      <c r="M368" s="332">
        <f>Gasto_o_ing_total!L368*1000/Gasto_o_ing_total!L$485</f>
        <v>6.6511352647774399E-2</v>
      </c>
      <c r="N368" s="332">
        <f>Gasto_o_ing_total!M368*1000/Gasto_o_ing_total!M$485</f>
        <v>4.8211110128155897E-2</v>
      </c>
      <c r="O368" s="332">
        <f>Gasto_o_ing_total!N368*1000/Gasto_o_ing_total!N$485</f>
        <v>3.0674602087052309E-2</v>
      </c>
      <c r="P368" s="332">
        <f>Gasto_o_ing_total!O368*1000/Gasto_o_ing_total!O$485</f>
        <v>3.1035030344603608E-2</v>
      </c>
      <c r="Q368" s="332">
        <f>Gasto_o_ing_total!P368*1000/Gasto_o_ing_total!P$485</f>
        <v>0.19492128828539185</v>
      </c>
      <c r="R368" s="332">
        <f>Gasto_o_ing_total!Q368*1000/Gasto_o_ing_total!Q$485</f>
        <v>1.0060503421018252E-2</v>
      </c>
      <c r="S368" s="332">
        <f>Gasto_o_ing_total!R368*1000/Gasto_o_ing_total!R$485</f>
        <v>4.970269353818603E-2</v>
      </c>
      <c r="T368" s="332">
        <f>Gasto_o_ing_total!S368*1000/Gasto_o_ing_total!S$485</f>
        <v>6.5896143239355484E-2</v>
      </c>
      <c r="U368" s="332">
        <f>Gasto_o_ing_total!T368*1000/Gasto_o_ing_total!T$485</f>
        <v>1.3036304665776538E-2</v>
      </c>
      <c r="V368" s="332">
        <f>Gasto_o_ing_total!U368*1000/Gasto_o_ing_total!U$485</f>
        <v>3.352248879421392E-3</v>
      </c>
      <c r="W368" s="105"/>
    </row>
    <row r="369" spans="1:23" s="102" customFormat="1">
      <c r="A369" s="351" t="str">
        <f>IF(B369="","",(IF(ISERROR(MATCH(B369,Tot_res!C:C,0)),"Eliminar!!!","")))</f>
        <v/>
      </c>
      <c r="B369" s="115" t="s">
        <v>347</v>
      </c>
      <c r="C369" s="329" t="str">
        <f>VLOOKUP(B369,Tot_res!C:D,2,FALSE)</f>
        <v>Música y danza</v>
      </c>
      <c r="D369" s="332">
        <f>Gasto_o_ing_total!V369*1000/Gasto_o_ing_total!V$485</f>
        <v>1.8873236629904346</v>
      </c>
      <c r="E369" s="332">
        <f>Gasto_o_ing_total!D369*1000/Gasto_o_ing_total!D$485</f>
        <v>0.6683363339750964</v>
      </c>
      <c r="F369" s="332">
        <f>Gasto_o_ing_total!E369*1000/Gasto_o_ing_total!E$485</f>
        <v>0.64453714969244269</v>
      </c>
      <c r="G369" s="332">
        <f>Gasto_o_ing_total!F369*1000/Gasto_o_ing_total!F$485</f>
        <v>0.68955394976950279</v>
      </c>
      <c r="H369" s="332">
        <f>Gasto_o_ing_total!G369*1000/Gasto_o_ing_total!G$485</f>
        <v>0.55997619764725171</v>
      </c>
      <c r="I369" s="332">
        <f>Gasto_o_ing_total!H369*1000/Gasto_o_ing_total!H$485</f>
        <v>0.54738771307838519</v>
      </c>
      <c r="J369" s="332">
        <f>Gasto_o_ing_total!I369*1000/Gasto_o_ing_total!I$485</f>
        <v>0.64279928830733091</v>
      </c>
      <c r="K369" s="332">
        <f>Gasto_o_ing_total!J369*1000/Gasto_o_ing_total!J$485</f>
        <v>0.53582174347932199</v>
      </c>
      <c r="L369" s="332">
        <f>Gasto_o_ing_total!K369*1000/Gasto_o_ing_total!K$485</f>
        <v>0.52251820969439067</v>
      </c>
      <c r="M369" s="332">
        <f>Gasto_o_ing_total!L369*1000/Gasto_o_ing_total!L$485</f>
        <v>1.7488384307883069</v>
      </c>
      <c r="N369" s="332">
        <f>Gasto_o_ing_total!M369*1000/Gasto_o_ing_total!M$485</f>
        <v>0.57188417564658367</v>
      </c>
      <c r="O369" s="332">
        <f>Gasto_o_ing_total!N369*1000/Gasto_o_ing_total!N$485</f>
        <v>0.4860088066512695</v>
      </c>
      <c r="P369" s="332">
        <f>Gasto_o_ing_total!O369*1000/Gasto_o_ing_total!O$485</f>
        <v>0.5128354063100653</v>
      </c>
      <c r="Q369" s="332">
        <f>Gasto_o_ing_total!P369*1000/Gasto_o_ing_total!P$485</f>
        <v>8.557726703520677</v>
      </c>
      <c r="R369" s="332">
        <f>Gasto_o_ing_total!Q369*1000/Gasto_o_ing_total!Q$485</f>
        <v>0.50837547684237661</v>
      </c>
      <c r="S369" s="332">
        <f>Gasto_o_ing_total!R369*1000/Gasto_o_ing_total!R$485</f>
        <v>0.69752861293629365</v>
      </c>
      <c r="T369" s="332">
        <f>Gasto_o_ing_total!S369*1000/Gasto_o_ing_total!S$485</f>
        <v>0.84558480539032677</v>
      </c>
      <c r="U369" s="332">
        <f>Gasto_o_ing_total!T369*1000/Gasto_o_ing_total!T$485</f>
        <v>0.53054381706402964</v>
      </c>
      <c r="V369" s="332">
        <f>Gasto_o_ing_total!U369*1000/Gasto_o_ing_total!U$485</f>
        <v>0.43882772573900691</v>
      </c>
      <c r="W369" s="105"/>
    </row>
    <row r="370" spans="1:23" s="102" customFormat="1">
      <c r="A370" s="351" t="str">
        <f>IF(B370="","",(IF(ISERROR(MATCH(B370,Tot_res!C:C,0)),"Eliminar!!!","")))</f>
        <v/>
      </c>
      <c r="B370" s="115" t="s">
        <v>348</v>
      </c>
      <c r="C370" s="329" t="str">
        <f>VLOOKUP(B370,Tot_res!C:D,2,FALSE)</f>
        <v>Teatro</v>
      </c>
      <c r="D370" s="332">
        <f>Gasto_o_ing_total!V370*1000/Gasto_o_ing_total!V$485</f>
        <v>0.94084528496021158</v>
      </c>
      <c r="E370" s="332">
        <f>Gasto_o_ing_total!D370*1000/Gasto_o_ing_total!D$485</f>
        <v>0.36192989271216069</v>
      </c>
      <c r="F370" s="332">
        <f>Gasto_o_ing_total!E370*1000/Gasto_o_ing_total!E$485</f>
        <v>0.51158479427351822</v>
      </c>
      <c r="G370" s="332">
        <f>Gasto_o_ing_total!F370*1000/Gasto_o_ing_total!F$485</f>
        <v>0.38275358342250432</v>
      </c>
      <c r="H370" s="332">
        <f>Gasto_o_ing_total!G370*1000/Gasto_o_ing_total!G$485</f>
        <v>0.48435741316501907</v>
      </c>
      <c r="I370" s="332">
        <f>Gasto_o_ing_total!H370*1000/Gasto_o_ing_total!H$485</f>
        <v>0.3090786842998875</v>
      </c>
      <c r="J370" s="332">
        <f>Gasto_o_ing_total!I370*1000/Gasto_o_ing_total!I$485</f>
        <v>0.37666725093047065</v>
      </c>
      <c r="K370" s="332">
        <f>Gasto_o_ing_total!J370*1000/Gasto_o_ing_total!J$485</f>
        <v>0.44879016483078138</v>
      </c>
      <c r="L370" s="332">
        <f>Gasto_o_ing_total!K370*1000/Gasto_o_ing_total!K$485</f>
        <v>0.37519491122132054</v>
      </c>
      <c r="M370" s="332">
        <f>Gasto_o_ing_total!L370*1000/Gasto_o_ing_total!L$485</f>
        <v>0.59444753463798139</v>
      </c>
      <c r="N370" s="332">
        <f>Gasto_o_ing_total!M370*1000/Gasto_o_ing_total!M$485</f>
        <v>0.45518377226037726</v>
      </c>
      <c r="O370" s="332">
        <f>Gasto_o_ing_total!N370*1000/Gasto_o_ing_total!N$485</f>
        <v>0.50503965416689633</v>
      </c>
      <c r="P370" s="332">
        <f>Gasto_o_ing_total!O370*1000/Gasto_o_ing_total!O$485</f>
        <v>0.37747112945411471</v>
      </c>
      <c r="Q370" s="332">
        <f>Gasto_o_ing_total!P370*1000/Gasto_o_ing_total!P$485</f>
        <v>4.018754127927024</v>
      </c>
      <c r="R370" s="332">
        <f>Gasto_o_ing_total!Q370*1000/Gasto_o_ing_total!Q$485</f>
        <v>0.40478005288409197</v>
      </c>
      <c r="S370" s="332">
        <f>Gasto_o_ing_total!R370*1000/Gasto_o_ing_total!R$485</f>
        <v>0.34387652035399507</v>
      </c>
      <c r="T370" s="332">
        <f>Gasto_o_ing_total!S370*1000/Gasto_o_ing_total!S$485</f>
        <v>0.58832206348520144</v>
      </c>
      <c r="U370" s="332">
        <f>Gasto_o_ing_total!T370*1000/Gasto_o_ing_total!T$485</f>
        <v>0.43704985877993374</v>
      </c>
      <c r="V370" s="332">
        <f>Gasto_o_ing_total!U370*1000/Gasto_o_ing_total!U$485</f>
        <v>0.27198838144482379</v>
      </c>
      <c r="W370" s="105"/>
    </row>
    <row r="371" spans="1:23" s="102" customFormat="1">
      <c r="A371" s="351" t="str">
        <f>IF(B371="","",(IF(ISERROR(MATCH(B371,Tot_res!C:C,0)),"Eliminar!!!","")))</f>
        <v/>
      </c>
      <c r="B371" s="115" t="s">
        <v>350</v>
      </c>
      <c r="C371" s="329" t="str">
        <f>VLOOKUP(B371,Tot_res!C:D,2,FALSE)</f>
        <v>Cinematografía</v>
      </c>
      <c r="D371" s="332">
        <f>Gasto_o_ing_total!V371*1000/Gasto_o_ing_total!V$485</f>
        <v>1.656016685046702</v>
      </c>
      <c r="E371" s="332">
        <f>Gasto_o_ing_total!D371*1000/Gasto_o_ing_total!D$485</f>
        <v>1.527370612717365</v>
      </c>
      <c r="F371" s="332">
        <f>Gasto_o_ing_total!E371*1000/Gasto_o_ing_total!E$485</f>
        <v>1.5743554812607998</v>
      </c>
      <c r="G371" s="332">
        <f>Gasto_o_ing_total!F371*1000/Gasto_o_ing_total!F$485</f>
        <v>1.3129567215555078</v>
      </c>
      <c r="H371" s="332">
        <f>Gasto_o_ing_total!G371*1000/Gasto_o_ing_total!G$485</f>
        <v>1.5706278996712091</v>
      </c>
      <c r="I371" s="332">
        <f>Gasto_o_ing_total!H371*1000/Gasto_o_ing_total!H$485</f>
        <v>1.3194663641288631</v>
      </c>
      <c r="J371" s="332">
        <f>Gasto_o_ing_total!I371*1000/Gasto_o_ing_total!I$485</f>
        <v>1.772560363016926</v>
      </c>
      <c r="K371" s="332">
        <f>Gasto_o_ing_total!J371*1000/Gasto_o_ing_total!J$485</f>
        <v>1.6756670687104387</v>
      </c>
      <c r="L371" s="332">
        <f>Gasto_o_ing_total!K371*1000/Gasto_o_ing_total!K$485</f>
        <v>1.1733164738230437</v>
      </c>
      <c r="M371" s="332">
        <f>Gasto_o_ing_total!L371*1000/Gasto_o_ing_total!L$485</f>
        <v>1.6615629048111757</v>
      </c>
      <c r="N371" s="332">
        <f>Gasto_o_ing_total!M371*1000/Gasto_o_ing_total!M$485</f>
        <v>1.5975093853479625</v>
      </c>
      <c r="O371" s="332">
        <f>Gasto_o_ing_total!N371*1000/Gasto_o_ing_total!N$485</f>
        <v>0.94894913536306114</v>
      </c>
      <c r="P371" s="332">
        <f>Gasto_o_ing_total!O371*1000/Gasto_o_ing_total!O$485</f>
        <v>1.1388491788907877</v>
      </c>
      <c r="Q371" s="332">
        <f>Gasto_o_ing_total!P371*1000/Gasto_o_ing_total!P$485</f>
        <v>2.2596169668070822</v>
      </c>
      <c r="R371" s="332">
        <f>Gasto_o_ing_total!Q371*1000/Gasto_o_ing_total!Q$485</f>
        <v>1.4182809985201443</v>
      </c>
      <c r="S371" s="332">
        <f>Gasto_o_ing_total!R371*1000/Gasto_o_ing_total!R$485</f>
        <v>2.7065592335002688</v>
      </c>
      <c r="T371" s="332">
        <f>Gasto_o_ing_total!S371*1000/Gasto_o_ing_total!S$485</f>
        <v>2.3761744939201321</v>
      </c>
      <c r="U371" s="332">
        <f>Gasto_o_ing_total!T371*1000/Gasto_o_ing_total!T$485</f>
        <v>2.1808317349096891</v>
      </c>
      <c r="V371" s="332">
        <f>Gasto_o_ing_total!U371*1000/Gasto_o_ing_total!U$485</f>
        <v>0</v>
      </c>
      <c r="W371" s="105"/>
    </row>
    <row r="372" spans="1:23" s="102" customFormat="1">
      <c r="A372" s="351" t="str">
        <f>IF(B372="","",(IF(ISERROR(MATCH(B372,Tot_res!C:C,0)),"Eliminar!!!","")))</f>
        <v/>
      </c>
      <c r="B372" s="115" t="s">
        <v>831</v>
      </c>
      <c r="C372" s="329" t="str">
        <f>VLOOKUP(B372,Tot_res!C:D,2,FALSE)</f>
        <v>Fomento y apoyo de las actividades deportivas</v>
      </c>
      <c r="D372" s="332">
        <f>Gasto_o_ing_total!V372*1000/Gasto_o_ing_total!V$485</f>
        <v>2.1722645295009917</v>
      </c>
      <c r="E372" s="332">
        <f>Gasto_o_ing_total!D372*1000/Gasto_o_ing_total!D$485</f>
        <v>1.8255867317036092</v>
      </c>
      <c r="F372" s="332">
        <f>Gasto_o_ing_total!E372*1000/Gasto_o_ing_total!E$485</f>
        <v>3.0479695714528492</v>
      </c>
      <c r="G372" s="332">
        <f>Gasto_o_ing_total!F372*1000/Gasto_o_ing_total!F$485</f>
        <v>2.4530930576744585</v>
      </c>
      <c r="H372" s="332">
        <f>Gasto_o_ing_total!G372*1000/Gasto_o_ing_total!G$485</f>
        <v>2.2966731572716799</v>
      </c>
      <c r="I372" s="332">
        <f>Gasto_o_ing_total!H372*1000/Gasto_o_ing_total!H$485</f>
        <v>2.1502390725305789</v>
      </c>
      <c r="J372" s="332">
        <f>Gasto_o_ing_total!I372*1000/Gasto_o_ing_total!I$485</f>
        <v>3.2053094972926397</v>
      </c>
      <c r="K372" s="332">
        <f>Gasto_o_ing_total!J372*1000/Gasto_o_ing_total!J$485</f>
        <v>2.0550401421756948</v>
      </c>
      <c r="L372" s="332">
        <f>Gasto_o_ing_total!K372*1000/Gasto_o_ing_total!K$485</f>
        <v>1.8726266298706125</v>
      </c>
      <c r="M372" s="332">
        <f>Gasto_o_ing_total!L372*1000/Gasto_o_ing_total!L$485</f>
        <v>2.2822406414456835</v>
      </c>
      <c r="N372" s="332">
        <f>Gasto_o_ing_total!M372*1000/Gasto_o_ing_total!M$485</f>
        <v>2.0554162070173061</v>
      </c>
      <c r="O372" s="332">
        <f>Gasto_o_ing_total!N372*1000/Gasto_o_ing_total!N$485</f>
        <v>1.9825316807902713</v>
      </c>
      <c r="P372" s="332">
        <f>Gasto_o_ing_total!O372*1000/Gasto_o_ing_total!O$485</f>
        <v>2.2000776499175996</v>
      </c>
      <c r="Q372" s="332">
        <f>Gasto_o_ing_total!P372*1000/Gasto_o_ing_total!P$485</f>
        <v>2.1596889336439382</v>
      </c>
      <c r="R372" s="332">
        <f>Gasto_o_ing_total!Q372*1000/Gasto_o_ing_total!Q$485</f>
        <v>1.8248988145858995</v>
      </c>
      <c r="S372" s="332">
        <f>Gasto_o_ing_total!R372*1000/Gasto_o_ing_total!R$485</f>
        <v>3.2228810856404984</v>
      </c>
      <c r="T372" s="332">
        <f>Gasto_o_ing_total!S372*1000/Gasto_o_ing_total!S$485</f>
        <v>2.6735647157195688</v>
      </c>
      <c r="U372" s="332">
        <f>Gasto_o_ing_total!T372*1000/Gasto_o_ing_total!T$485</f>
        <v>2.8771555472207235</v>
      </c>
      <c r="V372" s="332">
        <f>Gasto_o_ing_total!U372*1000/Gasto_o_ing_total!U$485</f>
        <v>3.0969319034047351</v>
      </c>
      <c r="W372" s="105"/>
    </row>
    <row r="373" spans="1:23" s="102" customFormat="1">
      <c r="A373" s="351" t="str">
        <f>IF(B373="","",(IF(ISERROR(MATCH(B373,Tot_res!C:C,0)),"Eliminar!!!","")))</f>
        <v/>
      </c>
      <c r="B373" s="115" t="s">
        <v>353</v>
      </c>
      <c r="C373" s="329" t="str">
        <f>VLOOKUP(B373,Tot_res!C:D,2,FALSE)</f>
        <v>Administración del patrimonio histórico-nacional</v>
      </c>
      <c r="D373" s="332">
        <f>Gasto_o_ing_total!V373*1000/Gasto_o_ing_total!V$485</f>
        <v>2.2501312014041592</v>
      </c>
      <c r="E373" s="332">
        <f>Gasto_o_ing_total!D373*1000/Gasto_o_ing_total!D$485</f>
        <v>0.51228202714160087</v>
      </c>
      <c r="F373" s="332">
        <f>Gasto_o_ing_total!E373*1000/Gasto_o_ing_total!E$485</f>
        <v>0.59525983784595993</v>
      </c>
      <c r="G373" s="332">
        <f>Gasto_o_ing_total!F373*1000/Gasto_o_ing_total!F$485</f>
        <v>0.52795505500976703</v>
      </c>
      <c r="H373" s="332">
        <f>Gasto_o_ing_total!G373*1000/Gasto_o_ing_total!G$485</f>
        <v>0.89747999822200064</v>
      </c>
      <c r="I373" s="332">
        <f>Gasto_o_ing_total!H373*1000/Gasto_o_ing_total!H$485</f>
        <v>0.57509695428975738</v>
      </c>
      <c r="J373" s="332">
        <f>Gasto_o_ing_total!I373*1000/Gasto_o_ing_total!I$485</f>
        <v>0.53906720256495921</v>
      </c>
      <c r="K373" s="332">
        <f>Gasto_o_ing_total!J373*1000/Gasto_o_ing_total!J$485</f>
        <v>1.5765404550752116</v>
      </c>
      <c r="L373" s="332">
        <f>Gasto_o_ing_total!K373*1000/Gasto_o_ing_total!K$485</f>
        <v>0.4999848678848075</v>
      </c>
      <c r="M373" s="332">
        <f>Gasto_o_ing_total!L373*1000/Gasto_o_ing_total!L$485</f>
        <v>0.6131417621310169</v>
      </c>
      <c r="N373" s="332">
        <f>Gasto_o_ing_total!M373*1000/Gasto_o_ing_total!M$485</f>
        <v>0.52816022000632379</v>
      </c>
      <c r="O373" s="332">
        <f>Gasto_o_ing_total!N373*1000/Gasto_o_ing_total!N$485</f>
        <v>0.83038808428744504</v>
      </c>
      <c r="P373" s="332">
        <f>Gasto_o_ing_total!O373*1000/Gasto_o_ing_total!O$485</f>
        <v>0.53041103546755231</v>
      </c>
      <c r="Q373" s="332">
        <f>Gasto_o_ing_total!P373*1000/Gasto_o_ing_total!P$485</f>
        <v>12.334057483983569</v>
      </c>
      <c r="R373" s="332">
        <f>Gasto_o_ing_total!Q373*1000/Gasto_o_ing_total!Q$485</f>
        <v>0.51075093351128131</v>
      </c>
      <c r="S373" s="332">
        <f>Gasto_o_ing_total!R373*1000/Gasto_o_ing_total!R$485</f>
        <v>0.63412453437095784</v>
      </c>
      <c r="T373" s="332">
        <f>Gasto_o_ing_total!S373*1000/Gasto_o_ing_total!S$485</f>
        <v>0.65131846215083311</v>
      </c>
      <c r="U373" s="332">
        <f>Gasto_o_ing_total!T373*1000/Gasto_o_ing_total!T$485</f>
        <v>0.58560178116560435</v>
      </c>
      <c r="V373" s="332">
        <f>Gasto_o_ing_total!U373*1000/Gasto_o_ing_total!U$485</f>
        <v>0.50155941313021257</v>
      </c>
      <c r="W373" s="105"/>
    </row>
    <row r="374" spans="1:23" s="102" customFormat="1">
      <c r="A374" s="351" t="str">
        <f>IF(B374="","",(IF(ISERROR(MATCH(B374,Tot_res!C:C,0)),"Eliminar!!!","")))</f>
        <v/>
      </c>
      <c r="B374" s="115" t="s">
        <v>354</v>
      </c>
      <c r="C374" s="329" t="str">
        <f>VLOOKUP(B374,Tot_res!C:D,2,FALSE)</f>
        <v>Conservación y restauración de bienes culturales + AF17/1</v>
      </c>
      <c r="D374" s="332">
        <f>Gasto_o_ing_total!V374*1000/Gasto_o_ing_total!V$485</f>
        <v>0.48634891559791671</v>
      </c>
      <c r="E374" s="332">
        <f>Gasto_o_ing_total!D374*1000/Gasto_o_ing_total!D$485</f>
        <v>0.18985408387373154</v>
      </c>
      <c r="F374" s="332">
        <f>Gasto_o_ing_total!E374*1000/Gasto_o_ing_total!E$485</f>
        <v>0.89140923135286043</v>
      </c>
      <c r="G374" s="332">
        <f>Gasto_o_ing_total!F374*1000/Gasto_o_ing_total!F$485</f>
        <v>0.40206271406012239</v>
      </c>
      <c r="H374" s="332">
        <f>Gasto_o_ing_total!G374*1000/Gasto_o_ing_total!G$485</f>
        <v>0.27905268125963512</v>
      </c>
      <c r="I374" s="332">
        <f>Gasto_o_ing_total!H374*1000/Gasto_o_ing_total!H$485</f>
        <v>0.47327779063541114</v>
      </c>
      <c r="J374" s="332">
        <f>Gasto_o_ing_total!I374*1000/Gasto_o_ing_total!I$485</f>
        <v>0.69891646837589383</v>
      </c>
      <c r="K374" s="332">
        <f>Gasto_o_ing_total!J374*1000/Gasto_o_ing_total!J$485</f>
        <v>0.59038276092738318</v>
      </c>
      <c r="L374" s="332">
        <f>Gasto_o_ing_total!K374*1000/Gasto_o_ing_total!K$485</f>
        <v>1.8063883752960963</v>
      </c>
      <c r="M374" s="332">
        <f>Gasto_o_ing_total!L374*1000/Gasto_o_ing_total!L$485</f>
        <v>0.24395521547377849</v>
      </c>
      <c r="N374" s="332">
        <f>Gasto_o_ing_total!M374*1000/Gasto_o_ing_total!M$485</f>
        <v>0.20725137688438428</v>
      </c>
      <c r="O374" s="332">
        <f>Gasto_o_ing_total!N374*1000/Gasto_o_ing_total!N$485</f>
        <v>0.17980637987606168</v>
      </c>
      <c r="P374" s="332">
        <f>Gasto_o_ing_total!O374*1000/Gasto_o_ing_total!O$485</f>
        <v>1.7545329375386547</v>
      </c>
      <c r="Q374" s="332">
        <f>Gasto_o_ing_total!P374*1000/Gasto_o_ing_total!P$485</f>
        <v>0.44887890919562407</v>
      </c>
      <c r="R374" s="332">
        <f>Gasto_o_ing_total!Q374*1000/Gasto_o_ing_total!Q$485</f>
        <v>0.43397134683138749</v>
      </c>
      <c r="S374" s="332">
        <f>Gasto_o_ing_total!R374*1000/Gasto_o_ing_total!R$485</f>
        <v>0.50979729352006031</v>
      </c>
      <c r="T374" s="332">
        <f>Gasto_o_ing_total!S374*1000/Gasto_o_ing_total!S$485</f>
        <v>0.34340620863478788</v>
      </c>
      <c r="U374" s="332">
        <f>Gasto_o_ing_total!T374*1000/Gasto_o_ing_total!T$485</f>
        <v>0.22332687605528057</v>
      </c>
      <c r="V374" s="332">
        <f>Gasto_o_ing_total!U374*1000/Gasto_o_ing_total!U$485</f>
        <v>0.26138896737773398</v>
      </c>
      <c r="W374" s="105"/>
    </row>
    <row r="375" spans="1:23" s="102" customFormat="1">
      <c r="A375" s="351" t="str">
        <f>IF(B375="","",(IF(ISERROR(MATCH(B375,Tot_res!C:C,0)),"Eliminar!!!","")))</f>
        <v/>
      </c>
      <c r="B375" s="115" t="s">
        <v>356</v>
      </c>
      <c r="C375" s="329" t="str">
        <f>VLOOKUP(B375,Tot_res!C:D,2,FALSE)</f>
        <v>Protección del patrimonio histórico + AF17/2</v>
      </c>
      <c r="D375" s="332">
        <f>Gasto_o_ing_total!V375*1000/Gasto_o_ing_total!V$485</f>
        <v>0.16004542957221232</v>
      </c>
      <c r="E375" s="332">
        <f>Gasto_o_ing_total!D375*1000/Gasto_o_ing_total!D$485</f>
        <v>7.0641819910840509E-2</v>
      </c>
      <c r="F375" s="332">
        <f>Gasto_o_ing_total!E375*1000/Gasto_o_ing_total!E$485</f>
        <v>0.1363679070105793</v>
      </c>
      <c r="G375" s="332">
        <f>Gasto_o_ing_total!F375*1000/Gasto_o_ing_total!F$485</f>
        <v>0.11567746370940385</v>
      </c>
      <c r="H375" s="332">
        <f>Gasto_o_ing_total!G375*1000/Gasto_o_ing_total!G$485</f>
        <v>6.1707607199247394E-2</v>
      </c>
      <c r="I375" s="332">
        <f>Gasto_o_ing_total!H375*1000/Gasto_o_ing_total!H$485</f>
        <v>5.7299284628457778E-2</v>
      </c>
      <c r="J375" s="332">
        <f>Gasto_o_ing_total!I375*1000/Gasto_o_ing_total!I$485</f>
        <v>0.1743616766772485</v>
      </c>
      <c r="K375" s="332">
        <f>Gasto_o_ing_total!J375*1000/Gasto_o_ing_total!J$485</f>
        <v>0.49077249746345453</v>
      </c>
      <c r="L375" s="332">
        <f>Gasto_o_ing_total!K375*1000/Gasto_o_ing_total!K$485</f>
        <v>9.3035933793824521E-2</v>
      </c>
      <c r="M375" s="332">
        <f>Gasto_o_ing_total!L375*1000/Gasto_o_ing_total!L$485</f>
        <v>7.5806273172481786E-2</v>
      </c>
      <c r="N375" s="332">
        <f>Gasto_o_ing_total!M375*1000/Gasto_o_ing_total!M$485</f>
        <v>9.0615796455977823E-2</v>
      </c>
      <c r="O375" s="332">
        <f>Gasto_o_ing_total!N375*1000/Gasto_o_ing_total!N$485</f>
        <v>0.11531592398156396</v>
      </c>
      <c r="P375" s="332">
        <f>Gasto_o_ing_total!O375*1000/Gasto_o_ing_total!O$485</f>
        <v>9.0840604185797827E-2</v>
      </c>
      <c r="Q375" s="332">
        <f>Gasto_o_ing_total!P375*1000/Gasto_o_ing_total!P$485</f>
        <v>0.43022756644554633</v>
      </c>
      <c r="R375" s="332">
        <f>Gasto_o_ing_total!Q375*1000/Gasto_o_ing_total!Q$485</f>
        <v>0.13444315172356491</v>
      </c>
      <c r="S375" s="332">
        <f>Gasto_o_ing_total!R375*1000/Gasto_o_ing_total!R$485</f>
        <v>0.16513754589764579</v>
      </c>
      <c r="T375" s="332">
        <f>Gasto_o_ing_total!S375*1000/Gasto_o_ing_total!S$485</f>
        <v>0.16636050105503686</v>
      </c>
      <c r="U375" s="332">
        <f>Gasto_o_ing_total!T375*1000/Gasto_o_ing_total!T$485</f>
        <v>8.961036844647649E-2</v>
      </c>
      <c r="V375" s="332">
        <f>Gasto_o_ing_total!U375*1000/Gasto_o_ing_total!U$485</f>
        <v>5.5927841990541231E-2</v>
      </c>
      <c r="W375" s="105"/>
    </row>
    <row r="376" spans="1:23" s="102" customFormat="1">
      <c r="A376" s="351" t="str">
        <f>IF(B376="","",(IF(ISERROR(MATCH(B376,Tot_res!C:C,0)),"Eliminar!!!","")))</f>
        <v/>
      </c>
      <c r="B376" s="115" t="s">
        <v>834</v>
      </c>
      <c r="C376" s="329" t="str">
        <f>VLOOKUP(B376,Tot_res!C:D,2,FALSE)</f>
        <v>Dirección y Servicios Generales de Economía y Hacienda, transferencias a RTVE</v>
      </c>
      <c r="D376" s="332">
        <f>Gasto_o_ing_total!V376*1000/Gasto_o_ing_total!V$485</f>
        <v>6.9324853344729718</v>
      </c>
      <c r="E376" s="332">
        <f>Gasto_o_ing_total!D376*1000/Gasto_o_ing_total!D$485</f>
        <v>6.9324853344729718</v>
      </c>
      <c r="F376" s="332">
        <f>Gasto_o_ing_total!E376*1000/Gasto_o_ing_total!E$485</f>
        <v>6.9324853344729718</v>
      </c>
      <c r="G376" s="332">
        <f>Gasto_o_ing_total!F376*1000/Gasto_o_ing_total!F$485</f>
        <v>6.9324853344729718</v>
      </c>
      <c r="H376" s="332">
        <f>Gasto_o_ing_total!G376*1000/Gasto_o_ing_total!G$485</f>
        <v>6.9324853344729709</v>
      </c>
      <c r="I376" s="332">
        <f>Gasto_o_ing_total!H376*1000/Gasto_o_ing_total!H$485</f>
        <v>6.9324853344729718</v>
      </c>
      <c r="J376" s="332">
        <f>Gasto_o_ing_total!I376*1000/Gasto_o_ing_total!I$485</f>
        <v>6.9324853344729718</v>
      </c>
      <c r="K376" s="332">
        <f>Gasto_o_ing_total!J376*1000/Gasto_o_ing_total!J$485</f>
        <v>6.9324853344729727</v>
      </c>
      <c r="L376" s="332">
        <f>Gasto_o_ing_total!K376*1000/Gasto_o_ing_total!K$485</f>
        <v>6.9324853344729718</v>
      </c>
      <c r="M376" s="332">
        <f>Gasto_o_ing_total!L376*1000/Gasto_o_ing_total!L$485</f>
        <v>6.9324853344729718</v>
      </c>
      <c r="N376" s="332">
        <f>Gasto_o_ing_total!M376*1000/Gasto_o_ing_total!M$485</f>
        <v>6.9324853344729709</v>
      </c>
      <c r="O376" s="332">
        <f>Gasto_o_ing_total!N376*1000/Gasto_o_ing_total!N$485</f>
        <v>6.9324853344729709</v>
      </c>
      <c r="P376" s="332">
        <f>Gasto_o_ing_total!O376*1000/Gasto_o_ing_total!O$485</f>
        <v>6.9324853344729709</v>
      </c>
      <c r="Q376" s="332">
        <f>Gasto_o_ing_total!P376*1000/Gasto_o_ing_total!P$485</f>
        <v>6.9324853344729718</v>
      </c>
      <c r="R376" s="332">
        <f>Gasto_o_ing_total!Q376*1000/Gasto_o_ing_total!Q$485</f>
        <v>6.9324853344729718</v>
      </c>
      <c r="S376" s="332">
        <f>Gasto_o_ing_total!R376*1000/Gasto_o_ing_total!R$485</f>
        <v>6.93248533447297</v>
      </c>
      <c r="T376" s="332">
        <f>Gasto_o_ing_total!S376*1000/Gasto_o_ing_total!S$485</f>
        <v>6.9324853344729709</v>
      </c>
      <c r="U376" s="332">
        <f>Gasto_o_ing_total!T376*1000/Gasto_o_ing_total!T$485</f>
        <v>6.9324853344729709</v>
      </c>
      <c r="V376" s="332">
        <f>Gasto_o_ing_total!U376*1000/Gasto_o_ing_total!U$485</f>
        <v>6.9324853344729727</v>
      </c>
      <c r="W376" s="105"/>
    </row>
    <row r="377" spans="1:23" s="102" customFormat="1">
      <c r="A377" s="351" t="str">
        <f>IF(B377="","",(IF(ISERROR(MATCH(B377,Tot_res!C:C,0)),"Eliminar!!!","")))</f>
        <v/>
      </c>
      <c r="B377" s="115" t="s">
        <v>358</v>
      </c>
      <c r="C377" s="329" t="str">
        <f>VLOOKUP(B377,Tot_res!C:D,2,FALSE)</f>
        <v>Normalización lingüística + AF08</v>
      </c>
      <c r="D377" s="332">
        <f>Gasto_o_ing_total!V377*1000/Gasto_o_ing_total!V$485</f>
        <v>3.9624772861608224</v>
      </c>
      <c r="E377" s="332">
        <f>Gasto_o_ing_total!D377*1000/Gasto_o_ing_total!D$485</f>
        <v>0</v>
      </c>
      <c r="F377" s="332">
        <f>Gasto_o_ing_total!E377*1000/Gasto_o_ing_total!E$485</f>
        <v>0</v>
      </c>
      <c r="G377" s="332">
        <f>Gasto_o_ing_total!F377*1000/Gasto_o_ing_total!F$485</f>
        <v>0</v>
      </c>
      <c r="H377" s="332">
        <f>Gasto_o_ing_total!G377*1000/Gasto_o_ing_total!G$485</f>
        <v>18.130545809849753</v>
      </c>
      <c r="I377" s="332">
        <f>Gasto_o_ing_total!H377*1000/Gasto_o_ing_total!H$485</f>
        <v>0</v>
      </c>
      <c r="J377" s="332">
        <f>Gasto_o_ing_total!I377*1000/Gasto_o_ing_total!I$485</f>
        <v>0</v>
      </c>
      <c r="K377" s="332">
        <f>Gasto_o_ing_total!J377*1000/Gasto_o_ing_total!J$485</f>
        <v>0</v>
      </c>
      <c r="L377" s="332">
        <f>Gasto_o_ing_total!K377*1000/Gasto_o_ing_total!K$485</f>
        <v>0</v>
      </c>
      <c r="M377" s="332">
        <f>Gasto_o_ing_total!L377*1000/Gasto_o_ing_total!L$485</f>
        <v>8.637761249055167</v>
      </c>
      <c r="N377" s="332">
        <f>Gasto_o_ing_total!M377*1000/Gasto_o_ing_total!M$485</f>
        <v>8.3060889836028728</v>
      </c>
      <c r="O377" s="332">
        <f>Gasto_o_ing_total!N377*1000/Gasto_o_ing_total!N$485</f>
        <v>0</v>
      </c>
      <c r="P377" s="332">
        <f>Gasto_o_ing_total!O377*1000/Gasto_o_ing_total!O$485</f>
        <v>11.440975285677844</v>
      </c>
      <c r="Q377" s="332">
        <f>Gasto_o_ing_total!P377*1000/Gasto_o_ing_total!P$485</f>
        <v>0</v>
      </c>
      <c r="R377" s="332">
        <f>Gasto_o_ing_total!Q377*1000/Gasto_o_ing_total!Q$485</f>
        <v>0</v>
      </c>
      <c r="S377" s="332">
        <f>Gasto_o_ing_total!R377*1000/Gasto_o_ing_total!R$485</f>
        <v>9.6472538671506918</v>
      </c>
      <c r="T377" s="332">
        <f>Gasto_o_ing_total!S377*1000/Gasto_o_ing_total!S$485</f>
        <v>9.6472538671506918</v>
      </c>
      <c r="U377" s="332">
        <f>Gasto_o_ing_total!T377*1000/Gasto_o_ing_total!T$485</f>
        <v>0</v>
      </c>
      <c r="V377" s="332">
        <f>Gasto_o_ing_total!U377*1000/Gasto_o_ing_total!U$485</f>
        <v>0</v>
      </c>
      <c r="W377" s="105"/>
    </row>
    <row r="378" spans="1:23" s="102" customFormat="1">
      <c r="A378" s="351" t="str">
        <f>IF(B378="","",(IF(ISERROR(MATCH(B378,Tot_res!C:C,0)),"Eliminar!!!","")))</f>
        <v/>
      </c>
      <c r="B378" s="115" t="s">
        <v>359</v>
      </c>
      <c r="C378" s="329" t="str">
        <f>VLOOKUP(B378,Tot_res!C:D,2,FALSE)</f>
        <v>Aportación a la Iglesia Católica ligadas a la casilla del IRPF</v>
      </c>
      <c r="D378" s="332">
        <f>Gasto_o_ing_total!V378*1000/Gasto_o_ing_total!V$485</f>
        <v>5.3093651836712041</v>
      </c>
      <c r="E378" s="332">
        <f>Gasto_o_ing_total!D378*1000/Gasto_o_ing_total!D$485</f>
        <v>5.2410727457455248</v>
      </c>
      <c r="F378" s="332">
        <f>Gasto_o_ing_total!E378*1000/Gasto_o_ing_total!E$485</f>
        <v>6.0544869554794527</v>
      </c>
      <c r="G378" s="332">
        <f>Gasto_o_ing_total!F378*1000/Gasto_o_ing_total!F$485</f>
        <v>6.0916167543397854</v>
      </c>
      <c r="H378" s="332">
        <f>Gasto_o_ing_total!G378*1000/Gasto_o_ing_total!G$485</f>
        <v>5.1300396354755762</v>
      </c>
      <c r="I378" s="332">
        <f>Gasto_o_ing_total!H378*1000/Gasto_o_ing_total!H$485</f>
        <v>4.509602163738732</v>
      </c>
      <c r="J378" s="332">
        <f>Gasto_o_ing_total!I378*1000/Gasto_o_ing_total!I$485</f>
        <v>9.0753087937957631</v>
      </c>
      <c r="K378" s="332">
        <f>Gasto_o_ing_total!J378*1000/Gasto_o_ing_total!J$485</f>
        <v>7.4685203302981682</v>
      </c>
      <c r="L378" s="332">
        <f>Gasto_o_ing_total!K378*1000/Gasto_o_ing_total!K$485</f>
        <v>6.4850727203112539</v>
      </c>
      <c r="M378" s="332">
        <f>Gasto_o_ing_total!L378*1000/Gasto_o_ing_total!L$485</f>
        <v>4.2207065187613271</v>
      </c>
      <c r="N378" s="332">
        <f>Gasto_o_ing_total!M378*1000/Gasto_o_ing_total!M$485</f>
        <v>5.174988071191545</v>
      </c>
      <c r="O378" s="332">
        <f>Gasto_o_ing_total!N378*1000/Gasto_o_ing_total!N$485</f>
        <v>7.3128516455665071</v>
      </c>
      <c r="P378" s="332">
        <f>Gasto_o_ing_total!O378*1000/Gasto_o_ing_total!O$485</f>
        <v>7.1155589811979914</v>
      </c>
      <c r="Q378" s="332">
        <f>Gasto_o_ing_total!P378*1000/Gasto_o_ing_total!P$485</f>
        <v>4.1635084030915586</v>
      </c>
      <c r="R378" s="332">
        <f>Gasto_o_ing_total!Q378*1000/Gasto_o_ing_total!Q$485</f>
        <v>6.628320536341187</v>
      </c>
      <c r="S378" s="332">
        <f>Gasto_o_ing_total!R378*1000/Gasto_o_ing_total!R$485</f>
        <v>5.4343855018011027</v>
      </c>
      <c r="T378" s="332">
        <f>Gasto_o_ing_total!S378*1000/Gasto_o_ing_total!S$485</f>
        <v>4.7317554357416007</v>
      </c>
      <c r="U378" s="332">
        <f>Gasto_o_ing_total!T378*1000/Gasto_o_ing_total!T$485</f>
        <v>3.8735959343483328</v>
      </c>
      <c r="V378" s="332">
        <f>Gasto_o_ing_total!U378*1000/Gasto_o_ing_total!U$485</f>
        <v>1.9689400670616293</v>
      </c>
      <c r="W378" s="105"/>
    </row>
    <row r="379" spans="1:23">
      <c r="A379" s="351" t="str">
        <f>IF(B379="","",(IF(ISERROR(MATCH(B379,Tot_res!C:C,0)),"Eliminar!!!","")))</f>
        <v/>
      </c>
      <c r="B379" s="115" t="s">
        <v>837</v>
      </c>
      <c r="C379" s="329" t="str">
        <f>VLOOKUP(B379,Tot_res!C:D,2,FALSE)</f>
        <v>Ordenación y fomento de la edificación, actuaciones relacionadas con el 1% cultural</v>
      </c>
      <c r="D379" s="332">
        <f>Gasto_o_ing_total!V379*1000/Gasto_o_ing_total!V$485</f>
        <v>9.5235177311063804E-2</v>
      </c>
      <c r="E379" s="332">
        <f>Gasto_o_ing_total!D379*1000/Gasto_o_ing_total!D$485</f>
        <v>0.20063896063577755</v>
      </c>
      <c r="F379" s="332">
        <f>Gasto_o_ing_total!E379*1000/Gasto_o_ing_total!E$485</f>
        <v>2.1584159090083654E-2</v>
      </c>
      <c r="G379" s="332">
        <f>Gasto_o_ing_total!F379*1000/Gasto_o_ing_total!F$485</f>
        <v>0</v>
      </c>
      <c r="H379" s="332">
        <f>Gasto_o_ing_total!G379*1000/Gasto_o_ing_total!G$485</f>
        <v>0</v>
      </c>
      <c r="I379" s="332">
        <f>Gasto_o_ing_total!H379*1000/Gasto_o_ing_total!H$485</f>
        <v>0</v>
      </c>
      <c r="J379" s="332">
        <f>Gasto_o_ing_total!I379*1000/Gasto_o_ing_total!I$485</f>
        <v>0.31767204078937838</v>
      </c>
      <c r="K379" s="332">
        <f>Gasto_o_ing_total!J379*1000/Gasto_o_ing_total!J$485</f>
        <v>8.4778629962459037E-2</v>
      </c>
      <c r="L379" s="332">
        <f>Gasto_o_ing_total!K379*1000/Gasto_o_ing_total!K$485</f>
        <v>9.666968114955718E-2</v>
      </c>
      <c r="M379" s="332">
        <f>Gasto_o_ing_total!L379*1000/Gasto_o_ing_total!L$485</f>
        <v>0.12695086959753601</v>
      </c>
      <c r="N379" s="332">
        <f>Gasto_o_ing_total!M379*1000/Gasto_o_ing_total!M$485</f>
        <v>0.11716551134526319</v>
      </c>
      <c r="O379" s="332">
        <f>Gasto_o_ing_total!N379*1000/Gasto_o_ing_total!N$485</f>
        <v>0</v>
      </c>
      <c r="P379" s="332">
        <f>Gasto_o_ing_total!O379*1000/Gasto_o_ing_total!O$485</f>
        <v>9.6509802333205996E-2</v>
      </c>
      <c r="Q379" s="332">
        <f>Gasto_o_ing_total!P379*1000/Gasto_o_ing_total!P$485</f>
        <v>0</v>
      </c>
      <c r="R379" s="332">
        <f>Gasto_o_ing_total!Q379*1000/Gasto_o_ing_total!Q$485</f>
        <v>0</v>
      </c>
      <c r="S379" s="332">
        <f>Gasto_o_ing_total!R379*1000/Gasto_o_ing_total!R$485</f>
        <v>0.3043816506486553</v>
      </c>
      <c r="T379" s="332">
        <f>Gasto_o_ing_total!S379*1000/Gasto_o_ing_total!S$485</f>
        <v>0</v>
      </c>
      <c r="U379" s="332">
        <f>Gasto_o_ing_total!T379*1000/Gasto_o_ing_total!T$485</f>
        <v>0</v>
      </c>
      <c r="V379" s="332">
        <f>Gasto_o_ing_total!U379*1000/Gasto_o_ing_total!U$485</f>
        <v>0.81311273462435052</v>
      </c>
      <c r="W379" s="2"/>
    </row>
    <row r="380" spans="1:23">
      <c r="A380" s="352"/>
      <c r="D380" s="20"/>
      <c r="E380" s="20"/>
      <c r="F380" s="20"/>
      <c r="G380" s="20"/>
      <c r="H380" s="20"/>
      <c r="I380" s="20"/>
      <c r="J380" s="20"/>
      <c r="K380" s="20"/>
      <c r="L380" s="20"/>
      <c r="M380" s="20"/>
      <c r="N380" s="20"/>
      <c r="O380" s="20"/>
      <c r="P380" s="20"/>
      <c r="Q380" s="20"/>
      <c r="R380" s="20"/>
      <c r="S380" s="20"/>
      <c r="T380" s="20"/>
      <c r="U380" s="20"/>
      <c r="V380" s="20"/>
      <c r="W380" s="2"/>
    </row>
    <row r="381" spans="1:23" s="102" customFormat="1">
      <c r="A381" s="352"/>
      <c r="B381" s="115"/>
      <c r="C381" s="147" t="s">
        <v>68</v>
      </c>
      <c r="D381" s="110">
        <f>Gasto_o_ing_total!V381*1000/Gasto_o_ing_total!V$485</f>
        <v>3642.6408096501973</v>
      </c>
      <c r="E381" s="110">
        <f>Gasto_o_ing_total!D381*1000/Gasto_o_ing_total!D$485</f>
        <v>3131.383270527806</v>
      </c>
      <c r="F381" s="110">
        <f>Gasto_o_ing_total!E381*1000/Gasto_o_ing_total!E$485</f>
        <v>4087.9995564688647</v>
      </c>
      <c r="G381" s="110">
        <f>Gasto_o_ing_total!F381*1000/Gasto_o_ing_total!F$485</f>
        <v>5388.7128931909419</v>
      </c>
      <c r="H381" s="110">
        <f>Gasto_o_ing_total!G381*1000/Gasto_o_ing_total!G$485</f>
        <v>2963.1672676985627</v>
      </c>
      <c r="I381" s="110">
        <f>Gasto_o_ing_total!H381*1000/Gasto_o_ing_total!H$485</f>
        <v>2787.5094614082673</v>
      </c>
      <c r="J381" s="110">
        <f>Gasto_o_ing_total!I381*1000/Gasto_o_ing_total!I$485</f>
        <v>4187.3382220472704</v>
      </c>
      <c r="K381" s="110">
        <f>Gasto_o_ing_total!J381*1000/Gasto_o_ing_total!J$485</f>
        <v>4218.6128386101263</v>
      </c>
      <c r="L381" s="110">
        <f>Gasto_o_ing_total!K381*1000/Gasto_o_ing_total!K$485</f>
        <v>3134.9505777247296</v>
      </c>
      <c r="M381" s="110">
        <f>Gasto_o_ing_total!L381*1000/Gasto_o_ing_total!L$485</f>
        <v>3914.6275873181185</v>
      </c>
      <c r="N381" s="110">
        <f>Gasto_o_ing_total!M381*1000/Gasto_o_ing_total!M$485</f>
        <v>3279.91172331191</v>
      </c>
      <c r="O381" s="110">
        <f>Gasto_o_ing_total!N381*1000/Gasto_o_ing_total!N$485</f>
        <v>3326.5695182807885</v>
      </c>
      <c r="P381" s="110">
        <f>Gasto_o_ing_total!O381*1000/Gasto_o_ing_total!O$485</f>
        <v>4121.1641796808372</v>
      </c>
      <c r="Q381" s="110">
        <f>Gasto_o_ing_total!P381*1000/Gasto_o_ing_total!P$485</f>
        <v>3796.7595459138379</v>
      </c>
      <c r="R381" s="110">
        <f>Gasto_o_ing_total!Q381*1000/Gasto_o_ing_total!Q$485</f>
        <v>3010.9792135807047</v>
      </c>
      <c r="S381" s="110">
        <f>Gasto_o_ing_total!R381*1000/Gasto_o_ing_total!R$485</f>
        <v>3942.8760117089669</v>
      </c>
      <c r="T381" s="110">
        <f>Gasto_o_ing_total!S381*1000/Gasto_o_ing_total!S$485</f>
        <v>4756.574744174759</v>
      </c>
      <c r="U381" s="110">
        <f>Gasto_o_ing_total!T381*1000/Gasto_o_ing_total!T$485</f>
        <v>3643.1274877034853</v>
      </c>
      <c r="V381" s="110">
        <f>Gasto_o_ing_total!U381*1000/Gasto_o_ing_total!U$485</f>
        <v>2550.8590955568875</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Gasto_o_ing_total!V383*1000/Gasto_o_ing_total!V$485</f>
        <v>3560.0281711559446</v>
      </c>
      <c r="E383" s="113">
        <f>Gasto_o_ing_total!D383*1000/Gasto_o_ing_total!D$485</f>
        <v>3050.5360144042297</v>
      </c>
      <c r="F383" s="113">
        <f>Gasto_o_ing_total!E383*1000/Gasto_o_ing_total!E$485</f>
        <v>4003.951253620698</v>
      </c>
      <c r="G383" s="113">
        <f>Gasto_o_ing_total!F383*1000/Gasto_o_ing_total!F$485</f>
        <v>5292.7820760281675</v>
      </c>
      <c r="H383" s="113">
        <f>Gasto_o_ing_total!G383*1000/Gasto_o_ing_total!G$485</f>
        <v>2889.6831555848648</v>
      </c>
      <c r="I383" s="113">
        <f>Gasto_o_ing_total!H383*1000/Gasto_o_ing_total!H$485</f>
        <v>2726.813238797768</v>
      </c>
      <c r="J383" s="113">
        <f>Gasto_o_ing_total!I383*1000/Gasto_o_ing_total!I$485</f>
        <v>4092.2435374762108</v>
      </c>
      <c r="K383" s="113">
        <f>Gasto_o_ing_total!J383*1000/Gasto_o_ing_total!J$485</f>
        <v>4116.8055321024121</v>
      </c>
      <c r="L383" s="113">
        <f>Gasto_o_ing_total!K383*1000/Gasto_o_ing_total!K$485</f>
        <v>3051.3308962007386</v>
      </c>
      <c r="M383" s="113">
        <f>Gasto_o_ing_total!L383*1000/Gasto_o_ing_total!L$485</f>
        <v>3832.7473684683905</v>
      </c>
      <c r="N383" s="113">
        <f>Gasto_o_ing_total!M383*1000/Gasto_o_ing_total!M$485</f>
        <v>3212.3118016290177</v>
      </c>
      <c r="O383" s="113">
        <f>Gasto_o_ing_total!N383*1000/Gasto_o_ing_total!N$485</f>
        <v>3237.1151368305268</v>
      </c>
      <c r="P383" s="113">
        <f>Gasto_o_ing_total!O383*1000/Gasto_o_ing_total!O$485</f>
        <v>4032.0837202161092</v>
      </c>
      <c r="Q383" s="113">
        <f>Gasto_o_ing_total!P383*1000/Gasto_o_ing_total!P$485</f>
        <v>3714.1090839702592</v>
      </c>
      <c r="R383" s="113">
        <f>Gasto_o_ing_total!Q383*1000/Gasto_o_ing_total!Q$485</f>
        <v>2919.7952542072171</v>
      </c>
      <c r="S383" s="113">
        <f>Gasto_o_ing_total!R383*1000/Gasto_o_ing_total!R$485</f>
        <v>3862.1296224687439</v>
      </c>
      <c r="T383" s="113">
        <f>Gasto_o_ing_total!S383*1000/Gasto_o_ing_total!S$485</f>
        <v>4664.3173190932966</v>
      </c>
      <c r="U383" s="113">
        <f>Gasto_o_ing_total!T383*1000/Gasto_o_ing_total!T$485</f>
        <v>3545.8315450936752</v>
      </c>
      <c r="V383" s="113">
        <f>Gasto_o_ing_total!U383*1000/Gasto_o_ing_total!U$485</f>
        <v>2375.3029234983646</v>
      </c>
      <c r="W383" s="105"/>
    </row>
    <row r="384" spans="1:23" s="102" customFormat="1">
      <c r="A384" s="351" t="str">
        <f>IF(B384="","",(IF(ISERROR(MATCH(B384,Tot_res!C:C,0)),"Eliminar!!!","")))</f>
        <v/>
      </c>
      <c r="B384" s="115" t="s">
        <v>360</v>
      </c>
      <c r="C384" s="329" t="str">
        <f>VLOOKUP(B384,Tot_res!C:D,2,FALSE)</f>
        <v>Pensiones de clases pasivas</v>
      </c>
      <c r="D384" s="332">
        <f>Gasto_o_ing_total!V384*1000/Gasto_o_ing_total!V$485</f>
        <v>265.58603741201284</v>
      </c>
      <c r="E384" s="332">
        <f>Gasto_o_ing_total!D384*1000/Gasto_o_ing_total!D$485</f>
        <v>293.58124117541047</v>
      </c>
      <c r="F384" s="332">
        <f>Gasto_o_ing_total!E384*1000/Gasto_o_ing_total!E$485</f>
        <v>342.64672541797319</v>
      </c>
      <c r="G384" s="332">
        <f>Gasto_o_ing_total!F384*1000/Gasto_o_ing_total!F$485</f>
        <v>315.72739287784816</v>
      </c>
      <c r="H384" s="332">
        <f>Gasto_o_ing_total!G384*1000/Gasto_o_ing_total!G$485</f>
        <v>168.33105261465423</v>
      </c>
      <c r="I384" s="332">
        <f>Gasto_o_ing_total!H384*1000/Gasto_o_ing_total!H$485</f>
        <v>238.89294419352024</v>
      </c>
      <c r="J384" s="332">
        <f>Gasto_o_ing_total!I384*1000/Gasto_o_ing_total!I$485</f>
        <v>262.93545937887353</v>
      </c>
      <c r="K384" s="332">
        <f>Gasto_o_ing_total!J384*1000/Gasto_o_ing_total!J$485</f>
        <v>437.37407151666991</v>
      </c>
      <c r="L384" s="332">
        <f>Gasto_o_ing_total!K384*1000/Gasto_o_ing_total!K$485</f>
        <v>250.11027291301033</v>
      </c>
      <c r="M384" s="332">
        <f>Gasto_o_ing_total!L384*1000/Gasto_o_ing_total!L$485</f>
        <v>145.00310628681993</v>
      </c>
      <c r="N384" s="332">
        <f>Gasto_o_ing_total!M384*1000/Gasto_o_ing_total!M$485</f>
        <v>207.78679318570175</v>
      </c>
      <c r="O384" s="332">
        <f>Gasto_o_ing_total!N384*1000/Gasto_o_ing_total!N$485</f>
        <v>352.22965650823738</v>
      </c>
      <c r="P384" s="332">
        <f>Gasto_o_ing_total!O384*1000/Gasto_o_ing_total!O$485</f>
        <v>326.52395720010907</v>
      </c>
      <c r="Q384" s="332">
        <f>Gasto_o_ing_total!P384*1000/Gasto_o_ing_total!P$485</f>
        <v>347.06503684616621</v>
      </c>
      <c r="R384" s="332">
        <f>Gasto_o_ing_total!Q384*1000/Gasto_o_ing_total!Q$485</f>
        <v>295.6755633095737</v>
      </c>
      <c r="S384" s="332">
        <f>Gasto_o_ing_total!R384*1000/Gasto_o_ing_total!R$485</f>
        <v>193.97589975852009</v>
      </c>
      <c r="T384" s="332">
        <f>Gasto_o_ing_total!S384*1000/Gasto_o_ing_total!S$485</f>
        <v>143.37874134412854</v>
      </c>
      <c r="U384" s="332">
        <f>Gasto_o_ing_total!T384*1000/Gasto_o_ing_total!T$485</f>
        <v>306.92899997641717</v>
      </c>
      <c r="V384" s="332">
        <f>Gasto_o_ing_total!U384*1000/Gasto_o_ing_total!U$485</f>
        <v>524.64974652170963</v>
      </c>
      <c r="W384" s="105"/>
    </row>
    <row r="385" spans="1:23" s="102" customFormat="1">
      <c r="A385" s="351" t="str">
        <f>IF(B385="","",(IF(ISERROR(MATCH(B385,Tot_res!C:C,0)),"Eliminar!!!","")))</f>
        <v/>
      </c>
      <c r="B385" s="115" t="s">
        <v>361</v>
      </c>
      <c r="C385" s="329" t="str">
        <f>VLOOKUP(B385,Tot_res!C:D,2,FALSE)</f>
        <v>Otras pensiones y prestac. de clases pasivas</v>
      </c>
      <c r="D385" s="332">
        <f>Gasto_o_ing_total!V385*1000/Gasto_o_ing_total!V$485</f>
        <v>0.65322435268261669</v>
      </c>
      <c r="E385" s="332">
        <f>Gasto_o_ing_total!D385*1000/Gasto_o_ing_total!D$485</f>
        <v>0.3951138396752451</v>
      </c>
      <c r="F385" s="332">
        <f>Gasto_o_ing_total!E385*1000/Gasto_o_ing_total!E$485</f>
        <v>0.29887528601348651</v>
      </c>
      <c r="G385" s="332">
        <f>Gasto_o_ing_total!F385*1000/Gasto_o_ing_total!F$485</f>
        <v>0.33291825545377751</v>
      </c>
      <c r="H385" s="332">
        <f>Gasto_o_ing_total!G385*1000/Gasto_o_ing_total!G$485</f>
        <v>0.2093622552618504</v>
      </c>
      <c r="I385" s="332">
        <f>Gasto_o_ing_total!H385*1000/Gasto_o_ing_total!H$485</f>
        <v>4.3706546375241038</v>
      </c>
      <c r="J385" s="332">
        <f>Gasto_o_ing_total!I385*1000/Gasto_o_ing_total!I$485</f>
        <v>0.3701185941806131</v>
      </c>
      <c r="K385" s="332">
        <f>Gasto_o_ing_total!J385*1000/Gasto_o_ing_total!J$485</f>
        <v>0.34445129520931006</v>
      </c>
      <c r="L385" s="332">
        <f>Gasto_o_ing_total!K385*1000/Gasto_o_ing_total!K$485</f>
        <v>0.34999820194393061</v>
      </c>
      <c r="M385" s="332">
        <f>Gasto_o_ing_total!L385*1000/Gasto_o_ing_total!L$485</f>
        <v>0.27876892600516839</v>
      </c>
      <c r="N385" s="332">
        <f>Gasto_o_ing_total!M385*1000/Gasto_o_ing_total!M$485</f>
        <v>0.30211534026275816</v>
      </c>
      <c r="O385" s="332">
        <f>Gasto_o_ing_total!N385*1000/Gasto_o_ing_total!N$485</f>
        <v>0.35758115942095081</v>
      </c>
      <c r="P385" s="332">
        <f>Gasto_o_ing_total!O385*1000/Gasto_o_ing_total!O$485</f>
        <v>0.32418149322701778</v>
      </c>
      <c r="Q385" s="332">
        <f>Gasto_o_ing_total!P385*1000/Gasto_o_ing_total!P$485</f>
        <v>1.2918507511498329</v>
      </c>
      <c r="R385" s="332">
        <f>Gasto_o_ing_total!Q385*1000/Gasto_o_ing_total!Q$485</f>
        <v>0.3342649583893697</v>
      </c>
      <c r="S385" s="332">
        <f>Gasto_o_ing_total!R385*1000/Gasto_o_ing_total!R$485</f>
        <v>0.16308967848986863</v>
      </c>
      <c r="T385" s="332">
        <f>Gasto_o_ing_total!S385*1000/Gasto_o_ing_total!S$485</f>
        <v>0.41253701371463702</v>
      </c>
      <c r="U385" s="332">
        <f>Gasto_o_ing_total!T385*1000/Gasto_o_ing_total!T$485</f>
        <v>0.29840928850492487</v>
      </c>
      <c r="V385" s="332">
        <f>Gasto_o_ing_total!U385*1000/Gasto_o_ing_total!U$485</f>
        <v>2.4616660428682153</v>
      </c>
      <c r="W385" s="105"/>
    </row>
    <row r="386" spans="1:23" s="102" customFormat="1">
      <c r="A386" s="351" t="str">
        <f>IF(B386="","",(IF(ISERROR(MATCH(B386,Tot_res!C:C,0)),"Eliminar!!!","")))</f>
        <v/>
      </c>
      <c r="B386" s="115" t="s">
        <v>362</v>
      </c>
      <c r="C386" s="329" t="str">
        <f>VLOOKUP(B386,Tot_res!C:D,2,FALSE)</f>
        <v>Pensiones no contrib. y prestac. asistenciales</v>
      </c>
      <c r="D386" s="332">
        <f>Gasto_o_ing_total!V386*1000/Gasto_o_ing_total!V$485</f>
        <v>0.2574495680064493</v>
      </c>
      <c r="E386" s="332">
        <f>Gasto_o_ing_total!D386*1000/Gasto_o_ing_total!D$485</f>
        <v>0.75233544448917933</v>
      </c>
      <c r="F386" s="332">
        <f>Gasto_o_ing_total!E386*1000/Gasto_o_ing_total!E$485</f>
        <v>2.3432837452144525E-2</v>
      </c>
      <c r="G386" s="332">
        <f>Gasto_o_ing_total!F386*1000/Gasto_o_ing_total!F$485</f>
        <v>2.2625263888710685E-2</v>
      </c>
      <c r="H386" s="332">
        <f>Gasto_o_ing_total!G386*1000/Gasto_o_ing_total!G$485</f>
        <v>6.2642235009747679E-3</v>
      </c>
      <c r="I386" s="332">
        <f>Gasto_o_ing_total!H386*1000/Gasto_o_ing_total!H$485</f>
        <v>1.6458188489003012</v>
      </c>
      <c r="J386" s="332">
        <f>Gasto_o_ing_total!I386*1000/Gasto_o_ing_total!I$485</f>
        <v>9.912811626891195E-2</v>
      </c>
      <c r="K386" s="332">
        <f>Gasto_o_ing_total!J386*1000/Gasto_o_ing_total!J$485</f>
        <v>3.9469369951838709E-2</v>
      </c>
      <c r="L386" s="332">
        <f>Gasto_o_ing_total!K386*1000/Gasto_o_ing_total!K$485</f>
        <v>2.121808032809578E-2</v>
      </c>
      <c r="M386" s="332">
        <f>Gasto_o_ing_total!L386*1000/Gasto_o_ing_total!L$485</f>
        <v>6.7629643287131251E-3</v>
      </c>
      <c r="N386" s="332">
        <f>Gasto_o_ing_total!M386*1000/Gasto_o_ing_total!M$485</f>
        <v>0.1063507741016306</v>
      </c>
      <c r="O386" s="332">
        <f>Gasto_o_ing_total!N386*1000/Gasto_o_ing_total!N$485</f>
        <v>0.11470798877248604</v>
      </c>
      <c r="P386" s="332">
        <f>Gasto_o_ing_total!O386*1000/Gasto_o_ing_total!O$485</f>
        <v>8.9416448729242766E-3</v>
      </c>
      <c r="Q386" s="332">
        <f>Gasto_o_ing_total!P386*1000/Gasto_o_ing_total!P$485</f>
        <v>0.16340362702434999</v>
      </c>
      <c r="R386" s="332">
        <f>Gasto_o_ing_total!Q386*1000/Gasto_o_ing_total!Q$485</f>
        <v>0.13110146176527507</v>
      </c>
      <c r="S386" s="332">
        <f>Gasto_o_ing_total!R386*1000/Gasto_o_ing_total!R$485</f>
        <v>3.5200181296134421E-3</v>
      </c>
      <c r="T386" s="332">
        <f>Gasto_o_ing_total!S386*1000/Gasto_o_ing_total!S$485</f>
        <v>0</v>
      </c>
      <c r="U386" s="332">
        <f>Gasto_o_ing_total!T386*1000/Gasto_o_ing_total!T$485</f>
        <v>0</v>
      </c>
      <c r="V386" s="332">
        <f>Gasto_o_ing_total!U386*1000/Gasto_o_ing_total!U$485</f>
        <v>0</v>
      </c>
      <c r="W386" s="114"/>
    </row>
    <row r="387" spans="1:23" s="102" customFormat="1">
      <c r="A387" s="351" t="str">
        <f>IF(B387="","",(IF(ISERROR(MATCH(B387,Tot_res!C:C,0)),"Eliminar!!!","")))</f>
        <v/>
      </c>
      <c r="B387" s="115" t="s">
        <v>363</v>
      </c>
      <c r="C387" s="329" t="str">
        <f>VLOOKUP(B387,Tot_res!C:D,2,FALSE)</f>
        <v>Pensiones de guerra</v>
      </c>
      <c r="D387" s="332">
        <f>Gasto_o_ing_total!V387*1000/Gasto_o_ing_total!V$485</f>
        <v>5.2190094938287466</v>
      </c>
      <c r="E387" s="332">
        <f>Gasto_o_ing_total!D387*1000/Gasto_o_ing_total!D$485</f>
        <v>2.7188446331806237</v>
      </c>
      <c r="F387" s="332">
        <f>Gasto_o_ing_total!E387*1000/Gasto_o_ing_total!E$485</f>
        <v>6.2465634722945245</v>
      </c>
      <c r="G387" s="332">
        <f>Gasto_o_ing_total!F387*1000/Gasto_o_ing_total!F$485</f>
        <v>8.1888727653059536</v>
      </c>
      <c r="H387" s="332">
        <f>Gasto_o_ing_total!G387*1000/Gasto_o_ing_total!G$485</f>
        <v>1.9411218336163296</v>
      </c>
      <c r="I387" s="332">
        <f>Gasto_o_ing_total!H387*1000/Gasto_o_ing_total!H$485</f>
        <v>0.30506742136552073</v>
      </c>
      <c r="J387" s="332">
        <f>Gasto_o_ing_total!I387*1000/Gasto_o_ing_total!I$485</f>
        <v>6.5980422972564288</v>
      </c>
      <c r="K387" s="332">
        <f>Gasto_o_ing_total!J387*1000/Gasto_o_ing_total!J$485</f>
        <v>2.4691329863120268</v>
      </c>
      <c r="L387" s="332">
        <f>Gasto_o_ing_total!K387*1000/Gasto_o_ing_total!K$485</f>
        <v>5.4023969054101668</v>
      </c>
      <c r="M387" s="332">
        <f>Gasto_o_ing_total!L387*1000/Gasto_o_ing_total!L$485</f>
        <v>7.0204653407740691</v>
      </c>
      <c r="N387" s="332">
        <f>Gasto_o_ing_total!M387*1000/Gasto_o_ing_total!M$485</f>
        <v>7.5420625879459813</v>
      </c>
      <c r="O387" s="332">
        <f>Gasto_o_ing_total!N387*1000/Gasto_o_ing_total!N$485</f>
        <v>3.3739846731936867</v>
      </c>
      <c r="P387" s="332">
        <f>Gasto_o_ing_total!O387*1000/Gasto_o_ing_total!O$485</f>
        <v>1.1660444820528653</v>
      </c>
      <c r="Q387" s="332">
        <f>Gasto_o_ing_total!P387*1000/Gasto_o_ing_total!P$485</f>
        <v>9.711845788165105</v>
      </c>
      <c r="R387" s="332">
        <f>Gasto_o_ing_total!Q387*1000/Gasto_o_ing_total!Q$485</f>
        <v>5.3453736299915544</v>
      </c>
      <c r="S387" s="332">
        <f>Gasto_o_ing_total!R387*1000/Gasto_o_ing_total!R$485</f>
        <v>1.9057934105798482</v>
      </c>
      <c r="T387" s="332">
        <f>Gasto_o_ing_total!S387*1000/Gasto_o_ing_total!S$485</f>
        <v>4.7177485301177962</v>
      </c>
      <c r="U387" s="332">
        <f>Gasto_o_ing_total!T387*1000/Gasto_o_ing_total!T$485</f>
        <v>1.8088148037512479</v>
      </c>
      <c r="V387" s="332">
        <f>Gasto_o_ing_total!U387*1000/Gasto_o_ing_total!U$485</f>
        <v>0.82172834412455531</v>
      </c>
      <c r="W387" s="105"/>
    </row>
    <row r="388" spans="1:23" s="102" customFormat="1">
      <c r="A388" s="351" t="str">
        <f>IF(B388="","",(IF(ISERROR(MATCH(B388,Tot_res!C:C,0)),"Eliminar!!!","")))</f>
        <v/>
      </c>
      <c r="B388" s="115" t="s">
        <v>364</v>
      </c>
      <c r="C388" s="329" t="str">
        <f>VLOOKUP(B388,Tot_res!C:D,2,FALSE)</f>
        <v>Gestión de pensiones de clases pasivas</v>
      </c>
      <c r="D388" s="332">
        <f>Gasto_o_ing_total!V388*1000/Gasto_o_ing_total!V$485</f>
        <v>0.13742212649288021</v>
      </c>
      <c r="E388" s="332">
        <f>Gasto_o_ing_total!D388*1000/Gasto_o_ing_total!D$485</f>
        <v>0.15019798463633688</v>
      </c>
      <c r="F388" s="332">
        <f>Gasto_o_ing_total!E388*1000/Gasto_o_ing_total!E$485</f>
        <v>0.17677387221719676</v>
      </c>
      <c r="G388" s="332">
        <f>Gasto_o_ing_total!F388*1000/Gasto_o_ing_total!F$485</f>
        <v>0.16414682138195644</v>
      </c>
      <c r="H388" s="332">
        <f>Gasto_o_ing_total!G388*1000/Gasto_o_ing_total!G$485</f>
        <v>8.6304002427178769E-2</v>
      </c>
      <c r="I388" s="332">
        <f>Gasto_o_ing_total!H388*1000/Gasto_o_ing_total!H$485</f>
        <v>0.12330338621940118</v>
      </c>
      <c r="J388" s="332">
        <f>Gasto_o_ing_total!I388*1000/Gasto_o_ing_total!I$485</f>
        <v>0.13663510518104427</v>
      </c>
      <c r="K388" s="332">
        <f>Gasto_o_ing_total!J388*1000/Gasto_o_ing_total!J$485</f>
        <v>0.22283912527422722</v>
      </c>
      <c r="L388" s="332">
        <f>Gasto_o_ing_total!K388*1000/Gasto_o_ing_total!K$485</f>
        <v>0.12952706051831608</v>
      </c>
      <c r="M388" s="332">
        <f>Gasto_o_ing_total!L388*1000/Gasto_o_ing_total!L$485</f>
        <v>7.7101027025939947E-2</v>
      </c>
      <c r="N388" s="332">
        <f>Gasto_o_ing_total!M388*1000/Gasto_o_ing_total!M$485</f>
        <v>0.10916030095829286</v>
      </c>
      <c r="O388" s="332">
        <f>Gasto_o_ing_total!N388*1000/Gasto_o_ing_total!N$485</f>
        <v>0.18020061756194777</v>
      </c>
      <c r="P388" s="332">
        <f>Gasto_o_ing_total!O388*1000/Gasto_o_ing_total!O$485</f>
        <v>0.16605280201190992</v>
      </c>
      <c r="Q388" s="332">
        <f>Gasto_o_ing_total!P388*1000/Gasto_o_ing_total!P$485</f>
        <v>0.18126751689795784</v>
      </c>
      <c r="R388" s="332">
        <f>Gasto_o_ing_total!Q388*1000/Gasto_o_ing_total!Q$485</f>
        <v>0.15255704857513244</v>
      </c>
      <c r="S388" s="332">
        <f>Gasto_o_ing_total!R388*1000/Gasto_o_ing_total!R$485</f>
        <v>9.9245054578180295E-2</v>
      </c>
      <c r="T388" s="332">
        <f>Gasto_o_ing_total!S388*1000/Gasto_o_ing_total!S$485</f>
        <v>7.5180712614558276E-2</v>
      </c>
      <c r="U388" s="332">
        <f>Gasto_o_ing_total!T388*1000/Gasto_o_ing_total!T$485</f>
        <v>0.15644546352541358</v>
      </c>
      <c r="V388" s="332">
        <f>Gasto_o_ing_total!U388*1000/Gasto_o_ing_total!U$485</f>
        <v>0.26725910591483243</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Gasto_o_ing_total!V389*1000/Gasto_o_ing_total!V$485</f>
        <v>7.3440030663930953</v>
      </c>
      <c r="E389" s="332">
        <f>Gasto_o_ing_total!D389*1000/Gasto_o_ing_total!D$485</f>
        <v>7.6105027700177352</v>
      </c>
      <c r="F389" s="332">
        <f>Gasto_o_ing_total!E389*1000/Gasto_o_ing_total!E$485</f>
        <v>8.4179607487092287</v>
      </c>
      <c r="G389" s="332">
        <f>Gasto_o_ing_total!F389*1000/Gasto_o_ing_total!F$485</f>
        <v>9.1378251149436007</v>
      </c>
      <c r="H389" s="332">
        <f>Gasto_o_ing_total!G389*1000/Gasto_o_ing_total!G$485</f>
        <v>5.9415982034819983</v>
      </c>
      <c r="I389" s="332">
        <f>Gasto_o_ing_total!H389*1000/Gasto_o_ing_total!H$485</f>
        <v>6.9349676055792209</v>
      </c>
      <c r="J389" s="332">
        <f>Gasto_o_ing_total!I389*1000/Gasto_o_ing_total!I$485</f>
        <v>8.4374719255318471</v>
      </c>
      <c r="K389" s="332">
        <f>Gasto_o_ing_total!J389*1000/Gasto_o_ing_total!J$485</f>
        <v>9.4084075150553943</v>
      </c>
      <c r="L389" s="332">
        <f>Gasto_o_ing_total!K389*1000/Gasto_o_ing_total!K$485</f>
        <v>6.0062128100370398</v>
      </c>
      <c r="M389" s="332">
        <f>Gasto_o_ing_total!L389*1000/Gasto_o_ing_total!L$485</f>
        <v>5.5482436537166713</v>
      </c>
      <c r="N389" s="332">
        <f>Gasto_o_ing_total!M389*1000/Gasto_o_ing_total!M$485</f>
        <v>6.8915484493773453</v>
      </c>
      <c r="O389" s="332">
        <f>Gasto_o_ing_total!N389*1000/Gasto_o_ing_total!N$485</f>
        <v>7.1627989512202941</v>
      </c>
      <c r="P389" s="332">
        <f>Gasto_o_ing_total!O389*1000/Gasto_o_ing_total!O$485</f>
        <v>8.4140280163384631</v>
      </c>
      <c r="Q389" s="332">
        <f>Gasto_o_ing_total!P389*1000/Gasto_o_ing_total!P$485</f>
        <v>9.0566126907466877</v>
      </c>
      <c r="R389" s="332">
        <f>Gasto_o_ing_total!Q389*1000/Gasto_o_ing_total!Q$485</f>
        <v>7.3220633109858735</v>
      </c>
      <c r="S389" s="332">
        <f>Gasto_o_ing_total!R389*1000/Gasto_o_ing_total!R$485</f>
        <v>5.6140846417073522</v>
      </c>
      <c r="T389" s="332">
        <f>Gasto_o_ing_total!S389*1000/Gasto_o_ing_total!S$485</f>
        <v>5.5093418837429828</v>
      </c>
      <c r="U389" s="332">
        <f>Gasto_o_ing_total!T389*1000/Gasto_o_ing_total!T$485</f>
        <v>7.0868261831168828</v>
      </c>
      <c r="V389" s="332">
        <f>Gasto_o_ing_total!U389*1000/Gasto_o_ing_total!U$485</f>
        <v>13.658488194228575</v>
      </c>
      <c r="W389" s="105"/>
    </row>
    <row r="390" spans="1:23" s="102" customFormat="1">
      <c r="A390" s="351" t="str">
        <f>IF(B390="","",(IF(ISERROR(MATCH(B390,Tot_res!C:C,0)),"Eliminar!!!","")))</f>
        <v/>
      </c>
      <c r="B390" s="115" t="s">
        <v>367</v>
      </c>
      <c r="C390" s="329" t="str">
        <f>VLOOKUP(B390,Tot_res!C:D,2,FALSE)</f>
        <v>Prestaciones de garantía salarial</v>
      </c>
      <c r="D390" s="332">
        <f>Gasto_o_ing_total!V390*1000/Gasto_o_ing_total!V$485</f>
        <v>49.503434148906365</v>
      </c>
      <c r="E390" s="332">
        <f>Gasto_o_ing_total!D390*1000/Gasto_o_ing_total!D$485</f>
        <v>30.727644258917898</v>
      </c>
      <c r="F390" s="332">
        <f>Gasto_o_ing_total!E390*1000/Gasto_o_ing_total!E$485</f>
        <v>52.048067055037905</v>
      </c>
      <c r="G390" s="332">
        <f>Gasto_o_ing_total!F390*1000/Gasto_o_ing_total!F$485</f>
        <v>53.383943245880126</v>
      </c>
      <c r="H390" s="332">
        <f>Gasto_o_ing_total!G390*1000/Gasto_o_ing_total!G$485</f>
        <v>50.829747346918936</v>
      </c>
      <c r="I390" s="332">
        <f>Gasto_o_ing_total!H390*1000/Gasto_o_ing_total!H$485</f>
        <v>40.590717873168465</v>
      </c>
      <c r="J390" s="332">
        <f>Gasto_o_ing_total!I390*1000/Gasto_o_ing_total!I$485</f>
        <v>48.272570175474797</v>
      </c>
      <c r="K390" s="332">
        <f>Gasto_o_ing_total!J390*1000/Gasto_o_ing_total!J$485</f>
        <v>37.130818128935033</v>
      </c>
      <c r="L390" s="332">
        <f>Gasto_o_ing_total!K390*1000/Gasto_o_ing_total!K$485</f>
        <v>33.18519294328518</v>
      </c>
      <c r="M390" s="332">
        <f>Gasto_o_ing_total!L390*1000/Gasto_o_ing_total!L$485</f>
        <v>67.77864024530605</v>
      </c>
      <c r="N390" s="332">
        <f>Gasto_o_ing_total!M390*1000/Gasto_o_ing_total!M$485</f>
        <v>78.247363074973649</v>
      </c>
      <c r="O390" s="332">
        <f>Gasto_o_ing_total!N390*1000/Gasto_o_ing_total!N$485</f>
        <v>31.48491654275065</v>
      </c>
      <c r="P390" s="332">
        <f>Gasto_o_ing_total!O390*1000/Gasto_o_ing_total!O$485</f>
        <v>49.873673164661312</v>
      </c>
      <c r="Q390" s="332">
        <f>Gasto_o_ing_total!P390*1000/Gasto_o_ing_total!P$485</f>
        <v>49.12995828789397</v>
      </c>
      <c r="R390" s="332">
        <f>Gasto_o_ing_total!Q390*1000/Gasto_o_ing_total!Q$485</f>
        <v>56.802067608605462</v>
      </c>
      <c r="S390" s="332">
        <f>Gasto_o_ing_total!R390*1000/Gasto_o_ing_total!R$485</f>
        <v>40.47556430674824</v>
      </c>
      <c r="T390" s="332">
        <f>Gasto_o_ing_total!S390*1000/Gasto_o_ing_total!S$485</f>
        <v>40.014308841826576</v>
      </c>
      <c r="U390" s="332">
        <f>Gasto_o_ing_total!T390*1000/Gasto_o_ing_total!T$485</f>
        <v>39.070770789971</v>
      </c>
      <c r="V390" s="332">
        <f>Gasto_o_ing_total!U390*1000/Gasto_o_ing_total!U$485</f>
        <v>3.7787287435057775</v>
      </c>
      <c r="W390" s="105"/>
    </row>
    <row r="391" spans="1:23" s="102" customFormat="1">
      <c r="A391" s="351" t="str">
        <f>IF(B391="","",(IF(ISERROR(MATCH(B391,Tot_res!C:C,0)),"Eliminar!!!","")))</f>
        <v/>
      </c>
      <c r="B391" s="115" t="s">
        <v>368</v>
      </c>
      <c r="C391" s="329" t="str">
        <f>VLOOKUP(B391,Tot_res!C:D,2,FALSE)</f>
        <v>Prestaciones económicas por cese de actividad</v>
      </c>
      <c r="D391" s="332">
        <f>Gasto_o_ing_total!V391*1000/Gasto_o_ing_total!V$485</f>
        <v>4.1431993839803567E-2</v>
      </c>
      <c r="E391" s="332">
        <f>Gasto_o_ing_total!D391*1000/Gasto_o_ing_total!D$485</f>
        <v>2.2733777075506088E-2</v>
      </c>
      <c r="F391" s="332">
        <f>Gasto_o_ing_total!E391*1000/Gasto_o_ing_total!E$485</f>
        <v>5.0000090797932238E-2</v>
      </c>
      <c r="G391" s="332">
        <f>Gasto_o_ing_total!F391*1000/Gasto_o_ing_total!F$485</f>
        <v>4.2880891251002723E-2</v>
      </c>
      <c r="H391" s="332">
        <f>Gasto_o_ing_total!G391*1000/Gasto_o_ing_total!G$485</f>
        <v>1.9065718383945805E-2</v>
      </c>
      <c r="I391" s="332">
        <f>Gasto_o_ing_total!H391*1000/Gasto_o_ing_total!H$485</f>
        <v>8.0175481276281955E-3</v>
      </c>
      <c r="J391" s="332">
        <f>Gasto_o_ing_total!I391*1000/Gasto_o_ing_total!I$485</f>
        <v>5.2408302700123949E-2</v>
      </c>
      <c r="K391" s="332">
        <f>Gasto_o_ing_total!J391*1000/Gasto_o_ing_total!J$485</f>
        <v>3.5972503252569739E-2</v>
      </c>
      <c r="L391" s="332">
        <f>Gasto_o_ing_total!K391*1000/Gasto_o_ing_total!K$485</f>
        <v>2.852154356346679E-2</v>
      </c>
      <c r="M391" s="332">
        <f>Gasto_o_ing_total!L391*1000/Gasto_o_ing_total!L$485</f>
        <v>3.0185220491982138E-2</v>
      </c>
      <c r="N391" s="332">
        <f>Gasto_o_ing_total!M391*1000/Gasto_o_ing_total!M$485</f>
        <v>2.9609464011585564E-2</v>
      </c>
      <c r="O391" s="332">
        <f>Gasto_o_ing_total!N391*1000/Gasto_o_ing_total!N$485</f>
        <v>3.9021649353356176E-3</v>
      </c>
      <c r="P391" s="332">
        <f>Gasto_o_ing_total!O391*1000/Gasto_o_ing_total!O$485</f>
        <v>0.22865875503234601</v>
      </c>
      <c r="Q391" s="332">
        <f>Gasto_o_ing_total!P391*1000/Gasto_o_ing_total!P$485</f>
        <v>3.632407902424524E-2</v>
      </c>
      <c r="R391" s="332">
        <f>Gasto_o_ing_total!Q391*1000/Gasto_o_ing_total!Q$485</f>
        <v>4.8084445483564664E-2</v>
      </c>
      <c r="S391" s="332">
        <f>Gasto_o_ing_total!R391*1000/Gasto_o_ing_total!R$485</f>
        <v>4.3055836961255506E-2</v>
      </c>
      <c r="T391" s="332">
        <f>Gasto_o_ing_total!S391*1000/Gasto_o_ing_total!S$485</f>
        <v>2.9250032318907906E-2</v>
      </c>
      <c r="U391" s="332">
        <f>Gasto_o_ing_total!T391*1000/Gasto_o_ing_total!T$485</f>
        <v>4.2670680994568069E-2</v>
      </c>
      <c r="V391" s="332">
        <f>Gasto_o_ing_total!U391*1000/Gasto_o_ing_total!U$485</f>
        <v>0</v>
      </c>
      <c r="W391" s="105"/>
    </row>
    <row r="392" spans="1:23" s="102" customFormat="1">
      <c r="A392" s="351" t="str">
        <f>IF(B392="","",(IF(ISERROR(MATCH(B392,Tot_res!C:C,0)),"Eliminar!!!","")))</f>
        <v/>
      </c>
      <c r="B392" s="115" t="s">
        <v>844</v>
      </c>
      <c r="C392" s="329" t="str">
        <f>VLOOKUP(B392,Tot_res!C:D,2,FALSE)</f>
        <v>Prestaciones a los desempleados, neto de renta y subsidio agrarios</v>
      </c>
      <c r="D392" s="332">
        <f>Gasto_o_ing_total!V392*1000/Gasto_o_ing_total!V$485</f>
        <v>515.06953374666557</v>
      </c>
      <c r="E392" s="332">
        <f>Gasto_o_ing_total!D392*1000/Gasto_o_ing_total!D$485</f>
        <v>491.14061623976283</v>
      </c>
      <c r="F392" s="332">
        <f>Gasto_o_ing_total!E392*1000/Gasto_o_ing_total!E$485</f>
        <v>497.99936175640795</v>
      </c>
      <c r="G392" s="332">
        <f>Gasto_o_ing_total!F392*1000/Gasto_o_ing_total!F$485</f>
        <v>512.3048708573973</v>
      </c>
      <c r="H392" s="332">
        <f>Gasto_o_ing_total!G392*1000/Gasto_o_ing_total!G$485</f>
        <v>595.48123249026105</v>
      </c>
      <c r="I392" s="332">
        <f>Gasto_o_ing_total!H392*1000/Gasto_o_ing_total!H$485</f>
        <v>564.63526588232253</v>
      </c>
      <c r="J392" s="332">
        <f>Gasto_o_ing_total!I392*1000/Gasto_o_ing_total!I$485</f>
        <v>501.63252122248048</v>
      </c>
      <c r="K392" s="332">
        <f>Gasto_o_ing_total!J392*1000/Gasto_o_ing_total!J$485</f>
        <v>467.00948890210697</v>
      </c>
      <c r="L392" s="332">
        <f>Gasto_o_ing_total!K392*1000/Gasto_o_ing_total!K$485</f>
        <v>535.59488558312614</v>
      </c>
      <c r="M392" s="332">
        <f>Gasto_o_ing_total!L392*1000/Gasto_o_ing_total!L$485</f>
        <v>536.44466646771912</v>
      </c>
      <c r="N392" s="332">
        <f>Gasto_o_ing_total!M392*1000/Gasto_o_ing_total!M$485</f>
        <v>525.83932405163296</v>
      </c>
      <c r="O392" s="332">
        <f>Gasto_o_ing_total!N392*1000/Gasto_o_ing_total!N$485</f>
        <v>515.59122511760165</v>
      </c>
      <c r="P392" s="332">
        <f>Gasto_o_ing_total!O392*1000/Gasto_o_ing_total!O$485</f>
        <v>499.3307314692691</v>
      </c>
      <c r="Q392" s="332">
        <f>Gasto_o_ing_total!P392*1000/Gasto_o_ing_total!P$485</f>
        <v>525.74382445916319</v>
      </c>
      <c r="R392" s="332">
        <f>Gasto_o_ing_total!Q392*1000/Gasto_o_ing_total!Q$485</f>
        <v>492.77344200713276</v>
      </c>
      <c r="S392" s="332">
        <f>Gasto_o_ing_total!R392*1000/Gasto_o_ing_total!R$485</f>
        <v>526.14821998048774</v>
      </c>
      <c r="T392" s="332">
        <f>Gasto_o_ing_total!S392*1000/Gasto_o_ing_total!S$485</f>
        <v>483.42421920950676</v>
      </c>
      <c r="U392" s="332">
        <f>Gasto_o_ing_total!T392*1000/Gasto_o_ing_total!T$485</f>
        <v>505.84346703500847</v>
      </c>
      <c r="V392" s="332">
        <f>Gasto_o_ing_total!U392*1000/Gasto_o_ing_total!U$485</f>
        <v>370.62890537982508</v>
      </c>
      <c r="W392" s="105"/>
    </row>
    <row r="393" spans="1:23" s="102" customFormat="1">
      <c r="A393" s="351" t="str">
        <f>IF(B393="","",(IF(ISERROR(MATCH(B393,Tot_res!C:C,0)),"Eliminar!!!","")))</f>
        <v/>
      </c>
      <c r="B393" s="115" t="s">
        <v>370</v>
      </c>
      <c r="C393" s="329" t="str">
        <f>VLOOKUP(B393,Tot_res!C:D,2,FALSE)</f>
        <v>Becas y ayudas a estudiantes + AF03/1</v>
      </c>
      <c r="D393" s="332">
        <f>Gasto_o_ing_total!V393*1000/Gasto_o_ing_total!V$485</f>
        <v>33.809050072123334</v>
      </c>
      <c r="E393" s="332">
        <f>Gasto_o_ing_total!D393*1000/Gasto_o_ing_total!D$485</f>
        <v>48.120870817487386</v>
      </c>
      <c r="F393" s="332">
        <f>Gasto_o_ing_total!E393*1000/Gasto_o_ing_total!E$485</f>
        <v>21.483624100597151</v>
      </c>
      <c r="G393" s="332">
        <f>Gasto_o_ing_total!F393*1000/Gasto_o_ing_total!F$485</f>
        <v>22.132090948554762</v>
      </c>
      <c r="H393" s="332">
        <f>Gasto_o_ing_total!G393*1000/Gasto_o_ing_total!G$485</f>
        <v>14.637402698389554</v>
      </c>
      <c r="I393" s="332">
        <f>Gasto_o_ing_total!H393*1000/Gasto_o_ing_total!H$485</f>
        <v>38.31477196567505</v>
      </c>
      <c r="J393" s="332">
        <f>Gasto_o_ing_total!I393*1000/Gasto_o_ing_total!I$485</f>
        <v>22.880452035219701</v>
      </c>
      <c r="K393" s="332">
        <f>Gasto_o_ing_total!J393*1000/Gasto_o_ing_total!J$485</f>
        <v>37.566776441927004</v>
      </c>
      <c r="L393" s="332">
        <f>Gasto_o_ing_total!K393*1000/Gasto_o_ing_total!K$485</f>
        <v>28.036266127095356</v>
      </c>
      <c r="M393" s="332">
        <f>Gasto_o_ing_total!L393*1000/Gasto_o_ing_total!L$485</f>
        <v>22.840144940574543</v>
      </c>
      <c r="N393" s="332">
        <f>Gasto_o_ing_total!M393*1000/Gasto_o_ing_total!M$485</f>
        <v>38.17407735510178</v>
      </c>
      <c r="O393" s="332">
        <f>Gasto_o_ing_total!N393*1000/Gasto_o_ing_total!N$485</f>
        <v>46.972334979318077</v>
      </c>
      <c r="P393" s="332">
        <f>Gasto_o_ing_total!O393*1000/Gasto_o_ing_total!O$485</f>
        <v>36.589846144082301</v>
      </c>
      <c r="Q393" s="332">
        <f>Gasto_o_ing_total!P393*1000/Gasto_o_ing_total!P$485</f>
        <v>27.560662953566048</v>
      </c>
      <c r="R393" s="332">
        <f>Gasto_o_ing_total!Q393*1000/Gasto_o_ing_total!Q$485</f>
        <v>44.209218474925315</v>
      </c>
      <c r="S393" s="332">
        <f>Gasto_o_ing_total!R393*1000/Gasto_o_ing_total!R$485</f>
        <v>33.808504698475325</v>
      </c>
      <c r="T393" s="332">
        <f>Gasto_o_ing_total!S393*1000/Gasto_o_ing_total!S$485</f>
        <v>33.809262202215606</v>
      </c>
      <c r="U393" s="332">
        <f>Gasto_o_ing_total!T393*1000/Gasto_o_ing_total!T$485</f>
        <v>18.479132611364648</v>
      </c>
      <c r="V393" s="332">
        <f>Gasto_o_ing_total!U393*1000/Gasto_o_ing_total!U$485</f>
        <v>19.522933983821858</v>
      </c>
      <c r="W393" s="105"/>
    </row>
    <row r="394" spans="1:23" s="102" customFormat="1">
      <c r="A394" s="351" t="str">
        <f>IF(B394="","",(IF(ISERROR(MATCH(B394,Tot_res!C:C,0)),"Eliminar!!!","")))</f>
        <v/>
      </c>
      <c r="B394" s="115" t="s">
        <v>847</v>
      </c>
      <c r="C394" s="329" t="str">
        <f>VLOOKUP(B394,Tot_res!C:D,2,FALSE)</f>
        <v xml:space="preserve"> Gestión de la Deuda y de la Tesorería del Estado, indemnizaciones síndrome tóxico</v>
      </c>
      <c r="D394" s="332">
        <f>Gasto_o_ing_total!V394*1000/Gasto_o_ing_total!V$485</f>
        <v>6.9596334727233707E-3</v>
      </c>
      <c r="E394" s="332">
        <f>Gasto_o_ing_total!D394*1000/Gasto_o_ing_total!D$485</f>
        <v>5.7039074086991917E-4</v>
      </c>
      <c r="F394" s="332">
        <f>Gasto_o_ing_total!E394*1000/Gasto_o_ing_total!E$485</f>
        <v>2.9556618563939902E-4</v>
      </c>
      <c r="G394" s="332">
        <f>Gasto_o_ing_total!F394*1000/Gasto_o_ing_total!F$485</f>
        <v>6.1622933117524883E-4</v>
      </c>
      <c r="H394" s="332">
        <f>Gasto_o_ing_total!G394*1000/Gasto_o_ing_total!G$485</f>
        <v>5.4255413425872881E-4</v>
      </c>
      <c r="I394" s="332">
        <f>Gasto_o_ing_total!H394*1000/Gasto_o_ing_total!H$485</f>
        <v>4.830419861877934E-4</v>
      </c>
      <c r="J394" s="332">
        <f>Gasto_o_ing_total!I394*1000/Gasto_o_ing_total!I$485</f>
        <v>2.7953247262179097E-3</v>
      </c>
      <c r="K394" s="332">
        <f>Gasto_o_ing_total!J394*1000/Gasto_o_ing_total!J$485</f>
        <v>3.0200276151325128E-2</v>
      </c>
      <c r="L394" s="332">
        <f>Gasto_o_ing_total!K394*1000/Gasto_o_ing_total!K$485</f>
        <v>7.8040628011361258E-3</v>
      </c>
      <c r="M394" s="332">
        <f>Gasto_o_ing_total!L394*1000/Gasto_o_ing_total!L$485</f>
        <v>2.010269198170663E-4</v>
      </c>
      <c r="N394" s="332">
        <f>Gasto_o_ing_total!M394*1000/Gasto_o_ing_total!M$485</f>
        <v>8.1889302587386512E-4</v>
      </c>
      <c r="O394" s="332">
        <f>Gasto_o_ing_total!N394*1000/Gasto_o_ing_total!N$485</f>
        <v>2.7791979400071786E-3</v>
      </c>
      <c r="P394" s="332">
        <f>Gasto_o_ing_total!O394*1000/Gasto_o_ing_total!O$485</f>
        <v>4.5611765062190729E-4</v>
      </c>
      <c r="Q394" s="332">
        <f>Gasto_o_ing_total!P394*1000/Gasto_o_ing_total!P$485</f>
        <v>3.2935301647801944E-2</v>
      </c>
      <c r="R394" s="332">
        <f>Gasto_o_ing_total!Q394*1000/Gasto_o_ing_total!Q$485</f>
        <v>7.9879527188179294E-4</v>
      </c>
      <c r="S394" s="332">
        <f>Gasto_o_ing_total!R394*1000/Gasto_o_ing_total!R$485</f>
        <v>5.6909858426483387E-4</v>
      </c>
      <c r="T394" s="332">
        <f>Gasto_o_ing_total!S394*1000/Gasto_o_ing_total!S$485</f>
        <v>3.687743467202894E-4</v>
      </c>
      <c r="U394" s="332">
        <f>Gasto_o_ing_total!T394*1000/Gasto_o_ing_total!T$485</f>
        <v>6.5507961837681756E-4</v>
      </c>
      <c r="V394" s="332">
        <f>Gasto_o_ing_total!U394*1000/Gasto_o_ing_total!U$485</f>
        <v>1.534937133886795E-4</v>
      </c>
      <c r="W394" s="105"/>
    </row>
    <row r="395" spans="1:23" s="102" customFormat="1">
      <c r="A395" s="351" t="str">
        <f>IF(B395="","",(IF(ISERROR(MATCH(B395,Tot_res!C:C,0)),"Eliminar!!!","")))</f>
        <v/>
      </c>
      <c r="B395" s="115" t="s">
        <v>849</v>
      </c>
      <c r="C395" s="329" t="str">
        <f>VLOOKUP(B395,Tot_res!C:D,2,FALSE)</f>
        <v>Pensiones contributivas de la Seguridad Social</v>
      </c>
      <c r="D395" s="332">
        <f>Gasto_o_ing_total!V395*1000/Gasto_o_ing_total!V$485</f>
        <v>2405.2669029131021</v>
      </c>
      <c r="E395" s="332">
        <f>Gasto_o_ing_total!D395*1000/Gasto_o_ing_total!D$485</f>
        <v>1933.7165043798582</v>
      </c>
      <c r="F395" s="332">
        <f>Gasto_o_ing_total!E395*1000/Gasto_o_ing_total!E$485</f>
        <v>2820.341830696349</v>
      </c>
      <c r="G395" s="332">
        <f>Gasto_o_ing_total!F395*1000/Gasto_o_ing_total!F$485</f>
        <v>4076.4959026845463</v>
      </c>
      <c r="H395" s="332">
        <f>Gasto_o_ing_total!G395*1000/Gasto_o_ing_total!G$485</f>
        <v>1814.0568899020072</v>
      </c>
      <c r="I395" s="332">
        <f>Gasto_o_ing_total!H395*1000/Gasto_o_ing_total!H$485</f>
        <v>1539.3691928379374</v>
      </c>
      <c r="J395" s="332">
        <f>Gasto_o_ing_total!I395*1000/Gasto_o_ing_total!I$485</f>
        <v>2939.3420939270545</v>
      </c>
      <c r="K395" s="332">
        <f>Gasto_o_ing_total!J395*1000/Gasto_o_ing_total!J$485</f>
        <v>2877.5690027892465</v>
      </c>
      <c r="L395" s="332">
        <f>Gasto_o_ing_total!K395*1000/Gasto_o_ing_total!K$485</f>
        <v>1956.6029071560815</v>
      </c>
      <c r="M395" s="332">
        <f>Gasto_o_ing_total!L395*1000/Gasto_o_ing_total!L$485</f>
        <v>2778.543928351115</v>
      </c>
      <c r="N395" s="332">
        <f>Gasto_o_ing_total!M395*1000/Gasto_o_ing_total!M$485</f>
        <v>2112.7880335585405</v>
      </c>
      <c r="O395" s="332">
        <f>Gasto_o_ing_total!N395*1000/Gasto_o_ing_total!N$485</f>
        <v>2023.6009659963318</v>
      </c>
      <c r="P395" s="332">
        <f>Gasto_o_ing_total!O395*1000/Gasto_o_ing_total!O$485</f>
        <v>2798.1938394022354</v>
      </c>
      <c r="Q395" s="332">
        <f>Gasto_o_ing_total!P395*1000/Gasto_o_ing_total!P$485</f>
        <v>2387.4379381644972</v>
      </c>
      <c r="R395" s="332">
        <f>Gasto_o_ing_total!Q395*1000/Gasto_o_ing_total!Q$485</f>
        <v>1733.7807765818204</v>
      </c>
      <c r="S395" s="332">
        <f>Gasto_o_ing_total!R395*1000/Gasto_o_ing_total!R$485</f>
        <v>2765.7216768184303</v>
      </c>
      <c r="T395" s="332">
        <f>Gasto_o_ing_total!S395*1000/Gasto_o_ing_total!S$485</f>
        <v>3608.0100726634764</v>
      </c>
      <c r="U395" s="332">
        <f>Gasto_o_ing_total!T395*1000/Gasto_o_ing_total!T$485</f>
        <v>2451.8623980968064</v>
      </c>
      <c r="V395" s="332">
        <f>Gasto_o_ing_total!U395*1000/Gasto_o_ing_total!U$485</f>
        <v>1113.6402625030257</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Gasto_o_ing_total!V396*1000/Gasto_o_ing_total!V$485</f>
        <v>89.326842377647992</v>
      </c>
      <c r="E396" s="332">
        <f>Gasto_o_ing_total!D396*1000/Gasto_o_ing_total!D$485</f>
        <v>76.756526074901743</v>
      </c>
      <c r="F396" s="332">
        <f>Gasto_o_ing_total!E396*1000/Gasto_o_ing_total!E$485</f>
        <v>87.809088168799391</v>
      </c>
      <c r="G396" s="332">
        <f>Gasto_o_ing_total!F396*1000/Gasto_o_ing_total!F$485</f>
        <v>107.59579546917439</v>
      </c>
      <c r="H396" s="332">
        <f>Gasto_o_ing_total!G396*1000/Gasto_o_ing_total!G$485</f>
        <v>72.907612460192524</v>
      </c>
      <c r="I396" s="332">
        <f>Gasto_o_ing_total!H396*1000/Gasto_o_ing_total!H$485</f>
        <v>69.411524465220424</v>
      </c>
      <c r="J396" s="332">
        <f>Gasto_o_ing_total!I396*1000/Gasto_o_ing_total!I$485</f>
        <v>94.745946459769058</v>
      </c>
      <c r="K396" s="332">
        <f>Gasto_o_ing_total!J396*1000/Gasto_o_ing_total!J$485</f>
        <v>73.443282611937136</v>
      </c>
      <c r="L396" s="332">
        <f>Gasto_o_ing_total!K396*1000/Gasto_o_ing_total!K$485</f>
        <v>63.939922250090319</v>
      </c>
      <c r="M396" s="332">
        <f>Gasto_o_ing_total!L396*1000/Gasto_o_ing_total!L$485</f>
        <v>96.511143080612769</v>
      </c>
      <c r="N396" s="332">
        <f>Gasto_o_ing_total!M396*1000/Gasto_o_ing_total!M$485</f>
        <v>70.052255289268203</v>
      </c>
      <c r="O396" s="332">
        <f>Gasto_o_ing_total!N396*1000/Gasto_o_ing_total!N$485</f>
        <v>80.023198219335683</v>
      </c>
      <c r="P396" s="332">
        <f>Gasto_o_ing_total!O396*1000/Gasto_o_ing_total!O$485</f>
        <v>98.69772972073028</v>
      </c>
      <c r="Q396" s="332">
        <f>Gasto_o_ing_total!P396*1000/Gasto_o_ing_total!P$485</f>
        <v>101.82034863570433</v>
      </c>
      <c r="R396" s="332">
        <f>Gasto_o_ing_total!Q396*1000/Gasto_o_ing_total!Q$485</f>
        <v>95.331507225465657</v>
      </c>
      <c r="S396" s="332">
        <f>Gasto_o_ing_total!R396*1000/Gasto_o_ing_total!R$485</f>
        <v>120.76280367473856</v>
      </c>
      <c r="T396" s="332">
        <f>Gasto_o_ing_total!S396*1000/Gasto_o_ing_total!S$485</f>
        <v>165.00137785691601</v>
      </c>
      <c r="U396" s="332">
        <f>Gasto_o_ing_total!T396*1000/Gasto_o_ing_total!T$485</f>
        <v>64.620707244061776</v>
      </c>
      <c r="V396" s="332">
        <f>Gasto_o_ing_total!U396*1000/Gasto_o_ing_total!U$485</f>
        <v>69.186715668419382</v>
      </c>
      <c r="W396" s="105"/>
    </row>
    <row r="397" spans="1:23" s="102" customFormat="1">
      <c r="A397" s="351" t="str">
        <f>IF(B397="","",(IF(ISERROR(MATCH(B397,Tot_res!C:C,0)),"Eliminar!!!","")))</f>
        <v/>
      </c>
      <c r="B397" s="115" t="s">
        <v>852</v>
      </c>
      <c r="C397" s="329" t="str">
        <f>VLOOKUP(B397,Tot_res!C:D,2,FALSE)</f>
        <v>Prestaciones económicas contributivas, Mutuas</v>
      </c>
      <c r="D397" s="332">
        <f>Gasto_o_ing_total!V397*1000/Gasto_o_ing_total!V$485</f>
        <v>92.894341209797602</v>
      </c>
      <c r="E397" s="332">
        <f>Gasto_o_ing_total!D397*1000/Gasto_o_ing_total!D$485</f>
        <v>52.730167167318257</v>
      </c>
      <c r="F397" s="332">
        <f>Gasto_o_ing_total!E397*1000/Gasto_o_ing_total!E$485</f>
        <v>94.060808842752991</v>
      </c>
      <c r="G397" s="332">
        <f>Gasto_o_ing_total!F397*1000/Gasto_o_ing_total!F$485</f>
        <v>81.854778917535171</v>
      </c>
      <c r="H397" s="332">
        <f>Gasto_o_ing_total!G397*1000/Gasto_o_ing_total!G$485</f>
        <v>97.593104346626674</v>
      </c>
      <c r="I397" s="332">
        <f>Gasto_o_ing_total!H397*1000/Gasto_o_ing_total!H$485</f>
        <v>66.113303652878884</v>
      </c>
      <c r="J397" s="332">
        <f>Gasto_o_ing_total!I397*1000/Gasto_o_ing_total!I$485</f>
        <v>99.747089579386312</v>
      </c>
      <c r="K397" s="332">
        <f>Gasto_o_ing_total!J397*1000/Gasto_o_ing_total!J$485</f>
        <v>72.347185211013141</v>
      </c>
      <c r="L397" s="332">
        <f>Gasto_o_ing_total!K397*1000/Gasto_o_ing_total!K$485</f>
        <v>76.784488920123309</v>
      </c>
      <c r="M397" s="332">
        <f>Gasto_o_ing_total!L397*1000/Gasto_o_ing_total!L$485</f>
        <v>95.481969929328571</v>
      </c>
      <c r="N397" s="332">
        <f>Gasto_o_ing_total!M397*1000/Gasto_o_ing_total!M$485</f>
        <v>72.297584243623021</v>
      </c>
      <c r="O397" s="332">
        <f>Gasto_o_ing_total!N397*1000/Gasto_o_ing_total!N$485</f>
        <v>49.348910620501478</v>
      </c>
      <c r="P397" s="332">
        <f>Gasto_o_ing_total!O397*1000/Gasto_o_ing_total!O$485</f>
        <v>79.710549004123436</v>
      </c>
      <c r="Q397" s="332">
        <f>Gasto_o_ing_total!P397*1000/Gasto_o_ing_total!P$485</f>
        <v>190.40190206657488</v>
      </c>
      <c r="R397" s="332">
        <f>Gasto_o_ing_total!Q397*1000/Gasto_o_ing_total!Q$485</f>
        <v>80.283111573738282</v>
      </c>
      <c r="S397" s="332">
        <f>Gasto_o_ing_total!R397*1000/Gasto_o_ing_total!R$485</f>
        <v>111.65507953660881</v>
      </c>
      <c r="T397" s="332">
        <f>Gasto_o_ing_total!S397*1000/Gasto_o_ing_total!S$485</f>
        <v>110.73948514705502</v>
      </c>
      <c r="U397" s="332">
        <f>Gasto_o_ing_total!T397*1000/Gasto_o_ing_total!T$485</f>
        <v>75.503116785222545</v>
      </c>
      <c r="V397" s="332">
        <f>Gasto_o_ing_total!U397*1000/Gasto_o_ing_total!U$485</f>
        <v>38.012681316459194</v>
      </c>
      <c r="W397" s="105"/>
    </row>
    <row r="398" spans="1:23" s="102" customFormat="1">
      <c r="A398" s="351" t="str">
        <f>IF(B398="","",(IF(ISERROR(MATCH(B398,Tot_res!C:C,0)),"Eliminar!!!","")))</f>
        <v/>
      </c>
      <c r="B398" s="115" t="s">
        <v>854</v>
      </c>
      <c r="C398" s="329" t="str">
        <f>VLOOKUP(B398,Tot_res!C:D,2,FALSE)</f>
        <v>Pensiones no contributivas de la Seg Soc + AF03/3</v>
      </c>
      <c r="D398" s="332">
        <f>Gasto_o_ing_total!V398*1000/Gasto_o_ing_total!V$485</f>
        <v>49.520577454280208</v>
      </c>
      <c r="E398" s="332">
        <f>Gasto_o_ing_total!D398*1000/Gasto_o_ing_total!D$485</f>
        <v>62.275737802744146</v>
      </c>
      <c r="F398" s="332">
        <f>Gasto_o_ing_total!E398*1000/Gasto_o_ing_total!E$485</f>
        <v>29.306469590785028</v>
      </c>
      <c r="G398" s="332">
        <f>Gasto_o_ing_total!F398*1000/Gasto_o_ing_total!F$485</f>
        <v>44.739601960874317</v>
      </c>
      <c r="H398" s="332">
        <f>Gasto_o_ing_total!G398*1000/Gasto_o_ing_total!G$485</f>
        <v>36.028717094132411</v>
      </c>
      <c r="I398" s="332">
        <f>Gasto_o_ing_total!H398*1000/Gasto_o_ing_total!H$485</f>
        <v>105.39747345115315</v>
      </c>
      <c r="J398" s="332">
        <f>Gasto_o_ing_total!I398*1000/Gasto_o_ing_total!I$485</f>
        <v>57.734756444991575</v>
      </c>
      <c r="K398" s="332">
        <f>Gasto_o_ing_total!J398*1000/Gasto_o_ing_total!J$485</f>
        <v>46.109549020712073</v>
      </c>
      <c r="L398" s="332">
        <f>Gasto_o_ing_total!K398*1000/Gasto_o_ing_total!K$485</f>
        <v>49.651613684438445</v>
      </c>
      <c r="M398" s="332">
        <f>Gasto_o_ing_total!L398*1000/Gasto_o_ing_total!L$485</f>
        <v>39.563455220665624</v>
      </c>
      <c r="N398" s="332">
        <f>Gasto_o_ing_total!M398*1000/Gasto_o_ing_total!M$485</f>
        <v>47.504776428935585</v>
      </c>
      <c r="O398" s="332">
        <f>Gasto_o_ing_total!N398*1000/Gasto_o_ing_total!N$485</f>
        <v>67.031730001899675</v>
      </c>
      <c r="P398" s="332">
        <f>Gasto_o_ing_total!O398*1000/Gasto_o_ing_total!O$485</f>
        <v>79.428768710755207</v>
      </c>
      <c r="Q398" s="332">
        <f>Gasto_o_ing_total!P398*1000/Gasto_o_ing_total!P$485</f>
        <v>28.850525157157108</v>
      </c>
      <c r="R398" s="332">
        <f>Gasto_o_ing_total!Q398*1000/Gasto_o_ing_total!Q$485</f>
        <v>52.030260929383715</v>
      </c>
      <c r="S398" s="332">
        <f>Gasto_o_ing_total!R398*1000/Gasto_o_ing_total!R$485</f>
        <v>21.244619852552088</v>
      </c>
      <c r="T398" s="332">
        <f>Gasto_o_ing_total!S398*1000/Gasto_o_ing_total!S$485</f>
        <v>25.63902635806792</v>
      </c>
      <c r="U398" s="332">
        <f>Gasto_o_ing_total!T398*1000/Gasto_o_ing_total!T$485</f>
        <v>29.602663983251638</v>
      </c>
      <c r="V398" s="332">
        <f>Gasto_o_ing_total!U398*1000/Gasto_o_ing_total!U$485</f>
        <v>140.28360078377821</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Gasto_o_ing_total!V399*1000/Gasto_o_ing_total!V$485</f>
        <v>38.035399793628677</v>
      </c>
      <c r="E399" s="332">
        <f>Gasto_o_ing_total!D399*1000/Gasto_o_ing_total!D$485</f>
        <v>42.21940300424928</v>
      </c>
      <c r="F399" s="332">
        <f>Gasto_o_ing_total!E399*1000/Gasto_o_ing_total!E$485</f>
        <v>33.737757383338611</v>
      </c>
      <c r="G399" s="332">
        <f>Gasto_o_ing_total!F399*1000/Gasto_o_ing_total!F$485</f>
        <v>48.640538541191034</v>
      </c>
      <c r="H399" s="332">
        <f>Gasto_o_ing_total!G399*1000/Gasto_o_ing_total!G$485</f>
        <v>25.738608995730932</v>
      </c>
      <c r="I399" s="332">
        <f>Gasto_o_ing_total!H399*1000/Gasto_o_ing_total!H$485</f>
        <v>44.842505491463335</v>
      </c>
      <c r="J399" s="332">
        <f>Gasto_o_ing_total!I399*1000/Gasto_o_ing_total!I$485</f>
        <v>41.128589936843369</v>
      </c>
      <c r="K399" s="332">
        <f>Gasto_o_ing_total!J399*1000/Gasto_o_ing_total!J$485</f>
        <v>44.699547264191459</v>
      </c>
      <c r="L399" s="332">
        <f>Gasto_o_ing_total!K399*1000/Gasto_o_ing_total!K$485</f>
        <v>37.564130286155958</v>
      </c>
      <c r="M399" s="332">
        <f>Gasto_o_ing_total!L399*1000/Gasto_o_ing_total!L$485</f>
        <v>31.463493136295845</v>
      </c>
      <c r="N399" s="332">
        <f>Gasto_o_ing_total!M399*1000/Gasto_o_ing_total!M$485</f>
        <v>38.375774890020168</v>
      </c>
      <c r="O399" s="332">
        <f>Gasto_o_ing_total!N399*1000/Gasto_o_ing_total!N$485</f>
        <v>51.903433747571086</v>
      </c>
      <c r="P399" s="332">
        <f>Gasto_o_ing_total!O399*1000/Gasto_o_ing_total!O$485</f>
        <v>43.77378370452837</v>
      </c>
      <c r="Q399" s="332">
        <f>Gasto_o_ing_total!P399*1000/Gasto_o_ing_total!P$485</f>
        <v>29.86446012008302</v>
      </c>
      <c r="R399" s="332">
        <f>Gasto_o_ing_total!Q399*1000/Gasto_o_ing_total!Q$485</f>
        <v>49.613338601350343</v>
      </c>
      <c r="S399" s="332">
        <f>Gasto_o_ing_total!R399*1000/Gasto_o_ing_total!R$485</f>
        <v>33.716352830994239</v>
      </c>
      <c r="T399" s="332">
        <f>Gasto_o_ing_total!S399*1000/Gasto_o_ing_total!S$485</f>
        <v>34.958797724022091</v>
      </c>
      <c r="U399" s="332">
        <f>Gasto_o_ing_total!T399*1000/Gasto_o_ing_total!T$485</f>
        <v>33.084820570954882</v>
      </c>
      <c r="V399" s="332">
        <f>Gasto_o_ing_total!U399*1000/Gasto_o_ing_total!U$485</f>
        <v>65.778644961060991</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Gasto_o_ing_total!V400*1000/Gasto_o_ing_total!V$485</f>
        <v>7.3565517930623008</v>
      </c>
      <c r="E400" s="332">
        <f>Gasto_o_ing_total!D400*1000/Gasto_o_ing_total!D$485</f>
        <v>7.6170046437645471</v>
      </c>
      <c r="F400" s="332">
        <f>Gasto_o_ing_total!E400*1000/Gasto_o_ing_total!E$485</f>
        <v>9.3036187349866495</v>
      </c>
      <c r="G400" s="332">
        <f>Gasto_o_ing_total!F400*1000/Gasto_o_ing_total!F$485</f>
        <v>12.017275183609408</v>
      </c>
      <c r="H400" s="332">
        <f>Gasto_o_ing_total!G400*1000/Gasto_o_ing_total!G$485</f>
        <v>5.8745288451446038</v>
      </c>
      <c r="I400" s="332">
        <f>Gasto_o_ing_total!H400*1000/Gasto_o_ing_total!H$485</f>
        <v>5.8572264947262411</v>
      </c>
      <c r="J400" s="332">
        <f>Gasto_o_ing_total!I400*1000/Gasto_o_ing_total!I$485</f>
        <v>8.1274586502732422</v>
      </c>
      <c r="K400" s="332">
        <f>Gasto_o_ing_total!J400*1000/Gasto_o_ing_total!J$485</f>
        <v>11.005337144465779</v>
      </c>
      <c r="L400" s="332">
        <f>Gasto_o_ing_total!K400*1000/Gasto_o_ing_total!K$485</f>
        <v>7.915537672729628</v>
      </c>
      <c r="M400" s="332">
        <f>Gasto_o_ing_total!L400*1000/Gasto_o_ing_total!L$485</f>
        <v>6.155092650690225</v>
      </c>
      <c r="N400" s="332">
        <f>Gasto_o_ing_total!M400*1000/Gasto_o_ing_total!M$485</f>
        <v>6.2641537415364725</v>
      </c>
      <c r="O400" s="332">
        <f>Gasto_o_ing_total!N400*1000/Gasto_o_ing_total!N$485</f>
        <v>7.7328103439344904</v>
      </c>
      <c r="P400" s="332">
        <f>Gasto_o_ing_total!O400*1000/Gasto_o_ing_total!O$485</f>
        <v>9.6524783844287629</v>
      </c>
      <c r="Q400" s="332">
        <f>Gasto_o_ing_total!P400*1000/Gasto_o_ing_total!P$485</f>
        <v>5.7601875247972956</v>
      </c>
      <c r="R400" s="332">
        <f>Gasto_o_ing_total!Q400*1000/Gasto_o_ing_total!Q$485</f>
        <v>5.9617242447580425</v>
      </c>
      <c r="S400" s="332">
        <f>Gasto_o_ing_total!R400*1000/Gasto_o_ing_total!R$485</f>
        <v>6.7915432721581306</v>
      </c>
      <c r="T400" s="332">
        <f>Gasto_o_ing_total!S400*1000/Gasto_o_ing_total!S$485</f>
        <v>8.5976007992271537</v>
      </c>
      <c r="U400" s="332">
        <f>Gasto_o_ing_total!T400*1000/Gasto_o_ing_total!T$485</f>
        <v>11.441646501106211</v>
      </c>
      <c r="V400" s="332">
        <f>Gasto_o_ing_total!U400*1000/Gasto_o_ing_total!U$485</f>
        <v>12.611408455909585</v>
      </c>
      <c r="W400" s="105"/>
    </row>
    <row r="401" spans="1:23">
      <c r="A401" s="352"/>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Gasto_o_ing_total!V402*1000/Gasto_o_ing_total!V$485</f>
        <v>41.19700563203854</v>
      </c>
      <c r="E402" s="113">
        <f>Gasto_o_ing_total!D402*1000/Gasto_o_ing_total!D$485</f>
        <v>46.771351694460357</v>
      </c>
      <c r="F402" s="113">
        <f>Gasto_o_ing_total!E402*1000/Gasto_o_ing_total!E$485</f>
        <v>37.924186214056967</v>
      </c>
      <c r="G402" s="113">
        <f>Gasto_o_ing_total!F402*1000/Gasto_o_ing_total!F$485</f>
        <v>41.843773325457512</v>
      </c>
      <c r="H402" s="113">
        <f>Gasto_o_ing_total!G402*1000/Gasto_o_ing_total!G$485</f>
        <v>31.925434219138186</v>
      </c>
      <c r="I402" s="113">
        <f>Gasto_o_ing_total!H402*1000/Gasto_o_ing_total!H$485</f>
        <v>26.236255626149728</v>
      </c>
      <c r="J402" s="113">
        <f>Gasto_o_ing_total!I402*1000/Gasto_o_ing_total!I$485</f>
        <v>48.56997981876944</v>
      </c>
      <c r="K402" s="113">
        <f>Gasto_o_ing_total!J402*1000/Gasto_o_ing_total!J$485</f>
        <v>56.678863425830215</v>
      </c>
      <c r="L402" s="113">
        <f>Gasto_o_ing_total!K402*1000/Gasto_o_ing_total!K$485</f>
        <v>47.179928738159234</v>
      </c>
      <c r="M402" s="113">
        <f>Gasto_o_ing_total!L402*1000/Gasto_o_ing_total!L$485</f>
        <v>38.826031995644733</v>
      </c>
      <c r="N402" s="113">
        <f>Gasto_o_ing_total!M402*1000/Gasto_o_ing_total!M$485</f>
        <v>26.511542059413824</v>
      </c>
      <c r="O402" s="113">
        <f>Gasto_o_ing_total!N402*1000/Gasto_o_ing_total!N$485</f>
        <v>54.404965614071898</v>
      </c>
      <c r="P402" s="113">
        <f>Gasto_o_ing_total!O402*1000/Gasto_o_ing_total!O$485</f>
        <v>41.605263336629392</v>
      </c>
      <c r="Q402" s="113">
        <f>Gasto_o_ing_total!P402*1000/Gasto_o_ing_total!P$485</f>
        <v>38.282901948129236</v>
      </c>
      <c r="R402" s="113">
        <f>Gasto_o_ing_total!Q402*1000/Gasto_o_ing_total!Q$485</f>
        <v>56.438178189909273</v>
      </c>
      <c r="S402" s="113">
        <f>Gasto_o_ing_total!R402*1000/Gasto_o_ing_total!R$485</f>
        <v>36.882294558760549</v>
      </c>
      <c r="T402" s="113">
        <f>Gasto_o_ing_total!S402*1000/Gasto_o_ing_total!S$485</f>
        <v>40.580192048039208</v>
      </c>
      <c r="U402" s="113">
        <f>Gasto_o_ing_total!T402*1000/Gasto_o_ing_total!T$485</f>
        <v>55.462996120782158</v>
      </c>
      <c r="V402" s="113">
        <f>Gasto_o_ing_total!U402*1000/Gasto_o_ing_total!U$485</f>
        <v>128.95881065667723</v>
      </c>
      <c r="W402" s="105"/>
    </row>
    <row r="403" spans="1:23" s="102" customFormat="1">
      <c r="A403" s="351" t="str">
        <f>IF(B403="","",(IF(ISERROR(MATCH(B403,Tot_res!C:C,0)),"Eliminar!!!","")))</f>
        <v/>
      </c>
      <c r="B403" s="115" t="s">
        <v>374</v>
      </c>
      <c r="C403" s="329" t="str">
        <f>VLOOKUP(B403,Tot_res!C:D,2,FALSE)</f>
        <v xml:space="preserve">Acciones en favor de los emigrantes </v>
      </c>
      <c r="D403" s="332">
        <f>Gasto_o_ing_total!V403*1000/Gasto_o_ing_total!V$485</f>
        <v>1.4417683910429171</v>
      </c>
      <c r="E403" s="332">
        <f>Gasto_o_ing_total!D403*1000/Gasto_o_ing_total!D$485</f>
        <v>1.4417683910429175</v>
      </c>
      <c r="F403" s="332">
        <f>Gasto_o_ing_total!E403*1000/Gasto_o_ing_total!E$485</f>
        <v>1.4417683910429175</v>
      </c>
      <c r="G403" s="332">
        <f>Gasto_o_ing_total!F403*1000/Gasto_o_ing_total!F$485</f>
        <v>1.4417683910429175</v>
      </c>
      <c r="H403" s="332">
        <f>Gasto_o_ing_total!G403*1000/Gasto_o_ing_total!G$485</f>
        <v>1.4417683910429175</v>
      </c>
      <c r="I403" s="332">
        <f>Gasto_o_ing_total!H403*1000/Gasto_o_ing_total!H$485</f>
        <v>1.4417683910429171</v>
      </c>
      <c r="J403" s="332">
        <f>Gasto_o_ing_total!I403*1000/Gasto_o_ing_total!I$485</f>
        <v>1.4417683910429173</v>
      </c>
      <c r="K403" s="332">
        <f>Gasto_o_ing_total!J403*1000/Gasto_o_ing_total!J$485</f>
        <v>1.4417683910429175</v>
      </c>
      <c r="L403" s="332">
        <f>Gasto_o_ing_total!K403*1000/Gasto_o_ing_total!K$485</f>
        <v>1.4417683910429175</v>
      </c>
      <c r="M403" s="332">
        <f>Gasto_o_ing_total!L403*1000/Gasto_o_ing_total!L$485</f>
        <v>1.4417683910429173</v>
      </c>
      <c r="N403" s="332">
        <f>Gasto_o_ing_total!M403*1000/Gasto_o_ing_total!M$485</f>
        <v>1.4417683910429173</v>
      </c>
      <c r="O403" s="332">
        <f>Gasto_o_ing_total!N403*1000/Gasto_o_ing_total!N$485</f>
        <v>1.4417683910429173</v>
      </c>
      <c r="P403" s="332">
        <f>Gasto_o_ing_total!O403*1000/Gasto_o_ing_total!O$485</f>
        <v>1.4417683910429175</v>
      </c>
      <c r="Q403" s="332">
        <f>Gasto_o_ing_total!P403*1000/Gasto_o_ing_total!P$485</f>
        <v>1.4417683910429175</v>
      </c>
      <c r="R403" s="332">
        <f>Gasto_o_ing_total!Q403*1000/Gasto_o_ing_total!Q$485</f>
        <v>1.4417683910429175</v>
      </c>
      <c r="S403" s="332">
        <f>Gasto_o_ing_total!R403*1000/Gasto_o_ing_total!R$485</f>
        <v>1.4417683910429173</v>
      </c>
      <c r="T403" s="332">
        <f>Gasto_o_ing_total!S403*1000/Gasto_o_ing_total!S$485</f>
        <v>1.4417683910429175</v>
      </c>
      <c r="U403" s="332">
        <f>Gasto_o_ing_total!T403*1000/Gasto_o_ing_total!T$485</f>
        <v>1.4417683910429173</v>
      </c>
      <c r="V403" s="332">
        <f>Gasto_o_ing_total!U403*1000/Gasto_o_ing_total!U$485</f>
        <v>1.4417683910429173</v>
      </c>
      <c r="W403" s="105"/>
    </row>
    <row r="404" spans="1:23" s="102" customFormat="1">
      <c r="A404" s="351" t="str">
        <f>IF(B404="","",(IF(ISERROR(MATCH(B404,Tot_res!C:C,0)),"Eliminar!!!","")))</f>
        <v/>
      </c>
      <c r="B404" s="115" t="s">
        <v>375</v>
      </c>
      <c r="C404" s="329" t="str">
        <f>VLOOKUP(B404,Tot_res!C:D,2,FALSE)</f>
        <v>Otros servicios sociales del estado + AF19/1</v>
      </c>
      <c r="D404" s="332">
        <f>Gasto_o_ing_total!V404*1000/Gasto_o_ing_total!V$485</f>
        <v>6.2121628797334569</v>
      </c>
      <c r="E404" s="332">
        <f>Gasto_o_ing_total!D404*1000/Gasto_o_ing_total!D$485</f>
        <v>5.8642186268383476</v>
      </c>
      <c r="F404" s="332">
        <f>Gasto_o_ing_total!E404*1000/Gasto_o_ing_total!E$485</f>
        <v>6.4152738200782675</v>
      </c>
      <c r="G404" s="332">
        <f>Gasto_o_ing_total!F404*1000/Gasto_o_ing_total!F$485</f>
        <v>6.8102160727199266</v>
      </c>
      <c r="H404" s="332">
        <f>Gasto_o_ing_total!G404*1000/Gasto_o_ing_total!G$485</f>
        <v>6.4437659379122074</v>
      </c>
      <c r="I404" s="332">
        <f>Gasto_o_ing_total!H404*1000/Gasto_o_ing_total!H$485</f>
        <v>6.2679425852815118</v>
      </c>
      <c r="J404" s="332">
        <f>Gasto_o_ing_total!I404*1000/Gasto_o_ing_total!I$485</f>
        <v>7.0827861591678696</v>
      </c>
      <c r="K404" s="332">
        <f>Gasto_o_ing_total!J404*1000/Gasto_o_ing_total!J$485</f>
        <v>6.2676443388581644</v>
      </c>
      <c r="L404" s="332">
        <f>Gasto_o_ing_total!K404*1000/Gasto_o_ing_total!K$485</f>
        <v>6.401279402710947</v>
      </c>
      <c r="M404" s="332">
        <f>Gasto_o_ing_total!L404*1000/Gasto_o_ing_total!L$485</f>
        <v>5.6285227395494211</v>
      </c>
      <c r="N404" s="332">
        <f>Gasto_o_ing_total!M404*1000/Gasto_o_ing_total!M$485</f>
        <v>5.7895951689402434</v>
      </c>
      <c r="O404" s="332">
        <f>Gasto_o_ing_total!N404*1000/Gasto_o_ing_total!N$485</f>
        <v>7.2850817948447411</v>
      </c>
      <c r="P404" s="332">
        <f>Gasto_o_ing_total!O404*1000/Gasto_o_ing_total!O$485</f>
        <v>6.2337589711307624</v>
      </c>
      <c r="Q404" s="332">
        <f>Gasto_o_ing_total!P404*1000/Gasto_o_ing_total!P$485</f>
        <v>5.6095048033625314</v>
      </c>
      <c r="R404" s="332">
        <f>Gasto_o_ing_total!Q404*1000/Gasto_o_ing_total!Q$485</f>
        <v>6.5613842540248504</v>
      </c>
      <c r="S404" s="332">
        <f>Gasto_o_ing_total!R404*1000/Gasto_o_ing_total!R$485</f>
        <v>6.2121628797334578</v>
      </c>
      <c r="T404" s="332">
        <f>Gasto_o_ing_total!S404*1000/Gasto_o_ing_total!S$485</f>
        <v>6.2121628797334569</v>
      </c>
      <c r="U404" s="332">
        <f>Gasto_o_ing_total!T404*1000/Gasto_o_ing_total!T$485</f>
        <v>9.1632583669099272</v>
      </c>
      <c r="V404" s="332">
        <f>Gasto_o_ing_total!U404*1000/Gasto_o_ing_total!U$485</f>
        <v>55.150964720387201</v>
      </c>
      <c r="W404" s="105"/>
    </row>
    <row r="405" spans="1:23" s="102" customFormat="1">
      <c r="A405" s="351" t="str">
        <f>IF(B405="","",(IF(ISERROR(MATCH(B405,Tot_res!C:C,0)),"Eliminar!!!","")))</f>
        <v/>
      </c>
      <c r="B405" s="115" t="s">
        <v>376</v>
      </c>
      <c r="C405" s="329" t="str">
        <f>VLOOKUP(B405,Tot_res!C:D,2,FALSE)</f>
        <v>Atención a la infancia y a las familias</v>
      </c>
      <c r="D405" s="332">
        <f>Gasto_o_ing_total!V405*1000/Gasto_o_ing_total!V$485</f>
        <v>8.0240064954580442E-2</v>
      </c>
      <c r="E405" s="332">
        <f>Gasto_o_ing_total!D405*1000/Gasto_o_ing_total!D$485</f>
        <v>8.0240064954580415E-2</v>
      </c>
      <c r="F405" s="332">
        <f>Gasto_o_ing_total!E405*1000/Gasto_o_ing_total!E$485</f>
        <v>8.0240064954580415E-2</v>
      </c>
      <c r="G405" s="332">
        <f>Gasto_o_ing_total!F405*1000/Gasto_o_ing_total!F$485</f>
        <v>8.0240064954580401E-2</v>
      </c>
      <c r="H405" s="332">
        <f>Gasto_o_ing_total!G405*1000/Gasto_o_ing_total!G$485</f>
        <v>8.0240064954580415E-2</v>
      </c>
      <c r="I405" s="332">
        <f>Gasto_o_ing_total!H405*1000/Gasto_o_ing_total!H$485</f>
        <v>8.0240064954580415E-2</v>
      </c>
      <c r="J405" s="332">
        <f>Gasto_o_ing_total!I405*1000/Gasto_o_ing_total!I$485</f>
        <v>8.0240064954580401E-2</v>
      </c>
      <c r="K405" s="332">
        <f>Gasto_o_ing_total!J405*1000/Gasto_o_ing_total!J$485</f>
        <v>8.0240064954580428E-2</v>
      </c>
      <c r="L405" s="332">
        <f>Gasto_o_ing_total!K405*1000/Gasto_o_ing_total!K$485</f>
        <v>8.0240064954580415E-2</v>
      </c>
      <c r="M405" s="332">
        <f>Gasto_o_ing_total!L405*1000/Gasto_o_ing_total!L$485</f>
        <v>8.0240064954580428E-2</v>
      </c>
      <c r="N405" s="332">
        <f>Gasto_o_ing_total!M405*1000/Gasto_o_ing_total!M$485</f>
        <v>8.0240064954580415E-2</v>
      </c>
      <c r="O405" s="332">
        <f>Gasto_o_ing_total!N405*1000/Gasto_o_ing_total!N$485</f>
        <v>8.0240064954580415E-2</v>
      </c>
      <c r="P405" s="332">
        <f>Gasto_o_ing_total!O405*1000/Gasto_o_ing_total!O$485</f>
        <v>8.0240064954580415E-2</v>
      </c>
      <c r="Q405" s="332">
        <f>Gasto_o_ing_total!P405*1000/Gasto_o_ing_total!P$485</f>
        <v>8.0240064954580415E-2</v>
      </c>
      <c r="R405" s="332">
        <f>Gasto_o_ing_total!Q405*1000/Gasto_o_ing_total!Q$485</f>
        <v>8.0240064954580415E-2</v>
      </c>
      <c r="S405" s="332">
        <f>Gasto_o_ing_total!R405*1000/Gasto_o_ing_total!R$485</f>
        <v>8.0240064954580415E-2</v>
      </c>
      <c r="T405" s="332">
        <f>Gasto_o_ing_total!S405*1000/Gasto_o_ing_total!S$485</f>
        <v>8.0240064954580415E-2</v>
      </c>
      <c r="U405" s="332">
        <f>Gasto_o_ing_total!T405*1000/Gasto_o_ing_total!T$485</f>
        <v>8.0240064954580415E-2</v>
      </c>
      <c r="V405" s="332">
        <f>Gasto_o_ing_total!U405*1000/Gasto_o_ing_total!U$485</f>
        <v>8.0240064954580415E-2</v>
      </c>
      <c r="W405" s="105"/>
    </row>
    <row r="406" spans="1:23" s="102" customFormat="1">
      <c r="A406" s="351" t="str">
        <f>IF(B406="","",(IF(ISERROR(MATCH(B406,Tot_res!C:C,0)),"Eliminar!!!","")))</f>
        <v/>
      </c>
      <c r="B406" s="115" t="s">
        <v>377</v>
      </c>
      <c r="C406" s="329" t="str">
        <f>VLOOKUP(B406,Tot_res!C:D,2,FALSE)</f>
        <v>Acciones en favor de los inmigrantes</v>
      </c>
      <c r="D406" s="332">
        <f>Gasto_o_ing_total!V406*1000/Gasto_o_ing_total!V$485</f>
        <v>1.7506720655719965</v>
      </c>
      <c r="E406" s="332">
        <f>Gasto_o_ing_total!D406*1000/Gasto_o_ing_total!D$485</f>
        <v>2.6923143300915098</v>
      </c>
      <c r="F406" s="332">
        <f>Gasto_o_ing_total!E406*1000/Gasto_o_ing_total!E$485</f>
        <v>1.3963441028612824</v>
      </c>
      <c r="G406" s="332">
        <f>Gasto_o_ing_total!F406*1000/Gasto_o_ing_total!F$485</f>
        <v>0.79881986203453015</v>
      </c>
      <c r="H406" s="332">
        <f>Gasto_o_ing_total!G406*1000/Gasto_o_ing_total!G$485</f>
        <v>1.1881972426647436</v>
      </c>
      <c r="I406" s="332">
        <f>Gasto_o_ing_total!H406*1000/Gasto_o_ing_total!H$485</f>
        <v>1.2761951929330666</v>
      </c>
      <c r="J406" s="332">
        <f>Gasto_o_ing_total!I406*1000/Gasto_o_ing_total!I$485</f>
        <v>0.72569581249091641</v>
      </c>
      <c r="K406" s="332">
        <f>Gasto_o_ing_total!J406*1000/Gasto_o_ing_total!J$485</f>
        <v>1.4274490589844839</v>
      </c>
      <c r="L406" s="332">
        <f>Gasto_o_ing_total!K406*1000/Gasto_o_ing_total!K$485</f>
        <v>1.2424276370737197</v>
      </c>
      <c r="M406" s="332">
        <f>Gasto_o_ing_total!L406*1000/Gasto_o_ing_total!L$485</f>
        <v>1.5503132968582756</v>
      </c>
      <c r="N406" s="332">
        <f>Gasto_o_ing_total!M406*1000/Gasto_o_ing_total!M$485</f>
        <v>1.2255391490245791</v>
      </c>
      <c r="O406" s="332">
        <f>Gasto_o_ing_total!N406*1000/Gasto_o_ing_total!N$485</f>
        <v>0.72689992445717599</v>
      </c>
      <c r="P406" s="332">
        <f>Gasto_o_ing_total!O406*1000/Gasto_o_ing_total!O$485</f>
        <v>0.77530107557818551</v>
      </c>
      <c r="Q406" s="332">
        <f>Gasto_o_ing_total!P406*1000/Gasto_o_ing_total!P$485</f>
        <v>1.7368200180122275</v>
      </c>
      <c r="R406" s="332">
        <f>Gasto_o_ing_total!Q406*1000/Gasto_o_ing_total!Q$485</f>
        <v>3.7779463585755666</v>
      </c>
      <c r="S406" s="332">
        <f>Gasto_o_ing_total!R406*1000/Gasto_o_ing_total!R$485</f>
        <v>1.0226527121503619</v>
      </c>
      <c r="T406" s="332">
        <f>Gasto_o_ing_total!S406*1000/Gasto_o_ing_total!S$485</f>
        <v>1.0992718513408826</v>
      </c>
      <c r="U406" s="332">
        <f>Gasto_o_ing_total!T406*1000/Gasto_o_ing_total!T$485</f>
        <v>0.91337229945908427</v>
      </c>
      <c r="V406" s="332">
        <f>Gasto_o_ing_total!U406*1000/Gasto_o_ing_total!U$485</f>
        <v>30.244991836046246</v>
      </c>
      <c r="W406" s="105"/>
    </row>
    <row r="407" spans="1:23" s="102" customFormat="1">
      <c r="A407" s="351" t="str">
        <f>IF(B407="","",(IF(ISERROR(MATCH(B407,Tot_res!C:C,0)),"Eliminar!!!","")))</f>
        <v/>
      </c>
      <c r="B407" s="115" t="s">
        <v>378</v>
      </c>
      <c r="C407" s="329" t="str">
        <f>VLOOKUP(B407,Tot_res!C:D,2,FALSE)</f>
        <v>Promoción y servicios a la juventud</v>
      </c>
      <c r="D407" s="332">
        <f>Gasto_o_ing_total!V407*1000/Gasto_o_ing_total!V$485</f>
        <v>0.48365305379133905</v>
      </c>
      <c r="E407" s="332">
        <f>Gasto_o_ing_total!D407*1000/Gasto_o_ing_total!D$485</f>
        <v>0.41356477830241506</v>
      </c>
      <c r="F407" s="332">
        <f>Gasto_o_ing_total!E407*1000/Gasto_o_ing_total!E$485</f>
        <v>0.4729422611633145</v>
      </c>
      <c r="G407" s="332">
        <f>Gasto_o_ing_total!F407*1000/Gasto_o_ing_total!F$485</f>
        <v>0.52653897908414815</v>
      </c>
      <c r="H407" s="332">
        <f>Gasto_o_ing_total!G407*1000/Gasto_o_ing_total!G$485</f>
        <v>0.14006599862823604</v>
      </c>
      <c r="I407" s="332">
        <f>Gasto_o_ing_total!H407*1000/Gasto_o_ing_total!H$485</f>
        <v>0.48867455902914481</v>
      </c>
      <c r="J407" s="332">
        <f>Gasto_o_ing_total!I407*1000/Gasto_o_ing_total!I$485</f>
        <v>0.51863309850659478</v>
      </c>
      <c r="K407" s="332">
        <f>Gasto_o_ing_total!J407*1000/Gasto_o_ing_total!J$485</f>
        <v>0.56531296521606111</v>
      </c>
      <c r="L407" s="332">
        <f>Gasto_o_ing_total!K407*1000/Gasto_o_ing_total!K$485</f>
        <v>0.42200364457557338</v>
      </c>
      <c r="M407" s="332">
        <f>Gasto_o_ing_total!L407*1000/Gasto_o_ing_total!L$485</f>
        <v>0.40439238384108217</v>
      </c>
      <c r="N407" s="332">
        <f>Gasto_o_ing_total!M407*1000/Gasto_o_ing_total!M$485</f>
        <v>0.47890996303385153</v>
      </c>
      <c r="O407" s="332">
        <f>Gasto_o_ing_total!N407*1000/Gasto_o_ing_total!N$485</f>
        <v>0.47205621408980009</v>
      </c>
      <c r="P407" s="332">
        <f>Gasto_o_ing_total!O407*1000/Gasto_o_ing_total!O$485</f>
        <v>0.608569076533096</v>
      </c>
      <c r="Q407" s="332">
        <f>Gasto_o_ing_total!P407*1000/Gasto_o_ing_total!P$485</f>
        <v>0.6615194942282201</v>
      </c>
      <c r="R407" s="332">
        <f>Gasto_o_ing_total!Q407*1000/Gasto_o_ing_total!Q$485</f>
        <v>0.69746770433622629</v>
      </c>
      <c r="S407" s="332">
        <f>Gasto_o_ing_total!R407*1000/Gasto_o_ing_total!R$485</f>
        <v>0.52044889176397857</v>
      </c>
      <c r="T407" s="332">
        <f>Gasto_o_ing_total!S407*1000/Gasto_o_ing_total!S$485</f>
        <v>0.31184314676250252</v>
      </c>
      <c r="U407" s="332">
        <f>Gasto_o_ing_total!T407*1000/Gasto_o_ing_total!T$485</f>
        <v>0.64000583073606621</v>
      </c>
      <c r="V407" s="332">
        <f>Gasto_o_ing_total!U407*1000/Gasto_o_ing_total!U$485</f>
        <v>0.26469049744293305</v>
      </c>
      <c r="W407" s="105"/>
    </row>
    <row r="408" spans="1:23" s="102" customFormat="1">
      <c r="A408" s="351" t="str">
        <f>IF(B408="","",(IF(ISERROR(MATCH(B408,Tot_res!C:C,0)),"Eliminar!!!","")))</f>
        <v/>
      </c>
      <c r="B408" s="115" t="s">
        <v>379</v>
      </c>
      <c r="C408" s="329" t="str">
        <f>VLOOKUP(B408,Tot_res!C:D,2,FALSE)</f>
        <v>Igualdad oportunidades entre mujeres y hombres</v>
      </c>
      <c r="D408" s="332">
        <f>Gasto_o_ing_total!V408*1000/Gasto_o_ing_total!V$485</f>
        <v>0.37925754458798933</v>
      </c>
      <c r="E408" s="332">
        <f>Gasto_o_ing_total!D408*1000/Gasto_o_ing_total!D$485</f>
        <v>0.2911958191516536</v>
      </c>
      <c r="F408" s="332">
        <f>Gasto_o_ing_total!E408*1000/Gasto_o_ing_total!E$485</f>
        <v>0.43824097186179334</v>
      </c>
      <c r="G408" s="332">
        <f>Gasto_o_ing_total!F408*1000/Gasto_o_ing_total!F$485</f>
        <v>0.26847083409580458</v>
      </c>
      <c r="H408" s="332">
        <f>Gasto_o_ing_total!G408*1000/Gasto_o_ing_total!G$485</f>
        <v>0.11257049527238287</v>
      </c>
      <c r="I408" s="332">
        <f>Gasto_o_ing_total!H408*1000/Gasto_o_ing_total!H$485</f>
        <v>0.19849818179164525</v>
      </c>
      <c r="J408" s="332">
        <f>Gasto_o_ing_total!I408*1000/Gasto_o_ing_total!I$485</f>
        <v>0.84883586906530151</v>
      </c>
      <c r="K408" s="332">
        <f>Gasto_o_ing_total!J408*1000/Gasto_o_ing_total!J$485</f>
        <v>0.4532401432134292</v>
      </c>
      <c r="L408" s="332">
        <f>Gasto_o_ing_total!K408*1000/Gasto_o_ing_total!K$485</f>
        <v>0.57832034752609163</v>
      </c>
      <c r="M408" s="332">
        <f>Gasto_o_ing_total!L408*1000/Gasto_o_ing_total!L$485</f>
        <v>0.29542931961515256</v>
      </c>
      <c r="N408" s="332">
        <f>Gasto_o_ing_total!M408*1000/Gasto_o_ing_total!M$485</f>
        <v>0.36434183410102089</v>
      </c>
      <c r="O408" s="332">
        <f>Gasto_o_ing_total!N408*1000/Gasto_o_ing_total!N$485</f>
        <v>0.58680173576863348</v>
      </c>
      <c r="P408" s="332">
        <f>Gasto_o_ing_total!O408*1000/Gasto_o_ing_total!O$485</f>
        <v>0.36158582576324766</v>
      </c>
      <c r="Q408" s="332">
        <f>Gasto_o_ing_total!P408*1000/Gasto_o_ing_total!P$485</f>
        <v>0.56970124009875001</v>
      </c>
      <c r="R408" s="332">
        <f>Gasto_o_ing_total!Q408*1000/Gasto_o_ing_total!Q$485</f>
        <v>0.4771776828216312</v>
      </c>
      <c r="S408" s="332">
        <f>Gasto_o_ing_total!R408*1000/Gasto_o_ing_total!R$485</f>
        <v>0.30235165372633416</v>
      </c>
      <c r="T408" s="332">
        <f>Gasto_o_ing_total!S408*1000/Gasto_o_ing_total!S$485</f>
        <v>0.19621637526954561</v>
      </c>
      <c r="U408" s="332">
        <f>Gasto_o_ing_total!T408*1000/Gasto_o_ing_total!T$485</f>
        <v>0.16609648544461236</v>
      </c>
      <c r="V408" s="332">
        <f>Gasto_o_ing_total!U408*1000/Gasto_o_ing_total!U$485</f>
        <v>1.8759796069412555</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Gasto_o_ing_total!V409*1000/Gasto_o_ing_total!V$485</f>
        <v>0.4407176419075754</v>
      </c>
      <c r="E409" s="332">
        <f>Gasto_o_ing_total!D409*1000/Gasto_o_ing_total!D$485</f>
        <v>0.40990045332109959</v>
      </c>
      <c r="F409" s="332">
        <f>Gasto_o_ing_total!E409*1000/Gasto_o_ing_total!E$485</f>
        <v>0.68700594326744879</v>
      </c>
      <c r="G409" s="332">
        <f>Gasto_o_ing_total!F409*1000/Gasto_o_ing_total!F$485</f>
        <v>0.42679603300786284</v>
      </c>
      <c r="H409" s="332">
        <f>Gasto_o_ing_total!G409*1000/Gasto_o_ing_total!G$485</f>
        <v>0.75127192538907617</v>
      </c>
      <c r="I409" s="332">
        <f>Gasto_o_ing_total!H409*1000/Gasto_o_ing_total!H$485</f>
        <v>0.71663218181971355</v>
      </c>
      <c r="J409" s="332">
        <f>Gasto_o_ing_total!I409*1000/Gasto_o_ing_total!I$485</f>
        <v>0.67729314212643676</v>
      </c>
      <c r="K409" s="332">
        <f>Gasto_o_ing_total!J409*1000/Gasto_o_ing_total!J$485</f>
        <v>0.35893870104058284</v>
      </c>
      <c r="L409" s="332">
        <f>Gasto_o_ing_total!K409*1000/Gasto_o_ing_total!K$485</f>
        <v>0.38210605633300182</v>
      </c>
      <c r="M409" s="332">
        <f>Gasto_o_ing_total!L409*1000/Gasto_o_ing_total!L$485</f>
        <v>0.25760546377841198</v>
      </c>
      <c r="N409" s="332">
        <f>Gasto_o_ing_total!M409*1000/Gasto_o_ing_total!M$485</f>
        <v>0.45885176820668244</v>
      </c>
      <c r="O409" s="332">
        <f>Gasto_o_ing_total!N409*1000/Gasto_o_ing_total!N$485</f>
        <v>0.9969554594221145</v>
      </c>
      <c r="P409" s="332">
        <f>Gasto_o_ing_total!O409*1000/Gasto_o_ing_total!O$485</f>
        <v>0.59938494571637846</v>
      </c>
      <c r="Q409" s="332">
        <f>Gasto_o_ing_total!P409*1000/Gasto_o_ing_total!P$485</f>
        <v>0.27737771529820293</v>
      </c>
      <c r="R409" s="332">
        <f>Gasto_o_ing_total!Q409*1000/Gasto_o_ing_total!Q$485</f>
        <v>0.50074033762377024</v>
      </c>
      <c r="S409" s="332">
        <f>Gasto_o_ing_total!R409*1000/Gasto_o_ing_total!R$485</f>
        <v>0.44071764190757545</v>
      </c>
      <c r="T409" s="332">
        <f>Gasto_o_ing_total!S409*1000/Gasto_o_ing_total!S$485</f>
        <v>0.44071764190757545</v>
      </c>
      <c r="U409" s="332">
        <f>Gasto_o_ing_total!T409*1000/Gasto_o_ing_total!T$485</f>
        <v>0.94647200299831602</v>
      </c>
      <c r="V409" s="332">
        <f>Gasto_o_ing_total!U409*1000/Gasto_o_ing_total!U$485</f>
        <v>1.9449404462914792</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Gasto_o_ing_total!V410*1000/Gasto_o_ing_total!V$485</f>
        <v>29.236832883204094</v>
      </c>
      <c r="E410" s="332">
        <f>Gasto_o_ing_total!D410*1000/Gasto_o_ing_total!D$485</f>
        <v>34.37176611236724</v>
      </c>
      <c r="F410" s="332">
        <f>Gasto_o_ing_total!E410*1000/Gasto_o_ing_total!E$485</f>
        <v>25.683889993743254</v>
      </c>
      <c r="G410" s="332">
        <f>Gasto_o_ing_total!F410*1000/Gasto_o_ing_total!F$485</f>
        <v>29.284237610959824</v>
      </c>
      <c r="H410" s="332">
        <f>Gasto_o_ing_total!G410*1000/Gasto_o_ing_total!G$485</f>
        <v>20.338832138858493</v>
      </c>
      <c r="I410" s="332">
        <f>Gasto_o_ing_total!H410*1000/Gasto_o_ing_total!H$485</f>
        <v>14.591401568639256</v>
      </c>
      <c r="J410" s="332">
        <f>Gasto_o_ing_total!I410*1000/Gasto_o_ing_total!I$485</f>
        <v>35.141844240567877</v>
      </c>
      <c r="K410" s="332">
        <f>Gasto_o_ing_total!J410*1000/Gasto_o_ing_total!J$485</f>
        <v>44.949126190051743</v>
      </c>
      <c r="L410" s="332">
        <f>Gasto_o_ing_total!K410*1000/Gasto_o_ing_total!K$485</f>
        <v>35.7182618349498</v>
      </c>
      <c r="M410" s="332">
        <f>Gasto_o_ing_total!L410*1000/Gasto_o_ing_total!L$485</f>
        <v>28.134234125857574</v>
      </c>
      <c r="N410" s="332">
        <f>Gasto_o_ing_total!M410*1000/Gasto_o_ing_total!M$485</f>
        <v>15.774476248974475</v>
      </c>
      <c r="O410" s="332">
        <f>Gasto_o_ing_total!N410*1000/Gasto_o_ing_total!N$485</f>
        <v>41.665685255633051</v>
      </c>
      <c r="P410" s="332">
        <f>Gasto_o_ing_total!O410*1000/Gasto_o_ing_total!O$485</f>
        <v>30.282638172565132</v>
      </c>
      <c r="Q410" s="332">
        <f>Gasto_o_ing_total!P410*1000/Gasto_o_ing_total!P$485</f>
        <v>26.918214136663337</v>
      </c>
      <c r="R410" s="332">
        <f>Gasto_o_ing_total!Q410*1000/Gasto_o_ing_total!Q$485</f>
        <v>41.398724674946969</v>
      </c>
      <c r="S410" s="332">
        <f>Gasto_o_ing_total!R410*1000/Gasto_o_ing_total!R$485</f>
        <v>25.734857110523414</v>
      </c>
      <c r="T410" s="332">
        <f>Gasto_o_ing_total!S410*1000/Gasto_o_ing_total!S$485</f>
        <v>29.254702809518381</v>
      </c>
      <c r="U410" s="332">
        <f>Gasto_o_ing_total!T410*1000/Gasto_o_ing_total!T$485</f>
        <v>41.11477459190646</v>
      </c>
      <c r="V410" s="332">
        <f>Gasto_o_ing_total!U410*1000/Gasto_o_ing_total!U$485</f>
        <v>33.750789163168186</v>
      </c>
      <c r="W410" s="105"/>
    </row>
    <row r="411" spans="1:23" s="102" customFormat="1">
      <c r="A411" s="351" t="str">
        <f>IF(B411="","",(IF(ISERROR(MATCH(B411,Tot_res!C:C,0)),"Eliminar!!!","")))</f>
        <v/>
      </c>
      <c r="B411" s="115" t="s">
        <v>867</v>
      </c>
      <c r="C411" s="329" t="str">
        <f>VLOOKUP(B411,Tot_res!C:D,2,FALSE)</f>
        <v>Otros Servicios Sociales, ISM</v>
      </c>
      <c r="D411" s="332">
        <f>Gasto_o_ing_total!V411*1000/Gasto_o_ing_total!V$485</f>
        <v>1.3759276749750094E-2</v>
      </c>
      <c r="E411" s="332">
        <f>Gasto_o_ing_total!D411*1000/Gasto_o_ing_total!D$485</f>
        <v>4.0367518449447139E-4</v>
      </c>
      <c r="F411" s="332">
        <f>Gasto_o_ing_total!E411*1000/Gasto_o_ing_total!E$485</f>
        <v>0</v>
      </c>
      <c r="G411" s="332">
        <f>Gasto_o_ing_total!F411*1000/Gasto_o_ing_total!F$485</f>
        <v>2.6469446104366002E-3</v>
      </c>
      <c r="H411" s="332">
        <f>Gasto_o_ing_total!G411*1000/Gasto_o_ing_total!G$485</f>
        <v>0</v>
      </c>
      <c r="I411" s="332">
        <f>Gasto_o_ing_total!H411*1000/Gasto_o_ing_total!H$485</f>
        <v>0</v>
      </c>
      <c r="J411" s="332">
        <f>Gasto_o_ing_total!I411*1000/Gasto_o_ing_total!I$485</f>
        <v>1.5882284016871706E-3</v>
      </c>
      <c r="K411" s="332">
        <f>Gasto_o_ing_total!J411*1000/Gasto_o_ing_total!J$485</f>
        <v>0</v>
      </c>
      <c r="L411" s="332">
        <f>Gasto_o_ing_total!K411*1000/Gasto_o_ing_total!K$485</f>
        <v>0</v>
      </c>
      <c r="M411" s="332">
        <f>Gasto_o_ing_total!L411*1000/Gasto_o_ing_total!L$485</f>
        <v>3.2110807076603839E-4</v>
      </c>
      <c r="N411" s="332">
        <f>Gasto_o_ing_total!M411*1000/Gasto_o_ing_total!M$485</f>
        <v>1.8670191024299453E-4</v>
      </c>
      <c r="O411" s="332">
        <f>Gasto_o_ing_total!N411*1000/Gasto_o_ing_total!N$485</f>
        <v>0</v>
      </c>
      <c r="P411" s="332">
        <f>Gasto_o_ing_total!O411*1000/Gasto_o_ing_total!O$485</f>
        <v>1.4640991800534792E-2</v>
      </c>
      <c r="Q411" s="332">
        <f>Gasto_o_ing_total!P411*1000/Gasto_o_ing_total!P$485</f>
        <v>1.0012857533682026E-2</v>
      </c>
      <c r="R411" s="332">
        <f>Gasto_o_ing_total!Q411*1000/Gasto_o_ing_total!Q$485</f>
        <v>0</v>
      </c>
      <c r="S411" s="332">
        <f>Gasto_o_ing_total!R411*1000/Gasto_o_ing_total!R$485</f>
        <v>0</v>
      </c>
      <c r="T411" s="332">
        <f>Gasto_o_ing_total!S411*1000/Gasto_o_ing_total!S$485</f>
        <v>5.6775241018182181E-4</v>
      </c>
      <c r="U411" s="332">
        <f>Gasto_o_ing_total!T411*1000/Gasto_o_ing_total!T$485</f>
        <v>0</v>
      </c>
      <c r="V411" s="332">
        <f>Gasto_o_ing_total!U411*1000/Gasto_o_ing_total!U$485</f>
        <v>3.1012547719009906</v>
      </c>
      <c r="W411" s="105"/>
    </row>
    <row r="412" spans="1:23" s="102" customFormat="1">
      <c r="A412" s="351" t="str">
        <f>IF(B412="","",(IF(ISERROR(MATCH(B412,Tot_res!C:C,0)),"Eliminar!!!","")))</f>
        <v/>
      </c>
      <c r="B412" s="115" t="s">
        <v>868</v>
      </c>
      <c r="C412" s="329" t="str">
        <f>VLOOKUP(B412,Tot_res!C:D,2,FALSE)</f>
        <v>Otros Servicios Sociales, Mutuas</v>
      </c>
      <c r="D412" s="332">
        <f>Gasto_o_ing_total!V412*1000/Gasto_o_ing_total!V$485</f>
        <v>0.52466101817960131</v>
      </c>
      <c r="E412" s="332">
        <f>Gasto_o_ing_total!D412*1000/Gasto_o_ing_total!D$485</f>
        <v>0.40343392460705946</v>
      </c>
      <c r="F412" s="332">
        <f>Gasto_o_ing_total!E412*1000/Gasto_o_ing_total!E$485</f>
        <v>0.95998088686748917</v>
      </c>
      <c r="G412" s="332">
        <f>Gasto_o_ing_total!F412*1000/Gasto_o_ing_total!F$485</f>
        <v>0.63319573261472417</v>
      </c>
      <c r="H412" s="332">
        <f>Gasto_o_ing_total!G412*1000/Gasto_o_ing_total!G$485</f>
        <v>0.51257446229586168</v>
      </c>
      <c r="I412" s="332">
        <f>Gasto_o_ing_total!H412*1000/Gasto_o_ing_total!H$485</f>
        <v>0.41447695238633381</v>
      </c>
      <c r="J412" s="332">
        <f>Gasto_o_ing_total!I412*1000/Gasto_o_ing_total!I$485</f>
        <v>0.31628254617133922</v>
      </c>
      <c r="K412" s="332">
        <f>Gasto_o_ing_total!J412*1000/Gasto_o_ing_total!J$485</f>
        <v>0.55806191023851925</v>
      </c>
      <c r="L412" s="332">
        <f>Gasto_o_ing_total!K412*1000/Gasto_o_ing_total!K$485</f>
        <v>0.37249229663204408</v>
      </c>
      <c r="M412" s="332">
        <f>Gasto_o_ing_total!L412*1000/Gasto_o_ing_total!L$485</f>
        <v>0.60417299715322725</v>
      </c>
      <c r="N412" s="332">
        <f>Gasto_o_ing_total!M412*1000/Gasto_o_ing_total!M$485</f>
        <v>0.49660237606938273</v>
      </c>
      <c r="O412" s="332">
        <f>Gasto_o_ing_total!N412*1000/Gasto_o_ing_total!N$485</f>
        <v>0.46061011802730656</v>
      </c>
      <c r="P412" s="332">
        <f>Gasto_o_ing_total!O412*1000/Gasto_o_ing_total!O$485</f>
        <v>0.51208302376064552</v>
      </c>
      <c r="Q412" s="332">
        <f>Gasto_o_ing_total!P412*1000/Gasto_o_ing_total!P$485</f>
        <v>0.62431049032134767</v>
      </c>
      <c r="R412" s="332">
        <f>Gasto_o_ing_total!Q412*1000/Gasto_o_ing_total!Q$485</f>
        <v>0.31704534899784731</v>
      </c>
      <c r="S412" s="332">
        <f>Gasto_o_ing_total!R412*1000/Gasto_o_ing_total!R$485</f>
        <v>0.61748440763695711</v>
      </c>
      <c r="T412" s="332">
        <f>Gasto_o_ing_total!S412*1000/Gasto_o_ing_total!S$485</f>
        <v>0.64299038236643802</v>
      </c>
      <c r="U412" s="332">
        <f>Gasto_o_ing_total!T412*1000/Gasto_o_ing_total!T$485</f>
        <v>0.54883841094160024</v>
      </c>
      <c r="V412" s="332">
        <f>Gasto_o_ing_total!U412*1000/Gasto_o_ing_total!U$485</f>
        <v>2.5335709740205274E-4</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Gasto_o_ing_total!V413*1000/Gasto_o_ing_total!V$485</f>
        <v>0.50961080532097269</v>
      </c>
      <c r="E413" s="332">
        <f>Gasto_o_ing_total!D413*1000/Gasto_o_ing_total!D$485</f>
        <v>0.61250069892400349</v>
      </c>
      <c r="F413" s="332">
        <f>Gasto_o_ing_total!E413*1000/Gasto_o_ing_total!E$485</f>
        <v>0.34849977821661599</v>
      </c>
      <c r="G413" s="332">
        <f>Gasto_o_ing_total!F413*1000/Gasto_o_ing_total!F$485</f>
        <v>0.46912389495966683</v>
      </c>
      <c r="H413" s="332">
        <f>Gasto_o_ing_total!G413*1000/Gasto_o_ing_total!G$485</f>
        <v>0.35722767690063328</v>
      </c>
      <c r="I413" s="332">
        <f>Gasto_o_ing_total!H413*1000/Gasto_o_ing_total!H$485</f>
        <v>0.76042594827155863</v>
      </c>
      <c r="J413" s="332">
        <f>Gasto_o_ing_total!I413*1000/Gasto_o_ing_total!I$485</f>
        <v>0.58860271118389573</v>
      </c>
      <c r="K413" s="332">
        <f>Gasto_o_ing_total!J413*1000/Gasto_o_ing_total!J$485</f>
        <v>0.57708166222972834</v>
      </c>
      <c r="L413" s="332">
        <f>Gasto_o_ing_total!K413*1000/Gasto_o_ing_total!K$485</f>
        <v>0.5410290623605517</v>
      </c>
      <c r="M413" s="332">
        <f>Gasto_o_ing_total!L413*1000/Gasto_o_ing_total!L$485</f>
        <v>0.42903210492332483</v>
      </c>
      <c r="N413" s="332">
        <f>Gasto_o_ing_total!M413*1000/Gasto_o_ing_total!M$485</f>
        <v>0.40103039315584849</v>
      </c>
      <c r="O413" s="332">
        <f>Gasto_o_ing_total!N413*1000/Gasto_o_ing_total!N$485</f>
        <v>0.68886665583157081</v>
      </c>
      <c r="P413" s="332">
        <f>Gasto_o_ing_total!O413*1000/Gasto_o_ing_total!O$485</f>
        <v>0.6952927977839124</v>
      </c>
      <c r="Q413" s="332">
        <f>Gasto_o_ing_total!P413*1000/Gasto_o_ing_total!P$485</f>
        <v>0.35343273661343566</v>
      </c>
      <c r="R413" s="332">
        <f>Gasto_o_ing_total!Q413*1000/Gasto_o_ing_total!Q$485</f>
        <v>0.59210343427675105</v>
      </c>
      <c r="S413" s="332">
        <f>Gasto_o_ing_total!R413*1000/Gasto_o_ing_total!R$485</f>
        <v>0.50961080532097291</v>
      </c>
      <c r="T413" s="332">
        <f>Gasto_o_ing_total!S413*1000/Gasto_o_ing_total!S$485</f>
        <v>0.5096108053209728</v>
      </c>
      <c r="U413" s="332">
        <f>Gasto_o_ing_total!T413*1000/Gasto_o_ing_total!T$485</f>
        <v>0.44816967638858135</v>
      </c>
      <c r="V413" s="332">
        <f>Gasto_o_ing_total!U413*1000/Gasto_o_ing_total!U$485</f>
        <v>1.1029378014039977</v>
      </c>
      <c r="W413" s="111"/>
    </row>
    <row r="414" spans="1:23" s="102" customFormat="1">
      <c r="A414" s="351" t="str">
        <f>IF(B414="","",(IF(ISERROR(MATCH(B414,Tot_res!C:C,0)),"Eliminar!!!","")))</f>
        <v/>
      </c>
      <c r="B414" s="115" t="s">
        <v>872</v>
      </c>
      <c r="C414" s="329" t="str">
        <f>VLOOKUP(B414,Tot_res!C:D,2,FALSE)</f>
        <v>ISM formación y servicios sociales + AF19/5</v>
      </c>
      <c r="D414" s="332">
        <f>Gasto_o_ing_total!V414*1000/Gasto_o_ing_total!V$485</f>
        <v>0.1236700069942674</v>
      </c>
      <c r="E414" s="332">
        <f>Gasto_o_ing_total!D414*1000/Gasto_o_ing_total!D$485</f>
        <v>0.19004481967503187</v>
      </c>
      <c r="F414" s="332">
        <f>Gasto_o_ing_total!E414*1000/Gasto_o_ing_total!E$485</f>
        <v>0</v>
      </c>
      <c r="G414" s="332">
        <f>Gasto_o_ing_total!F414*1000/Gasto_o_ing_total!F$485</f>
        <v>1.1017189053731002</v>
      </c>
      <c r="H414" s="332">
        <f>Gasto_o_ing_total!G414*1000/Gasto_o_ing_total!G$485</f>
        <v>0.55891988521905234</v>
      </c>
      <c r="I414" s="332">
        <f>Gasto_o_ing_total!H414*1000/Gasto_o_ing_total!H$485</f>
        <v>0</v>
      </c>
      <c r="J414" s="332">
        <f>Gasto_o_ing_total!I414*1000/Gasto_o_ing_total!I$485</f>
        <v>1.1464095550900193</v>
      </c>
      <c r="K414" s="332">
        <f>Gasto_o_ing_total!J414*1000/Gasto_o_ing_total!J$485</f>
        <v>0</v>
      </c>
      <c r="L414" s="332">
        <f>Gasto_o_ing_total!K414*1000/Gasto_o_ing_total!K$485</f>
        <v>0</v>
      </c>
      <c r="M414" s="332">
        <f>Gasto_o_ing_total!L414*1000/Gasto_o_ing_total!L$485</f>
        <v>0</v>
      </c>
      <c r="N414" s="332">
        <f>Gasto_o_ing_total!M414*1000/Gasto_o_ing_total!M$485</f>
        <v>0</v>
      </c>
      <c r="O414" s="332">
        <f>Gasto_o_ing_total!N414*1000/Gasto_o_ing_total!N$485</f>
        <v>0</v>
      </c>
      <c r="P414" s="332">
        <f>Gasto_o_ing_total!O414*1000/Gasto_o_ing_total!O$485</f>
        <v>0</v>
      </c>
      <c r="Q414" s="332">
        <f>Gasto_o_ing_total!P414*1000/Gasto_o_ing_total!P$485</f>
        <v>0</v>
      </c>
      <c r="R414" s="332">
        <f>Gasto_o_ing_total!Q414*1000/Gasto_o_ing_total!Q$485</f>
        <v>0.59357993830815947</v>
      </c>
      <c r="S414" s="332">
        <f>Gasto_o_ing_total!R414*1000/Gasto_o_ing_total!R$485</f>
        <v>0</v>
      </c>
      <c r="T414" s="332">
        <f>Gasto_o_ing_total!S414*1000/Gasto_o_ing_total!S$485</f>
        <v>0.39009994741176851</v>
      </c>
      <c r="U414" s="332">
        <f>Gasto_o_ing_total!T414*1000/Gasto_o_ing_total!T$485</f>
        <v>0</v>
      </c>
      <c r="V414" s="332">
        <f>Gasto_o_ing_total!U414*1000/Gasto_o_ing_total!U$485</f>
        <v>0</v>
      </c>
      <c r="W414" s="105"/>
    </row>
    <row r="415" spans="1:23">
      <c r="A415" s="358"/>
      <c r="C415" s="18"/>
      <c r="D415" s="20"/>
      <c r="E415" s="20"/>
      <c r="F415" s="20"/>
      <c r="G415" s="20"/>
      <c r="H415" s="20"/>
      <c r="I415" s="20"/>
      <c r="J415" s="20"/>
      <c r="K415" s="20"/>
      <c r="L415" s="20"/>
      <c r="M415" s="20"/>
      <c r="N415" s="20"/>
      <c r="O415" s="20"/>
      <c r="P415" s="20"/>
      <c r="Q415" s="20"/>
      <c r="R415" s="20"/>
      <c r="S415" s="20"/>
      <c r="T415" s="20"/>
      <c r="U415" s="20"/>
      <c r="V415" s="20"/>
      <c r="W415" s="4"/>
    </row>
    <row r="416" spans="1:23" s="102" customFormat="1" ht="13.5">
      <c r="A416" s="358"/>
      <c r="B416" s="115"/>
      <c r="C416" s="117" t="s">
        <v>382</v>
      </c>
      <c r="D416" s="113">
        <f>Gasto_o_ing_total!V416*1000/Gasto_o_ing_total!V$485</f>
        <v>41.415632862214196</v>
      </c>
      <c r="E416" s="113">
        <f>Gasto_o_ing_total!D416*1000/Gasto_o_ing_total!D$485</f>
        <v>34.075904429115717</v>
      </c>
      <c r="F416" s="113">
        <f>Gasto_o_ing_total!E416*1000/Gasto_o_ing_total!E$485</f>
        <v>46.124116634109868</v>
      </c>
      <c r="G416" s="113">
        <f>Gasto_o_ing_total!F416*1000/Gasto_o_ing_total!F$485</f>
        <v>54.087043837316905</v>
      </c>
      <c r="H416" s="113">
        <f>Gasto_o_ing_total!G416*1000/Gasto_o_ing_total!G$485</f>
        <v>41.558677894559757</v>
      </c>
      <c r="I416" s="113">
        <f>Gasto_o_ing_total!H416*1000/Gasto_o_ing_total!H$485</f>
        <v>34.459966984349499</v>
      </c>
      <c r="J416" s="113">
        <f>Gasto_o_ing_total!I416*1000/Gasto_o_ing_total!I$485</f>
        <v>46.524704752289288</v>
      </c>
      <c r="K416" s="113">
        <f>Gasto_o_ing_total!J416*1000/Gasto_o_ing_total!J$485</f>
        <v>45.128443081884562</v>
      </c>
      <c r="L416" s="113">
        <f>Gasto_o_ing_total!K416*1000/Gasto_o_ing_total!K$485</f>
        <v>36.439752785831857</v>
      </c>
      <c r="M416" s="113">
        <f>Gasto_o_ing_total!L416*1000/Gasto_o_ing_total!L$485</f>
        <v>43.054186854082708</v>
      </c>
      <c r="N416" s="113">
        <f>Gasto_o_ing_total!M416*1000/Gasto_o_ing_total!M$485</f>
        <v>41.088379623478886</v>
      </c>
      <c r="O416" s="113">
        <f>Gasto_o_ing_total!N416*1000/Gasto_o_ing_total!N$485</f>
        <v>35.049415836189624</v>
      </c>
      <c r="P416" s="113">
        <f>Gasto_o_ing_total!O416*1000/Gasto_o_ing_total!O$485</f>
        <v>47.475196128098077</v>
      </c>
      <c r="Q416" s="113">
        <f>Gasto_o_ing_total!P416*1000/Gasto_o_ing_total!P$485</f>
        <v>44.367559995449795</v>
      </c>
      <c r="R416" s="113">
        <f>Gasto_o_ing_total!Q416*1000/Gasto_o_ing_total!Q$485</f>
        <v>34.74578118357914</v>
      </c>
      <c r="S416" s="113">
        <f>Gasto_o_ing_total!R416*1000/Gasto_o_ing_total!R$485</f>
        <v>43.864094681462561</v>
      </c>
      <c r="T416" s="113">
        <f>Gasto_o_ing_total!S416*1000/Gasto_o_ing_total!S$485</f>
        <v>51.677233033422887</v>
      </c>
      <c r="U416" s="113">
        <f>Gasto_o_ing_total!T416*1000/Gasto_o_ing_total!T$485</f>
        <v>41.832946489028316</v>
      </c>
      <c r="V416" s="113">
        <f>Gasto_o_ing_total!U416*1000/Gasto_o_ing_total!U$485</f>
        <v>46.59736140184576</v>
      </c>
      <c r="W416" s="105"/>
    </row>
    <row r="417" spans="1:23" s="102" customFormat="1">
      <c r="A417" s="351" t="str">
        <f>IF(B417="","",(IF(ISERROR(MATCH(B417,Tot_res!C:C,0)),"Eliminar!!!","")))</f>
        <v/>
      </c>
      <c r="B417" s="115" t="s">
        <v>383</v>
      </c>
      <c r="C417" s="329" t="str">
        <f>VLOOKUP(B417,Tot_res!C:D,2,FALSE)</f>
        <v>Inspección y control de seguridad y protección social</v>
      </c>
      <c r="D417" s="332">
        <f>Gasto_o_ing_total!V417*1000/Gasto_o_ing_total!V$485</f>
        <v>2.5556834329554898</v>
      </c>
      <c r="E417" s="332">
        <f>Gasto_o_ing_total!D417*1000/Gasto_o_ing_total!D$485</f>
        <v>2.6870863130666831</v>
      </c>
      <c r="F417" s="332">
        <f>Gasto_o_ing_total!E417*1000/Gasto_o_ing_total!E$485</f>
        <v>3.8828376785182517</v>
      </c>
      <c r="G417" s="332">
        <f>Gasto_o_ing_total!F417*1000/Gasto_o_ing_total!F$485</f>
        <v>3.2646902935380595</v>
      </c>
      <c r="H417" s="332">
        <f>Gasto_o_ing_total!G417*1000/Gasto_o_ing_total!G$485</f>
        <v>4.6132937327808854</v>
      </c>
      <c r="I417" s="332">
        <f>Gasto_o_ing_total!H417*1000/Gasto_o_ing_total!H$485</f>
        <v>3.3842344538963456</v>
      </c>
      <c r="J417" s="332">
        <f>Gasto_o_ing_total!I417*1000/Gasto_o_ing_total!I$485</f>
        <v>3.3955025215430905</v>
      </c>
      <c r="K417" s="332">
        <f>Gasto_o_ing_total!J417*1000/Gasto_o_ing_total!J$485</f>
        <v>4.464262106484373</v>
      </c>
      <c r="L417" s="332">
        <f>Gasto_o_ing_total!K417*1000/Gasto_o_ing_total!K$485</f>
        <v>3.0024811994469438</v>
      </c>
      <c r="M417" s="332">
        <f>Gasto_o_ing_total!L417*1000/Gasto_o_ing_total!L$485</f>
        <v>5.0483929578858174E-2</v>
      </c>
      <c r="N417" s="332">
        <f>Gasto_o_ing_total!M417*1000/Gasto_o_ing_total!M$485</f>
        <v>2.7503310383066566</v>
      </c>
      <c r="O417" s="332">
        <f>Gasto_o_ing_total!N417*1000/Gasto_o_ing_total!N$485</f>
        <v>3.0611946201664262</v>
      </c>
      <c r="P417" s="332">
        <f>Gasto_o_ing_total!O417*1000/Gasto_o_ing_total!O$485</f>
        <v>3.0644383086401326</v>
      </c>
      <c r="Q417" s="332">
        <f>Gasto_o_ing_total!P417*1000/Gasto_o_ing_total!P$485</f>
        <v>3.0700669142914934</v>
      </c>
      <c r="R417" s="332">
        <f>Gasto_o_ing_total!Q417*1000/Gasto_o_ing_total!Q$485</f>
        <v>2.1543114067318601</v>
      </c>
      <c r="S417" s="332">
        <f>Gasto_o_ing_total!R417*1000/Gasto_o_ing_total!R$485</f>
        <v>2.8151095557956074</v>
      </c>
      <c r="T417" s="332">
        <f>Gasto_o_ing_total!S417*1000/Gasto_o_ing_total!S$485</f>
        <v>2.2084138036773853</v>
      </c>
      <c r="U417" s="332">
        <f>Gasto_o_ing_total!T417*1000/Gasto_o_ing_total!T$485</f>
        <v>2.9197017404387235</v>
      </c>
      <c r="V417" s="332">
        <f>Gasto_o_ing_total!U417*1000/Gasto_o_ing_total!U$485</f>
        <v>1.8274532548837894</v>
      </c>
      <c r="W417" s="105"/>
    </row>
    <row r="418" spans="1:23" s="102" customFormat="1">
      <c r="A418" s="351" t="str">
        <f>IF(B418="","",(IF(ISERROR(MATCH(B418,Tot_res!C:C,0)),"Eliminar!!!","")))</f>
        <v/>
      </c>
      <c r="B418" s="115" t="s">
        <v>384</v>
      </c>
      <c r="C418" s="329" t="str">
        <f>VLOOKUP(B418,Tot_res!C:D,2,FALSE)</f>
        <v>Dirección y servicios generales de seguridad social y protección social</v>
      </c>
      <c r="D418" s="332">
        <f>Gasto_o_ing_total!V418*1000/Gasto_o_ing_total!V$485</f>
        <v>2.8826235923030441</v>
      </c>
      <c r="E418" s="332">
        <f>Gasto_o_ing_total!D418*1000/Gasto_o_ing_total!D$485</f>
        <v>2.6950153799822369</v>
      </c>
      <c r="F418" s="332">
        <f>Gasto_o_ing_total!E418*1000/Gasto_o_ing_total!E$485</f>
        <v>3.0130163909258125</v>
      </c>
      <c r="G418" s="332">
        <f>Gasto_o_ing_total!F418*1000/Gasto_o_ing_total!F$485</f>
        <v>3.5453731977303247</v>
      </c>
      <c r="H418" s="332">
        <f>Gasto_o_ing_total!G418*1000/Gasto_o_ing_total!G$485</f>
        <v>2.6707701306759346</v>
      </c>
      <c r="I418" s="332">
        <f>Gasto_o_ing_total!H418*1000/Gasto_o_ing_total!H$485</f>
        <v>2.554402384034026</v>
      </c>
      <c r="J418" s="332">
        <f>Gasto_o_ing_total!I418*1000/Gasto_o_ing_total!I$485</f>
        <v>3.1015367804191598</v>
      </c>
      <c r="K418" s="332">
        <f>Gasto_o_ing_total!J418*1000/Gasto_o_ing_total!J$485</f>
        <v>2.9937697892318775</v>
      </c>
      <c r="L418" s="332">
        <f>Gasto_o_ing_total!K418*1000/Gasto_o_ing_total!K$485</f>
        <v>2.6481772137786033</v>
      </c>
      <c r="M418" s="332">
        <f>Gasto_o_ing_total!L418*1000/Gasto_o_ing_total!L$485</f>
        <v>3.0449702805623775</v>
      </c>
      <c r="N418" s="332">
        <f>Gasto_o_ing_total!M418*1000/Gasto_o_ing_total!M$485</f>
        <v>2.7445224854858239</v>
      </c>
      <c r="O418" s="332">
        <f>Gasto_o_ing_total!N418*1000/Gasto_o_ing_total!N$485</f>
        <v>2.7110638741054558</v>
      </c>
      <c r="P418" s="332">
        <f>Gasto_o_ing_total!O418*1000/Gasto_o_ing_total!O$485</f>
        <v>2.9881138909905411</v>
      </c>
      <c r="Q418" s="332">
        <f>Gasto_o_ing_total!P418*1000/Gasto_o_ing_total!P$485</f>
        <v>2.9311165880948251</v>
      </c>
      <c r="R418" s="332">
        <f>Gasto_o_ing_total!Q418*1000/Gasto_o_ing_total!Q$485</f>
        <v>2.6091800765571258</v>
      </c>
      <c r="S418" s="332">
        <f>Gasto_o_ing_total!R418*1000/Gasto_o_ing_total!R$485</f>
        <v>3.0213451494735657</v>
      </c>
      <c r="T418" s="332">
        <f>Gasto_o_ing_total!S418*1000/Gasto_o_ing_total!S$485</f>
        <v>3.3631794847904106</v>
      </c>
      <c r="U418" s="332">
        <f>Gasto_o_ing_total!T418*1000/Gasto_o_ing_total!T$485</f>
        <v>2.8527216419456631</v>
      </c>
      <c r="V418" s="332">
        <f>Gasto_o_ing_total!U418*1000/Gasto_o_ing_total!U$485</f>
        <v>3.0828283012290898</v>
      </c>
      <c r="W418" s="105"/>
    </row>
    <row r="419" spans="1:23" s="102" customFormat="1">
      <c r="A419" s="351" t="str">
        <f>IF(B419="","",(IF(ISERROR(MATCH(B419,Tot_res!C:C,0)),"Eliminar!!!","")))</f>
        <v/>
      </c>
      <c r="B419" s="115" t="s">
        <v>624</v>
      </c>
      <c r="C419" s="329" t="str">
        <f>VLOOKUP(B419,Tot_res!C:D,2,FALSE)</f>
        <v>Gestión de Cotización y Recaudación</v>
      </c>
      <c r="D419" s="332">
        <f>Gasto_o_ing_total!V419*1000/Gasto_o_ing_total!V$485</f>
        <v>9.3260767163823939</v>
      </c>
      <c r="E419" s="332">
        <f>Gasto_o_ing_total!D419*1000/Gasto_o_ing_total!D$485</f>
        <v>7.9846229916834481</v>
      </c>
      <c r="F419" s="332">
        <f>Gasto_o_ing_total!E419*1000/Gasto_o_ing_total!E$485</f>
        <v>10.320865634873345</v>
      </c>
      <c r="G419" s="332">
        <f>Gasto_o_ing_total!F419*1000/Gasto_o_ing_total!F$485</f>
        <v>13.138502236244554</v>
      </c>
      <c r="H419" s="332">
        <f>Gasto_o_ing_total!G419*1000/Gasto_o_ing_total!G$485</f>
        <v>8.0441054394989457</v>
      </c>
      <c r="I419" s="332">
        <f>Gasto_o_ing_total!H419*1000/Gasto_o_ing_total!H$485</f>
        <v>7.1666092692759689</v>
      </c>
      <c r="J419" s="332">
        <f>Gasto_o_ing_total!I419*1000/Gasto_o_ing_total!I$485</f>
        <v>10.554183929565657</v>
      </c>
      <c r="K419" s="332">
        <f>Gasto_o_ing_total!J419*1000/Gasto_o_ing_total!J$485</f>
        <v>10.230045417793018</v>
      </c>
      <c r="L419" s="332">
        <f>Gasto_o_ing_total!K419*1000/Gasto_o_ing_total!K$485</f>
        <v>8.1655405846831108</v>
      </c>
      <c r="M419" s="332">
        <f>Gasto_o_ing_total!L419*1000/Gasto_o_ing_total!L$485</f>
        <v>10.29667475021617</v>
      </c>
      <c r="N419" s="332">
        <f>Gasto_o_ing_total!M419*1000/Gasto_o_ing_total!M$485</f>
        <v>8.531380277146015</v>
      </c>
      <c r="O419" s="332">
        <f>Gasto_o_ing_total!N419*1000/Gasto_o_ing_total!N$485</f>
        <v>8.2429935923008255</v>
      </c>
      <c r="P419" s="332">
        <f>Gasto_o_ing_total!O419*1000/Gasto_o_ing_total!O$485</f>
        <v>10.157338609809042</v>
      </c>
      <c r="Q419" s="332">
        <f>Gasto_o_ing_total!P419*1000/Gasto_o_ing_total!P$485</f>
        <v>9.6788504427242632</v>
      </c>
      <c r="R419" s="332">
        <f>Gasto_o_ing_total!Q419*1000/Gasto_o_ing_total!Q$485</f>
        <v>7.7315027523853805</v>
      </c>
      <c r="S419" s="332">
        <f>Gasto_o_ing_total!R419*1000/Gasto_o_ing_total!R$485</f>
        <v>10.440584361827113</v>
      </c>
      <c r="T419" s="332">
        <f>Gasto_o_ing_total!S419*1000/Gasto_o_ing_total!S$485</f>
        <v>12.378460274736657</v>
      </c>
      <c r="U419" s="332">
        <f>Gasto_o_ing_total!T419*1000/Gasto_o_ing_total!T$485</f>
        <v>9.3792515262015836</v>
      </c>
      <c r="V419" s="332">
        <f>Gasto_o_ing_total!U419*1000/Gasto_o_ing_total!U$485</f>
        <v>6.7002426955596661</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Gasto_o_ing_total!V420*1000/Gasto_o_ing_total!V$485</f>
        <v>2.1300987900698614</v>
      </c>
      <c r="E420" s="332">
        <f>Gasto_o_ing_total!D420*1000/Gasto_o_ing_total!D$485</f>
        <v>1.8456139190196121</v>
      </c>
      <c r="F420" s="332">
        <f>Gasto_o_ing_total!E420*1000/Gasto_o_ing_total!E$485</f>
        <v>2.3480211833421785</v>
      </c>
      <c r="G420" s="332">
        <f>Gasto_o_ing_total!F420*1000/Gasto_o_ing_total!F$485</f>
        <v>3.3040516889148805</v>
      </c>
      <c r="H420" s="332">
        <f>Gasto_o_ing_total!G420*1000/Gasto_o_ing_total!G$485</f>
        <v>1.7491578128133187</v>
      </c>
      <c r="I420" s="332">
        <f>Gasto_o_ing_total!H420*1000/Gasto_o_ing_total!H$485</f>
        <v>1.576889696109514</v>
      </c>
      <c r="J420" s="332">
        <f>Gasto_o_ing_total!I420*1000/Gasto_o_ing_total!I$485</f>
        <v>2.5087831843510302</v>
      </c>
      <c r="K420" s="332">
        <f>Gasto_o_ing_total!J420*1000/Gasto_o_ing_total!J$485</f>
        <v>2.3516851333642657</v>
      </c>
      <c r="L420" s="332">
        <f>Gasto_o_ing_total!K420*1000/Gasto_o_ing_total!K$485</f>
        <v>1.741838643847109</v>
      </c>
      <c r="M420" s="332">
        <f>Gasto_o_ing_total!L420*1000/Gasto_o_ing_total!L$485</f>
        <v>2.3990420302674584</v>
      </c>
      <c r="N420" s="332">
        <f>Gasto_o_ing_total!M420*1000/Gasto_o_ing_total!M$485</f>
        <v>1.8802795795647702</v>
      </c>
      <c r="O420" s="332">
        <f>Gasto_o_ing_total!N420*1000/Gasto_o_ing_total!N$485</f>
        <v>1.8761111245675772</v>
      </c>
      <c r="P420" s="332">
        <f>Gasto_o_ing_total!O420*1000/Gasto_o_ing_total!O$485</f>
        <v>2.3251672722137045</v>
      </c>
      <c r="Q420" s="332">
        <f>Gasto_o_ing_total!P420*1000/Gasto_o_ing_total!P$485</f>
        <v>2.1466938045117647</v>
      </c>
      <c r="R420" s="332">
        <f>Gasto_o_ing_total!Q420*1000/Gasto_o_ing_total!Q$485</f>
        <v>1.6538327894566902</v>
      </c>
      <c r="S420" s="332">
        <f>Gasto_o_ing_total!R420*1000/Gasto_o_ing_total!R$485</f>
        <v>2.3651955592016747</v>
      </c>
      <c r="T420" s="332">
        <f>Gasto_o_ing_total!S420*1000/Gasto_o_ing_total!S$485</f>
        <v>2.9675526742888967</v>
      </c>
      <c r="U420" s="332">
        <f>Gasto_o_ing_total!T420*1000/Gasto_o_ing_total!T$485</f>
        <v>2.0884619451117459</v>
      </c>
      <c r="V420" s="332">
        <f>Gasto_o_ing_total!U420*1000/Gasto_o_ing_total!U$485</f>
        <v>2.5281463700659503</v>
      </c>
      <c r="W420" s="105"/>
    </row>
    <row r="421" spans="1:23" s="102" customFormat="1">
      <c r="A421" s="351" t="str">
        <f>IF(B421="","",(IF(ISERROR(MATCH(B421,Tot_res!C:C,0)),"Eliminar!!!","")))</f>
        <v/>
      </c>
      <c r="B421" s="115" t="s">
        <v>975</v>
      </c>
      <c r="C421" s="329" t="str">
        <f>VLOOKUP(B421,Tot_res!C:D,2,FALSE)</f>
        <v>Gestión del Patrimonio, TGSS</v>
      </c>
      <c r="D421" s="332">
        <f>Gasto_o_ing_total!V421*1000/Gasto_o_ing_total!V$485</f>
        <v>0.18940617826792777</v>
      </c>
      <c r="E421" s="332">
        <f>Gasto_o_ing_total!D421*1000/Gasto_o_ing_total!D$485</f>
        <v>0.15582387031199421</v>
      </c>
      <c r="F421" s="332">
        <f>Gasto_o_ing_total!E421*1000/Gasto_o_ing_total!E$485</f>
        <v>0.21708029624638231</v>
      </c>
      <c r="G421" s="332">
        <f>Gasto_o_ing_total!F421*1000/Gasto_o_ing_total!F$485</f>
        <v>0.31191008868299208</v>
      </c>
      <c r="H421" s="332">
        <f>Gasto_o_ing_total!G421*1000/Gasto_o_ing_total!G$485</f>
        <v>0.14266861895824698</v>
      </c>
      <c r="I421" s="332">
        <f>Gasto_o_ing_total!H421*1000/Gasto_o_ing_total!H$485</f>
        <v>0.12880325061101605</v>
      </c>
      <c r="J421" s="332">
        <f>Gasto_o_ing_total!I421*1000/Gasto_o_ing_total!I$485</f>
        <v>0.22996727122656516</v>
      </c>
      <c r="K421" s="332">
        <f>Gasto_o_ing_total!J421*1000/Gasto_o_ing_total!J$485</f>
        <v>0.22371025365973188</v>
      </c>
      <c r="L421" s="332">
        <f>Gasto_o_ing_total!K421*1000/Gasto_o_ing_total!K$485</f>
        <v>0.15537867001543521</v>
      </c>
      <c r="M421" s="332">
        <f>Gasto_o_ing_total!L421*1000/Gasto_o_ing_total!L$485</f>
        <v>0.21522963505133774</v>
      </c>
      <c r="N421" s="332">
        <f>Gasto_o_ing_total!M421*1000/Gasto_o_ing_total!M$485</f>
        <v>0.16544658456626515</v>
      </c>
      <c r="O421" s="332">
        <f>Gasto_o_ing_total!N421*1000/Gasto_o_ing_total!N$485</f>
        <v>0.16409458297248766</v>
      </c>
      <c r="P421" s="332">
        <f>Gasto_o_ing_total!O421*1000/Gasto_o_ing_total!O$485</f>
        <v>0.22121565106905566</v>
      </c>
      <c r="Q421" s="332">
        <f>Gasto_o_ing_total!P421*1000/Gasto_o_ing_total!P$485</f>
        <v>0.18637702140952059</v>
      </c>
      <c r="R421" s="332">
        <f>Gasto_o_ing_total!Q421*1000/Gasto_o_ing_total!Q$485</f>
        <v>0.14290017898900323</v>
      </c>
      <c r="S421" s="332">
        <f>Gasto_o_ing_total!R421*1000/Gasto_o_ing_total!R$485</f>
        <v>0.21271039220030583</v>
      </c>
      <c r="T421" s="332">
        <f>Gasto_o_ing_total!S421*1000/Gasto_o_ing_total!S$485</f>
        <v>0.27728910474583957</v>
      </c>
      <c r="U421" s="332">
        <f>Gasto_o_ing_total!T421*1000/Gasto_o_ing_total!T$485</f>
        <v>0.19005208502116283</v>
      </c>
      <c r="V421" s="332">
        <f>Gasto_o_ing_total!U421*1000/Gasto_o_ing_total!U$485</f>
        <v>0.20673726279040255</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Gasto_o_ing_total!V422*1000/Gasto_o_ing_total!V$485</f>
        <v>5.0421380503687514</v>
      </c>
      <c r="E422" s="332">
        <f>Gasto_o_ing_total!D422*1000/Gasto_o_ing_total!D$485</f>
        <v>4.1481511999277396</v>
      </c>
      <c r="F422" s="332">
        <f>Gasto_o_ing_total!E422*1000/Gasto_o_ing_total!E$485</f>
        <v>5.7788443423471252</v>
      </c>
      <c r="G422" s="332">
        <f>Gasto_o_ing_total!F422*1000/Gasto_o_ing_total!F$485</f>
        <v>8.30328630683697</v>
      </c>
      <c r="H422" s="332">
        <f>Gasto_o_ing_total!G422*1000/Gasto_o_ing_total!G$485</f>
        <v>3.7979482972586149</v>
      </c>
      <c r="I422" s="332">
        <f>Gasto_o_ing_total!H422*1000/Gasto_o_ing_total!H$485</f>
        <v>3.4288415343997096</v>
      </c>
      <c r="J422" s="332">
        <f>Gasto_o_ing_total!I422*1000/Gasto_o_ing_total!I$485</f>
        <v>6.1219055217444236</v>
      </c>
      <c r="K422" s="332">
        <f>Gasto_o_ing_total!J422*1000/Gasto_o_ing_total!J$485</f>
        <v>5.9553389047308629</v>
      </c>
      <c r="L422" s="332">
        <f>Gasto_o_ing_total!K422*1000/Gasto_o_ing_total!K$485</f>
        <v>4.1362996258352602</v>
      </c>
      <c r="M422" s="332">
        <f>Gasto_o_ing_total!L422*1000/Gasto_o_ing_total!L$485</f>
        <v>5.7295783188456353</v>
      </c>
      <c r="N422" s="332">
        <f>Gasto_o_ing_total!M422*1000/Gasto_o_ing_total!M$485</f>
        <v>4.404315249764867</v>
      </c>
      <c r="O422" s="332">
        <f>Gasto_o_ing_total!N422*1000/Gasto_o_ing_total!N$485</f>
        <v>4.3683239281380635</v>
      </c>
      <c r="P422" s="332">
        <f>Gasto_o_ing_total!O422*1000/Gasto_o_ing_total!O$485</f>
        <v>5.8889306663195251</v>
      </c>
      <c r="Q422" s="332">
        <f>Gasto_o_ing_total!P422*1000/Gasto_o_ing_total!P$485</f>
        <v>4.9614995664714376</v>
      </c>
      <c r="R422" s="332">
        <f>Gasto_o_ing_total!Q422*1000/Gasto_o_ing_total!Q$485</f>
        <v>3.8041126032632957</v>
      </c>
      <c r="S422" s="332">
        <f>Gasto_o_ing_total!R422*1000/Gasto_o_ing_total!R$485</f>
        <v>5.6625141377641759</v>
      </c>
      <c r="T422" s="332">
        <f>Gasto_o_ing_total!S422*1000/Gasto_o_ing_total!S$485</f>
        <v>7.3816491034095826</v>
      </c>
      <c r="U422" s="332">
        <f>Gasto_o_ing_total!T422*1000/Gasto_o_ing_total!T$485</f>
        <v>5.0593325846086543</v>
      </c>
      <c r="V422" s="332">
        <f>Gasto_o_ing_total!U422*1000/Gasto_o_ing_total!U$485</f>
        <v>5.5035048416954551</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Gasto_o_ing_total!V423*1000/Gasto_o_ing_total!V$485</f>
        <v>4.903369430525208</v>
      </c>
      <c r="E423" s="332">
        <f>Gasto_o_ing_total!D423*1000/Gasto_o_ing_total!D$485</f>
        <v>4.6809470390964778</v>
      </c>
      <c r="F423" s="332">
        <f>Gasto_o_ing_total!E423*1000/Gasto_o_ing_total!E$485</f>
        <v>5.7804459889625841</v>
      </c>
      <c r="G423" s="332">
        <f>Gasto_o_ing_total!F423*1000/Gasto_o_ing_total!F$485</f>
        <v>7.0940932396707064</v>
      </c>
      <c r="H423" s="332">
        <f>Gasto_o_ing_total!G423*1000/Gasto_o_ing_total!G$485</f>
        <v>4.9530484260478627</v>
      </c>
      <c r="I423" s="332">
        <f>Gasto_o_ing_total!H423*1000/Gasto_o_ing_total!H$485</f>
        <v>4.2785224395747381</v>
      </c>
      <c r="J423" s="332">
        <f>Gasto_o_ing_total!I423*1000/Gasto_o_ing_total!I$485</f>
        <v>7.1115712290500621</v>
      </c>
      <c r="K423" s="332">
        <f>Gasto_o_ing_total!J423*1000/Gasto_o_ing_total!J$485</f>
        <v>5.4937620704994092</v>
      </c>
      <c r="L423" s="332">
        <f>Gasto_o_ing_total!K423*1000/Gasto_o_ing_total!K$485</f>
        <v>4.054518681706619</v>
      </c>
      <c r="M423" s="332">
        <f>Gasto_o_ing_total!L423*1000/Gasto_o_ing_total!L$485</f>
        <v>4.3627523611147589</v>
      </c>
      <c r="N423" s="332">
        <f>Gasto_o_ing_total!M423*1000/Gasto_o_ing_total!M$485</f>
        <v>4.5688668759545594</v>
      </c>
      <c r="O423" s="332">
        <f>Gasto_o_ing_total!N423*1000/Gasto_o_ing_total!N$485</f>
        <v>4.7449979193902694</v>
      </c>
      <c r="P423" s="332">
        <f>Gasto_o_ing_total!O423*1000/Gasto_o_ing_total!O$485</f>
        <v>8.0749929897325003</v>
      </c>
      <c r="Q423" s="332">
        <f>Gasto_o_ing_total!P423*1000/Gasto_o_ing_total!P$485</f>
        <v>3.5329360372874432</v>
      </c>
      <c r="R423" s="332">
        <f>Gasto_o_ing_total!Q423*1000/Gasto_o_ing_total!Q$485</f>
        <v>3.8159847990543661</v>
      </c>
      <c r="S423" s="332">
        <f>Gasto_o_ing_total!R423*1000/Gasto_o_ing_total!R$485</f>
        <v>4.1857861878746041</v>
      </c>
      <c r="T423" s="332">
        <f>Gasto_o_ing_total!S423*1000/Gasto_o_ing_total!S$485</f>
        <v>7.2777140619987346</v>
      </c>
      <c r="U423" s="332">
        <f>Gasto_o_ing_total!T423*1000/Gasto_o_ing_total!T$485</f>
        <v>4.5680982269587842</v>
      </c>
      <c r="V423" s="332">
        <f>Gasto_o_ing_total!U423*1000/Gasto_o_ing_total!U$485</f>
        <v>14.680499325477918</v>
      </c>
      <c r="W423" s="114"/>
    </row>
    <row r="424" spans="1:23" s="102" customFormat="1">
      <c r="A424" s="351" t="str">
        <f>IF(B424="","",(IF(ISERROR(MATCH(B424,Tot_res!C:C,0)),"Eliminar!!!","")))</f>
        <v/>
      </c>
      <c r="B424" s="115" t="s">
        <v>977</v>
      </c>
      <c r="C424" s="329" t="str">
        <f>VLOOKUP(B424,Tot_res!C:D,2,FALSE)</f>
        <v>Admón. y Servic. Generales, Mutuas</v>
      </c>
      <c r="D424" s="332">
        <f>Gasto_o_ing_total!V424*1000/Gasto_o_ing_total!V$485</f>
        <v>12.398315942414218</v>
      </c>
      <c r="E424" s="332">
        <f>Gasto_o_ing_total!D424*1000/Gasto_o_ing_total!D$485</f>
        <v>8.548723691177269</v>
      </c>
      <c r="F424" s="332">
        <f>Gasto_o_ing_total!E424*1000/Gasto_o_ing_total!E$485</f>
        <v>12.93027592919783</v>
      </c>
      <c r="G424" s="332">
        <f>Gasto_o_ing_total!F424*1000/Gasto_o_ing_total!F$485</f>
        <v>12.463057657117037</v>
      </c>
      <c r="H424" s="332">
        <f>Gasto_o_ing_total!G424*1000/Gasto_o_ing_total!G$485</f>
        <v>14.370042382926991</v>
      </c>
      <c r="I424" s="332">
        <f>Gasto_o_ing_total!H424*1000/Gasto_o_ing_total!H$485</f>
        <v>10.84235855535386</v>
      </c>
      <c r="J424" s="332">
        <f>Gasto_o_ing_total!I424*1000/Gasto_o_ing_total!I$485</f>
        <v>11.538537829090712</v>
      </c>
      <c r="K424" s="332">
        <f>Gasto_o_ing_total!J424*1000/Gasto_o_ing_total!J$485</f>
        <v>11.50655509175626</v>
      </c>
      <c r="L424" s="332">
        <f>Gasto_o_ing_total!K424*1000/Gasto_o_ing_total!K$485</f>
        <v>11.20939782132143</v>
      </c>
      <c r="M424" s="332">
        <f>Gasto_o_ing_total!L424*1000/Gasto_o_ing_total!L$485</f>
        <v>12.81030140319762</v>
      </c>
      <c r="N424" s="332">
        <f>Gasto_o_ing_total!M424*1000/Gasto_o_ing_total!M$485</f>
        <v>14.631189908553733</v>
      </c>
      <c r="O424" s="332">
        <f>Gasto_o_ing_total!N424*1000/Gasto_o_ing_total!N$485</f>
        <v>8.4801275855169713</v>
      </c>
      <c r="P424" s="332">
        <f>Gasto_o_ing_total!O424*1000/Gasto_o_ing_total!O$485</f>
        <v>12.866975270403364</v>
      </c>
      <c r="Q424" s="332">
        <f>Gasto_o_ing_total!P424*1000/Gasto_o_ing_total!P$485</f>
        <v>16.269335648760631</v>
      </c>
      <c r="R424" s="332">
        <f>Gasto_o_ing_total!Q424*1000/Gasto_o_ing_total!Q$485</f>
        <v>11.61433721322979</v>
      </c>
      <c r="S424" s="332">
        <f>Gasto_o_ing_total!R424*1000/Gasto_o_ing_total!R$485</f>
        <v>13.345416249220758</v>
      </c>
      <c r="T424" s="332">
        <f>Gasto_o_ing_total!S424*1000/Gasto_o_ing_total!S$485</f>
        <v>13.456377339247236</v>
      </c>
      <c r="U424" s="332">
        <f>Gasto_o_ing_total!T424*1000/Gasto_o_ing_total!T$485</f>
        <v>13.153276964672608</v>
      </c>
      <c r="V424" s="332">
        <f>Gasto_o_ing_total!U424*1000/Gasto_o_ing_total!U$485</f>
        <v>10.303495514430212</v>
      </c>
      <c r="W424" s="105"/>
    </row>
    <row r="425" spans="1:23" s="102" customFormat="1">
      <c r="A425" s="351" t="str">
        <f>IF(B425="","",(IF(ISERROR(MATCH(B425,Tot_res!C:C,0)),"Eliminar!!!","")))</f>
        <v/>
      </c>
      <c r="B425" s="115" t="s">
        <v>387</v>
      </c>
      <c r="C425" s="329" t="str">
        <f>VLOOKUP(B425,Tot_res!C:D,2,FALSE)</f>
        <v xml:space="preserve"> Control Interno y Contabilidad</v>
      </c>
      <c r="D425" s="332">
        <f>Gasto_o_ing_total!V425*1000/Gasto_o_ing_total!V$485</f>
        <v>1.5744552842103914</v>
      </c>
      <c r="E425" s="332">
        <f>Gasto_o_ing_total!D425*1000/Gasto_o_ing_total!D$485</f>
        <v>1.2952994367046853</v>
      </c>
      <c r="F425" s="332">
        <f>Gasto_o_ing_total!E425*1000/Gasto_o_ing_total!E$485</f>
        <v>1.8044987901059835</v>
      </c>
      <c r="G425" s="332">
        <f>Gasto_o_ing_total!F425*1000/Gasto_o_ing_total!F$485</f>
        <v>2.5927796644035079</v>
      </c>
      <c r="H425" s="332">
        <f>Gasto_o_ing_total!G425*1000/Gasto_o_ing_total!G$485</f>
        <v>1.1859452688605707</v>
      </c>
      <c r="I425" s="332">
        <f>Gasto_o_ing_total!H425*1000/Gasto_o_ing_total!H$485</f>
        <v>1.0706881919190749</v>
      </c>
      <c r="J425" s="332">
        <f>Gasto_o_ing_total!I425*1000/Gasto_o_ing_total!I$485</f>
        <v>1.9116228873270074</v>
      </c>
      <c r="K425" s="332">
        <f>Gasto_o_ing_total!J425*1000/Gasto_o_ing_total!J$485</f>
        <v>1.8596108861262726</v>
      </c>
      <c r="L425" s="332">
        <f>Gasto_o_ing_total!K425*1000/Gasto_o_ing_total!K$485</f>
        <v>1.2915986706269398</v>
      </c>
      <c r="M425" s="332">
        <f>Gasto_o_ing_total!L425*1000/Gasto_o_ing_total!L$485</f>
        <v>1.7891150084127632</v>
      </c>
      <c r="N425" s="332">
        <f>Gasto_o_ing_total!M425*1000/Gasto_o_ing_total!M$485</f>
        <v>1.3752890835294689</v>
      </c>
      <c r="O425" s="332">
        <f>Gasto_o_ing_total!N425*1000/Gasto_o_ing_total!N$485</f>
        <v>1.3640504530209501</v>
      </c>
      <c r="P425" s="332">
        <f>Gasto_o_ing_total!O425*1000/Gasto_o_ing_total!O$485</f>
        <v>1.8388742857322813</v>
      </c>
      <c r="Q425" s="332">
        <f>Gasto_o_ing_total!P425*1000/Gasto_o_ing_total!P$485</f>
        <v>1.5492751551035422</v>
      </c>
      <c r="R425" s="332">
        <f>Gasto_o_ing_total!Q425*1000/Gasto_o_ing_total!Q$485</f>
        <v>1.1878701316996296</v>
      </c>
      <c r="S425" s="332">
        <f>Gasto_o_ing_total!R425*1000/Gasto_o_ing_total!R$485</f>
        <v>1.7681735837174939</v>
      </c>
      <c r="T425" s="332">
        <f>Gasto_o_ing_total!S425*1000/Gasto_o_ing_total!S$485</f>
        <v>2.304989732718671</v>
      </c>
      <c r="U425" s="332">
        <f>Gasto_o_ing_total!T425*1000/Gasto_o_ing_total!T$485</f>
        <v>1.5798244401166981</v>
      </c>
      <c r="V425" s="332">
        <f>Gasto_o_ing_total!U425*1000/Gasto_o_ing_total!U$485</f>
        <v>1.7185214274431009</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Gasto_o_ing_total!V426*1000/Gasto_o_ing_total!V$485</f>
        <v>4.2081827879848425E-2</v>
      </c>
      <c r="E426" s="332">
        <f>Gasto_o_ing_total!D426*1000/Gasto_o_ing_total!D$485</f>
        <v>3.4620588145574352E-2</v>
      </c>
      <c r="F426" s="332">
        <f>Gasto_o_ing_total!E426*1000/Gasto_o_ing_total!E$485</f>
        <v>4.8230399590368705E-2</v>
      </c>
      <c r="G426" s="332">
        <f>Gasto_o_ing_total!F426*1000/Gasto_o_ing_total!F$485</f>
        <v>6.9299464177872167E-2</v>
      </c>
      <c r="H426" s="332">
        <f>Gasto_o_ing_total!G426*1000/Gasto_o_ing_total!G$485</f>
        <v>3.1697784738383306E-2</v>
      </c>
      <c r="I426" s="332">
        <f>Gasto_o_ing_total!H426*1000/Gasto_o_ing_total!H$485</f>
        <v>2.861720917524883E-2</v>
      </c>
      <c r="J426" s="332">
        <f>Gasto_o_ing_total!I426*1000/Gasto_o_ing_total!I$485</f>
        <v>5.1093597971579051E-2</v>
      </c>
      <c r="K426" s="332">
        <f>Gasto_o_ing_total!J426*1000/Gasto_o_ing_total!J$485</f>
        <v>4.9703428238487224E-2</v>
      </c>
      <c r="L426" s="332">
        <f>Gasto_o_ing_total!K426*1000/Gasto_o_ing_total!K$485</f>
        <v>3.4521674570403893E-2</v>
      </c>
      <c r="M426" s="332">
        <f>Gasto_o_ing_total!L426*1000/Gasto_o_ing_total!L$485</f>
        <v>4.781922395404066E-2</v>
      </c>
      <c r="N426" s="332">
        <f>Gasto_o_ing_total!M426*1000/Gasto_o_ing_total!M$485</f>
        <v>3.6758540606725738E-2</v>
      </c>
      <c r="O426" s="332">
        <f>Gasto_o_ing_total!N426*1000/Gasto_o_ing_total!N$485</f>
        <v>3.6458156010600561E-2</v>
      </c>
      <c r="P426" s="332">
        <f>Gasto_o_ing_total!O426*1000/Gasto_o_ing_total!O$485</f>
        <v>4.9149183187932627E-2</v>
      </c>
      <c r="Q426" s="332">
        <f>Gasto_o_ing_total!P426*1000/Gasto_o_ing_total!P$485</f>
        <v>4.1408816794876124E-2</v>
      </c>
      <c r="R426" s="332">
        <f>Gasto_o_ing_total!Q426*1000/Gasto_o_ing_total!Q$485</f>
        <v>3.174923221199398E-2</v>
      </c>
      <c r="S426" s="332">
        <f>Gasto_o_ing_total!R426*1000/Gasto_o_ing_total!R$485</f>
        <v>4.7259504387265491E-2</v>
      </c>
      <c r="T426" s="332">
        <f>Gasto_o_ing_total!S426*1000/Gasto_o_ing_total!S$485</f>
        <v>6.1607453809480989E-2</v>
      </c>
      <c r="U426" s="332">
        <f>Gasto_o_ing_total!T426*1000/Gasto_o_ing_total!T$485</f>
        <v>4.2225333952694795E-2</v>
      </c>
      <c r="V426" s="332">
        <f>Gasto_o_ing_total!U426*1000/Gasto_o_ing_total!U$485</f>
        <v>4.5932408270178735E-2</v>
      </c>
      <c r="W426" s="105"/>
    </row>
    <row r="427" spans="1:23" s="102" customFormat="1">
      <c r="A427" s="351" t="str">
        <f>IF(B427="","",(IF(ISERROR(MATCH(B427,Tot_res!C:C,0)),"Eliminar!!!","")))</f>
        <v/>
      </c>
      <c r="B427" s="115" t="s">
        <v>389</v>
      </c>
      <c r="C427" s="329" t="str">
        <f>VLOOKUP(B427,Tot_res!C:D,2,FALSE)</f>
        <v>Autorizaciones iniciales trabajo</v>
      </c>
      <c r="D427" s="332">
        <f>Gasto_o_ing_total!V427*1000/Gasto_o_ing_total!V$485</f>
        <v>7.49493706283791E-2</v>
      </c>
      <c r="E427" s="332">
        <f>Gasto_o_ing_total!D427*1000/Gasto_o_ing_total!D$485</f>
        <v>0</v>
      </c>
      <c r="F427" s="332">
        <f>Gasto_o_ing_total!E427*1000/Gasto_o_ing_total!E$485</f>
        <v>0</v>
      </c>
      <c r="G427" s="332">
        <f>Gasto_o_ing_total!F427*1000/Gasto_o_ing_total!F$485</f>
        <v>0</v>
      </c>
      <c r="H427" s="332">
        <f>Gasto_o_ing_total!G427*1000/Gasto_o_ing_total!G$485</f>
        <v>0</v>
      </c>
      <c r="I427" s="332">
        <f>Gasto_o_ing_total!H427*1000/Gasto_o_ing_total!H$485</f>
        <v>0</v>
      </c>
      <c r="J427" s="332">
        <f>Gasto_o_ing_total!I427*1000/Gasto_o_ing_total!I$485</f>
        <v>0</v>
      </c>
      <c r="K427" s="332">
        <f>Gasto_o_ing_total!J427*1000/Gasto_o_ing_total!J$485</f>
        <v>0</v>
      </c>
      <c r="L427" s="332">
        <f>Gasto_o_ing_total!K427*1000/Gasto_o_ing_total!K$485</f>
        <v>0</v>
      </c>
      <c r="M427" s="332">
        <f>Gasto_o_ing_total!L427*1000/Gasto_o_ing_total!L$485</f>
        <v>0.46582461341657749</v>
      </c>
      <c r="N427" s="332">
        <f>Gasto_o_ing_total!M427*1000/Gasto_o_ing_total!M$485</f>
        <v>0</v>
      </c>
      <c r="O427" s="332">
        <f>Gasto_o_ing_total!N427*1000/Gasto_o_ing_total!N$485</f>
        <v>0</v>
      </c>
      <c r="P427" s="332">
        <f>Gasto_o_ing_total!O427*1000/Gasto_o_ing_total!O$485</f>
        <v>0</v>
      </c>
      <c r="Q427" s="332">
        <f>Gasto_o_ing_total!P427*1000/Gasto_o_ing_total!P$485</f>
        <v>0</v>
      </c>
      <c r="R427" s="332">
        <f>Gasto_o_ing_total!Q427*1000/Gasto_o_ing_total!Q$485</f>
        <v>0</v>
      </c>
      <c r="S427" s="332">
        <f>Gasto_o_ing_total!R427*1000/Gasto_o_ing_total!R$485</f>
        <v>0</v>
      </c>
      <c r="T427" s="332">
        <f>Gasto_o_ing_total!S427*1000/Gasto_o_ing_total!S$485</f>
        <v>0</v>
      </c>
      <c r="U427" s="332">
        <f>Gasto_o_ing_total!T427*1000/Gasto_o_ing_total!T$485</f>
        <v>0</v>
      </c>
      <c r="V427" s="332">
        <f>Gasto_o_ing_total!U427*1000/Gasto_o_ing_total!U$485</f>
        <v>0</v>
      </c>
      <c r="W427" s="105"/>
    </row>
    <row r="428" spans="1:23" s="102" customFormat="1">
      <c r="A428" s="351" t="str">
        <f>IF(B428="","",(IF(ISERROR(MATCH(B428,Tot_res!C:C,0)),"Eliminar!!!","")))</f>
        <v/>
      </c>
      <c r="B428" s="115" t="s">
        <v>390</v>
      </c>
      <c r="C428" s="329" t="str">
        <f>VLOOKUP(B428,Tot_res!C:D,2,FALSE)</f>
        <v xml:space="preserve"> Inspección de trabajo</v>
      </c>
      <c r="D428" s="332">
        <f>Gasto_o_ing_total!V428*1000/Gasto_o_ing_total!V$485</f>
        <v>0.29643424620868214</v>
      </c>
      <c r="E428" s="332">
        <f>Gasto_o_ing_total!D428*1000/Gasto_o_ing_total!D$485</f>
        <v>0</v>
      </c>
      <c r="F428" s="332">
        <f>Gasto_o_ing_total!E428*1000/Gasto_o_ing_total!E$485</f>
        <v>0</v>
      </c>
      <c r="G428" s="332">
        <f>Gasto_o_ing_total!F428*1000/Gasto_o_ing_total!F$485</f>
        <v>0</v>
      </c>
      <c r="H428" s="332">
        <f>Gasto_o_ing_total!G428*1000/Gasto_o_ing_total!G$485</f>
        <v>0</v>
      </c>
      <c r="I428" s="332">
        <f>Gasto_o_ing_total!H428*1000/Gasto_o_ing_total!H$485</f>
        <v>0</v>
      </c>
      <c r="J428" s="332">
        <f>Gasto_o_ing_total!I428*1000/Gasto_o_ing_total!I$485</f>
        <v>0</v>
      </c>
      <c r="K428" s="332">
        <f>Gasto_o_ing_total!J428*1000/Gasto_o_ing_total!J$485</f>
        <v>0</v>
      </c>
      <c r="L428" s="332">
        <f>Gasto_o_ing_total!K428*1000/Gasto_o_ing_total!K$485</f>
        <v>0</v>
      </c>
      <c r="M428" s="332">
        <f>Gasto_o_ing_total!L428*1000/Gasto_o_ing_total!L$485</f>
        <v>1.8423952994651083</v>
      </c>
      <c r="N428" s="332">
        <f>Gasto_o_ing_total!M428*1000/Gasto_o_ing_total!M$485</f>
        <v>0</v>
      </c>
      <c r="O428" s="332">
        <f>Gasto_o_ing_total!N428*1000/Gasto_o_ing_total!N$485</f>
        <v>0</v>
      </c>
      <c r="P428" s="332">
        <f>Gasto_o_ing_total!O428*1000/Gasto_o_ing_total!O$485</f>
        <v>0</v>
      </c>
      <c r="Q428" s="332">
        <f>Gasto_o_ing_total!P428*1000/Gasto_o_ing_total!P$485</f>
        <v>0</v>
      </c>
      <c r="R428" s="332">
        <f>Gasto_o_ing_total!Q428*1000/Gasto_o_ing_total!Q$485</f>
        <v>0</v>
      </c>
      <c r="S428" s="332">
        <f>Gasto_o_ing_total!R428*1000/Gasto_o_ing_total!R$485</f>
        <v>0</v>
      </c>
      <c r="T428" s="332">
        <f>Gasto_o_ing_total!S428*1000/Gasto_o_ing_total!S$485</f>
        <v>0</v>
      </c>
      <c r="U428" s="332">
        <f>Gasto_o_ing_total!T428*1000/Gasto_o_ing_total!T$485</f>
        <v>0</v>
      </c>
      <c r="V428" s="332">
        <f>Gasto_o_ing_total!U428*1000/Gasto_o_ing_total!U$485</f>
        <v>0</v>
      </c>
      <c r="W428" s="105"/>
    </row>
    <row r="429" spans="1:23">
      <c r="A429" s="352"/>
      <c r="D429" s="19"/>
      <c r="E429" s="19"/>
      <c r="F429" s="19"/>
      <c r="G429" s="19"/>
      <c r="H429" s="19"/>
      <c r="I429" s="19"/>
      <c r="J429" s="19"/>
      <c r="K429" s="19"/>
      <c r="L429" s="19"/>
      <c r="M429" s="19"/>
      <c r="N429" s="19"/>
      <c r="O429" s="19"/>
      <c r="P429" s="19"/>
      <c r="Q429" s="19"/>
      <c r="R429" s="19"/>
      <c r="S429" s="19"/>
      <c r="T429" s="19"/>
      <c r="U429" s="19"/>
      <c r="V429" s="19"/>
      <c r="W429" s="2"/>
    </row>
    <row r="430" spans="1:23">
      <c r="A430" s="352"/>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Gasto_o_ing_total!V431*1000/Gasto_o_ing_total!V$485</f>
        <v>323.50522094645532</v>
      </c>
      <c r="E431" s="110">
        <f>Gasto_o_ing_total!D431*1000/Gasto_o_ing_total!D$485</f>
        <v>475.59448471555231</v>
      </c>
      <c r="F431" s="110">
        <f>Gasto_o_ing_total!E431*1000/Gasto_o_ing_total!E$485</f>
        <v>581.10094448912946</v>
      </c>
      <c r="G431" s="110">
        <f>Gasto_o_ing_total!F431*1000/Gasto_o_ing_total!F$485</f>
        <v>284.08509472697534</v>
      </c>
      <c r="H431" s="110">
        <f>Gasto_o_ing_total!G431*1000/Gasto_o_ing_total!G$485</f>
        <v>178.32598518316934</v>
      </c>
      <c r="I431" s="110">
        <f>Gasto_o_ing_total!H431*1000/Gasto_o_ing_total!H$485</f>
        <v>256.68994288227452</v>
      </c>
      <c r="J431" s="110">
        <f>Gasto_o_ing_total!I431*1000/Gasto_o_ing_total!I$485</f>
        <v>319.55326665105667</v>
      </c>
      <c r="K431" s="110">
        <f>Gasto_o_ing_total!J431*1000/Gasto_o_ing_total!J$485</f>
        <v>576.00646447084875</v>
      </c>
      <c r="L431" s="110">
        <f>Gasto_o_ing_total!K431*1000/Gasto_o_ing_total!K$485</f>
        <v>466.05700298144023</v>
      </c>
      <c r="M431" s="110">
        <f>Gasto_o_ing_total!L431*1000/Gasto_o_ing_total!L$485</f>
        <v>216.52402633035072</v>
      </c>
      <c r="N431" s="110">
        <f>Gasto_o_ing_total!M431*1000/Gasto_o_ing_total!M$485</f>
        <v>197.55805520191657</v>
      </c>
      <c r="O431" s="110">
        <f>Gasto_o_ing_total!N431*1000/Gasto_o_ing_total!N$485</f>
        <v>794.90902928557716</v>
      </c>
      <c r="P431" s="110">
        <f>Gasto_o_ing_total!O431*1000/Gasto_o_ing_total!O$485</f>
        <v>298.20843329035688</v>
      </c>
      <c r="Q431" s="110">
        <f>Gasto_o_ing_total!P431*1000/Gasto_o_ing_total!P$485</f>
        <v>163.92521926603078</v>
      </c>
      <c r="R431" s="110">
        <f>Gasto_o_ing_total!Q431*1000/Gasto_o_ing_total!Q$485</f>
        <v>246.27065688758222</v>
      </c>
      <c r="S431" s="110">
        <f>Gasto_o_ing_total!R431*1000/Gasto_o_ing_total!R$485</f>
        <v>398.47203848037014</v>
      </c>
      <c r="T431" s="110">
        <f>Gasto_o_ing_total!S431*1000/Gasto_o_ing_total!S$485</f>
        <v>255.35050256653636</v>
      </c>
      <c r="U431" s="110">
        <f>Gasto_o_ing_total!T431*1000/Gasto_o_ing_total!T$485</f>
        <v>308.93772829693387</v>
      </c>
      <c r="V431" s="110">
        <f>Gasto_o_ing_total!U431*1000/Gasto_o_ing_total!U$485</f>
        <v>544.55361621519432</v>
      </c>
      <c r="W431" s="105"/>
    </row>
    <row r="432" spans="1:23">
      <c r="A432" s="352"/>
      <c r="C432" s="7"/>
      <c r="D432" s="19"/>
      <c r="E432" s="19"/>
      <c r="F432" s="19"/>
      <c r="G432" s="19"/>
      <c r="H432" s="19"/>
      <c r="I432" s="19"/>
      <c r="J432" s="19"/>
      <c r="K432" s="19"/>
      <c r="L432" s="19"/>
      <c r="M432" s="19"/>
      <c r="N432" s="19"/>
      <c r="O432" s="19"/>
      <c r="P432" s="19"/>
      <c r="Q432" s="19"/>
      <c r="R432" s="19"/>
      <c r="S432" s="19"/>
      <c r="T432" s="19"/>
      <c r="U432" s="19"/>
      <c r="V432" s="19"/>
      <c r="W432" s="4"/>
    </row>
    <row r="433" spans="1:23" s="102" customFormat="1" ht="13.5">
      <c r="A433" s="352"/>
      <c r="B433" s="115"/>
      <c r="C433" s="128" t="s">
        <v>82</v>
      </c>
      <c r="D433" s="113">
        <f>Gasto_o_ing_total!V433*1000/Gasto_o_ing_total!V$485</f>
        <v>88.712972227726581</v>
      </c>
      <c r="E433" s="113">
        <f>Gasto_o_ing_total!D433*1000/Gasto_o_ing_total!D$485</f>
        <v>102.63203933003268</v>
      </c>
      <c r="F433" s="113">
        <f>Gasto_o_ing_total!E433*1000/Gasto_o_ing_total!E$485</f>
        <v>76.540923103837585</v>
      </c>
      <c r="G433" s="113">
        <f>Gasto_o_ing_total!F433*1000/Gasto_o_ing_total!F$485</f>
        <v>92.687717908544343</v>
      </c>
      <c r="H433" s="113">
        <f>Gasto_o_ing_total!G433*1000/Gasto_o_ing_total!G$485</f>
        <v>69.25169481747912</v>
      </c>
      <c r="I433" s="113">
        <f>Gasto_o_ing_total!H433*1000/Gasto_o_ing_total!H$485</f>
        <v>80.60130323220119</v>
      </c>
      <c r="J433" s="113">
        <f>Gasto_o_ing_total!I433*1000/Gasto_o_ing_total!I$485</f>
        <v>81.371575981605446</v>
      </c>
      <c r="K433" s="113">
        <f>Gasto_o_ing_total!J433*1000/Gasto_o_ing_total!J$485</f>
        <v>78.558349199605956</v>
      </c>
      <c r="L433" s="113">
        <f>Gasto_o_ing_total!K433*1000/Gasto_o_ing_total!K$485</f>
        <v>77.19858450150933</v>
      </c>
      <c r="M433" s="113">
        <f>Gasto_o_ing_total!L433*1000/Gasto_o_ing_total!L$485</f>
        <v>74.800329179437</v>
      </c>
      <c r="N433" s="113">
        <f>Gasto_o_ing_total!M433*1000/Gasto_o_ing_total!M$485</f>
        <v>76.223646724614269</v>
      </c>
      <c r="O433" s="113">
        <f>Gasto_o_ing_total!N433*1000/Gasto_o_ing_total!N$485</f>
        <v>128.67339531622616</v>
      </c>
      <c r="P433" s="113">
        <f>Gasto_o_ing_total!O433*1000/Gasto_o_ing_total!O$485</f>
        <v>91.95278191543521</v>
      </c>
      <c r="Q433" s="113">
        <f>Gasto_o_ing_total!P433*1000/Gasto_o_ing_total!P$485</f>
        <v>90.359977759709054</v>
      </c>
      <c r="R433" s="113">
        <f>Gasto_o_ing_total!Q433*1000/Gasto_o_ing_total!Q$485</f>
        <v>79.436247901298472</v>
      </c>
      <c r="S433" s="113">
        <f>Gasto_o_ing_total!R433*1000/Gasto_o_ing_total!R$485</f>
        <v>92.651036598258528</v>
      </c>
      <c r="T433" s="113">
        <f>Gasto_o_ing_total!S433*1000/Gasto_o_ing_total!S$485</f>
        <v>105.26315484488086</v>
      </c>
      <c r="U433" s="113">
        <f>Gasto_o_ing_total!T433*1000/Gasto_o_ing_total!T$485</f>
        <v>70.961073797543406</v>
      </c>
      <c r="V433" s="113">
        <f>Gasto_o_ing_total!U433*1000/Gasto_o_ing_total!U$485</f>
        <v>506.80660336224702</v>
      </c>
      <c r="W433" s="105"/>
    </row>
    <row r="434" spans="1:23" s="102" customFormat="1">
      <c r="A434" s="351" t="str">
        <f>IF(B434="","",(IF(ISERROR(MATCH(B434,Tot_res!C:C,0)),"Eliminar!!!","")))</f>
        <v/>
      </c>
      <c r="B434" s="115" t="s">
        <v>391</v>
      </c>
      <c r="C434" s="329" t="str">
        <f>VLOOKUP(B434,Tot_res!C:D,2,FALSE)</f>
        <v>Fomento de la inserción y estabilidad laboral+ AF20/1</v>
      </c>
      <c r="D434" s="332">
        <f>Gasto_o_ing_total!V434*1000/Gasto_o_ing_total!V$485</f>
        <v>83.591487080898148</v>
      </c>
      <c r="E434" s="332">
        <f>Gasto_o_ing_total!D434*1000/Gasto_o_ing_total!D$485</f>
        <v>97.481217072795474</v>
      </c>
      <c r="F434" s="332">
        <f>Gasto_o_ing_total!E434*1000/Gasto_o_ing_total!E$485</f>
        <v>72.238738398311355</v>
      </c>
      <c r="G434" s="332">
        <f>Gasto_o_ing_total!F434*1000/Gasto_o_ing_total!F$485</f>
        <v>86.199138212545691</v>
      </c>
      <c r="H434" s="332">
        <f>Gasto_o_ing_total!G434*1000/Gasto_o_ing_total!G$485</f>
        <v>63.938470713510561</v>
      </c>
      <c r="I434" s="332">
        <f>Gasto_o_ing_total!H434*1000/Gasto_o_ing_total!H$485</f>
        <v>75.186445941544847</v>
      </c>
      <c r="J434" s="332">
        <f>Gasto_o_ing_total!I434*1000/Gasto_o_ing_total!I$485</f>
        <v>75.492316139837797</v>
      </c>
      <c r="K434" s="332">
        <f>Gasto_o_ing_total!J434*1000/Gasto_o_ing_total!J$485</f>
        <v>74.617849326898153</v>
      </c>
      <c r="L434" s="332">
        <f>Gasto_o_ing_total!K434*1000/Gasto_o_ing_total!K$485</f>
        <v>74.201180210816347</v>
      </c>
      <c r="M434" s="332">
        <f>Gasto_o_ing_total!L434*1000/Gasto_o_ing_total!L$485</f>
        <v>70.200173441083408</v>
      </c>
      <c r="N434" s="332">
        <f>Gasto_o_ing_total!M434*1000/Gasto_o_ing_total!M$485</f>
        <v>72.240072106221064</v>
      </c>
      <c r="O434" s="332">
        <f>Gasto_o_ing_total!N434*1000/Gasto_o_ing_total!N$485</f>
        <v>124.94723616859261</v>
      </c>
      <c r="P434" s="332">
        <f>Gasto_o_ing_total!O434*1000/Gasto_o_ing_total!O$485</f>
        <v>80.795130260334176</v>
      </c>
      <c r="Q434" s="332">
        <f>Gasto_o_ing_total!P434*1000/Gasto_o_ing_total!P$485</f>
        <v>85.247907674209443</v>
      </c>
      <c r="R434" s="332">
        <f>Gasto_o_ing_total!Q434*1000/Gasto_o_ing_total!Q$485</f>
        <v>75.418370237154122</v>
      </c>
      <c r="S434" s="332">
        <f>Gasto_o_ing_total!R434*1000/Gasto_o_ing_total!R$485</f>
        <v>88.410315715427558</v>
      </c>
      <c r="T434" s="332">
        <f>Gasto_o_ing_total!S434*1000/Gasto_o_ing_total!S$485</f>
        <v>98.863333460730885</v>
      </c>
      <c r="U434" s="332">
        <f>Gasto_o_ing_total!T434*1000/Gasto_o_ing_total!T$485</f>
        <v>66.415057505864311</v>
      </c>
      <c r="V434" s="332">
        <f>Gasto_o_ing_total!U434*1000/Gasto_o_ing_total!U$485</f>
        <v>503.68595949830149</v>
      </c>
      <c r="W434" s="105"/>
    </row>
    <row r="435" spans="1:23" s="102" customFormat="1">
      <c r="A435" s="351" t="str">
        <f>IF(B435="","",(IF(ISERROR(MATCH(B435,Tot_res!C:C,0)),"Eliminar!!!","")))</f>
        <v/>
      </c>
      <c r="B435" s="115" t="s">
        <v>392</v>
      </c>
      <c r="C435" s="329" t="str">
        <f>VLOOKUP(B435,Tot_res!C:D,2,FALSE)</f>
        <v>Desarrollo de la economía social y del Fondo Social Europeo + AF18</v>
      </c>
      <c r="D435" s="332">
        <f>Gasto_o_ing_total!V435*1000/Gasto_o_ing_total!V$485</f>
        <v>0.70486409976234765</v>
      </c>
      <c r="E435" s="332">
        <f>Gasto_o_ing_total!D435*1000/Gasto_o_ing_total!D$485</f>
        <v>0.80101571431117491</v>
      </c>
      <c r="F435" s="332">
        <f>Gasto_o_ing_total!E435*1000/Gasto_o_ing_total!E$485</f>
        <v>0.6002901363586306</v>
      </c>
      <c r="G435" s="332">
        <f>Gasto_o_ing_total!F435*1000/Gasto_o_ing_total!F$485</f>
        <v>0.81963898021927939</v>
      </c>
      <c r="H435" s="332">
        <f>Gasto_o_ing_total!G435*1000/Gasto_o_ing_total!G$485</f>
        <v>0.46121980384854971</v>
      </c>
      <c r="I435" s="332">
        <f>Gasto_o_ing_total!H435*1000/Gasto_o_ing_total!H$485</f>
        <v>0.73511860037700427</v>
      </c>
      <c r="J435" s="332">
        <f>Gasto_o_ing_total!I435*1000/Gasto_o_ing_total!I$485</f>
        <v>0.6913353398253933</v>
      </c>
      <c r="K435" s="332">
        <f>Gasto_o_ing_total!J435*1000/Gasto_o_ing_total!J$485</f>
        <v>0.67021016703188974</v>
      </c>
      <c r="L435" s="332">
        <f>Gasto_o_ing_total!K435*1000/Gasto_o_ing_total!K$485</f>
        <v>0.72322990801489773</v>
      </c>
      <c r="M435" s="332">
        <f>Gasto_o_ing_total!L435*1000/Gasto_o_ing_total!L$485</f>
        <v>0.57768381265432944</v>
      </c>
      <c r="N435" s="332">
        <f>Gasto_o_ing_total!M435*1000/Gasto_o_ing_total!M$485</f>
        <v>0.71564226316317658</v>
      </c>
      <c r="O435" s="332">
        <f>Gasto_o_ing_total!N435*1000/Gasto_o_ing_total!N$485</f>
        <v>0.98612006171602495</v>
      </c>
      <c r="P435" s="332">
        <f>Gasto_o_ing_total!O435*1000/Gasto_o_ing_total!O$485</f>
        <v>0.80142794500288883</v>
      </c>
      <c r="Q435" s="332">
        <f>Gasto_o_ing_total!P435*1000/Gasto_o_ing_total!P$485</f>
        <v>0.62370354638198633</v>
      </c>
      <c r="R435" s="332">
        <f>Gasto_o_ing_total!Q435*1000/Gasto_o_ing_total!Q$485</f>
        <v>0.71893306470194951</v>
      </c>
      <c r="S435" s="332">
        <f>Gasto_o_ing_total!R435*1000/Gasto_o_ing_total!R$485</f>
        <v>0.84239213972904448</v>
      </c>
      <c r="T435" s="332">
        <f>Gasto_o_ing_total!S435*1000/Gasto_o_ing_total!S$485</f>
        <v>0.87216238472262075</v>
      </c>
      <c r="U435" s="332">
        <f>Gasto_o_ing_total!T435*1000/Gasto_o_ing_total!T$485</f>
        <v>0.56478455169244557</v>
      </c>
      <c r="V435" s="332">
        <f>Gasto_o_ing_total!U435*1000/Gasto_o_ing_total!U$485</f>
        <v>6.8633290912932521E-2</v>
      </c>
      <c r="W435" s="105"/>
    </row>
    <row r="436" spans="1:23" s="102" customFormat="1">
      <c r="A436" s="351" t="str">
        <f>IF(B436="","",(IF(ISERROR(MATCH(B436,Tot_res!C:C,0)),"Eliminar!!!","")))</f>
        <v/>
      </c>
      <c r="B436" s="115" t="s">
        <v>393</v>
      </c>
      <c r="C436" s="329" t="str">
        <f>VLOOKUP(B436,Tot_res!C:D,2,FALSE)</f>
        <v>Regulación y protección de la propiedad industrial</v>
      </c>
      <c r="D436" s="332">
        <f>Gasto_o_ing_total!V436*1000/Gasto_o_ing_total!V$485</f>
        <v>0.77341222317000524</v>
      </c>
      <c r="E436" s="332">
        <f>Gasto_o_ing_total!D436*1000/Gasto_o_ing_total!D$485</f>
        <v>0.56469411510586232</v>
      </c>
      <c r="F436" s="332">
        <f>Gasto_o_ing_total!E436*1000/Gasto_o_ing_total!E$485</f>
        <v>0.84763653684628226</v>
      </c>
      <c r="G436" s="332">
        <f>Gasto_o_ing_total!F436*1000/Gasto_o_ing_total!F$485</f>
        <v>0.66594486373450235</v>
      </c>
      <c r="H436" s="332">
        <f>Gasto_o_ing_total!G436*1000/Gasto_o_ing_total!G$485</f>
        <v>0.8140521259374025</v>
      </c>
      <c r="I436" s="332">
        <f>Gasto_o_ing_total!H436*1000/Gasto_o_ing_total!H$485</f>
        <v>0.64674015012498065</v>
      </c>
      <c r="J436" s="332">
        <f>Gasto_o_ing_total!I436*1000/Gasto_o_ing_total!I$485</f>
        <v>0.69594250426001558</v>
      </c>
      <c r="K436" s="332">
        <f>Gasto_o_ing_total!J436*1000/Gasto_o_ing_total!J$485</f>
        <v>0.71493008519688872</v>
      </c>
      <c r="L436" s="332">
        <f>Gasto_o_ing_total!K436*1000/Gasto_o_ing_total!K$485</f>
        <v>0.59043834128791839</v>
      </c>
      <c r="M436" s="332">
        <f>Gasto_o_ing_total!L436*1000/Gasto_o_ing_total!L$485</f>
        <v>0.8959094322468607</v>
      </c>
      <c r="N436" s="332">
        <f>Gasto_o_ing_total!M436*1000/Gasto_o_ing_total!M$485</f>
        <v>0.66649871399472949</v>
      </c>
      <c r="O436" s="332">
        <f>Gasto_o_ing_total!N436*1000/Gasto_o_ing_total!N$485</f>
        <v>0.51975538770258845</v>
      </c>
      <c r="P436" s="332">
        <f>Gasto_o_ing_total!O436*1000/Gasto_o_ing_total!O$485</f>
        <v>0.67257487098957203</v>
      </c>
      <c r="Q436" s="332">
        <f>Gasto_o_ing_total!P436*1000/Gasto_o_ing_total!P$485</f>
        <v>1.1373586474011115</v>
      </c>
      <c r="R436" s="332">
        <f>Gasto_o_ing_total!Q436*1000/Gasto_o_ing_total!Q$485</f>
        <v>0.61950172124512048</v>
      </c>
      <c r="S436" s="332">
        <f>Gasto_o_ing_total!R436*1000/Gasto_o_ing_total!R$485</f>
        <v>0.96684060915699066</v>
      </c>
      <c r="T436" s="332">
        <f>Gasto_o_ing_total!S436*1000/Gasto_o_ing_total!S$485</f>
        <v>1.0010748710571933</v>
      </c>
      <c r="U436" s="332">
        <f>Gasto_o_ing_total!T436*1000/Gasto_o_ing_total!T$485</f>
        <v>0.82156426674427441</v>
      </c>
      <c r="V436" s="332">
        <f>Gasto_o_ing_total!U436*1000/Gasto_o_ing_total!U$485</f>
        <v>0.59468888260121711</v>
      </c>
      <c r="W436" s="105"/>
    </row>
    <row r="437" spans="1:23" s="102" customFormat="1">
      <c r="A437" s="351" t="str">
        <f>IF(B437="","",(IF(ISERROR(MATCH(B437,Tot_res!C:C,0)),"Eliminar!!!","")))</f>
        <v/>
      </c>
      <c r="B437" s="115" t="s">
        <v>394</v>
      </c>
      <c r="C437" s="329" t="str">
        <f>VLOOKUP(B437,Tot_res!C:D,2,FALSE)</f>
        <v>Apoyo a la pequeña y mediana empresa</v>
      </c>
      <c r="D437" s="332">
        <f>Gasto_o_ing_total!V437*1000/Gasto_o_ing_total!V$485</f>
        <v>1.1527244428526988</v>
      </c>
      <c r="E437" s="332">
        <f>Gasto_o_ing_total!D437*1000/Gasto_o_ing_total!D$485</f>
        <v>0.97017335654009318</v>
      </c>
      <c r="F437" s="332">
        <f>Gasto_o_ing_total!E437*1000/Gasto_o_ing_total!E$485</f>
        <v>1.2042815558948596</v>
      </c>
      <c r="G437" s="332">
        <f>Gasto_o_ing_total!F437*1000/Gasto_o_ing_total!F$485</f>
        <v>0.98905524149411295</v>
      </c>
      <c r="H437" s="332">
        <f>Gasto_o_ing_total!G437*1000/Gasto_o_ing_total!G$485</f>
        <v>1.0727782922502573</v>
      </c>
      <c r="I437" s="332">
        <f>Gasto_o_ing_total!H437*1000/Gasto_o_ing_total!H$485</f>
        <v>1.1489380794696666</v>
      </c>
      <c r="J437" s="332">
        <f>Gasto_o_ing_total!I437*1000/Gasto_o_ing_total!I$485</f>
        <v>1.1418108471676969</v>
      </c>
      <c r="K437" s="332">
        <f>Gasto_o_ing_total!J437*1000/Gasto_o_ing_total!J$485</f>
        <v>0.99532414667498592</v>
      </c>
      <c r="L437" s="332">
        <f>Gasto_o_ing_total!K437*1000/Gasto_o_ing_total!K$485</f>
        <v>0.92731989717742669</v>
      </c>
      <c r="M437" s="332">
        <f>Gasto_o_ing_total!L437*1000/Gasto_o_ing_total!L$485</f>
        <v>1.265259559368628</v>
      </c>
      <c r="N437" s="332">
        <f>Gasto_o_ing_total!M437*1000/Gasto_o_ing_total!M$485</f>
        <v>1.0540809273884328</v>
      </c>
      <c r="O437" s="332">
        <f>Gasto_o_ing_total!N437*1000/Gasto_o_ing_total!N$485</f>
        <v>0.95576000980085429</v>
      </c>
      <c r="P437" s="332">
        <f>Gasto_o_ing_total!O437*1000/Gasto_o_ing_total!O$485</f>
        <v>1.0093359586949695</v>
      </c>
      <c r="Q437" s="332">
        <f>Gasto_o_ing_total!P437*1000/Gasto_o_ing_total!P$485</f>
        <v>1.5365875261086479</v>
      </c>
      <c r="R437" s="332">
        <f>Gasto_o_ing_total!Q437*1000/Gasto_o_ing_total!Q$485</f>
        <v>1.1206600875270458</v>
      </c>
      <c r="S437" s="332">
        <f>Gasto_o_ing_total!R437*1000/Gasto_o_ing_total!R$485</f>
        <v>1.3206377933918552</v>
      </c>
      <c r="T437" s="332">
        <f>Gasto_o_ing_total!S437*1000/Gasto_o_ing_total!S$485</f>
        <v>1.2824883149881396</v>
      </c>
      <c r="U437" s="332">
        <f>Gasto_o_ing_total!T437*1000/Gasto_o_ing_total!T$485</f>
        <v>1.3488369298412182</v>
      </c>
      <c r="V437" s="332">
        <f>Gasto_o_ing_total!U437*1000/Gasto_o_ing_total!U$485</f>
        <v>0.99244237063894747</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Gasto_o_ing_total!V438*1000/Gasto_o_ing_total!V$485</f>
        <v>0.76523223873966906</v>
      </c>
      <c r="E438" s="332">
        <f>Gasto_o_ing_total!D438*1000/Gasto_o_ing_total!D$485</f>
        <v>0.45184428315327674</v>
      </c>
      <c r="F438" s="332">
        <f>Gasto_o_ing_total!E438*1000/Gasto_o_ing_total!E$485</f>
        <v>0.59012763082824171</v>
      </c>
      <c r="G438" s="332">
        <f>Gasto_o_ing_total!F438*1000/Gasto_o_ing_total!F$485</f>
        <v>1.5729395457512898</v>
      </c>
      <c r="H438" s="332">
        <f>Gasto_o_ing_total!G438*1000/Gasto_o_ing_total!G$485</f>
        <v>0.59741651754739222</v>
      </c>
      <c r="I438" s="332">
        <f>Gasto_o_ing_total!H438*1000/Gasto_o_ing_total!H$485</f>
        <v>0.49766273221159796</v>
      </c>
      <c r="J438" s="332">
        <f>Gasto_o_ing_total!I438*1000/Gasto_o_ing_total!I$485</f>
        <v>1.7130394416826389</v>
      </c>
      <c r="K438" s="332">
        <f>Gasto_o_ing_total!J438*1000/Gasto_o_ing_total!J$485</f>
        <v>0.76852366041541675</v>
      </c>
      <c r="L438" s="332">
        <f>Gasto_o_ing_total!K438*1000/Gasto_o_ing_total!K$485</f>
        <v>0.45431509378783624</v>
      </c>
      <c r="M438" s="332">
        <f>Gasto_o_ing_total!L438*1000/Gasto_o_ing_total!L$485</f>
        <v>0.71111525859927682</v>
      </c>
      <c r="N438" s="332">
        <f>Gasto_o_ing_total!M438*1000/Gasto_o_ing_total!M$485</f>
        <v>0.55673776165000677</v>
      </c>
      <c r="O438" s="332">
        <f>Gasto_o_ing_total!N438*1000/Gasto_o_ing_total!N$485</f>
        <v>0.43211397126835516</v>
      </c>
      <c r="P438" s="332">
        <f>Gasto_o_ing_total!O438*1000/Gasto_o_ing_total!O$485</f>
        <v>1.3168449552985362</v>
      </c>
      <c r="Q438" s="332">
        <f>Gasto_o_ing_total!P438*1000/Gasto_o_ing_total!P$485</f>
        <v>1.2343815478235511</v>
      </c>
      <c r="R438" s="332">
        <f>Gasto_o_ing_total!Q438*1000/Gasto_o_ing_total!Q$485</f>
        <v>0.52313511242557942</v>
      </c>
      <c r="S438" s="332">
        <f>Gasto_o_ing_total!R438*1000/Gasto_o_ing_total!R$485</f>
        <v>0.62347122662704302</v>
      </c>
      <c r="T438" s="332">
        <f>Gasto_o_ing_total!S438*1000/Gasto_o_ing_total!S$485</f>
        <v>1.0713743817532602</v>
      </c>
      <c r="U438" s="332">
        <f>Gasto_o_ing_total!T438*1000/Gasto_o_ing_total!T$485</f>
        <v>0.57042724659630784</v>
      </c>
      <c r="V438" s="332">
        <f>Gasto_o_ing_total!U438*1000/Gasto_o_ing_total!U$485</f>
        <v>0.48359304304672068</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Gasto_o_ing_total!V439*1000/Gasto_o_ing_total!V$485</f>
        <v>0.38849428597495833</v>
      </c>
      <c r="E439" s="332">
        <f>Gasto_o_ing_total!D439*1000/Gasto_o_ing_total!D$485</f>
        <v>0.28892887438530385</v>
      </c>
      <c r="F439" s="332">
        <f>Gasto_o_ing_total!E439*1000/Gasto_o_ing_total!E$485</f>
        <v>0.43369793296489612</v>
      </c>
      <c r="G439" s="332">
        <f>Gasto_o_ing_total!F439*1000/Gasto_o_ing_total!F$485</f>
        <v>0.34073438120638722</v>
      </c>
      <c r="H439" s="332">
        <f>Gasto_o_ing_total!G439*1000/Gasto_o_ing_total!G$485</f>
        <v>0.41651428294761711</v>
      </c>
      <c r="I439" s="332">
        <f>Gasto_o_ing_total!H439*1000/Gasto_o_ing_total!H$485</f>
        <v>0.33090818302642033</v>
      </c>
      <c r="J439" s="332">
        <f>Gasto_o_ing_total!I439*1000/Gasto_o_ing_total!I$485</f>
        <v>0.35608284027369425</v>
      </c>
      <c r="K439" s="332">
        <f>Gasto_o_ing_total!J439*1000/Gasto_o_ing_total!J$485</f>
        <v>0.36579794131802179</v>
      </c>
      <c r="L439" s="332">
        <f>Gasto_o_ing_total!K439*1000/Gasto_o_ing_total!K$485</f>
        <v>0.3021010504249067</v>
      </c>
      <c r="M439" s="332">
        <f>Gasto_o_ing_total!L439*1000/Gasto_o_ing_total!L$485</f>
        <v>0.45839702749821504</v>
      </c>
      <c r="N439" s="332">
        <f>Gasto_o_ing_total!M439*1000/Gasto_o_ing_total!M$485</f>
        <v>0.34101776176231069</v>
      </c>
      <c r="O439" s="332">
        <f>Gasto_o_ing_total!N439*1000/Gasto_o_ing_total!N$485</f>
        <v>0.26593572539082255</v>
      </c>
      <c r="P439" s="332">
        <f>Gasto_o_ing_total!O439*1000/Gasto_o_ing_total!O$485</f>
        <v>0.34412666117200108</v>
      </c>
      <c r="Q439" s="332">
        <f>Gasto_o_ing_total!P439*1000/Gasto_o_ing_total!P$485</f>
        <v>0.53067490013205632</v>
      </c>
      <c r="R439" s="332">
        <f>Gasto_o_ing_total!Q439*1000/Gasto_o_ing_total!Q$485</f>
        <v>0.31697148989334817</v>
      </c>
      <c r="S439" s="332">
        <f>Gasto_o_ing_total!R439*1000/Gasto_o_ing_total!R$485</f>
        <v>0.48737911392604311</v>
      </c>
      <c r="T439" s="332">
        <f>Gasto_o_ing_total!S439*1000/Gasto_o_ing_total!S$485</f>
        <v>0.51112792534389917</v>
      </c>
      <c r="U439" s="332">
        <f>Gasto_o_ing_total!T439*1000/Gasto_o_ing_total!T$485</f>
        <v>0.42035791143513296</v>
      </c>
      <c r="V439" s="332">
        <f>Gasto_o_ing_total!U439*1000/Gasto_o_ing_total!U$485</f>
        <v>0.30427586345080371</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Gasto_o_ing_total!V440*1000/Gasto_o_ing_total!V$485</f>
        <v>0.25539830919238132</v>
      </c>
      <c r="E440" s="332">
        <f>Gasto_o_ing_total!D440*1000/Gasto_o_ing_total!D$485</f>
        <v>0.34855704773550988</v>
      </c>
      <c r="F440" s="332">
        <f>Gasto_o_ing_total!E440*1000/Gasto_o_ing_total!E$485</f>
        <v>0</v>
      </c>
      <c r="G440" s="332">
        <f>Gasto_o_ing_total!F440*1000/Gasto_o_ing_total!F$485</f>
        <v>0.19408458760096264</v>
      </c>
      <c r="H440" s="332">
        <f>Gasto_o_ing_total!G440*1000/Gasto_o_ing_total!G$485</f>
        <v>0.23482475558042815</v>
      </c>
      <c r="I440" s="332">
        <f>Gasto_o_ing_total!H440*1000/Gasto_o_ing_total!H$485</f>
        <v>0.86444324117592297</v>
      </c>
      <c r="J440" s="332">
        <f>Gasto_o_ing_total!I440*1000/Gasto_o_ing_total!I$485</f>
        <v>0.32583233448394716</v>
      </c>
      <c r="K440" s="332">
        <f>Gasto_o_ing_total!J440*1000/Gasto_o_ing_total!J$485</f>
        <v>0</v>
      </c>
      <c r="L440" s="332">
        <f>Gasto_o_ing_total!K440*1000/Gasto_o_ing_total!K$485</f>
        <v>0</v>
      </c>
      <c r="M440" s="332">
        <f>Gasto_o_ing_total!L440*1000/Gasto_o_ing_total!L$485</f>
        <v>4.3149199989191839E-2</v>
      </c>
      <c r="N440" s="332">
        <f>Gasto_o_ing_total!M440*1000/Gasto_o_ing_total!M$485</f>
        <v>0.16448795418505013</v>
      </c>
      <c r="O440" s="332">
        <f>Gasto_o_ing_total!N440*1000/Gasto_o_ing_total!N$485</f>
        <v>0</v>
      </c>
      <c r="P440" s="332">
        <f>Gasto_o_ing_total!O440*1000/Gasto_o_ing_total!O$485</f>
        <v>1.54778819519263</v>
      </c>
      <c r="Q440" s="332">
        <f>Gasto_o_ing_total!P440*1000/Gasto_o_ing_total!P$485</f>
        <v>4.9363917652271716E-2</v>
      </c>
      <c r="R440" s="332">
        <f>Gasto_o_ing_total!Q440*1000/Gasto_o_ing_total!Q$485</f>
        <v>0.16432383183696722</v>
      </c>
      <c r="S440" s="332">
        <f>Gasto_o_ing_total!R440*1000/Gasto_o_ing_total!R$485</f>
        <v>0</v>
      </c>
      <c r="T440" s="332">
        <f>Gasto_o_ing_total!S440*1000/Gasto_o_ing_total!S$485</f>
        <v>0.21198327727851032</v>
      </c>
      <c r="U440" s="332">
        <f>Gasto_o_ing_total!T440*1000/Gasto_o_ing_total!T$485</f>
        <v>0</v>
      </c>
      <c r="V440" s="332">
        <f>Gasto_o_ing_total!U440*1000/Gasto_o_ing_total!U$485</f>
        <v>0.67701041329482359</v>
      </c>
      <c r="W440" s="105"/>
    </row>
    <row r="441" spans="1:23" s="102" customFormat="1">
      <c r="A441" s="351" t="str">
        <f>IF(B441="","",(IF(ISERROR(MATCH(B441,Tot_res!C:C,0)),"Eliminar!!!","")))</f>
        <v/>
      </c>
      <c r="B441" s="115" t="s">
        <v>882</v>
      </c>
      <c r="C441" s="329" t="str">
        <f>VLOOKUP(B441,Tot_res!C:D,2,FALSE)</f>
        <v>ISM, formación  + AF20/2</v>
      </c>
      <c r="D441" s="332">
        <f>Gasto_o_ing_total!V441*1000/Gasto_o_ing_total!V$485</f>
        <v>0.8141046443829183</v>
      </c>
      <c r="E441" s="332">
        <f>Gasto_o_ing_total!D441*1000/Gasto_o_ing_total!D$485</f>
        <v>1.425329582051436</v>
      </c>
      <c r="F441" s="332">
        <f>Gasto_o_ing_total!E441*1000/Gasto_o_ing_total!E$485</f>
        <v>0</v>
      </c>
      <c r="G441" s="332">
        <f>Gasto_o_ing_total!F441*1000/Gasto_o_ing_total!F$485</f>
        <v>1.9061820959921263</v>
      </c>
      <c r="H441" s="332">
        <f>Gasto_o_ing_total!G441*1000/Gasto_o_ing_total!G$485</f>
        <v>1.1491786634550671</v>
      </c>
      <c r="I441" s="332">
        <f>Gasto_o_ing_total!H441*1000/Gasto_o_ing_total!H$485</f>
        <v>0.69679578604144354</v>
      </c>
      <c r="J441" s="332">
        <f>Gasto_o_ing_total!I441*1000/Gasto_o_ing_total!I$485</f>
        <v>0.29635457025736528</v>
      </c>
      <c r="K441" s="332">
        <f>Gasto_o_ing_total!J441*1000/Gasto_o_ing_total!J$485</f>
        <v>0</v>
      </c>
      <c r="L441" s="332">
        <f>Gasto_o_ing_total!K441*1000/Gasto_o_ing_total!K$485</f>
        <v>0</v>
      </c>
      <c r="M441" s="332">
        <f>Gasto_o_ing_total!L441*1000/Gasto_o_ing_total!L$485</f>
        <v>0.29817140372422357</v>
      </c>
      <c r="N441" s="332">
        <f>Gasto_o_ing_total!M441*1000/Gasto_o_ing_total!M$485</f>
        <v>0.48510923624948366</v>
      </c>
      <c r="O441" s="332">
        <f>Gasto_o_ing_total!N441*1000/Gasto_o_ing_total!N$485</f>
        <v>0</v>
      </c>
      <c r="P441" s="332">
        <f>Gasto_o_ing_total!O441*1000/Gasto_o_ing_total!O$485</f>
        <v>5.022856642174478</v>
      </c>
      <c r="Q441" s="332">
        <f>Gasto_o_ing_total!P441*1000/Gasto_o_ing_total!P$485</f>
        <v>0</v>
      </c>
      <c r="R441" s="332">
        <f>Gasto_o_ing_total!Q441*1000/Gasto_o_ing_total!Q$485</f>
        <v>7.2116371750424194E-2</v>
      </c>
      <c r="S441" s="332">
        <f>Gasto_o_ing_total!R441*1000/Gasto_o_ing_total!R$485</f>
        <v>0</v>
      </c>
      <c r="T441" s="332">
        <f>Gasto_o_ing_total!S441*1000/Gasto_o_ing_total!S$485</f>
        <v>1.1823553262528841</v>
      </c>
      <c r="U441" s="332">
        <f>Gasto_o_ing_total!T441*1000/Gasto_o_ing_total!T$485</f>
        <v>0</v>
      </c>
      <c r="V441" s="332">
        <f>Gasto_o_ing_total!U441*1000/Gasto_o_ing_total!U$485</f>
        <v>0</v>
      </c>
      <c r="W441" s="105"/>
    </row>
    <row r="442" spans="1:23" s="102" customFormat="1">
      <c r="A442" s="351" t="str">
        <f>IF(B442="","",(IF(ISERROR(MATCH(B442,Tot_res!C:C,0)),"Eliminar!!!","")))</f>
        <v/>
      </c>
      <c r="B442" s="115" t="s">
        <v>396</v>
      </c>
      <c r="C442" s="329" t="str">
        <f>VLOOKUP(B442,Tot_res!C:D,2,FALSE)</f>
        <v>Gestión de la formación continua + AF20/3</v>
      </c>
      <c r="D442" s="332">
        <f>Gasto_o_ing_total!V442*1000/Gasto_o_ing_total!V$485</f>
        <v>0.26725490275344638</v>
      </c>
      <c r="E442" s="332">
        <f>Gasto_o_ing_total!D442*1000/Gasto_o_ing_total!D$485</f>
        <v>0.30027928395454984</v>
      </c>
      <c r="F442" s="332">
        <f>Gasto_o_ing_total!E442*1000/Gasto_o_ing_total!E$485</f>
        <v>0.62615091263331046</v>
      </c>
      <c r="G442" s="332">
        <f>Gasto_o_ing_total!F442*1000/Gasto_o_ing_total!F$485</f>
        <v>0</v>
      </c>
      <c r="H442" s="332">
        <f>Gasto_o_ing_total!G442*1000/Gasto_o_ing_total!G$485</f>
        <v>0.56723966240188117</v>
      </c>
      <c r="I442" s="332">
        <f>Gasto_o_ing_total!H442*1000/Gasto_o_ing_total!H$485</f>
        <v>0.49425051822932781</v>
      </c>
      <c r="J442" s="332">
        <f>Gasto_o_ing_total!I442*1000/Gasto_o_ing_total!I$485</f>
        <v>0.65886196381688844</v>
      </c>
      <c r="K442" s="332">
        <f>Gasto_o_ing_total!J442*1000/Gasto_o_ing_total!J$485</f>
        <v>0.42571387207058176</v>
      </c>
      <c r="L442" s="332">
        <f>Gasto_o_ing_total!K442*1000/Gasto_o_ing_total!K$485</f>
        <v>0</v>
      </c>
      <c r="M442" s="332">
        <f>Gasto_o_ing_total!L442*1000/Gasto_o_ing_total!L$485</f>
        <v>0.35047004427287742</v>
      </c>
      <c r="N442" s="332">
        <f>Gasto_o_ing_total!M442*1000/Gasto_o_ing_total!M$485</f>
        <v>0</v>
      </c>
      <c r="O442" s="332">
        <f>Gasto_o_ing_total!N442*1000/Gasto_o_ing_total!N$485</f>
        <v>0.56647399175485424</v>
      </c>
      <c r="P442" s="332">
        <f>Gasto_o_ing_total!O442*1000/Gasto_o_ing_total!O$485</f>
        <v>0.44269642657595704</v>
      </c>
      <c r="Q442" s="332">
        <f>Gasto_o_ing_total!P442*1000/Gasto_o_ing_total!P$485</f>
        <v>0</v>
      </c>
      <c r="R442" s="332">
        <f>Gasto_o_ing_total!Q442*1000/Gasto_o_ing_total!Q$485</f>
        <v>0.482235984763905</v>
      </c>
      <c r="S442" s="332">
        <f>Gasto_o_ing_total!R442*1000/Gasto_o_ing_total!R$485</f>
        <v>0</v>
      </c>
      <c r="T442" s="332">
        <f>Gasto_o_ing_total!S442*1000/Gasto_o_ing_total!S$485</f>
        <v>0.26725490275344638</v>
      </c>
      <c r="U442" s="332">
        <f>Gasto_o_ing_total!T442*1000/Gasto_o_ing_total!T$485</f>
        <v>0.82004538536972482</v>
      </c>
      <c r="V442" s="332">
        <f>Gasto_o_ing_total!U442*1000/Gasto_o_ing_total!U$485</f>
        <v>0</v>
      </c>
      <c r="W442" s="105"/>
    </row>
    <row r="443" spans="1:23">
      <c r="A443" s="352"/>
      <c r="C443" s="17"/>
      <c r="D443" s="19"/>
      <c r="E443" s="19"/>
      <c r="F443" s="19"/>
      <c r="G443" s="19"/>
      <c r="H443" s="19"/>
      <c r="I443" s="19"/>
      <c r="J443" s="19"/>
      <c r="K443" s="19"/>
      <c r="L443" s="19"/>
      <c r="M443" s="19"/>
      <c r="N443" s="19"/>
      <c r="O443" s="19"/>
      <c r="P443" s="19"/>
      <c r="Q443" s="19"/>
      <c r="R443" s="19"/>
      <c r="S443" s="19"/>
      <c r="T443" s="19"/>
      <c r="U443" s="19"/>
      <c r="V443" s="19"/>
      <c r="W443" s="2"/>
    </row>
    <row r="444" spans="1:23" s="102" customFormat="1" ht="13.5">
      <c r="A444" s="352"/>
      <c r="B444" s="115"/>
      <c r="C444" s="128" t="s">
        <v>75</v>
      </c>
      <c r="D444" s="113">
        <f>Gasto_o_ing_total!V444*1000/Gasto_o_ing_total!V$485</f>
        <v>156.2191123519201</v>
      </c>
      <c r="E444" s="113">
        <f>Gasto_o_ing_total!D444*1000/Gasto_o_ing_total!D$485</f>
        <v>311.50408930183102</v>
      </c>
      <c r="F444" s="113">
        <f>Gasto_o_ing_total!E444*1000/Gasto_o_ing_total!E$485</f>
        <v>406.52809691462875</v>
      </c>
      <c r="G444" s="113">
        <f>Gasto_o_ing_total!F444*1000/Gasto_o_ing_total!F$485</f>
        <v>69.079818830295935</v>
      </c>
      <c r="H444" s="113">
        <f>Gasto_o_ing_total!G444*1000/Gasto_o_ing_total!G$485</f>
        <v>33.046288459475768</v>
      </c>
      <c r="I444" s="113">
        <f>Gasto_o_ing_total!H444*1000/Gasto_o_ing_total!H$485</f>
        <v>114.75019376491016</v>
      </c>
      <c r="J444" s="113">
        <f>Gasto_o_ing_total!I444*1000/Gasto_o_ing_total!I$485</f>
        <v>142.48931508997819</v>
      </c>
      <c r="K444" s="113">
        <f>Gasto_o_ing_total!J444*1000/Gasto_o_ing_total!J$485</f>
        <v>426.81496641781837</v>
      </c>
      <c r="L444" s="113">
        <f>Gasto_o_ing_total!K444*1000/Gasto_o_ing_total!K$485</f>
        <v>320.79743586153126</v>
      </c>
      <c r="M444" s="113">
        <f>Gasto_o_ing_total!L444*1000/Gasto_o_ing_total!L$485</f>
        <v>53.094181424087701</v>
      </c>
      <c r="N444" s="113">
        <f>Gasto_o_ing_total!M444*1000/Gasto_o_ing_total!M$485</f>
        <v>49.173206377098424</v>
      </c>
      <c r="O444" s="113">
        <f>Gasto_o_ing_total!N444*1000/Gasto_o_ing_total!N$485</f>
        <v>614.35535180315196</v>
      </c>
      <c r="P444" s="113">
        <f>Gasto_o_ing_total!O444*1000/Gasto_o_ing_total!O$485</f>
        <v>100.70793028904835</v>
      </c>
      <c r="Q444" s="113">
        <f>Gasto_o_ing_total!P444*1000/Gasto_o_ing_total!P$485</f>
        <v>5.9431411728382111</v>
      </c>
      <c r="R444" s="113">
        <f>Gasto_o_ing_total!Q444*1000/Gasto_o_ing_total!Q$485</f>
        <v>85.309231348826259</v>
      </c>
      <c r="S444" s="113">
        <f>Gasto_o_ing_total!R444*1000/Gasto_o_ing_total!R$485</f>
        <v>195.85265510397082</v>
      </c>
      <c r="T444" s="113">
        <f>Gasto_o_ing_total!S444*1000/Gasto_o_ing_total!S$485</f>
        <v>21.867470781064142</v>
      </c>
      <c r="U444" s="113">
        <f>Gasto_o_ing_total!T444*1000/Gasto_o_ing_total!T$485</f>
        <v>162.23523692391402</v>
      </c>
      <c r="V444" s="113">
        <f>Gasto_o_ing_total!U444*1000/Gasto_o_ing_total!U$485</f>
        <v>3.5889333963724761</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Gasto_o_ing_total!V445*1000/Gasto_o_ing_total!V$485</f>
        <v>0.55261039423869174</v>
      </c>
      <c r="E445" s="332">
        <f>Gasto_o_ing_total!D445*1000/Gasto_o_ing_total!D$485</f>
        <v>0.67930090382254238</v>
      </c>
      <c r="F445" s="332">
        <f>Gasto_o_ing_total!E445*1000/Gasto_o_ing_total!E$485</f>
        <v>1.6151611135931476</v>
      </c>
      <c r="G445" s="332">
        <f>Gasto_o_ing_total!F445*1000/Gasto_o_ing_total!F$485</f>
        <v>0.39587612695435137</v>
      </c>
      <c r="H445" s="332">
        <f>Gasto_o_ing_total!G445*1000/Gasto_o_ing_total!G$485</f>
        <v>0.43899891176140432</v>
      </c>
      <c r="I445" s="332">
        <f>Gasto_o_ing_total!H445*1000/Gasto_o_ing_total!H$485</f>
        <v>0.22658133431602395</v>
      </c>
      <c r="J445" s="332">
        <f>Gasto_o_ing_total!I445*1000/Gasto_o_ing_total!I$485</f>
        <v>0.88680723345188883</v>
      </c>
      <c r="K445" s="332">
        <f>Gasto_o_ing_total!J445*1000/Gasto_o_ing_total!J$485</f>
        <v>0.90557449446929406</v>
      </c>
      <c r="L445" s="332">
        <f>Gasto_o_ing_total!K445*1000/Gasto_o_ing_total!K$485</f>
        <v>1.1026228857397264</v>
      </c>
      <c r="M445" s="332">
        <f>Gasto_o_ing_total!L445*1000/Gasto_o_ing_total!L$485</f>
        <v>0.29265404659451827</v>
      </c>
      <c r="N445" s="332">
        <f>Gasto_o_ing_total!M445*1000/Gasto_o_ing_total!M$485</f>
        <v>0.46565308113032744</v>
      </c>
      <c r="O445" s="332">
        <f>Gasto_o_ing_total!N445*1000/Gasto_o_ing_total!N$485</f>
        <v>1.2252801791022272</v>
      </c>
      <c r="P445" s="332">
        <f>Gasto_o_ing_total!O445*1000/Gasto_o_ing_total!O$485</f>
        <v>0.54413872859045986</v>
      </c>
      <c r="Q445" s="332">
        <f>Gasto_o_ing_total!P445*1000/Gasto_o_ing_total!P$485</f>
        <v>0.10675443277441247</v>
      </c>
      <c r="R445" s="332">
        <f>Gasto_o_ing_total!Q445*1000/Gasto_o_ing_total!Q$485</f>
        <v>1.0543046787537931</v>
      </c>
      <c r="S445" s="332">
        <f>Gasto_o_ing_total!R445*1000/Gasto_o_ing_total!R$485</f>
        <v>0.55261039423869174</v>
      </c>
      <c r="T445" s="332">
        <f>Gasto_o_ing_total!S445*1000/Gasto_o_ing_total!S$485</f>
        <v>0.55261039423869185</v>
      </c>
      <c r="U445" s="332">
        <f>Gasto_o_ing_total!T445*1000/Gasto_o_ing_total!T$485</f>
        <v>1.1878279257756634</v>
      </c>
      <c r="V445" s="332">
        <f>Gasto_o_ing_total!U445*1000/Gasto_o_ing_total!U$485</f>
        <v>0</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Gasto_o_ing_total!V446*1000/Gasto_o_ing_total!V$485</f>
        <v>0.929550635530078</v>
      </c>
      <c r="E446" s="332">
        <f>Gasto_o_ing_total!D446*1000/Gasto_o_ing_total!D$485</f>
        <v>0.76368977393125115</v>
      </c>
      <c r="F446" s="332">
        <f>Gasto_o_ing_total!E446*1000/Gasto_o_ing_total!E$485</f>
        <v>3.1702324109818369</v>
      </c>
      <c r="G446" s="332">
        <f>Gasto_o_ing_total!F446*1000/Gasto_o_ing_total!F$485</f>
        <v>1.0261438684506683</v>
      </c>
      <c r="H446" s="332">
        <f>Gasto_o_ing_total!G446*1000/Gasto_o_ing_total!G$485</f>
        <v>0.37905527197442657</v>
      </c>
      <c r="I446" s="332">
        <f>Gasto_o_ing_total!H446*1000/Gasto_o_ing_total!H$485</f>
        <v>0.2316773351957169</v>
      </c>
      <c r="J446" s="332">
        <f>Gasto_o_ing_total!I446*1000/Gasto_o_ing_total!I$485</f>
        <v>1.6862817156850287</v>
      </c>
      <c r="K446" s="332">
        <f>Gasto_o_ing_total!J446*1000/Gasto_o_ing_total!J$485</f>
        <v>2.3240544806518812</v>
      </c>
      <c r="L446" s="332">
        <f>Gasto_o_ing_total!K446*1000/Gasto_o_ing_total!K$485</f>
        <v>1.0735095535081864</v>
      </c>
      <c r="M446" s="332">
        <f>Gasto_o_ing_total!L446*1000/Gasto_o_ing_total!L$485</f>
        <v>0.73255580439578138</v>
      </c>
      <c r="N446" s="332">
        <f>Gasto_o_ing_total!M446*1000/Gasto_o_ing_total!M$485</f>
        <v>0.60680179358206909</v>
      </c>
      <c r="O446" s="332">
        <f>Gasto_o_ing_total!N446*1000/Gasto_o_ing_total!N$485</f>
        <v>2.5988326871255798</v>
      </c>
      <c r="P446" s="332">
        <f>Gasto_o_ing_total!O446*1000/Gasto_o_ing_total!O$485</f>
        <v>1.6287510962261702</v>
      </c>
      <c r="Q446" s="332">
        <f>Gasto_o_ing_total!P446*1000/Gasto_o_ing_total!P$485</f>
        <v>0.20986830440834306</v>
      </c>
      <c r="R446" s="332">
        <f>Gasto_o_ing_total!Q446*1000/Gasto_o_ing_total!Q$485</f>
        <v>0.97122718134546848</v>
      </c>
      <c r="S446" s="332">
        <f>Gasto_o_ing_total!R446*1000/Gasto_o_ing_total!R$485</f>
        <v>0.929550635530078</v>
      </c>
      <c r="T446" s="332">
        <f>Gasto_o_ing_total!S446*1000/Gasto_o_ing_total!S$485</f>
        <v>0.929550635530078</v>
      </c>
      <c r="U446" s="332">
        <f>Gasto_o_ing_total!T446*1000/Gasto_o_ing_total!T$485</f>
        <v>0.61276785659493427</v>
      </c>
      <c r="V446" s="332">
        <f>Gasto_o_ing_total!U446*1000/Gasto_o_ing_total!U$485</f>
        <v>2.2479281737833721</v>
      </c>
      <c r="W446" s="105"/>
    </row>
    <row r="447" spans="1:23" s="102" customFormat="1">
      <c r="A447" s="351" t="str">
        <f>IF(B447="","",(IF(ISERROR(MATCH(B447,Tot_res!C:C,0)),"Eliminar!!!","")))</f>
        <v/>
      </c>
      <c r="B447" s="115" t="s">
        <v>397</v>
      </c>
      <c r="C447" s="329" t="str">
        <f>VLOOKUP(B447,Tot_res!C:D,2,FALSE)</f>
        <v>Regulación de los mercados agrarios</v>
      </c>
      <c r="D447" s="332">
        <f>Gasto_o_ing_total!V447*1000/Gasto_o_ing_total!V$485</f>
        <v>122.82311586259688</v>
      </c>
      <c r="E447" s="332">
        <f>Gasto_o_ing_total!D447*1000/Gasto_o_ing_total!D$485</f>
        <v>264.91460712830184</v>
      </c>
      <c r="F447" s="332">
        <f>Gasto_o_ing_total!E447*1000/Gasto_o_ing_total!E$485</f>
        <v>332.97139484632368</v>
      </c>
      <c r="G447" s="332">
        <f>Gasto_o_ing_total!F447*1000/Gasto_o_ing_total!F$485</f>
        <v>32.738608303792631</v>
      </c>
      <c r="H447" s="332">
        <f>Gasto_o_ing_total!G447*1000/Gasto_o_ing_total!G$485</f>
        <v>22.697995038308068</v>
      </c>
      <c r="I447" s="332">
        <f>Gasto_o_ing_total!H447*1000/Gasto_o_ing_total!H$485</f>
        <v>95.35098010482136</v>
      </c>
      <c r="J447" s="332">
        <f>Gasto_o_ing_total!I447*1000/Gasto_o_ing_total!I$485</f>
        <v>67.75043388928809</v>
      </c>
      <c r="K447" s="332">
        <f>Gasto_o_ing_total!J447*1000/Gasto_o_ing_total!J$485</f>
        <v>370.77323344777437</v>
      </c>
      <c r="L447" s="332">
        <f>Gasto_o_ing_total!K447*1000/Gasto_o_ing_total!K$485</f>
        <v>229.044686870177</v>
      </c>
      <c r="M447" s="332">
        <f>Gasto_o_ing_total!L447*1000/Gasto_o_ing_total!L$485</f>
        <v>40.384752871856264</v>
      </c>
      <c r="N447" s="332">
        <f>Gasto_o_ing_total!M447*1000/Gasto_o_ing_total!M$485</f>
        <v>30.676151025818029</v>
      </c>
      <c r="O447" s="332">
        <f>Gasto_o_ing_total!N447*1000/Gasto_o_ing_total!N$485</f>
        <v>467.84525904988283</v>
      </c>
      <c r="P447" s="332">
        <f>Gasto_o_ing_total!O447*1000/Gasto_o_ing_total!O$485</f>
        <v>46.51552053806045</v>
      </c>
      <c r="Q447" s="332">
        <f>Gasto_o_ing_total!P447*1000/Gasto_o_ing_total!P$485</f>
        <v>3.9581719907774433</v>
      </c>
      <c r="R447" s="332">
        <f>Gasto_o_ing_total!Q447*1000/Gasto_o_ing_total!Q$485</f>
        <v>62.434711646946397</v>
      </c>
      <c r="S447" s="332">
        <f>Gasto_o_ing_total!R447*1000/Gasto_o_ing_total!R$485</f>
        <v>166.61256403688174</v>
      </c>
      <c r="T447" s="332">
        <f>Gasto_o_ing_total!S447*1000/Gasto_o_ing_total!S$485</f>
        <v>10.815190364957417</v>
      </c>
      <c r="U447" s="332">
        <f>Gasto_o_ing_total!T447*1000/Gasto_o_ing_total!T$485</f>
        <v>97.519290930195226</v>
      </c>
      <c r="V447" s="332">
        <f>Gasto_o_ing_total!U447*1000/Gasto_o_ing_total!U$485</f>
        <v>0</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Gasto_o_ing_total!V448*1000/Gasto_o_ing_total!V$485</f>
        <v>0.47215177079816584</v>
      </c>
      <c r="E448" s="332">
        <f>Gasto_o_ing_total!D448*1000/Gasto_o_ing_total!D$485</f>
        <v>0.30461753062851893</v>
      </c>
      <c r="F448" s="332">
        <f>Gasto_o_ing_total!E448*1000/Gasto_o_ing_total!E$485</f>
        <v>0.43724877007819113</v>
      </c>
      <c r="G448" s="332">
        <f>Gasto_o_ing_total!F448*1000/Gasto_o_ing_total!F$485</f>
        <v>0.28314058460920849</v>
      </c>
      <c r="H448" s="332">
        <f>Gasto_o_ing_total!G448*1000/Gasto_o_ing_total!G$485</f>
        <v>8.9555603994484964E-2</v>
      </c>
      <c r="I448" s="332">
        <f>Gasto_o_ing_total!H448*1000/Gasto_o_ing_total!H$485</f>
        <v>0.14107545089533577</v>
      </c>
      <c r="J448" s="332">
        <f>Gasto_o_ing_total!I448*1000/Gasto_o_ing_total!I$485</f>
        <v>0.93003895719305174</v>
      </c>
      <c r="K448" s="332">
        <f>Gasto_o_ing_total!J448*1000/Gasto_o_ing_total!J$485</f>
        <v>0.75188313585553268</v>
      </c>
      <c r="L448" s="332">
        <f>Gasto_o_ing_total!K448*1000/Gasto_o_ing_total!K$485</f>
        <v>0.52593137990572714</v>
      </c>
      <c r="M448" s="332">
        <f>Gasto_o_ing_total!L448*1000/Gasto_o_ing_total!L$485</f>
        <v>0.70408045992964063</v>
      </c>
      <c r="N448" s="332">
        <f>Gasto_o_ing_total!M448*1000/Gasto_o_ing_total!M$485</f>
        <v>0.34058428280535991</v>
      </c>
      <c r="O448" s="332">
        <f>Gasto_o_ing_total!N448*1000/Gasto_o_ing_total!N$485</f>
        <v>0.68954521896689691</v>
      </c>
      <c r="P448" s="332">
        <f>Gasto_o_ing_total!O448*1000/Gasto_o_ing_total!O$485</f>
        <v>0.76261898573780418</v>
      </c>
      <c r="Q448" s="332">
        <f>Gasto_o_ing_total!P448*1000/Gasto_o_ing_total!P$485</f>
        <v>0.38908431202408922</v>
      </c>
      <c r="R448" s="332">
        <f>Gasto_o_ing_total!Q448*1000/Gasto_o_ing_total!Q$485</f>
        <v>0.48780365477625759</v>
      </c>
      <c r="S448" s="332">
        <f>Gasto_o_ing_total!R448*1000/Gasto_o_ing_total!R$485</f>
        <v>0.47215177079816595</v>
      </c>
      <c r="T448" s="332">
        <f>Gasto_o_ing_total!S448*1000/Gasto_o_ing_total!S$485</f>
        <v>0.47215177079816595</v>
      </c>
      <c r="U448" s="332">
        <f>Gasto_o_ing_total!T448*1000/Gasto_o_ing_total!T$485</f>
        <v>1.0051154989323108</v>
      </c>
      <c r="V448" s="332">
        <f>Gasto_o_ing_total!U448*1000/Gasto_o_ing_total!U$485</f>
        <v>0</v>
      </c>
      <c r="W448" s="105"/>
    </row>
    <row r="449" spans="1:23" s="102" customFormat="1">
      <c r="A449" s="351" t="str">
        <f>IF(B449="","",(IF(ISERROR(MATCH(B449,Tot_res!C:C,0)),"Eliminar!!!","")))</f>
        <v/>
      </c>
      <c r="B449" s="115" t="s">
        <v>399</v>
      </c>
      <c r="C449" s="329" t="str">
        <f>VLOOKUP(B449,Tot_res!C:D,2,FALSE)</f>
        <v>Desarrollo del medio rural  + AF22/4</v>
      </c>
      <c r="D449" s="332">
        <f>Gasto_o_ing_total!V449*1000/Gasto_o_ing_total!V$485</f>
        <v>24.82061211996345</v>
      </c>
      <c r="E449" s="332">
        <f>Gasto_o_ing_total!D449*1000/Gasto_o_ing_total!D$485</f>
        <v>35.187288952366174</v>
      </c>
      <c r="F449" s="332">
        <f>Gasto_o_ing_total!E449*1000/Gasto_o_ing_total!E$485</f>
        <v>55.5446044101786</v>
      </c>
      <c r="G449" s="332">
        <f>Gasto_o_ing_total!F449*1000/Gasto_o_ing_total!F$485</f>
        <v>30.253409637880559</v>
      </c>
      <c r="H449" s="332">
        <f>Gasto_o_ing_total!G449*1000/Gasto_o_ing_total!G$485</f>
        <v>7.1540655655009502</v>
      </c>
      <c r="I449" s="332">
        <f>Gasto_o_ing_total!H449*1000/Gasto_o_ing_total!H$485</f>
        <v>14.640421580848173</v>
      </c>
      <c r="J449" s="332">
        <f>Gasto_o_ing_total!I449*1000/Gasto_o_ing_total!I$485</f>
        <v>65.7334171851505</v>
      </c>
      <c r="K449" s="332">
        <f>Gasto_o_ing_total!J449*1000/Gasto_o_ing_total!J$485</f>
        <v>42.447187606851152</v>
      </c>
      <c r="L449" s="332">
        <f>Gasto_o_ing_total!K449*1000/Gasto_o_ing_total!K$485</f>
        <v>78.345333691962153</v>
      </c>
      <c r="M449" s="332">
        <f>Gasto_o_ing_total!L449*1000/Gasto_o_ing_total!L$485</f>
        <v>7.4113977626208172</v>
      </c>
      <c r="N449" s="332">
        <f>Gasto_o_ing_total!M449*1000/Gasto_o_ing_total!M$485</f>
        <v>11.913673497719577</v>
      </c>
      <c r="O449" s="332">
        <f>Gasto_o_ing_total!N449*1000/Gasto_o_ing_total!N$485</f>
        <v>130.54339346115191</v>
      </c>
      <c r="P449" s="332">
        <f>Gasto_o_ing_total!O449*1000/Gasto_o_ing_total!O$485</f>
        <v>34.954840038355925</v>
      </c>
      <c r="Q449" s="332">
        <f>Gasto_o_ing_total!P449*1000/Gasto_o_ing_total!P$485</f>
        <v>0.33613071760042718</v>
      </c>
      <c r="R449" s="332">
        <f>Gasto_o_ing_total!Q449*1000/Gasto_o_ing_total!Q$485</f>
        <v>12.331736786841534</v>
      </c>
      <c r="S449" s="332">
        <f>Gasto_o_ing_total!R449*1000/Gasto_o_ing_total!R$485</f>
        <v>18.066094535143758</v>
      </c>
      <c r="T449" s="332">
        <f>Gasto_o_ing_total!S449*1000/Gasto_o_ing_total!S$485</f>
        <v>5.4099427651980072</v>
      </c>
      <c r="U449" s="332">
        <f>Gasto_o_ing_total!T449*1000/Gasto_o_ing_total!T$485</f>
        <v>49.004122890004389</v>
      </c>
      <c r="V449" s="332">
        <f>Gasto_o_ing_total!U449*1000/Gasto_o_ing_total!U$485</f>
        <v>0</v>
      </c>
      <c r="W449" s="105"/>
    </row>
    <row r="450" spans="1:23" s="102" customFormat="1">
      <c r="A450" s="351" t="str">
        <f>IF(B450="","",(IF(ISERROR(MATCH(B450,Tot_res!C:C,0)),"Eliminar!!!","")))</f>
        <v/>
      </c>
      <c r="B450" s="115" t="s">
        <v>401</v>
      </c>
      <c r="C450" s="329" t="str">
        <f>VLOOKUP(B450,Tot_res!C:D,2,FALSE)</f>
        <v>Protección de los recursos pesqueros y desarrollo sostenible</v>
      </c>
      <c r="D450" s="332">
        <f>Gasto_o_ing_total!V450*1000/Gasto_o_ing_total!V$485</f>
        <v>0.33795939349385407</v>
      </c>
      <c r="E450" s="332">
        <f>Gasto_o_ing_total!D450*1000/Gasto_o_ing_total!D$485</f>
        <v>0.31073495728637729</v>
      </c>
      <c r="F450" s="332">
        <f>Gasto_o_ing_total!E450*1000/Gasto_o_ing_total!E$485</f>
        <v>7.7048666745165495E-4</v>
      </c>
      <c r="G450" s="332">
        <f>Gasto_o_ing_total!F450*1000/Gasto_o_ing_total!F$485</f>
        <v>0.51211920164768909</v>
      </c>
      <c r="H450" s="332">
        <f>Gasto_o_ing_total!G450*1000/Gasto_o_ing_total!G$485</f>
        <v>0.2738744116591787</v>
      </c>
      <c r="I450" s="332">
        <f>Gasto_o_ing_total!H450*1000/Gasto_o_ing_total!H$485</f>
        <v>0.34021557362910843</v>
      </c>
      <c r="J450" s="332">
        <f>Gasto_o_ing_total!I450*1000/Gasto_o_ing_total!I$485</f>
        <v>0.78608850168144084</v>
      </c>
      <c r="K450" s="332">
        <f>Gasto_o_ing_total!J450*1000/Gasto_o_ing_total!J$485</f>
        <v>1.4692891654329455E-3</v>
      </c>
      <c r="L450" s="332">
        <f>Gasto_o_ing_total!K450*1000/Gasto_o_ing_total!K$485</f>
        <v>4.9218764333855826E-4</v>
      </c>
      <c r="M450" s="332">
        <f>Gasto_o_ing_total!L450*1000/Gasto_o_ing_total!L$485</f>
        <v>0.16886113950983297</v>
      </c>
      <c r="N450" s="332">
        <f>Gasto_o_ing_total!M450*1000/Gasto_o_ing_total!M$485</f>
        <v>0.20023115412676126</v>
      </c>
      <c r="O450" s="332">
        <f>Gasto_o_ing_total!N450*1000/Gasto_o_ing_total!N$485</f>
        <v>1.8189546602148591E-3</v>
      </c>
      <c r="P450" s="332">
        <f>Gasto_o_ing_total!O450*1000/Gasto_o_ing_total!O$485</f>
        <v>2.6219634137482375</v>
      </c>
      <c r="Q450" s="332">
        <f>Gasto_o_ing_total!P450*1000/Gasto_o_ing_total!P$485</f>
        <v>1.7705488639281494E-2</v>
      </c>
      <c r="R450" s="332">
        <f>Gasto_o_ing_total!Q450*1000/Gasto_o_ing_total!Q$485</f>
        <v>0.19028410262379633</v>
      </c>
      <c r="S450" s="332">
        <f>Gasto_o_ing_total!R450*1000/Gasto_o_ing_total!R$485</f>
        <v>7.947510567601001E-4</v>
      </c>
      <c r="T450" s="332">
        <f>Gasto_o_ing_total!S450*1000/Gasto_o_ing_total!S$485</f>
        <v>0.57599150328258075</v>
      </c>
      <c r="U450" s="332">
        <f>Gasto_o_ing_total!T450*1000/Gasto_o_ing_total!T$485</f>
        <v>0</v>
      </c>
      <c r="V450" s="332">
        <f>Gasto_o_ing_total!U450*1000/Gasto_o_ing_total!U$485</f>
        <v>0.20706720819306984</v>
      </c>
      <c r="W450" s="105"/>
    </row>
    <row r="451" spans="1:23" s="102" customFormat="1">
      <c r="A451" s="351" t="str">
        <f>IF(B451="","",(IF(ISERROR(MATCH(B451,Tot_res!C:C,0)),"Eliminar!!!","")))</f>
        <v/>
      </c>
      <c r="B451" s="115" t="s">
        <v>402</v>
      </c>
      <c r="C451" s="329" t="str">
        <f>VLOOKUP(B451,Tot_res!C:D,2,FALSE)</f>
        <v>Mejora de estructuras y mercados pesqueros</v>
      </c>
      <c r="D451" s="332">
        <f>Gasto_o_ing_total!V451*1000/Gasto_o_ing_total!V$485</f>
        <v>0.43150475852090148</v>
      </c>
      <c r="E451" s="332">
        <f>Gasto_o_ing_total!D451*1000/Gasto_o_ing_total!D$485</f>
        <v>0.34165049183891627</v>
      </c>
      <c r="F451" s="332">
        <f>Gasto_o_ing_total!E451*1000/Gasto_o_ing_total!E$485</f>
        <v>5.1213392451012557E-2</v>
      </c>
      <c r="G451" s="332">
        <f>Gasto_o_ing_total!F451*1000/Gasto_o_ing_total!F$485</f>
        <v>0.50503241072198291</v>
      </c>
      <c r="H451" s="332">
        <f>Gasto_o_ing_total!G451*1000/Gasto_o_ing_total!G$485</f>
        <v>0.26832653094423398</v>
      </c>
      <c r="I451" s="332">
        <f>Gasto_o_ing_total!H451*1000/Gasto_o_ing_total!H$485</f>
        <v>0.32362647624841007</v>
      </c>
      <c r="J451" s="332">
        <f>Gasto_o_ing_total!I451*1000/Gasto_o_ing_total!I$485</f>
        <v>0.87263778581383133</v>
      </c>
      <c r="K451" s="332">
        <f>Gasto_o_ing_total!J451*1000/Gasto_o_ing_total!J$485</f>
        <v>4.3859822401132516E-2</v>
      </c>
      <c r="L451" s="332">
        <f>Gasto_o_ing_total!K451*1000/Gasto_o_ing_total!K$485</f>
        <v>2.0121808030782982E-2</v>
      </c>
      <c r="M451" s="332">
        <f>Gasto_o_ing_total!L451*1000/Gasto_o_ing_total!L$485</f>
        <v>0.18112566398651792</v>
      </c>
      <c r="N451" s="332">
        <f>Gasto_o_ing_total!M451*1000/Gasto_o_ing_total!M$485</f>
        <v>0.19647573290922504</v>
      </c>
      <c r="O451" s="332">
        <f>Gasto_o_ing_total!N451*1000/Gasto_o_ing_total!N$485</f>
        <v>1.8206092164750508E-2</v>
      </c>
      <c r="P451" s="332">
        <f>Gasto_o_ing_total!O451*1000/Gasto_o_ing_total!O$485</f>
        <v>4.0729942587901613</v>
      </c>
      <c r="Q451" s="332">
        <f>Gasto_o_ing_total!P451*1000/Gasto_o_ing_total!P$485</f>
        <v>1.7126445379246884E-2</v>
      </c>
      <c r="R451" s="332">
        <f>Gasto_o_ing_total!Q451*1000/Gasto_o_ing_total!Q$485</f>
        <v>0.26972381098436854</v>
      </c>
      <c r="S451" s="332">
        <f>Gasto_o_ing_total!R451*1000/Gasto_o_ing_total!R$485</f>
        <v>4.2060686568668335E-2</v>
      </c>
      <c r="T451" s="332">
        <f>Gasto_o_ing_total!S451*1000/Gasto_o_ing_total!S$485</f>
        <v>0.42996154253596613</v>
      </c>
      <c r="U451" s="332">
        <f>Gasto_o_ing_total!T451*1000/Gasto_o_ing_total!T$485</f>
        <v>3.463041310456464E-2</v>
      </c>
      <c r="V451" s="332">
        <f>Gasto_o_ing_total!U451*1000/Gasto_o_ing_total!U$485</f>
        <v>0.17919864296213434</v>
      </c>
      <c r="W451" s="105"/>
    </row>
    <row r="452" spans="1:23" s="102" customFormat="1">
      <c r="A452" s="351" t="str">
        <f>IF(B452="","",(IF(ISERROR(MATCH(B452,Tot_res!C:C,0)),"Eliminar!!!","")))</f>
        <v/>
      </c>
      <c r="B452" s="115" t="s">
        <v>404</v>
      </c>
      <c r="C452" s="329" t="str">
        <f>VLOOKUP(B452,Tot_res!C:D,2,FALSE)</f>
        <v>Previsión de riesgos en las producciones agrarias y pesqueras</v>
      </c>
      <c r="D452" s="332">
        <f>Gasto_o_ing_total!V452*1000/Gasto_o_ing_total!V$485</f>
        <v>4.3577825149445015</v>
      </c>
      <c r="E452" s="332">
        <f>Gasto_o_ing_total!D452*1000/Gasto_o_ing_total!D$485</f>
        <v>6.7623616588666264</v>
      </c>
      <c r="F452" s="332">
        <f>Gasto_o_ing_total!E452*1000/Gasto_o_ing_total!E$485</f>
        <v>10.041123576702311</v>
      </c>
      <c r="G452" s="332">
        <f>Gasto_o_ing_total!F452*1000/Gasto_o_ing_total!F$485</f>
        <v>2.290294413492354</v>
      </c>
      <c r="H452" s="332">
        <f>Gasto_o_ing_total!G452*1000/Gasto_o_ing_total!G$485</f>
        <v>0.8423334855284601</v>
      </c>
      <c r="I452" s="332">
        <f>Gasto_o_ing_total!H452*1000/Gasto_o_ing_total!H$485</f>
        <v>2.2010140941979253</v>
      </c>
      <c r="J452" s="332">
        <f>Gasto_o_ing_total!I452*1000/Gasto_o_ing_total!I$485</f>
        <v>2.4157449856033253</v>
      </c>
      <c r="K452" s="332">
        <f>Gasto_o_ing_total!J452*1000/Gasto_o_ing_total!J$485</f>
        <v>6.773894979913182</v>
      </c>
      <c r="L452" s="332">
        <f>Gasto_o_ing_total!K452*1000/Gasto_o_ing_total!K$485</f>
        <v>8.4002529081483139</v>
      </c>
      <c r="M452" s="332">
        <f>Gasto_o_ing_total!L452*1000/Gasto_o_ing_total!L$485</f>
        <v>2.2203568624916579</v>
      </c>
      <c r="N452" s="332">
        <f>Gasto_o_ing_total!M452*1000/Gasto_o_ing_total!M$485</f>
        <v>3.7940759657702881</v>
      </c>
      <c r="O452" s="332">
        <f>Gasto_o_ing_total!N452*1000/Gasto_o_ing_total!N$485</f>
        <v>7.7382340345274505</v>
      </c>
      <c r="P452" s="332">
        <f>Gasto_o_ing_total!O452*1000/Gasto_o_ing_total!O$485</f>
        <v>8.3799626164354226</v>
      </c>
      <c r="Q452" s="332">
        <f>Gasto_o_ing_total!P452*1000/Gasto_o_ing_total!P$485</f>
        <v>0.13642354531772369</v>
      </c>
      <c r="R452" s="332">
        <f>Gasto_o_ing_total!Q452*1000/Gasto_o_ing_total!Q$485</f>
        <v>6.4162766004895531</v>
      </c>
      <c r="S452" s="332">
        <f>Gasto_o_ing_total!R452*1000/Gasto_o_ing_total!R$485</f>
        <v>7.4925977337097587</v>
      </c>
      <c r="T452" s="332">
        <f>Gasto_o_ing_total!S452*1000/Gasto_o_ing_total!S$485</f>
        <v>1.8336929306887264</v>
      </c>
      <c r="U452" s="332">
        <f>Gasto_o_ing_total!T452*1000/Gasto_o_ing_total!T$485</f>
        <v>11.348754116229438</v>
      </c>
      <c r="V452" s="332">
        <f>Gasto_o_ing_total!U452*1000/Gasto_o_ing_total!U$485</f>
        <v>0.19417341312942138</v>
      </c>
      <c r="W452" s="111"/>
    </row>
    <row r="453" spans="1:23" s="102" customFormat="1">
      <c r="A453" s="351" t="str">
        <f>IF(B453="","",(IF(ISERROR(MATCH(B453,Tot_res!C:C,0)),"Eliminar!!!","")))</f>
        <v/>
      </c>
      <c r="B453" s="115" t="s">
        <v>887</v>
      </c>
      <c r="C453" s="329" t="str">
        <f>VLOOKUP(B453,Tot_res!C:D,2,FALSE)</f>
        <v>Direc. y serv. grales. de agric., aliment. y medio amb., Medio Rural y Marino</v>
      </c>
      <c r="D453" s="332">
        <f>Gasto_o_ing_total!V453*1000/Gasto_o_ing_total!V$485</f>
        <v>1.493824901833597</v>
      </c>
      <c r="E453" s="332">
        <f>Gasto_o_ing_total!D453*1000/Gasto_o_ing_total!D$485</f>
        <v>2.2398379047889119</v>
      </c>
      <c r="F453" s="332">
        <f>Gasto_o_ing_total!E453*1000/Gasto_o_ing_total!E$485</f>
        <v>2.6963479076524735</v>
      </c>
      <c r="G453" s="332">
        <f>Gasto_o_ing_total!F453*1000/Gasto_o_ing_total!F$485</f>
        <v>1.07519428274647</v>
      </c>
      <c r="H453" s="332">
        <f>Gasto_o_ing_total!G453*1000/Gasto_o_ing_total!G$485</f>
        <v>0.90208363980457029</v>
      </c>
      <c r="I453" s="332">
        <f>Gasto_o_ing_total!H453*1000/Gasto_o_ing_total!H$485</f>
        <v>1.2946018147581249</v>
      </c>
      <c r="J453" s="332">
        <f>Gasto_o_ing_total!I453*1000/Gasto_o_ing_total!I$485</f>
        <v>1.4278648361109938</v>
      </c>
      <c r="K453" s="332">
        <f>Gasto_o_ing_total!J453*1000/Gasto_o_ing_total!J$485</f>
        <v>2.7938091607363362</v>
      </c>
      <c r="L453" s="332">
        <f>Gasto_o_ing_total!K453*1000/Gasto_o_ing_total!K$485</f>
        <v>2.2844845764160242</v>
      </c>
      <c r="M453" s="332">
        <f>Gasto_o_ing_total!L453*1000/Gasto_o_ing_total!L$485</f>
        <v>0.99839681270268743</v>
      </c>
      <c r="N453" s="332">
        <f>Gasto_o_ing_total!M453*1000/Gasto_o_ing_total!M$485</f>
        <v>0.97955984323679468</v>
      </c>
      <c r="O453" s="332">
        <f>Gasto_o_ing_total!N453*1000/Gasto_o_ing_total!N$485</f>
        <v>3.6947821255701383</v>
      </c>
      <c r="P453" s="332">
        <f>Gasto_o_ing_total!O453*1000/Gasto_o_ing_total!O$485</f>
        <v>1.2271406131037208</v>
      </c>
      <c r="Q453" s="332">
        <f>Gasto_o_ing_total!P453*1000/Gasto_o_ing_total!P$485</f>
        <v>0.77187593591724157</v>
      </c>
      <c r="R453" s="332">
        <f>Gasto_o_ing_total!Q453*1000/Gasto_o_ing_total!Q$485</f>
        <v>1.1531628860650944</v>
      </c>
      <c r="S453" s="332">
        <f>Gasto_o_ing_total!R453*1000/Gasto_o_ing_total!R$485</f>
        <v>1.6842305600432279</v>
      </c>
      <c r="T453" s="332">
        <f>Gasto_o_ing_total!S453*1000/Gasto_o_ing_total!S$485</f>
        <v>0.84837887383450583</v>
      </c>
      <c r="U453" s="332">
        <f>Gasto_o_ing_total!T453*1000/Gasto_o_ing_total!T$485</f>
        <v>1.5227272930774975</v>
      </c>
      <c r="V453" s="332">
        <f>Gasto_o_ing_total!U453*1000/Gasto_o_ing_total!U$485</f>
        <v>0.76056595830447826</v>
      </c>
      <c r="W453" s="105"/>
    </row>
    <row r="454" spans="1:23">
      <c r="A454" s="352"/>
      <c r="C454" s="6"/>
      <c r="D454" s="19"/>
      <c r="E454" s="19"/>
      <c r="F454" s="19"/>
      <c r="G454" s="19"/>
      <c r="H454" s="19"/>
      <c r="I454" s="19"/>
      <c r="J454" s="19"/>
      <c r="K454" s="19"/>
      <c r="L454" s="19"/>
      <c r="M454" s="19"/>
      <c r="N454" s="19"/>
      <c r="O454" s="19"/>
      <c r="P454" s="19"/>
      <c r="Q454" s="19"/>
      <c r="R454" s="19"/>
      <c r="S454" s="19"/>
      <c r="T454" s="19"/>
      <c r="U454" s="19"/>
      <c r="V454" s="19"/>
      <c r="W454" s="2"/>
    </row>
    <row r="455" spans="1:23" s="102" customFormat="1" ht="13.5">
      <c r="A455" s="352"/>
      <c r="B455" s="115"/>
      <c r="C455" s="128" t="s">
        <v>113</v>
      </c>
      <c r="D455" s="113">
        <f>Gasto_o_ing_total!V455*1000/Gasto_o_ing_total!V$485</f>
        <v>78.573136366808669</v>
      </c>
      <c r="E455" s="113">
        <f>Gasto_o_ing_total!D455*1000/Gasto_o_ing_total!D$485</f>
        <v>61.458356083688564</v>
      </c>
      <c r="F455" s="113">
        <f>Gasto_o_ing_total!E455*1000/Gasto_o_ing_total!E$485</f>
        <v>98.031924470663128</v>
      </c>
      <c r="G455" s="113">
        <f>Gasto_o_ing_total!F455*1000/Gasto_o_ing_total!F$485</f>
        <v>122.31755798813505</v>
      </c>
      <c r="H455" s="113">
        <f>Gasto_o_ing_total!G455*1000/Gasto_o_ing_total!G$485</f>
        <v>76.028001906214428</v>
      </c>
      <c r="I455" s="113">
        <f>Gasto_o_ing_total!H455*1000/Gasto_o_ing_total!H$485</f>
        <v>61.338445885163203</v>
      </c>
      <c r="J455" s="113">
        <f>Gasto_o_ing_total!I455*1000/Gasto_o_ing_total!I$485</f>
        <v>95.692375579473037</v>
      </c>
      <c r="K455" s="113">
        <f>Gasto_o_ing_total!J455*1000/Gasto_o_ing_total!J$485</f>
        <v>70.63314885342443</v>
      </c>
      <c r="L455" s="113">
        <f>Gasto_o_ing_total!K455*1000/Gasto_o_ing_total!K$485</f>
        <v>68.060982618399649</v>
      </c>
      <c r="M455" s="113">
        <f>Gasto_o_ing_total!L455*1000/Gasto_o_ing_total!L$485</f>
        <v>88.629515726826028</v>
      </c>
      <c r="N455" s="113">
        <f>Gasto_o_ing_total!M455*1000/Gasto_o_ing_total!M$485</f>
        <v>72.161202100203909</v>
      </c>
      <c r="O455" s="113">
        <f>Gasto_o_ing_total!N455*1000/Gasto_o_ing_total!N$485</f>
        <v>51.880282166199116</v>
      </c>
      <c r="P455" s="113">
        <f>Gasto_o_ing_total!O455*1000/Gasto_o_ing_total!O$485</f>
        <v>105.54772108587329</v>
      </c>
      <c r="Q455" s="113">
        <f>Gasto_o_ing_total!P455*1000/Gasto_o_ing_total!P$485</f>
        <v>67.622100333483516</v>
      </c>
      <c r="R455" s="113">
        <f>Gasto_o_ing_total!Q455*1000/Gasto_o_ing_total!Q$485</f>
        <v>81.525177637457489</v>
      </c>
      <c r="S455" s="113">
        <f>Gasto_o_ing_total!R455*1000/Gasto_o_ing_total!R$485</f>
        <v>109.96834677814077</v>
      </c>
      <c r="T455" s="113">
        <f>Gasto_o_ing_total!S455*1000/Gasto_o_ing_total!S$485</f>
        <v>128.21987694059132</v>
      </c>
      <c r="U455" s="113">
        <f>Gasto_o_ing_total!T455*1000/Gasto_o_ing_total!T$485</f>
        <v>75.741417575476447</v>
      </c>
      <c r="V455" s="113">
        <f>Gasto_o_ing_total!U455*1000/Gasto_o_ing_total!U$485</f>
        <v>34.158079456574974</v>
      </c>
      <c r="W455" s="111"/>
    </row>
    <row r="456" spans="1:23" s="102" customFormat="1">
      <c r="A456" s="351" t="str">
        <f>IF(B456="","",(IF(ISERROR(MATCH(B456,Tot_res!C:C,0)),"Eliminar!!!","")))</f>
        <v/>
      </c>
      <c r="B456" s="115" t="s">
        <v>406</v>
      </c>
      <c r="C456" s="329" t="str">
        <f>VLOOKUP(B456,Tot_res!C:D,2,FALSE)</f>
        <v>Dirección y servicios generales de industria y energía</v>
      </c>
      <c r="D456" s="332">
        <f>Gasto_o_ing_total!V456*1000/Gasto_o_ing_total!V$485</f>
        <v>1.3361711071073352</v>
      </c>
      <c r="E456" s="332">
        <f>Gasto_o_ing_total!D456*1000/Gasto_o_ing_total!D$485</f>
        <v>0.64354467832640849</v>
      </c>
      <c r="F456" s="332">
        <f>Gasto_o_ing_total!E456*1000/Gasto_o_ing_total!E$485</f>
        <v>1.2922256184953553</v>
      </c>
      <c r="G456" s="332">
        <f>Gasto_o_ing_total!F456*1000/Gasto_o_ing_total!F$485</f>
        <v>1.1531399152671866</v>
      </c>
      <c r="H456" s="332">
        <f>Gasto_o_ing_total!G456*1000/Gasto_o_ing_total!G$485</f>
        <v>0.70590692020240109</v>
      </c>
      <c r="I456" s="332">
        <f>Gasto_o_ing_total!H456*1000/Gasto_o_ing_total!H$485</f>
        <v>2.4814015007774284</v>
      </c>
      <c r="J456" s="332">
        <f>Gasto_o_ing_total!I456*1000/Gasto_o_ing_total!I$485</f>
        <v>1.1204438188238786</v>
      </c>
      <c r="K456" s="332">
        <f>Gasto_o_ing_total!J456*1000/Gasto_o_ing_total!J$485</f>
        <v>0.9921342803854466</v>
      </c>
      <c r="L456" s="332">
        <f>Gasto_o_ing_total!K456*1000/Gasto_o_ing_total!K$485</f>
        <v>0.88268685168263217</v>
      </c>
      <c r="M456" s="332">
        <f>Gasto_o_ing_total!L456*1000/Gasto_o_ing_total!L$485</f>
        <v>1.2390236496510185</v>
      </c>
      <c r="N456" s="332">
        <f>Gasto_o_ing_total!M456*1000/Gasto_o_ing_total!M$485</f>
        <v>0.87937684982087261</v>
      </c>
      <c r="O456" s="332">
        <f>Gasto_o_ing_total!N456*1000/Gasto_o_ing_total!N$485</f>
        <v>0.61842278254450511</v>
      </c>
      <c r="P456" s="332">
        <f>Gasto_o_ing_total!O456*1000/Gasto_o_ing_total!O$485</f>
        <v>1.3150755061096344</v>
      </c>
      <c r="Q456" s="332">
        <f>Gasto_o_ing_total!P456*1000/Gasto_o_ing_total!P$485</f>
        <v>2.6708567600681579</v>
      </c>
      <c r="R456" s="332">
        <f>Gasto_o_ing_total!Q456*1000/Gasto_o_ing_total!Q$485</f>
        <v>0.91193754583150333</v>
      </c>
      <c r="S456" s="332">
        <f>Gasto_o_ing_total!R456*1000/Gasto_o_ing_total!R$485</f>
        <v>1.9137642534523058</v>
      </c>
      <c r="T456" s="332">
        <f>Gasto_o_ing_total!S456*1000/Gasto_o_ing_total!S$485</f>
        <v>2.1977186637410031</v>
      </c>
      <c r="U456" s="332">
        <f>Gasto_o_ing_total!T456*1000/Gasto_o_ing_total!T$485</f>
        <v>1.4852381808589112</v>
      </c>
      <c r="V456" s="332">
        <f>Gasto_o_ing_total!U456*1000/Gasto_o_ing_total!U$485</f>
        <v>0.44169135866486803</v>
      </c>
      <c r="W456" s="105"/>
    </row>
    <row r="457" spans="1:23" s="102" customFormat="1">
      <c r="A457" s="351" t="str">
        <f>IF(B457="","",(IF(ISERROR(MATCH(B457,Tot_res!C:C,0)),"Eliminar!!!","")))</f>
        <v/>
      </c>
      <c r="B457" s="115" t="s">
        <v>407</v>
      </c>
      <c r="C457" s="329" t="str">
        <f>VLOOKUP(B457,Tot_res!C:D,2,FALSE)</f>
        <v>Calidad y seguridad industrial</v>
      </c>
      <c r="D457" s="332">
        <f>Gasto_o_ing_total!V457*1000/Gasto_o_ing_total!V$485</f>
        <v>7.1021445810746597E-2</v>
      </c>
      <c r="E457" s="332">
        <f>Gasto_o_ing_total!D457*1000/Gasto_o_ing_total!D$485</f>
        <v>5.4396119100108317E-2</v>
      </c>
      <c r="F457" s="332">
        <f>Gasto_o_ing_total!E457*1000/Gasto_o_ing_total!E$485</f>
        <v>9.0916359097723928E-2</v>
      </c>
      <c r="G457" s="332">
        <f>Gasto_o_ing_total!F457*1000/Gasto_o_ing_total!F$485</f>
        <v>7.3937025878823795E-2</v>
      </c>
      <c r="H457" s="332">
        <f>Gasto_o_ing_total!G457*1000/Gasto_o_ing_total!G$485</f>
        <v>5.1529546480048101E-2</v>
      </c>
      <c r="I457" s="332">
        <f>Gasto_o_ing_total!H457*1000/Gasto_o_ing_total!H$485</f>
        <v>4.9285490179236821E-2</v>
      </c>
      <c r="J457" s="332">
        <f>Gasto_o_ing_total!I457*1000/Gasto_o_ing_total!I$485</f>
        <v>7.7253237681325249E-2</v>
      </c>
      <c r="K457" s="332">
        <f>Gasto_o_ing_total!J457*1000/Gasto_o_ing_total!J$485</f>
        <v>7.7774865955739417E-2</v>
      </c>
      <c r="L457" s="332">
        <f>Gasto_o_ing_total!K457*1000/Gasto_o_ing_total!K$485</f>
        <v>7.0197134923062121E-2</v>
      </c>
      <c r="M457" s="332">
        <f>Gasto_o_ing_total!L457*1000/Gasto_o_ing_total!L$485</f>
        <v>8.5571898826130227E-2</v>
      </c>
      <c r="N457" s="332">
        <f>Gasto_o_ing_total!M457*1000/Gasto_o_ing_total!M$485</f>
        <v>6.8799315893273372E-2</v>
      </c>
      <c r="O457" s="332">
        <f>Gasto_o_ing_total!N457*1000/Gasto_o_ing_total!N$485</f>
        <v>5.5364581819401973E-2</v>
      </c>
      <c r="P457" s="332">
        <f>Gasto_o_ing_total!O457*1000/Gasto_o_ing_total!O$485</f>
        <v>7.0766377271972325E-2</v>
      </c>
      <c r="Q457" s="332">
        <f>Gasto_o_ing_total!P457*1000/Gasto_o_ing_total!P$485</f>
        <v>6.4974056656153578E-2</v>
      </c>
      <c r="R457" s="332">
        <f>Gasto_o_ing_total!Q457*1000/Gasto_o_ing_total!Q$485</f>
        <v>6.6479822979643458E-2</v>
      </c>
      <c r="S457" s="332">
        <f>Gasto_o_ing_total!R457*1000/Gasto_o_ing_total!R$485</f>
        <v>0.11981488470650545</v>
      </c>
      <c r="T457" s="332">
        <f>Gasto_o_ing_total!S457*1000/Gasto_o_ing_total!S$485</f>
        <v>0.11121628770292334</v>
      </c>
      <c r="U457" s="332">
        <f>Gasto_o_ing_total!T457*1000/Gasto_o_ing_total!T$485</f>
        <v>0.10016241878611745</v>
      </c>
      <c r="V457" s="332">
        <f>Gasto_o_ing_total!U457*1000/Gasto_o_ing_total!U$485</f>
        <v>4.4759339975159483E-2</v>
      </c>
      <c r="W457" s="105"/>
    </row>
    <row r="458" spans="1:23" s="102" customFormat="1">
      <c r="A458" s="351" t="str">
        <f>IF(B458="","",(IF(ISERROR(MATCH(B458,Tot_res!C:C,0)),"Eliminar!!!","")))</f>
        <v/>
      </c>
      <c r="B458" s="115" t="s">
        <v>408</v>
      </c>
      <c r="C458" s="329" t="str">
        <f>VLOOKUP(B458,Tot_res!C:D,2,FALSE)</f>
        <v>Desarrollo industrial</v>
      </c>
      <c r="D458" s="332">
        <f>Gasto_o_ing_total!V458*1000/Gasto_o_ing_total!V$485</f>
        <v>0.35711157522705839</v>
      </c>
      <c r="E458" s="332">
        <f>Gasto_o_ing_total!D458*1000/Gasto_o_ing_total!D$485</f>
        <v>0.18991991804448505</v>
      </c>
      <c r="F458" s="332">
        <f>Gasto_o_ing_total!E458*1000/Gasto_o_ing_total!E$485</f>
        <v>0.55718364477772231</v>
      </c>
      <c r="G458" s="332">
        <f>Gasto_o_ing_total!F458*1000/Gasto_o_ing_total!F$485</f>
        <v>0.38643194117922863</v>
      </c>
      <c r="H458" s="332">
        <f>Gasto_o_ing_total!G458*1000/Gasto_o_ing_total!G$485</f>
        <v>0.16109239271980177</v>
      </c>
      <c r="I458" s="332">
        <f>Gasto_o_ing_total!H458*1000/Gasto_o_ing_total!H$485</f>
        <v>0.13852516752936045</v>
      </c>
      <c r="J458" s="332">
        <f>Gasto_o_ing_total!I458*1000/Gasto_o_ing_total!I$485</f>
        <v>0.41978123749554375</v>
      </c>
      <c r="K458" s="332">
        <f>Gasto_o_ing_total!J458*1000/Gasto_o_ing_total!J$485</f>
        <v>0.42502696271649748</v>
      </c>
      <c r="L458" s="332">
        <f>Gasto_o_ing_total!K458*1000/Gasto_o_ing_total!K$485</f>
        <v>0.34882193943557521</v>
      </c>
      <c r="M458" s="332">
        <f>Gasto_o_ing_total!L458*1000/Gasto_o_ing_total!L$485</f>
        <v>0.5034373825173597</v>
      </c>
      <c r="N458" s="332">
        <f>Gasto_o_ing_total!M458*1000/Gasto_o_ing_total!M$485</f>
        <v>0.33476485146976848</v>
      </c>
      <c r="O458" s="332">
        <f>Gasto_o_ing_total!N458*1000/Gasto_o_ing_total!N$485</f>
        <v>0.19965920857251043</v>
      </c>
      <c r="P458" s="332">
        <f>Gasto_o_ing_total!O458*1000/Gasto_o_ing_total!O$485</f>
        <v>0.35454649290205831</v>
      </c>
      <c r="Q458" s="332">
        <f>Gasto_o_ing_total!P458*1000/Gasto_o_ing_total!P$485</f>
        <v>0.29629634843591457</v>
      </c>
      <c r="R458" s="332">
        <f>Gasto_o_ing_total!Q458*1000/Gasto_o_ing_total!Q$485</f>
        <v>0.31143900225172733</v>
      </c>
      <c r="S458" s="332">
        <f>Gasto_o_ing_total!R458*1000/Gasto_o_ing_total!R$485</f>
        <v>0.84780003209801214</v>
      </c>
      <c r="T458" s="332">
        <f>Gasto_o_ing_total!S458*1000/Gasto_o_ing_total!S$485</f>
        <v>0.76132872795491258</v>
      </c>
      <c r="U458" s="332">
        <f>Gasto_o_ing_total!T458*1000/Gasto_o_ing_total!T$485</f>
        <v>0.65016612076854452</v>
      </c>
      <c r="V458" s="332">
        <f>Gasto_o_ing_total!U458*1000/Gasto_o_ing_total!U$485</f>
        <v>9.300819415206675E-2</v>
      </c>
      <c r="W458" s="111"/>
    </row>
    <row r="459" spans="1:23" s="102" customFormat="1">
      <c r="A459" s="351" t="str">
        <f>IF(B459="","",(IF(ISERROR(MATCH(B459,Tot_res!C:C,0)),"Eliminar!!!","")))</f>
        <v/>
      </c>
      <c r="B459" s="115" t="s">
        <v>409</v>
      </c>
      <c r="C459" s="329" t="str">
        <f>VLOOKUP(B459,Tot_res!C:D,2,FALSE)</f>
        <v>Reconversión y reindustrialización</v>
      </c>
      <c r="D459" s="332">
        <f>Gasto_o_ing_total!V459*1000/Gasto_o_ing_total!V$485</f>
        <v>2.6726951220239501</v>
      </c>
      <c r="E459" s="332">
        <f>Gasto_o_ing_total!D459*1000/Gasto_o_ing_total!D$485</f>
        <v>1.3396298600250074</v>
      </c>
      <c r="F459" s="332">
        <f>Gasto_o_ing_total!E459*1000/Gasto_o_ing_total!E$485</f>
        <v>1.978551624698523E-2</v>
      </c>
      <c r="G459" s="332">
        <f>Gasto_o_ing_total!F459*1000/Gasto_o_ing_total!F$485</f>
        <v>6.1531669319187845</v>
      </c>
      <c r="H459" s="332">
        <f>Gasto_o_ing_total!G459*1000/Gasto_o_ing_total!G$485</f>
        <v>3.389729670235079</v>
      </c>
      <c r="I459" s="332">
        <f>Gasto_o_ing_total!H459*1000/Gasto_o_ing_total!H$485</f>
        <v>1.7723394525152243</v>
      </c>
      <c r="J459" s="332">
        <f>Gasto_o_ing_total!I459*1000/Gasto_o_ing_total!I$485</f>
        <v>1.6783027151132646</v>
      </c>
      <c r="K459" s="332">
        <f>Gasto_o_ing_total!J459*1000/Gasto_o_ing_total!J$485</f>
        <v>4.4266324698435708E-2</v>
      </c>
      <c r="L459" s="332">
        <f>Gasto_o_ing_total!K459*1000/Gasto_o_ing_total!K$485</f>
        <v>0.11452488246601655</v>
      </c>
      <c r="M459" s="332">
        <f>Gasto_o_ing_total!L459*1000/Gasto_o_ing_total!L$485</f>
        <v>1.1091352616462247</v>
      </c>
      <c r="N459" s="332">
        <f>Gasto_o_ing_total!M459*1000/Gasto_o_ing_total!M$485</f>
        <v>0.43729019658242008</v>
      </c>
      <c r="O459" s="332">
        <f>Gasto_o_ing_total!N459*1000/Gasto_o_ing_total!N$485</f>
        <v>6.620035896107769E-2</v>
      </c>
      <c r="P459" s="332">
        <f>Gasto_o_ing_total!O459*1000/Gasto_o_ing_total!O$485</f>
        <v>13.780634613465375</v>
      </c>
      <c r="Q459" s="332">
        <f>Gasto_o_ing_total!P459*1000/Gasto_o_ing_total!P$485</f>
        <v>0.1758075647680741</v>
      </c>
      <c r="R459" s="332">
        <f>Gasto_o_ing_total!Q459*1000/Gasto_o_ing_total!Q$485</f>
        <v>3.2168808138294733</v>
      </c>
      <c r="S459" s="332">
        <f>Gasto_o_ing_total!R459*1000/Gasto_o_ing_total!R$485</f>
        <v>4.9980263156703007E-3</v>
      </c>
      <c r="T459" s="332">
        <f>Gasto_o_ing_total!S459*1000/Gasto_o_ing_total!S$485</f>
        <v>20.078270737991936</v>
      </c>
      <c r="U459" s="332">
        <f>Gasto_o_ing_total!T459*1000/Gasto_o_ing_total!T$485</f>
        <v>7.0475993896149489E-2</v>
      </c>
      <c r="V459" s="332">
        <f>Gasto_o_ing_total!U459*1000/Gasto_o_ing_total!U$485</f>
        <v>0.23905179201498469</v>
      </c>
      <c r="W459" s="105"/>
    </row>
    <row r="460" spans="1:23"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Gasto_o_ing_total!V460*1000/Gasto_o_ing_total!V$485</f>
        <v>5.8023001117513705E-2</v>
      </c>
      <c r="E460" s="332">
        <f>Gasto_o_ing_total!D460*1000/Gasto_o_ing_total!D$485</f>
        <v>0.15628983424052531</v>
      </c>
      <c r="F460" s="332">
        <f>Gasto_o_ing_total!E460*1000/Gasto_o_ing_total!E$485</f>
        <v>1.0391504053251639E-2</v>
      </c>
      <c r="G460" s="332">
        <f>Gasto_o_ing_total!F460*1000/Gasto_o_ing_total!F$485</f>
        <v>0.32963007271404854</v>
      </c>
      <c r="H460" s="332">
        <f>Gasto_o_ing_total!G460*1000/Gasto_o_ing_total!G$485</f>
        <v>0</v>
      </c>
      <c r="I460" s="332">
        <f>Gasto_o_ing_total!H460*1000/Gasto_o_ing_total!H$485</f>
        <v>0</v>
      </c>
      <c r="J460" s="332">
        <f>Gasto_o_ing_total!I460*1000/Gasto_o_ing_total!I$485</f>
        <v>7.0687169747358416E-3</v>
      </c>
      <c r="K460" s="332">
        <f>Gasto_o_ing_total!J460*1000/Gasto_o_ing_total!J$485</f>
        <v>2.2112676454833748E-2</v>
      </c>
      <c r="L460" s="332">
        <f>Gasto_o_ing_total!K460*1000/Gasto_o_ing_total!K$485</f>
        <v>9.0550806130489908E-2</v>
      </c>
      <c r="M460" s="332">
        <f>Gasto_o_ing_total!L460*1000/Gasto_o_ing_total!L$485</f>
        <v>6.0319132661435567E-3</v>
      </c>
      <c r="N460" s="332">
        <f>Gasto_o_ing_total!M460*1000/Gasto_o_ing_total!M$485</f>
        <v>0.11048945970365727</v>
      </c>
      <c r="O460" s="332">
        <f>Gasto_o_ing_total!N460*1000/Gasto_o_ing_total!N$485</f>
        <v>0</v>
      </c>
      <c r="P460" s="332">
        <f>Gasto_o_ing_total!O460*1000/Gasto_o_ing_total!O$485</f>
        <v>4.2199713704873534E-2</v>
      </c>
      <c r="Q460" s="332">
        <f>Gasto_o_ing_total!P460*1000/Gasto_o_ing_total!P$485</f>
        <v>2.2288744198246096E-3</v>
      </c>
      <c r="R460" s="332">
        <f>Gasto_o_ing_total!Q460*1000/Gasto_o_ing_total!Q$485</f>
        <v>2.044661174621001E-2</v>
      </c>
      <c r="S460" s="332">
        <f>Gasto_o_ing_total!R460*1000/Gasto_o_ing_total!R$485</f>
        <v>0</v>
      </c>
      <c r="T460" s="332">
        <f>Gasto_o_ing_total!S460*1000/Gasto_o_ing_total!S$485</f>
        <v>1.4270253740234442E-2</v>
      </c>
      <c r="U460" s="332">
        <f>Gasto_o_ing_total!T460*1000/Gasto_o_ing_total!T$485</f>
        <v>0</v>
      </c>
      <c r="V460" s="332">
        <f>Gasto_o_ing_total!U460*1000/Gasto_o_ing_total!U$485</f>
        <v>0</v>
      </c>
      <c r="W460" s="105"/>
    </row>
    <row r="461" spans="1:23" s="102" customFormat="1">
      <c r="A461" s="351" t="str">
        <f>IF(B461="","",(IF(ISERROR(MATCH(B461,Tot_res!C:C,0)),"Eliminar!!!","")))</f>
        <v/>
      </c>
      <c r="B461" s="115" t="s">
        <v>410</v>
      </c>
      <c r="C461" s="329" t="str">
        <f>VLOOKUP(B461,Tot_res!C:D,2,FALSE)</f>
        <v>Seguridad nuclear y protección radiológica</v>
      </c>
      <c r="D461" s="332">
        <f>Gasto_o_ing_total!V461*1000/Gasto_o_ing_total!V$485</f>
        <v>0.85572951814934817</v>
      </c>
      <c r="E461" s="332">
        <f>Gasto_o_ing_total!D461*1000/Gasto_o_ing_total!D$485</f>
        <v>0.85572951814934817</v>
      </c>
      <c r="F461" s="332">
        <f>Gasto_o_ing_total!E461*1000/Gasto_o_ing_total!E$485</f>
        <v>0.85572951814934828</v>
      </c>
      <c r="G461" s="332">
        <f>Gasto_o_ing_total!F461*1000/Gasto_o_ing_total!F$485</f>
        <v>0.85572951814934828</v>
      </c>
      <c r="H461" s="332">
        <f>Gasto_o_ing_total!G461*1000/Gasto_o_ing_total!G$485</f>
        <v>0.85572951814934817</v>
      </c>
      <c r="I461" s="332">
        <f>Gasto_o_ing_total!H461*1000/Gasto_o_ing_total!H$485</f>
        <v>0.85572951814934828</v>
      </c>
      <c r="J461" s="332">
        <f>Gasto_o_ing_total!I461*1000/Gasto_o_ing_total!I$485</f>
        <v>0.85572951814934828</v>
      </c>
      <c r="K461" s="332">
        <f>Gasto_o_ing_total!J461*1000/Gasto_o_ing_total!J$485</f>
        <v>0.85572951814934817</v>
      </c>
      <c r="L461" s="332">
        <f>Gasto_o_ing_total!K461*1000/Gasto_o_ing_total!K$485</f>
        <v>0.85572951814934817</v>
      </c>
      <c r="M461" s="332">
        <f>Gasto_o_ing_total!L461*1000/Gasto_o_ing_total!L$485</f>
        <v>0.85572951814934828</v>
      </c>
      <c r="N461" s="332">
        <f>Gasto_o_ing_total!M461*1000/Gasto_o_ing_total!M$485</f>
        <v>0.85572951814934817</v>
      </c>
      <c r="O461" s="332">
        <f>Gasto_o_ing_total!N461*1000/Gasto_o_ing_total!N$485</f>
        <v>0.85572951814934817</v>
      </c>
      <c r="P461" s="332">
        <f>Gasto_o_ing_total!O461*1000/Gasto_o_ing_total!O$485</f>
        <v>0.85572951814934817</v>
      </c>
      <c r="Q461" s="332">
        <f>Gasto_o_ing_total!P461*1000/Gasto_o_ing_total!P$485</f>
        <v>0.85572951814934806</v>
      </c>
      <c r="R461" s="332">
        <f>Gasto_o_ing_total!Q461*1000/Gasto_o_ing_total!Q$485</f>
        <v>0.85572951814934828</v>
      </c>
      <c r="S461" s="332">
        <f>Gasto_o_ing_total!R461*1000/Gasto_o_ing_total!R$485</f>
        <v>0.85572951814934817</v>
      </c>
      <c r="T461" s="332">
        <f>Gasto_o_ing_total!S461*1000/Gasto_o_ing_total!S$485</f>
        <v>0.85572951814934817</v>
      </c>
      <c r="U461" s="332">
        <f>Gasto_o_ing_total!T461*1000/Gasto_o_ing_total!T$485</f>
        <v>0.85572951814934828</v>
      </c>
      <c r="V461" s="332">
        <f>Gasto_o_ing_total!U461*1000/Gasto_o_ing_total!U$485</f>
        <v>0.85572951814934817</v>
      </c>
    </row>
    <row r="462" spans="1:23"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Gasto_o_ing_total!V462*1000/Gasto_o_ing_total!V$485</f>
        <v>7.6665229353168538</v>
      </c>
      <c r="E462" s="332">
        <f>Gasto_o_ing_total!D462*1000/Gasto_o_ing_total!D$485</f>
        <v>6.8360134675299031</v>
      </c>
      <c r="F462" s="332">
        <f>Gasto_o_ing_total!E462*1000/Gasto_o_ing_total!E$485</f>
        <v>8.0989427898120461</v>
      </c>
      <c r="G462" s="332">
        <f>Gasto_o_ing_total!F462*1000/Gasto_o_ing_total!F$485</f>
        <v>8.6753744676977878</v>
      </c>
      <c r="H462" s="332">
        <f>Gasto_o_ing_total!G462*1000/Gasto_o_ing_total!G$485</f>
        <v>9.4779181061196258</v>
      </c>
      <c r="I462" s="332">
        <f>Gasto_o_ing_total!H462*1000/Gasto_o_ing_total!H$485</f>
        <v>7.2036554693627952</v>
      </c>
      <c r="J462" s="332">
        <f>Gasto_o_ing_total!I462*1000/Gasto_o_ing_total!I$485</f>
        <v>9.1728070162822952</v>
      </c>
      <c r="K462" s="332">
        <f>Gasto_o_ing_total!J462*1000/Gasto_o_ing_total!J$485</f>
        <v>7.1619839502904732</v>
      </c>
      <c r="L462" s="332">
        <f>Gasto_o_ing_total!K462*1000/Gasto_o_ing_total!K$485</f>
        <v>5.3267055426290684</v>
      </c>
      <c r="M462" s="332">
        <f>Gasto_o_ing_total!L462*1000/Gasto_o_ing_total!L$485</f>
        <v>7.479482140389802</v>
      </c>
      <c r="N462" s="332">
        <f>Gasto_o_ing_total!M462*1000/Gasto_o_ing_total!M$485</f>
        <v>7.9852806435659671</v>
      </c>
      <c r="O462" s="332">
        <f>Gasto_o_ing_total!N462*1000/Gasto_o_ing_total!N$485</f>
        <v>6.8614669732271434</v>
      </c>
      <c r="P462" s="332">
        <f>Gasto_o_ing_total!O462*1000/Gasto_o_ing_total!O$485</f>
        <v>8.2500403650740068</v>
      </c>
      <c r="Q462" s="332">
        <f>Gasto_o_ing_total!P462*1000/Gasto_o_ing_total!P$485</f>
        <v>8.2324905475985322</v>
      </c>
      <c r="R462" s="332">
        <f>Gasto_o_ing_total!Q462*1000/Gasto_o_ing_total!Q$485</f>
        <v>8.407493231713941</v>
      </c>
      <c r="S462" s="332">
        <f>Gasto_o_ing_total!R462*1000/Gasto_o_ing_total!R$485</f>
        <v>12.131968172119885</v>
      </c>
      <c r="T462" s="332">
        <f>Gasto_o_ing_total!S462*1000/Gasto_o_ing_total!S$485</f>
        <v>8.0973730765743905</v>
      </c>
      <c r="U462" s="332">
        <f>Gasto_o_ing_total!T462*1000/Gasto_o_ing_total!T$485</f>
        <v>9.5901934904834825</v>
      </c>
      <c r="V462" s="332">
        <f>Gasto_o_ing_total!U462*1000/Gasto_o_ing_total!U$485</f>
        <v>4.5384091988706068</v>
      </c>
    </row>
    <row r="463" spans="1:23" s="102" customFormat="1">
      <c r="A463" s="351" t="str">
        <f>IF(B463="","",(IF(ISERROR(MATCH(B463,Tot_res!C:C,0)),"Eliminar!!!","")))</f>
        <v/>
      </c>
      <c r="B463" s="115" t="s">
        <v>411</v>
      </c>
      <c r="C463" s="329" t="str">
        <f>VLOOKUP(B463,Tot_res!C:D,2,FALSE)</f>
        <v>Promoción comercial e internacionalización de la empresa</v>
      </c>
      <c r="D463" s="332">
        <f>Gasto_o_ing_total!V463*1000/Gasto_o_ing_total!V$485</f>
        <v>3.549057032729432</v>
      </c>
      <c r="E463" s="332">
        <f>Gasto_o_ing_total!D463*1000/Gasto_o_ing_total!D$485</f>
        <v>2.1983928243337272</v>
      </c>
      <c r="F463" s="332">
        <f>Gasto_o_ing_total!E463*1000/Gasto_o_ing_total!E$485</f>
        <v>4.9196512581085061</v>
      </c>
      <c r="G463" s="332">
        <f>Gasto_o_ing_total!F463*1000/Gasto_o_ing_total!F$485</f>
        <v>2.5177175522629471</v>
      </c>
      <c r="H463" s="332">
        <f>Gasto_o_ing_total!G463*1000/Gasto_o_ing_total!G$485</f>
        <v>0.58004570103147335</v>
      </c>
      <c r="I463" s="332">
        <f>Gasto_o_ing_total!H463*1000/Gasto_o_ing_total!H$485</f>
        <v>0.78856854800457088</v>
      </c>
      <c r="J463" s="332">
        <f>Gasto_o_ing_total!I463*1000/Gasto_o_ing_total!I$485</f>
        <v>3.0066794899022362</v>
      </c>
      <c r="K463" s="332">
        <f>Gasto_o_ing_total!J463*1000/Gasto_o_ing_total!J$485</f>
        <v>3.5583766342010485</v>
      </c>
      <c r="L463" s="332">
        <f>Gasto_o_ing_total!K463*1000/Gasto_o_ing_total!K$485</f>
        <v>1.8083858689470307</v>
      </c>
      <c r="M463" s="332">
        <f>Gasto_o_ing_total!L463*1000/Gasto_o_ing_total!L$485</f>
        <v>5.5608262084632294</v>
      </c>
      <c r="N463" s="332">
        <f>Gasto_o_ing_total!M463*1000/Gasto_o_ing_total!M$485</f>
        <v>3.470125894547929</v>
      </c>
      <c r="O463" s="332">
        <f>Gasto_o_ing_total!N463*1000/Gasto_o_ing_total!N$485</f>
        <v>1.0579898264700365</v>
      </c>
      <c r="P463" s="332">
        <f>Gasto_o_ing_total!O463*1000/Gasto_o_ing_total!O$485</f>
        <v>4.5035247235919247</v>
      </c>
      <c r="Q463" s="332">
        <f>Gasto_o_ing_total!P463*1000/Gasto_o_ing_total!P$485</f>
        <v>2.9814522952365055</v>
      </c>
      <c r="R463" s="332">
        <f>Gasto_o_ing_total!Q463*1000/Gasto_o_ing_total!Q$485</f>
        <v>4.9318762024495229</v>
      </c>
      <c r="S463" s="332">
        <f>Gasto_o_ing_total!R463*1000/Gasto_o_ing_total!R$485</f>
        <v>8.806459249653285</v>
      </c>
      <c r="T463" s="332">
        <f>Gasto_o_ing_total!S463*1000/Gasto_o_ing_total!S$485</f>
        <v>7.1229663913649333</v>
      </c>
      <c r="U463" s="332">
        <f>Gasto_o_ing_total!T463*1000/Gasto_o_ing_total!T$485</f>
        <v>3.5831020113074277</v>
      </c>
      <c r="V463" s="332">
        <f>Gasto_o_ing_total!U463*1000/Gasto_o_ing_total!U$485</f>
        <v>0.15497425570531317</v>
      </c>
    </row>
    <row r="464" spans="1:23" s="102" customFormat="1">
      <c r="A464" s="351" t="str">
        <f>IF(B464="","",(IF(ISERROR(MATCH(B464,Tot_res!C:C,0)),"Eliminar!!!","")))</f>
        <v/>
      </c>
      <c r="B464" s="115" t="s">
        <v>413</v>
      </c>
      <c r="C464" s="329" t="str">
        <f>VLOOKUP(B464,Tot_res!C:D,2,FALSE)</f>
        <v>Ordenación del comercio exterior</v>
      </c>
      <c r="D464" s="332">
        <f>Gasto_o_ing_total!V464*1000/Gasto_o_ing_total!V$485</f>
        <v>0.18462251210368585</v>
      </c>
      <c r="E464" s="332">
        <f>Gasto_o_ing_total!D464*1000/Gasto_o_ing_total!D$485</f>
        <v>0.1176183591542788</v>
      </c>
      <c r="F464" s="332">
        <f>Gasto_o_ing_total!E464*1000/Gasto_o_ing_total!E$485</f>
        <v>0.2340963517564541</v>
      </c>
      <c r="G464" s="332">
        <f>Gasto_o_ing_total!F464*1000/Gasto_o_ing_total!F$485</f>
        <v>0.11736582330768587</v>
      </c>
      <c r="H464" s="332">
        <f>Gasto_o_ing_total!G464*1000/Gasto_o_ing_total!G$485</f>
        <v>3.6702987643665669E-2</v>
      </c>
      <c r="I464" s="332">
        <f>Gasto_o_ing_total!H464*1000/Gasto_o_ing_total!H$485</f>
        <v>4.8248063771857093E-2</v>
      </c>
      <c r="J464" s="332">
        <f>Gasto_o_ing_total!I464*1000/Gasto_o_ing_total!I$485</f>
        <v>0.13021480479230027</v>
      </c>
      <c r="K464" s="332">
        <f>Gasto_o_ing_total!J464*1000/Gasto_o_ing_total!J$485</f>
        <v>0.17341191216502413</v>
      </c>
      <c r="L464" s="332">
        <f>Gasto_o_ing_total!K464*1000/Gasto_o_ing_total!K$485</f>
        <v>9.4394468581380259E-2</v>
      </c>
      <c r="M464" s="332">
        <f>Gasto_o_ing_total!L464*1000/Gasto_o_ing_total!L$485</f>
        <v>0.30227902254461342</v>
      </c>
      <c r="N464" s="332">
        <f>Gasto_o_ing_total!M464*1000/Gasto_o_ing_total!M$485</f>
        <v>0.16046443227242241</v>
      </c>
      <c r="O464" s="332">
        <f>Gasto_o_ing_total!N464*1000/Gasto_o_ing_total!N$485</f>
        <v>4.2185381918933104E-2</v>
      </c>
      <c r="P464" s="332">
        <f>Gasto_o_ing_total!O464*1000/Gasto_o_ing_total!O$485</f>
        <v>0.20339179985361075</v>
      </c>
      <c r="Q464" s="332">
        <f>Gasto_o_ing_total!P464*1000/Gasto_o_ing_total!P$485</f>
        <v>0.20696379522869066</v>
      </c>
      <c r="R464" s="332">
        <f>Gasto_o_ing_total!Q464*1000/Gasto_o_ing_total!Q$485</f>
        <v>0.261978576983113</v>
      </c>
      <c r="S464" s="332">
        <f>Gasto_o_ing_total!R464*1000/Gasto_o_ing_total!R$485</f>
        <v>0.3356229391080302</v>
      </c>
      <c r="T464" s="332">
        <f>Gasto_o_ing_total!S464*1000/Gasto_o_ing_total!S$485</f>
        <v>0.31361308177722447</v>
      </c>
      <c r="U464" s="332">
        <f>Gasto_o_ing_total!T464*1000/Gasto_o_ing_total!T$485</f>
        <v>0.15272988923846142</v>
      </c>
      <c r="V464" s="332">
        <f>Gasto_o_ing_total!U464*1000/Gasto_o_ing_total!U$485</f>
        <v>6.6097268345632815E-2</v>
      </c>
    </row>
    <row r="465" spans="1:22" s="102" customFormat="1">
      <c r="A465" s="351" t="str">
        <f>IF(B465="","",(IF(ISERROR(MATCH(B465,Tot_res!C:C,0)),"Eliminar!!!","")))</f>
        <v/>
      </c>
      <c r="B465" s="115" t="s">
        <v>415</v>
      </c>
      <c r="C465" s="329" t="str">
        <f>VLOOKUP(B465,Tot_res!C:D,2,FALSE)</f>
        <v>Ordenación y modernización de las estructuras comerciales + AF23</v>
      </c>
      <c r="D465" s="332">
        <f>Gasto_o_ing_total!V465*1000/Gasto_o_ing_total!V$485</f>
        <v>0.11045209896817221</v>
      </c>
      <c r="E465" s="332">
        <f>Gasto_o_ing_total!D465*1000/Gasto_o_ing_total!D$485</f>
        <v>8.0067369585055725E-2</v>
      </c>
      <c r="F465" s="332">
        <f>Gasto_o_ing_total!E465*1000/Gasto_o_ing_total!E$485</f>
        <v>0.1065178478170864</v>
      </c>
      <c r="G465" s="332">
        <f>Gasto_o_ing_total!F465*1000/Gasto_o_ing_total!F$485</f>
        <v>9.0479724617077151E-2</v>
      </c>
      <c r="H465" s="332">
        <f>Gasto_o_ing_total!G465*1000/Gasto_o_ing_total!G$485</f>
        <v>0.18048122098897126</v>
      </c>
      <c r="I465" s="332">
        <f>Gasto_o_ing_total!H465*1000/Gasto_o_ing_total!H$485</f>
        <v>0.13490353147112211</v>
      </c>
      <c r="J465" s="332">
        <f>Gasto_o_ing_total!I465*1000/Gasto_o_ing_total!I$485</f>
        <v>9.1505738422692245E-2</v>
      </c>
      <c r="K465" s="332">
        <f>Gasto_o_ing_total!J465*1000/Gasto_o_ing_total!J$485</f>
        <v>8.8940927676890436E-2</v>
      </c>
      <c r="L465" s="332">
        <f>Gasto_o_ing_total!K465*1000/Gasto_o_ing_total!K$485</f>
        <v>7.1019421818876216E-2</v>
      </c>
      <c r="M465" s="332">
        <f>Gasto_o_ing_total!L465*1000/Gasto_o_ing_total!L$485</f>
        <v>0.13852941834540075</v>
      </c>
      <c r="N465" s="332">
        <f>Gasto_o_ing_total!M465*1000/Gasto_o_ing_total!M$485</f>
        <v>9.9885365558466541E-2</v>
      </c>
      <c r="O465" s="332">
        <f>Gasto_o_ing_total!N465*1000/Gasto_o_ing_total!N$485</f>
        <v>5.6114993344457555E-2</v>
      </c>
      <c r="P465" s="332">
        <f>Gasto_o_ing_total!O465*1000/Gasto_o_ing_total!O$485</f>
        <v>9.5528312118994971E-2</v>
      </c>
      <c r="Q465" s="332">
        <f>Gasto_o_ing_total!P465*1000/Gasto_o_ing_total!P$485</f>
        <v>0.15021733218674563</v>
      </c>
      <c r="R465" s="332">
        <f>Gasto_o_ing_total!Q465*1000/Gasto_o_ing_total!Q$485</f>
        <v>9.1205385268491826E-2</v>
      </c>
      <c r="S465" s="332">
        <f>Gasto_o_ing_total!R465*1000/Gasto_o_ing_total!R$485</f>
        <v>0.10834201173644968</v>
      </c>
      <c r="T465" s="332">
        <f>Gasto_o_ing_total!S465*1000/Gasto_o_ing_total!S$485</f>
        <v>0.12252163450744029</v>
      </c>
      <c r="U465" s="332">
        <f>Gasto_o_ing_total!T465*1000/Gasto_o_ing_total!T$485</f>
        <v>9.5039300784982128E-2</v>
      </c>
      <c r="V465" s="332">
        <f>Gasto_o_ing_total!U465*1000/Gasto_o_ing_total!U$485</f>
        <v>6.9051203783111623E-2</v>
      </c>
    </row>
    <row r="466" spans="1:22" s="102" customFormat="1">
      <c r="A466" s="351" t="str">
        <f>IF(B466="","",(IF(ISERROR(MATCH(B466,Tot_res!C:C,0)),"Eliminar!!!","")))</f>
        <v/>
      </c>
      <c r="B466" s="115" t="s">
        <v>416</v>
      </c>
      <c r="C466" s="329" t="str">
        <f>VLOOKUP(B466,Tot_res!C:D,2,FALSE)</f>
        <v>Coordinación y promoción del turismo + AF24</v>
      </c>
      <c r="D466" s="332">
        <f>Gasto_o_ing_total!V466*1000/Gasto_o_ing_total!V$485</f>
        <v>1.7174018405070759</v>
      </c>
      <c r="E466" s="332">
        <f>Gasto_o_ing_total!D466*1000/Gasto_o_ing_total!D$485</f>
        <v>1.304954873253714</v>
      </c>
      <c r="F466" s="332">
        <f>Gasto_o_ing_total!E466*1000/Gasto_o_ing_total!E$485</f>
        <v>0.87264737800170877</v>
      </c>
      <c r="G466" s="332">
        <f>Gasto_o_ing_total!F466*1000/Gasto_o_ing_total!F$485</f>
        <v>0.90845265057075097</v>
      </c>
      <c r="H466" s="332">
        <f>Gasto_o_ing_total!G466*1000/Gasto_o_ing_total!G$485</f>
        <v>8.1112279066199111</v>
      </c>
      <c r="I466" s="332">
        <f>Gasto_o_ing_total!H466*1000/Gasto_o_ing_total!H$485</f>
        <v>5.2624741299738362</v>
      </c>
      <c r="J466" s="332">
        <f>Gasto_o_ing_total!I466*1000/Gasto_o_ing_total!I$485</f>
        <v>0.8928285931544041</v>
      </c>
      <c r="K466" s="332">
        <f>Gasto_o_ing_total!J466*1000/Gasto_o_ing_total!J$485</f>
        <v>0.74850061482125219</v>
      </c>
      <c r="L466" s="332">
        <f>Gasto_o_ing_total!K466*1000/Gasto_o_ing_total!K$485</f>
        <v>0.59261600152401295</v>
      </c>
      <c r="M466" s="332">
        <f>Gasto_o_ing_total!L466*1000/Gasto_o_ing_total!L$485</f>
        <v>2.3515033072606211</v>
      </c>
      <c r="N466" s="332">
        <f>Gasto_o_ing_total!M466*1000/Gasto_o_ing_total!M$485</f>
        <v>1.3022697957442495</v>
      </c>
      <c r="O466" s="332">
        <f>Gasto_o_ing_total!N466*1000/Gasto_o_ing_total!N$485</f>
        <v>0.58448389222554398</v>
      </c>
      <c r="P466" s="332">
        <f>Gasto_o_ing_total!O466*1000/Gasto_o_ing_total!O$485</f>
        <v>1.6923457237844641</v>
      </c>
      <c r="Q466" s="332">
        <f>Gasto_o_ing_total!P466*1000/Gasto_o_ing_total!P$485</f>
        <v>1.4230783474995892</v>
      </c>
      <c r="R466" s="332">
        <f>Gasto_o_ing_total!Q466*1000/Gasto_o_ing_total!Q$485</f>
        <v>0.83183204108314968</v>
      </c>
      <c r="S466" s="332">
        <f>Gasto_o_ing_total!R466*1000/Gasto_o_ing_total!R$485</f>
        <v>1.0847197343800394</v>
      </c>
      <c r="T466" s="332">
        <f>Gasto_o_ing_total!S466*1000/Gasto_o_ing_total!S$485</f>
        <v>1.1484760625869019</v>
      </c>
      <c r="U466" s="332">
        <f>Gasto_o_ing_total!T466*1000/Gasto_o_ing_total!T$485</f>
        <v>0.65776679408848082</v>
      </c>
      <c r="V466" s="332">
        <f>Gasto_o_ing_total!U466*1000/Gasto_o_ing_total!U$485</f>
        <v>1.3871783437877514</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Gasto_o_ing_total!V467*1000/Gasto_o_ing_total!V$485</f>
        <v>3.3470483439589631</v>
      </c>
      <c r="E467" s="332">
        <f>Gasto_o_ing_total!D467*1000/Gasto_o_ing_total!D$485</f>
        <v>1.7800351242365746</v>
      </c>
      <c r="F467" s="332">
        <f>Gasto_o_ing_total!E467*1000/Gasto_o_ing_total!E$485</f>
        <v>5.2222350797465538</v>
      </c>
      <c r="G467" s="332">
        <f>Gasto_o_ing_total!F467*1000/Gasto_o_ing_total!F$485</f>
        <v>3.6218551245627135</v>
      </c>
      <c r="H467" s="332">
        <f>Gasto_o_ing_total!G467*1000/Gasto_o_ing_total!G$485</f>
        <v>1.5098475201605435</v>
      </c>
      <c r="I467" s="332">
        <f>Gasto_o_ing_total!H467*1000/Gasto_o_ing_total!H$485</f>
        <v>1.2983349315434145</v>
      </c>
      <c r="J467" s="332">
        <f>Gasto_o_ing_total!I467*1000/Gasto_o_ing_total!I$485</f>
        <v>3.934423281830504</v>
      </c>
      <c r="K467" s="332">
        <f>Gasto_o_ing_total!J467*1000/Gasto_o_ing_total!J$485</f>
        <v>3.9835891367947229</v>
      </c>
      <c r="L467" s="332">
        <f>Gasto_o_ing_total!K467*1000/Gasto_o_ing_total!K$485</f>
        <v>3.2693532658023248</v>
      </c>
      <c r="M467" s="332">
        <f>Gasto_o_ing_total!L467*1000/Gasto_o_ing_total!L$485</f>
        <v>4.718495210832609</v>
      </c>
      <c r="N467" s="332">
        <f>Gasto_o_ing_total!M467*1000/Gasto_o_ing_total!M$485</f>
        <v>3.1376024174381301</v>
      </c>
      <c r="O467" s="332">
        <f>Gasto_o_ing_total!N467*1000/Gasto_o_ing_total!N$485</f>
        <v>1.8713171730260498</v>
      </c>
      <c r="P467" s="332">
        <f>Gasto_o_ing_total!O467*1000/Gasto_o_ing_total!O$485</f>
        <v>3.3230069654554768</v>
      </c>
      <c r="Q467" s="332">
        <f>Gasto_o_ing_total!P467*1000/Gasto_o_ing_total!P$485</f>
        <v>2.7770542070022852</v>
      </c>
      <c r="R467" s="332">
        <f>Gasto_o_ing_total!Q467*1000/Gasto_o_ing_total!Q$485</f>
        <v>2.9189795824122946</v>
      </c>
      <c r="S467" s="332">
        <f>Gasto_o_ing_total!R467*1000/Gasto_o_ing_total!R$485</f>
        <v>7.9460535314146243</v>
      </c>
      <c r="T467" s="332">
        <f>Gasto_o_ing_total!S467*1000/Gasto_o_ing_total!S$485</f>
        <v>7.1355963650567116</v>
      </c>
      <c r="U467" s="332">
        <f>Gasto_o_ing_total!T467*1000/Gasto_o_ing_total!T$485</f>
        <v>6.0937185708218804</v>
      </c>
      <c r="V467" s="332">
        <f>Gasto_o_ing_total!U467*1000/Gasto_o_ing_total!U$485</f>
        <v>0.87172453598950506</v>
      </c>
    </row>
    <row r="468" spans="1:22" s="102" customFormat="1">
      <c r="A468" s="351" t="str">
        <f>IF(B468="","",(IF(ISERROR(MATCH(B468,Tot_res!C:C,0)),"Eliminar!!!","")))</f>
        <v/>
      </c>
      <c r="B468" s="115" t="s">
        <v>418</v>
      </c>
      <c r="C468" s="329" t="str">
        <f>VLOOKUP(B468,Tot_res!C:D,2,FALSE)</f>
        <v>Investigación y desarrollo de la sociedad de la información</v>
      </c>
      <c r="D468" s="332">
        <f>Gasto_o_ing_total!V468*1000/Gasto_o_ing_total!V$485</f>
        <v>0.76307237816446893</v>
      </c>
      <c r="E468" s="332">
        <f>Gasto_o_ing_total!D468*1000/Gasto_o_ing_total!D$485</f>
        <v>0.25708530700193061</v>
      </c>
      <c r="F468" s="332">
        <f>Gasto_o_ing_total!E468*1000/Gasto_o_ing_total!E$485</f>
        <v>1.2339753585687763</v>
      </c>
      <c r="G468" s="332">
        <f>Gasto_o_ing_total!F468*1000/Gasto_o_ing_total!F$485</f>
        <v>0.2919782656416775</v>
      </c>
      <c r="H468" s="332">
        <f>Gasto_o_ing_total!G468*1000/Gasto_o_ing_total!G$485</f>
        <v>2.5748090691074629E-2</v>
      </c>
      <c r="I468" s="332">
        <f>Gasto_o_ing_total!H468*1000/Gasto_o_ing_total!H$485</f>
        <v>2.8395835767206848E-2</v>
      </c>
      <c r="J468" s="332">
        <f>Gasto_o_ing_total!I468*1000/Gasto_o_ing_total!I$485</f>
        <v>1.3353223989911995</v>
      </c>
      <c r="K468" s="332">
        <f>Gasto_o_ing_total!J468*1000/Gasto_o_ing_total!J$485</f>
        <v>0.18382578483990938</v>
      </c>
      <c r="L468" s="332">
        <f>Gasto_o_ing_total!K468*1000/Gasto_o_ing_total!K$485</f>
        <v>0.26327641599326829</v>
      </c>
      <c r="M468" s="332">
        <f>Gasto_o_ing_total!L468*1000/Gasto_o_ing_total!L$485</f>
        <v>1.3210436409274264</v>
      </c>
      <c r="N468" s="332">
        <f>Gasto_o_ing_total!M468*1000/Gasto_o_ing_total!M$485</f>
        <v>0.39751939669058128</v>
      </c>
      <c r="O468" s="332">
        <f>Gasto_o_ing_total!N468*1000/Gasto_o_ing_total!N$485</f>
        <v>2.1522315940224791E-2</v>
      </c>
      <c r="P468" s="332">
        <f>Gasto_o_ing_total!O468*1000/Gasto_o_ing_total!O$485</f>
        <v>0.23558064078362492</v>
      </c>
      <c r="Q468" s="332">
        <f>Gasto_o_ing_total!P468*1000/Gasto_o_ing_total!P$485</f>
        <v>1.6652032259279621</v>
      </c>
      <c r="R468" s="332">
        <f>Gasto_o_ing_total!Q468*1000/Gasto_o_ing_total!Q$485</f>
        <v>0.10168270298686846</v>
      </c>
      <c r="S468" s="332">
        <f>Gasto_o_ing_total!R468*1000/Gasto_o_ing_total!R$485</f>
        <v>1.1442549034314315</v>
      </c>
      <c r="T468" s="332">
        <f>Gasto_o_ing_total!S468*1000/Gasto_o_ing_total!S$485</f>
        <v>2.4397409731398696</v>
      </c>
      <c r="U468" s="332">
        <f>Gasto_o_ing_total!T468*1000/Gasto_o_ing_total!T$485</f>
        <v>0.39008673651680997</v>
      </c>
      <c r="V468" s="332">
        <f>Gasto_o_ing_total!U468*1000/Gasto_o_ing_total!U$485</f>
        <v>9.3440350624203472E-3</v>
      </c>
    </row>
    <row r="469" spans="1:22" s="102" customFormat="1">
      <c r="A469" s="351" t="str">
        <f>IF(B469="","",(IF(ISERROR(MATCH(B469,Tot_res!C:C,0)),"Eliminar!!!","")))</f>
        <v/>
      </c>
      <c r="B469" s="115" t="s">
        <v>419</v>
      </c>
      <c r="C469" s="329" t="str">
        <f>VLOOKUP(B469,Tot_res!C:D,2,FALSE)</f>
        <v>Innovación tecnológica de las telecomunicaciones</v>
      </c>
      <c r="D469" s="332">
        <f>Gasto_o_ing_total!V469*1000/Gasto_o_ing_total!V$485</f>
        <v>0.85665069502165525</v>
      </c>
      <c r="E469" s="332">
        <f>Gasto_o_ing_total!D469*1000/Gasto_o_ing_total!D$485</f>
        <v>0.48688755233232811</v>
      </c>
      <c r="F469" s="332">
        <f>Gasto_o_ing_total!E469*1000/Gasto_o_ing_total!E$485</f>
        <v>0.55985574781940317</v>
      </c>
      <c r="G469" s="332">
        <f>Gasto_o_ing_total!F469*1000/Gasto_o_ing_total!F$485</f>
        <v>0.32020906549580758</v>
      </c>
      <c r="H469" s="332">
        <f>Gasto_o_ing_total!G469*1000/Gasto_o_ing_total!G$485</f>
        <v>0.41443218481556726</v>
      </c>
      <c r="I469" s="332">
        <f>Gasto_o_ing_total!H469*1000/Gasto_o_ing_total!H$485</f>
        <v>0.54884962300247264</v>
      </c>
      <c r="J469" s="332">
        <f>Gasto_o_ing_total!I469*1000/Gasto_o_ing_total!I$485</f>
        <v>0.38445253687586967</v>
      </c>
      <c r="K469" s="332">
        <f>Gasto_o_ing_total!J469*1000/Gasto_o_ing_total!J$485</f>
        <v>0.46197094488723739</v>
      </c>
      <c r="L469" s="332">
        <f>Gasto_o_ing_total!K469*1000/Gasto_o_ing_total!K$485</f>
        <v>0.45539653578047623</v>
      </c>
      <c r="M469" s="332">
        <f>Gasto_o_ing_total!L469*1000/Gasto_o_ing_total!L$485</f>
        <v>1.7122598056496219</v>
      </c>
      <c r="N469" s="332">
        <f>Gasto_o_ing_total!M469*1000/Gasto_o_ing_total!M$485</f>
        <v>0.60564267896371882</v>
      </c>
      <c r="O469" s="332">
        <f>Gasto_o_ing_total!N469*1000/Gasto_o_ing_total!N$485</f>
        <v>0.36023336221089419</v>
      </c>
      <c r="P469" s="332">
        <f>Gasto_o_ing_total!O469*1000/Gasto_o_ing_total!O$485</f>
        <v>0.40914056070858379</v>
      </c>
      <c r="Q469" s="332">
        <f>Gasto_o_ing_total!P469*1000/Gasto_o_ing_total!P$485</f>
        <v>1.4233840925482524</v>
      </c>
      <c r="R469" s="332">
        <f>Gasto_o_ing_total!Q469*1000/Gasto_o_ing_total!Q$485</f>
        <v>0.48645520472876475</v>
      </c>
      <c r="S469" s="332">
        <f>Gasto_o_ing_total!R469*1000/Gasto_o_ing_total!R$485</f>
        <v>1.0793538871499395</v>
      </c>
      <c r="T469" s="332">
        <f>Gasto_o_ing_total!S469*1000/Gasto_o_ing_total!S$485</f>
        <v>1.26945422298765</v>
      </c>
      <c r="U469" s="332">
        <f>Gasto_o_ing_total!T469*1000/Gasto_o_ing_total!T$485</f>
        <v>0.30592514595276682</v>
      </c>
      <c r="V469" s="332">
        <f>Gasto_o_ing_total!U469*1000/Gasto_o_ing_total!U$485</f>
        <v>0.2802162685758105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Gasto_o_ing_total!V470*1000/Gasto_o_ing_total!V$485</f>
        <v>0.66446070747800734</v>
      </c>
      <c r="E470" s="332">
        <f>Gasto_o_ing_total!D470*1000/Gasto_o_ing_total!D$485</f>
        <v>0.66446070747800734</v>
      </c>
      <c r="F470" s="332">
        <f>Gasto_o_ing_total!E470*1000/Gasto_o_ing_total!E$485</f>
        <v>0.66446070747800734</v>
      </c>
      <c r="G470" s="332">
        <f>Gasto_o_ing_total!F470*1000/Gasto_o_ing_total!F$485</f>
        <v>0.66446070747800745</v>
      </c>
      <c r="H470" s="332">
        <f>Gasto_o_ing_total!G470*1000/Gasto_o_ing_total!G$485</f>
        <v>0.66446070747800745</v>
      </c>
      <c r="I470" s="332">
        <f>Gasto_o_ing_total!H470*1000/Gasto_o_ing_total!H$485</f>
        <v>0.66446070747800734</v>
      </c>
      <c r="J470" s="332">
        <f>Gasto_o_ing_total!I470*1000/Gasto_o_ing_total!I$485</f>
        <v>0.66446070747800745</v>
      </c>
      <c r="K470" s="332">
        <f>Gasto_o_ing_total!J470*1000/Gasto_o_ing_total!J$485</f>
        <v>0.66446070747800734</v>
      </c>
      <c r="L470" s="332">
        <f>Gasto_o_ing_total!K470*1000/Gasto_o_ing_total!K$485</f>
        <v>0.66446070747800745</v>
      </c>
      <c r="M470" s="332">
        <f>Gasto_o_ing_total!L470*1000/Gasto_o_ing_total!L$485</f>
        <v>0.66446070747800745</v>
      </c>
      <c r="N470" s="332">
        <f>Gasto_o_ing_total!M470*1000/Gasto_o_ing_total!M$485</f>
        <v>0.66446070747800734</v>
      </c>
      <c r="O470" s="332">
        <f>Gasto_o_ing_total!N470*1000/Gasto_o_ing_total!N$485</f>
        <v>0.66446070747800745</v>
      </c>
      <c r="P470" s="332">
        <f>Gasto_o_ing_total!O470*1000/Gasto_o_ing_total!O$485</f>
        <v>0.66446070747800734</v>
      </c>
      <c r="Q470" s="332">
        <f>Gasto_o_ing_total!P470*1000/Gasto_o_ing_total!P$485</f>
        <v>0.66446070747800734</v>
      </c>
      <c r="R470" s="332">
        <f>Gasto_o_ing_total!Q470*1000/Gasto_o_ing_total!Q$485</f>
        <v>0.66446070747800734</v>
      </c>
      <c r="S470" s="332">
        <f>Gasto_o_ing_total!R470*1000/Gasto_o_ing_total!R$485</f>
        <v>0.66446070747800734</v>
      </c>
      <c r="T470" s="332">
        <f>Gasto_o_ing_total!S470*1000/Gasto_o_ing_total!S$485</f>
        <v>0.66446070747800734</v>
      </c>
      <c r="U470" s="332">
        <f>Gasto_o_ing_total!T470*1000/Gasto_o_ing_total!T$485</f>
        <v>0.66446070747800734</v>
      </c>
      <c r="V470" s="332">
        <f>Gasto_o_ing_total!U470*1000/Gasto_o_ing_total!U$485</f>
        <v>0.66446070747800745</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Gasto_o_ing_total!V471*1000/Gasto_o_ing_total!V$485</f>
        <v>54.199637171822097</v>
      </c>
      <c r="E471" s="332">
        <f>Gasto_o_ing_total!D471*1000/Gasto_o_ing_total!D$485</f>
        <v>44.359217684478701</v>
      </c>
      <c r="F471" s="332">
        <f>Gasto_o_ing_total!E471*1000/Gasto_o_ing_total!E$485</f>
        <v>73.111786905867163</v>
      </c>
      <c r="G471" s="332">
        <f>Gasto_o_ing_total!F471*1000/Gasto_o_ing_total!F$485</f>
        <v>95.979006046076918</v>
      </c>
      <c r="H471" s="332">
        <f>Gasto_o_ing_total!G471*1000/Gasto_o_ing_total!G$485</f>
        <v>49.607777593499016</v>
      </c>
      <c r="I471" s="332">
        <f>Gasto_o_ing_total!H471*1000/Gasto_o_ing_total!H$485</f>
        <v>40.014640083864343</v>
      </c>
      <c r="J471" s="332">
        <f>Gasto_o_ing_total!I471*1000/Gasto_o_ing_total!I$485</f>
        <v>71.740617325029007</v>
      </c>
      <c r="K471" s="332">
        <f>Gasto_o_ing_total!J471*1000/Gasto_o_ing_total!J$485</f>
        <v>51.026187835016884</v>
      </c>
      <c r="L471" s="332">
        <f>Gasto_o_ing_total!K471*1000/Gasto_o_ing_total!K$485</f>
        <v>52.983833214905388</v>
      </c>
      <c r="M471" s="332">
        <f>Gasto_o_ing_total!L471*1000/Gasto_o_ing_total!L$485</f>
        <v>60.392638629667523</v>
      </c>
      <c r="N471" s="332">
        <f>Gasto_o_ing_total!M471*1000/Gasto_o_ing_total!M$485</f>
        <v>51.468274601716622</v>
      </c>
      <c r="O471" s="332">
        <f>Gasto_o_ing_total!N471*1000/Gasto_o_ing_total!N$485</f>
        <v>38.388812972868479</v>
      </c>
      <c r="P471" s="332">
        <f>Gasto_o_ing_total!O471*1000/Gasto_o_ing_total!O$485</f>
        <v>69.596744914814138</v>
      </c>
      <c r="Q471" s="332">
        <f>Gasto_o_ing_total!P471*1000/Gasto_o_ing_total!P$485</f>
        <v>43.881288396844319</v>
      </c>
      <c r="R471" s="332">
        <f>Gasto_o_ing_total!Q471*1000/Gasto_o_ing_total!Q$485</f>
        <v>57.268232878114496</v>
      </c>
      <c r="S471" s="332">
        <f>Gasto_o_ing_total!R471*1000/Gasto_o_ing_total!R$485</f>
        <v>72.674412984425345</v>
      </c>
      <c r="T471" s="332">
        <f>Gasto_o_ing_total!S471*1000/Gasto_o_ing_total!S$485</f>
        <v>75.695727477002976</v>
      </c>
      <c r="U471" s="332">
        <f>Gasto_o_ing_total!T471*1000/Gasto_o_ing_total!T$485</f>
        <v>50.87441135778041</v>
      </c>
      <c r="V471" s="332">
        <f>Gasto_o_ing_total!U471*1000/Gasto_o_ing_total!U$485</f>
        <v>24.390145803131382</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Gasto_o_ing_total!V472*1000/Gasto_o_ing_total!V$485</f>
        <v>0.15915554205838742</v>
      </c>
      <c r="E472" s="332">
        <f>Gasto_o_ing_total!D472*1000/Gasto_o_ing_total!D$485</f>
        <v>0.13140004375524197</v>
      </c>
      <c r="F472" s="332">
        <f>Gasto_o_ing_total!E472*1000/Gasto_o_ing_total!E$485</f>
        <v>0.17601392910457447</v>
      </c>
      <c r="G472" s="332">
        <f>Gasto_o_ing_total!F472*1000/Gasto_o_ing_total!F$485</f>
        <v>0.17363850206083425</v>
      </c>
      <c r="H472" s="332">
        <f>Gasto_o_ing_total!G472*1000/Gasto_o_ing_total!G$485</f>
        <v>0.25234424198062833</v>
      </c>
      <c r="I472" s="332">
        <f>Gasto_o_ing_total!H472*1000/Gasto_o_ing_total!H$485</f>
        <v>4.6238218298218774E-2</v>
      </c>
      <c r="J472" s="332">
        <f>Gasto_o_ing_total!I472*1000/Gasto_o_ing_total!I$485</f>
        <v>0.17565221753425755</v>
      </c>
      <c r="K472" s="332">
        <f>Gasto_o_ing_total!J472*1000/Gasto_o_ing_total!J$485</f>
        <v>0.16056973062431704</v>
      </c>
      <c r="L472" s="332">
        <f>Gasto_o_ing_total!K472*1000/Gasto_o_ing_total!K$485</f>
        <v>0.1655041314139547</v>
      </c>
      <c r="M472" s="332">
        <f>Gasto_o_ing_total!L472*1000/Gasto_o_ing_total!L$485</f>
        <v>0.18374093242355524</v>
      </c>
      <c r="N472" s="332">
        <f>Gasto_o_ing_total!M472*1000/Gasto_o_ing_total!M$485</f>
        <v>0.17939468335787276</v>
      </c>
      <c r="O472" s="332">
        <f>Gasto_o_ing_total!N472*1000/Gasto_o_ing_total!N$485</f>
        <v>0.17375346569291203</v>
      </c>
      <c r="P472" s="332">
        <f>Gasto_o_ing_total!O472*1000/Gasto_o_ing_total!O$485</f>
        <v>0.14938967328591179</v>
      </c>
      <c r="Q472" s="332">
        <f>Gasto_o_ing_total!P472*1000/Gasto_o_ing_total!P$485</f>
        <v>0.14682086136484979</v>
      </c>
      <c r="R472" s="332">
        <f>Gasto_o_ing_total!Q472*1000/Gasto_o_ing_total!Q$485</f>
        <v>0.17407225533610954</v>
      </c>
      <c r="S472" s="332">
        <f>Gasto_o_ing_total!R472*1000/Gasto_o_ing_total!R$485</f>
        <v>0.24240219074447056</v>
      </c>
      <c r="T472" s="332">
        <f>Gasto_o_ing_total!S472*1000/Gasto_o_ing_total!S$485</f>
        <v>0.18167677514834651</v>
      </c>
      <c r="U472" s="332">
        <f>Gasto_o_ing_total!T472*1000/Gasto_o_ing_total!T$485</f>
        <v>0.16596722006402045</v>
      </c>
      <c r="V472" s="332">
        <f>Gasto_o_ing_total!U472*1000/Gasto_o_ing_total!U$485</f>
        <v>5.0733080739548506E-2</v>
      </c>
    </row>
    <row r="473" spans="1:22" s="102" customFormat="1">
      <c r="A473" s="351" t="str">
        <f>IF(B473="","",(IF(ISERROR(MATCH(B473,Tot_res!C:C,0)),"Eliminar!!!","")))</f>
        <v/>
      </c>
      <c r="B473" s="115" t="s">
        <v>423</v>
      </c>
      <c r="C473" s="329" t="str">
        <f>VLOOKUP(B473,Tot_res!C:D,2,FALSE)</f>
        <v>Publicaciones</v>
      </c>
      <c r="D473" s="332">
        <f>Gasto_o_ing_total!V473*1000/Gasto_o_ing_total!V$485</f>
        <v>4.3033392439180539E-3</v>
      </c>
      <c r="E473" s="332">
        <f>Gasto_o_ing_total!D473*1000/Gasto_o_ing_total!D$485</f>
        <v>2.7128426632289596E-3</v>
      </c>
      <c r="F473" s="332">
        <f>Gasto_o_ing_total!E473*1000/Gasto_o_ing_total!E$485</f>
        <v>5.5089557624687082E-3</v>
      </c>
      <c r="G473" s="332">
        <f>Gasto_o_ing_total!F473*1000/Gasto_o_ing_total!F$485</f>
        <v>4.984653255428878E-3</v>
      </c>
      <c r="H473" s="332">
        <f>Gasto_o_ing_total!G473*1000/Gasto_o_ing_total!G$485</f>
        <v>3.0275973992531582E-3</v>
      </c>
      <c r="I473" s="332">
        <f>Gasto_o_ing_total!H473*1000/Gasto_o_ing_total!H$485</f>
        <v>2.3956134747483396E-3</v>
      </c>
      <c r="J473" s="332">
        <f>Gasto_o_ing_total!I473*1000/Gasto_o_ing_total!I$485</f>
        <v>4.8322249421707758E-3</v>
      </c>
      <c r="K473" s="332">
        <f>Gasto_o_ing_total!J473*1000/Gasto_o_ing_total!J$485</f>
        <v>4.2860462683649214E-3</v>
      </c>
      <c r="L473" s="332">
        <f>Gasto_o_ing_total!K473*1000/Gasto_o_ing_total!K$485</f>
        <v>3.5259107387348703E-3</v>
      </c>
      <c r="M473" s="332">
        <f>Gasto_o_ing_total!L473*1000/Gasto_o_ing_total!L$485</f>
        <v>5.3270787873858283E-3</v>
      </c>
      <c r="N473" s="332">
        <f>Gasto_o_ing_total!M473*1000/Gasto_o_ing_total!M$485</f>
        <v>3.8312912506007772E-3</v>
      </c>
      <c r="O473" s="332">
        <f>Gasto_o_ing_total!N473*1000/Gasto_o_ing_total!N$485</f>
        <v>2.5646517495890222E-3</v>
      </c>
      <c r="P473" s="332">
        <f>Gasto_o_ing_total!O473*1000/Gasto_o_ing_total!O$485</f>
        <v>5.6144773212728942E-3</v>
      </c>
      <c r="Q473" s="332">
        <f>Gasto_o_ing_total!P473*1000/Gasto_o_ing_total!P$485</f>
        <v>3.7934020703132656E-3</v>
      </c>
      <c r="R473" s="332">
        <f>Gasto_o_ing_total!Q473*1000/Gasto_o_ing_total!Q$485</f>
        <v>3.9955541148350886E-3</v>
      </c>
      <c r="S473" s="332">
        <f>Gasto_o_ing_total!R473*1000/Gasto_o_ing_total!R$485</f>
        <v>8.1897517774154154E-3</v>
      </c>
      <c r="T473" s="332">
        <f>Gasto_o_ing_total!S473*1000/Gasto_o_ing_total!S$485</f>
        <v>9.7359836865318333E-3</v>
      </c>
      <c r="U473" s="332">
        <f>Gasto_o_ing_total!T473*1000/Gasto_o_ing_total!T$485</f>
        <v>6.2441185006376953E-3</v>
      </c>
      <c r="V473" s="332">
        <f>Gasto_o_ing_total!U473*1000/Gasto_o_ing_total!U$485</f>
        <v>1.5045521494640246E-3</v>
      </c>
    </row>
    <row r="474" spans="1:22" s="102" customFormat="1">
      <c r="A474" s="352"/>
      <c r="B474" s="115"/>
      <c r="C474" s="133"/>
      <c r="D474" s="116"/>
      <c r="E474" s="116"/>
      <c r="F474" s="116"/>
      <c r="G474" s="116"/>
      <c r="H474" s="116"/>
      <c r="I474" s="116"/>
      <c r="J474" s="116"/>
      <c r="K474" s="116"/>
      <c r="L474" s="116"/>
      <c r="M474" s="116"/>
      <c r="N474" s="116"/>
      <c r="O474" s="116"/>
      <c r="P474" s="116"/>
      <c r="Q474" s="116"/>
      <c r="R474" s="116"/>
      <c r="S474" s="116"/>
      <c r="T474" s="116"/>
      <c r="U474" s="116"/>
      <c r="V474" s="116"/>
    </row>
    <row r="475" spans="1:22" s="102" customFormat="1">
      <c r="A475" s="352"/>
      <c r="B475" s="115"/>
      <c r="C475" s="151" t="s">
        <v>8</v>
      </c>
      <c r="D475" s="110">
        <f>Gasto_o_ing_total!V475*1000/Gasto_o_ing_total!V$485</f>
        <v>8128.2668181181743</v>
      </c>
      <c r="E475" s="110">
        <f>Gasto_o_ing_total!D475*1000/Gasto_o_ing_total!D$485</f>
        <v>7421.7103600873907</v>
      </c>
      <c r="F475" s="110">
        <f>Gasto_o_ing_total!E475*1000/Gasto_o_ing_total!E$485</f>
        <v>9212.313058903248</v>
      </c>
      <c r="G475" s="110">
        <f>Gasto_o_ing_total!F475*1000/Gasto_o_ing_total!F$485</f>
        <v>10012.362908314044</v>
      </c>
      <c r="H475" s="110">
        <f>Gasto_o_ing_total!G475*1000/Gasto_o_ing_total!G$485</f>
        <v>7561.2896862312009</v>
      </c>
      <c r="I475" s="110">
        <f>Gasto_o_ing_total!H475*1000/Gasto_o_ing_total!H$485</f>
        <v>7892.6055764790553</v>
      </c>
      <c r="J475" s="110">
        <f>Gasto_o_ing_total!I475*1000/Gasto_o_ing_total!I$485</f>
        <v>9064.2323180335679</v>
      </c>
      <c r="K475" s="110">
        <f>Gasto_o_ing_total!J475*1000/Gasto_o_ing_total!J$485</f>
        <v>9370.8050018178183</v>
      </c>
      <c r="L475" s="110">
        <f>Gasto_o_ing_total!K475*1000/Gasto_o_ing_total!K$485</f>
        <v>7567.2427445036674</v>
      </c>
      <c r="M475" s="110">
        <f>Gasto_o_ing_total!L475*1000/Gasto_o_ing_total!L$485</f>
        <v>8167.5320072043478</v>
      </c>
      <c r="N475" s="110">
        <f>Gasto_o_ing_total!M475*1000/Gasto_o_ing_total!M$485</f>
        <v>7066.6923053399178</v>
      </c>
      <c r="O475" s="110">
        <f>Gasto_o_ing_total!N475*1000/Gasto_o_ing_total!N$485</f>
        <v>8645.2267186238114</v>
      </c>
      <c r="P475" s="110">
        <f>Gasto_o_ing_total!O475*1000/Gasto_o_ing_total!O$485</f>
        <v>8706.2007704758726</v>
      </c>
      <c r="Q475" s="110">
        <f>Gasto_o_ing_total!P475*1000/Gasto_o_ing_total!P$485</f>
        <v>7774.6383922231507</v>
      </c>
      <c r="R475" s="110">
        <f>Gasto_o_ing_total!Q475*1000/Gasto_o_ing_total!Q$485</f>
        <v>6911.2597834289909</v>
      </c>
      <c r="S475" s="110">
        <f>Gasto_o_ing_total!R475*1000/Gasto_o_ing_total!R$485</f>
        <v>9378.9953398315247</v>
      </c>
      <c r="T475" s="110">
        <f>Gasto_o_ing_total!S475*1000/Gasto_o_ing_total!S$485</f>
        <v>11275.785239881616</v>
      </c>
      <c r="U475" s="110">
        <f>Gasto_o_ing_total!T475*1000/Gasto_o_ing_total!T$485</f>
        <v>8402.4786799860958</v>
      </c>
      <c r="V475" s="110">
        <f>Gasto_o_ing_total!U475*1000/Gasto_o_ing_total!U$485</f>
        <v>9896.4142821680143</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Gasto_o_ing_total!V477*1000/Gasto_o_ing_total!V$485</f>
        <v>679.64771380483899</v>
      </c>
      <c r="E477" s="110">
        <f>Gasto_o_ing_total!D477*1000/Gasto_o_ing_total!D$485</f>
        <v>663.89873816717181</v>
      </c>
      <c r="F477" s="110">
        <f>Gasto_o_ing_total!E477*1000/Gasto_o_ing_total!E$485</f>
        <v>787.5188048186086</v>
      </c>
      <c r="G477" s="110">
        <f>Gasto_o_ing_total!F477*1000/Gasto_o_ing_total!F$485</f>
        <v>939.98602526714694</v>
      </c>
      <c r="H477" s="110">
        <f>Gasto_o_ing_total!G477*1000/Gasto_o_ing_total!G$485</f>
        <v>540.00976757256069</v>
      </c>
      <c r="I477" s="110">
        <f>Gasto_o_ing_total!H477*1000/Gasto_o_ing_total!H$485</f>
        <v>749.97773097052175</v>
      </c>
      <c r="J477" s="110">
        <f>Gasto_o_ing_total!I477*1000/Gasto_o_ing_total!I$485</f>
        <v>812.43437771448964</v>
      </c>
      <c r="K477" s="110">
        <f>Gasto_o_ing_total!J477*1000/Gasto_o_ing_total!J$485</f>
        <v>838.86869568127202</v>
      </c>
      <c r="L477" s="110">
        <f>Gasto_o_ing_total!K477*1000/Gasto_o_ing_total!K$485</f>
        <v>663.60480451597732</v>
      </c>
      <c r="M477" s="110">
        <f>Gasto_o_ing_total!L477*1000/Gasto_o_ing_total!L$485</f>
        <v>660.60106658835207</v>
      </c>
      <c r="N477" s="110">
        <f>Gasto_o_ing_total!M477*1000/Gasto_o_ing_total!M$485</f>
        <v>605.60025956150457</v>
      </c>
      <c r="O477" s="110">
        <f>Gasto_o_ing_total!N477*1000/Gasto_o_ing_total!N$485</f>
        <v>792.73988750283797</v>
      </c>
      <c r="P477" s="110">
        <f>Gasto_o_ing_total!O477*1000/Gasto_o_ing_total!O$485</f>
        <v>808.31331697418943</v>
      </c>
      <c r="Q477" s="110">
        <f>Gasto_o_ing_total!P477*1000/Gasto_o_ing_total!P$485</f>
        <v>593.33335921757305</v>
      </c>
      <c r="R477" s="110">
        <f>Gasto_o_ing_total!Q477*1000/Gasto_o_ing_total!Q$485</f>
        <v>603.58963453318222</v>
      </c>
      <c r="S477" s="110">
        <f>Gasto_o_ing_total!R477*1000/Gasto_o_ing_total!R$485</f>
        <v>525.20327925089782</v>
      </c>
      <c r="T477" s="110">
        <f>Gasto_o_ing_total!S477*1000/Gasto_o_ing_total!S$485</f>
        <v>666.59041172999889</v>
      </c>
      <c r="U477" s="110">
        <f>Gasto_o_ing_total!T477*1000/Gasto_o_ing_total!T$485</f>
        <v>748.81496597098237</v>
      </c>
      <c r="V477" s="110">
        <f>Gasto_o_ing_total!U477*1000/Gasto_o_ing_total!U$485</f>
        <v>1213.0653700641544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Gasto_o_ing_total!V478*1000/Gasto_o_ing_total!V$485</f>
        <v>677.8185437322436</v>
      </c>
      <c r="E478" s="332">
        <f>Gasto_o_ing_total!D478*1000/Gasto_o_ing_total!D$485</f>
        <v>662.11195410474818</v>
      </c>
      <c r="F478" s="332">
        <f>Gasto_o_ing_total!E478*1000/Gasto_o_ing_total!E$485</f>
        <v>785.39931585378008</v>
      </c>
      <c r="G478" s="332">
        <f>Gasto_o_ing_total!F478*1000/Gasto_o_ing_total!F$485</f>
        <v>937.45619360413593</v>
      </c>
      <c r="H478" s="332">
        <f>Gasto_o_ing_total!G478*1000/Gasto_o_ing_total!G$485</f>
        <v>538.55641212724754</v>
      </c>
      <c r="I478" s="332">
        <f>Gasto_o_ing_total!H478*1000/Gasto_o_ing_total!H$485</f>
        <v>747.95927818573375</v>
      </c>
      <c r="J478" s="332">
        <f>Gasto_o_ing_total!I478*1000/Gasto_o_ing_total!I$485</f>
        <v>810.24783221528764</v>
      </c>
      <c r="K478" s="332">
        <f>Gasto_o_ing_total!J478*1000/Gasto_o_ing_total!J$485</f>
        <v>836.61100617270722</v>
      </c>
      <c r="L478" s="332">
        <f>Gasto_o_ing_total!K478*1000/Gasto_o_ing_total!K$485</f>
        <v>661.81881153197151</v>
      </c>
      <c r="M478" s="332">
        <f>Gasto_o_ing_total!L478*1000/Gasto_o_ing_total!L$485</f>
        <v>658.82315771529306</v>
      </c>
      <c r="N478" s="332">
        <f>Gasto_o_ing_total!M478*1000/Gasto_o_ing_total!M$485</f>
        <v>603.97037712646409</v>
      </c>
      <c r="O478" s="332">
        <f>Gasto_o_ing_total!N478*1000/Gasto_o_ing_total!N$485</f>
        <v>790.60634677560608</v>
      </c>
      <c r="P478" s="332">
        <f>Gasto_o_ing_total!O478*1000/Gasto_o_ing_total!O$485</f>
        <v>806.13786269301158</v>
      </c>
      <c r="Q478" s="332">
        <f>Gasto_o_ing_total!P478*1000/Gasto_o_ing_total!P$485</f>
        <v>591.73649130834792</v>
      </c>
      <c r="R478" s="332">
        <f>Gasto_o_ing_total!Q478*1000/Gasto_o_ing_total!Q$485</f>
        <v>601.96516339439768</v>
      </c>
      <c r="S478" s="332">
        <f>Gasto_o_ing_total!R478*1000/Gasto_o_ing_total!R$485</f>
        <v>523.78977325224378</v>
      </c>
      <c r="T478" s="332">
        <f>Gasto_o_ing_total!S478*1000/Gasto_o_ing_total!S$485</f>
        <v>664.79638343114755</v>
      </c>
      <c r="U478" s="332">
        <f>Gasto_o_ing_total!T478*1000/Gasto_o_ing_total!T$485</f>
        <v>746.79964259411463</v>
      </c>
      <c r="V478" s="332">
        <f>Gasto_o_ing_total!U478*1000/Gasto_o_ing_total!U$485</f>
        <v>1209.8005862269499</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Gasto_o_ing_total!V479*1000/Gasto_o_ing_total!V$485</f>
        <v>1.8291700725952942</v>
      </c>
      <c r="E479" s="332">
        <f>Gasto_o_ing_total!D479*1000/Gasto_o_ing_total!D$485</f>
        <v>1.7867840624236702</v>
      </c>
      <c r="F479" s="332">
        <f>Gasto_o_ing_total!E479*1000/Gasto_o_ing_total!E$485</f>
        <v>2.1194889648284101</v>
      </c>
      <c r="G479" s="332">
        <f>Gasto_o_ing_total!F479*1000/Gasto_o_ing_total!F$485</f>
        <v>2.5298316630109259</v>
      </c>
      <c r="H479" s="332">
        <f>Gasto_o_ing_total!G479*1000/Gasto_o_ing_total!G$485</f>
        <v>1.4533554453131106</v>
      </c>
      <c r="I479" s="332">
        <f>Gasto_o_ing_total!H479*1000/Gasto_o_ing_total!H$485</f>
        <v>2.018452784788042</v>
      </c>
      <c r="J479" s="332">
        <f>Gasto_o_ing_total!I479*1000/Gasto_o_ing_total!I$485</f>
        <v>2.1865454992020386</v>
      </c>
      <c r="K479" s="332">
        <f>Gasto_o_ing_total!J479*1000/Gasto_o_ing_total!J$485</f>
        <v>2.2576895085647939</v>
      </c>
      <c r="L479" s="332">
        <f>Gasto_o_ing_total!K479*1000/Gasto_o_ing_total!K$485</f>
        <v>1.785992984005877</v>
      </c>
      <c r="M479" s="332">
        <f>Gasto_o_ing_total!L479*1000/Gasto_o_ing_total!L$485</f>
        <v>1.7779088730590857</v>
      </c>
      <c r="N479" s="332">
        <f>Gasto_o_ing_total!M479*1000/Gasto_o_ing_total!M$485</f>
        <v>1.6298824350403627</v>
      </c>
      <c r="O479" s="332">
        <f>Gasto_o_ing_total!N479*1000/Gasto_o_ing_total!N$485</f>
        <v>2.1335407272320146</v>
      </c>
      <c r="P479" s="332">
        <f>Gasto_o_ing_total!O479*1000/Gasto_o_ing_total!O$485</f>
        <v>2.1754542811777711</v>
      </c>
      <c r="Q479" s="332">
        <f>Gasto_o_ing_total!P479*1000/Gasto_o_ing_total!P$485</f>
        <v>1.5968679092251969</v>
      </c>
      <c r="R479" s="332">
        <f>Gasto_o_ing_total!Q479*1000/Gasto_o_ing_total!Q$485</f>
        <v>1.6244711387844994</v>
      </c>
      <c r="S479" s="332">
        <f>Gasto_o_ing_total!R479*1000/Gasto_o_ing_total!R$485</f>
        <v>1.413505998654051</v>
      </c>
      <c r="T479" s="332">
        <f>Gasto_o_ing_total!S479*1000/Gasto_o_ing_total!S$485</f>
        <v>1.7940282988513276</v>
      </c>
      <c r="U479" s="332">
        <f>Gasto_o_ing_total!T479*1000/Gasto_o_ing_total!T$485</f>
        <v>2.0153233768677068</v>
      </c>
      <c r="V479" s="332">
        <f>Gasto_o_ing_total!U479*1000/Gasto_o_ing_total!U$485</f>
        <v>3.264783837204587</v>
      </c>
    </row>
    <row r="480" spans="1:22" s="102" customFormat="1">
      <c r="A480" s="352"/>
      <c r="B480" s="115"/>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B481" s="115"/>
      <c r="C481" s="103" t="s">
        <v>7</v>
      </c>
      <c r="D481" s="110">
        <f>Gasto_o_ing_total!V481*1000/Gasto_o_ing_total!V$485</f>
        <v>8807.9145319230138</v>
      </c>
      <c r="E481" s="110">
        <f>Gasto_o_ing_total!D481*1000/Gasto_o_ing_total!D$485</f>
        <v>8085.609098254562</v>
      </c>
      <c r="F481" s="110">
        <f>Gasto_o_ing_total!E481*1000/Gasto_o_ing_total!E$485</f>
        <v>9999.8318637218563</v>
      </c>
      <c r="G481" s="110">
        <f>Gasto_o_ing_total!F481*1000/Gasto_o_ing_total!F$485</f>
        <v>10952.34893358119</v>
      </c>
      <c r="H481" s="110">
        <f>Gasto_o_ing_total!G481*1000/Gasto_o_ing_total!G$485</f>
        <v>8101.299453803761</v>
      </c>
      <c r="I481" s="110">
        <f>Gasto_o_ing_total!H481*1000/Gasto_o_ing_total!H$485</f>
        <v>8642.5833074495768</v>
      </c>
      <c r="J481" s="110">
        <f>Gasto_o_ing_total!I481*1000/Gasto_o_ing_total!I$485</f>
        <v>9876.6666957480575</v>
      </c>
      <c r="K481" s="110">
        <f>Gasto_o_ing_total!J481*1000/Gasto_o_ing_total!J$485</f>
        <v>10209.673697499091</v>
      </c>
      <c r="L481" s="110">
        <f>Gasto_o_ing_total!K481*1000/Gasto_o_ing_total!K$485</f>
        <v>8230.8475490196452</v>
      </c>
      <c r="M481" s="110">
        <f>Gasto_o_ing_total!L481*1000/Gasto_o_ing_total!L$485</f>
        <v>8828.1330737927001</v>
      </c>
      <c r="N481" s="110">
        <f>Gasto_o_ing_total!M481*1000/Gasto_o_ing_total!M$485</f>
        <v>7672.2925649014223</v>
      </c>
      <c r="O481" s="110">
        <f>Gasto_o_ing_total!N481*1000/Gasto_o_ing_total!N$485</f>
        <v>9437.9666061266507</v>
      </c>
      <c r="P481" s="110">
        <f>Gasto_o_ing_total!O481*1000/Gasto_o_ing_total!O$485</f>
        <v>9514.5140874500612</v>
      </c>
      <c r="Q481" s="110">
        <f>Gasto_o_ing_total!P481*1000/Gasto_o_ing_total!P$485</f>
        <v>8367.9717514407239</v>
      </c>
      <c r="R481" s="110">
        <f>Gasto_o_ing_total!Q481*1000/Gasto_o_ing_total!Q$485</f>
        <v>7514.8494179621721</v>
      </c>
      <c r="S481" s="110">
        <f>Gasto_o_ing_total!R481*1000/Gasto_o_ing_total!R$485</f>
        <v>9904.1986190824227</v>
      </c>
      <c r="T481" s="110">
        <f>Gasto_o_ing_total!S481*1000/Gasto_o_ing_total!S$485</f>
        <v>11942.375651611614</v>
      </c>
      <c r="U481" s="110">
        <f>Gasto_o_ing_total!T481*1000/Gasto_o_ing_total!T$485</f>
        <v>9151.2936459570792</v>
      </c>
      <c r="V481" s="110">
        <f>Gasto_o_ing_total!U481*1000/Gasto_o_ing_total!U$485</f>
        <v>11109.479652232169</v>
      </c>
    </row>
    <row r="482" spans="1:22" s="102" customFormat="1">
      <c r="A482" s="352"/>
      <c r="B482" s="115"/>
      <c r="C482" s="103" t="s">
        <v>80</v>
      </c>
      <c r="D482" s="110">
        <f>Gasto_o_ing_total!V482*1000/Gasto_o_ing_total!V$485</f>
        <v>8773.958742042365</v>
      </c>
      <c r="E482" s="110">
        <f>Gasto_o_ing_total!D482*1000/Gasto_o_ing_total!D$485</f>
        <v>8013.6461944020166</v>
      </c>
      <c r="F482" s="110">
        <f>Gasto_o_ing_total!E482*1000/Gasto_o_ing_total!E$485</f>
        <v>9902.8918902449877</v>
      </c>
      <c r="G482" s="110">
        <f>Gasto_o_ing_total!F482*1000/Gasto_o_ing_total!F$485</f>
        <v>10860.34543816208</v>
      </c>
      <c r="H482" s="110">
        <f>Gasto_o_ing_total!G482*1000/Gasto_o_ing_total!G$485</f>
        <v>7921.5828989025067</v>
      </c>
      <c r="I482" s="110">
        <f>Gasto_o_ing_total!H482*1000/Gasto_o_ing_total!H$485</f>
        <v>8594.2125793549221</v>
      </c>
      <c r="J482" s="110">
        <f>Gasto_o_ing_total!I482*1000/Gasto_o_ing_total!I$485</f>
        <v>9810.208578141097</v>
      </c>
      <c r="K482" s="110">
        <f>Gasto_o_ing_total!J482*1000/Gasto_o_ing_total!J$485</f>
        <v>10145.022078409527</v>
      </c>
      <c r="L482" s="110">
        <f>Gasto_o_ing_total!K482*1000/Gasto_o_ing_total!K$485</f>
        <v>8220.5839449739324</v>
      </c>
      <c r="M482" s="110">
        <f>Gasto_o_ing_total!L482*1000/Gasto_o_ing_total!L$485</f>
        <v>8711.2528083875986</v>
      </c>
      <c r="N482" s="110">
        <f>Gasto_o_ing_total!M482*1000/Gasto_o_ing_total!M$485</f>
        <v>7563.9823407191961</v>
      </c>
      <c r="O482" s="110">
        <f>Gasto_o_ing_total!N482*1000/Gasto_o_ing_total!N$485</f>
        <v>9287.6690191083708</v>
      </c>
      <c r="P482" s="110">
        <f>Gasto_o_ing_total!O482*1000/Gasto_o_ing_total!O$485</f>
        <v>9419.7618380585518</v>
      </c>
      <c r="Q482" s="110">
        <f>Gasto_o_ing_total!P482*1000/Gasto_o_ing_total!P$485</f>
        <v>8441.9403806703867</v>
      </c>
      <c r="R482" s="110">
        <f>Gasto_o_ing_total!Q482*1000/Gasto_o_ing_total!Q$485</f>
        <v>7397.2520874840029</v>
      </c>
      <c r="S482" s="110">
        <f>Gasto_o_ing_total!R482*1000/Gasto_o_ing_total!R$485</f>
        <v>10582.978364874476</v>
      </c>
      <c r="T482" s="110">
        <f>Gasto_o_ing_total!S482*1000/Gasto_o_ing_total!S$485</f>
        <v>12348.5320560483</v>
      </c>
      <c r="U482" s="110">
        <f>Gasto_o_ing_total!T482*1000/Gasto_o_ing_total!T$485</f>
        <v>9089.1930145685274</v>
      </c>
      <c r="V482" s="110">
        <f>Gasto_o_ing_total!U482*1000/Gasto_o_ing_total!U$485</f>
        <v>11109.479652232169</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c r="A488" s="352"/>
      <c r="C488" s="16"/>
      <c r="D488" s="27"/>
      <c r="E488" s="27"/>
      <c r="F488" s="27"/>
      <c r="G488" s="27"/>
      <c r="H488" s="27"/>
      <c r="I488" s="27"/>
      <c r="J488" s="27"/>
      <c r="K488" s="27"/>
      <c r="L488" s="27"/>
      <c r="M488" s="27"/>
      <c r="N488" s="27"/>
      <c r="O488" s="27"/>
      <c r="P488" s="27"/>
      <c r="Q488" s="27"/>
      <c r="R488" s="27"/>
      <c r="S488" s="27"/>
      <c r="T488" s="27"/>
      <c r="U488" s="27"/>
      <c r="V488" s="27"/>
    </row>
    <row r="489" spans="1:22" s="102" customFormat="1">
      <c r="A489" s="352"/>
      <c r="B489" s="115"/>
      <c r="C489" s="121" t="s">
        <v>85</v>
      </c>
      <c r="D489" s="116"/>
      <c r="E489" s="116"/>
      <c r="F489" s="116"/>
      <c r="G489" s="116"/>
      <c r="H489" s="116"/>
      <c r="I489" s="116"/>
      <c r="J489" s="116"/>
      <c r="K489" s="116"/>
      <c r="L489" s="116"/>
      <c r="M489" s="116"/>
      <c r="N489" s="116"/>
      <c r="O489" s="116"/>
      <c r="P489" s="116"/>
      <c r="Q489" s="116"/>
      <c r="R489" s="116"/>
      <c r="S489" s="116"/>
      <c r="T489" s="116"/>
      <c r="U489" s="116"/>
      <c r="V489" s="116"/>
    </row>
    <row r="490" spans="1:22" s="102" customFormat="1">
      <c r="A490" s="352"/>
      <c r="B490" s="115"/>
      <c r="C490" s="120"/>
      <c r="D490" s="116"/>
      <c r="E490" s="116"/>
      <c r="F490" s="116"/>
      <c r="G490" s="116"/>
      <c r="H490" s="116"/>
      <c r="I490" s="116"/>
      <c r="J490" s="116"/>
      <c r="K490" s="116"/>
      <c r="L490" s="116"/>
      <c r="M490" s="116"/>
      <c r="N490" s="116"/>
      <c r="O490" s="116"/>
      <c r="P490" s="116"/>
      <c r="Q490" s="116"/>
      <c r="R490" s="116"/>
      <c r="S490" s="116"/>
      <c r="T490" s="116"/>
      <c r="U490" s="116"/>
      <c r="V490" s="116"/>
    </row>
    <row r="491" spans="1:22" s="102" customFormat="1">
      <c r="A491" s="352"/>
      <c r="B491" s="115"/>
      <c r="C491" s="153"/>
      <c r="D491" s="107" t="s">
        <v>104</v>
      </c>
      <c r="E491" s="108" t="s">
        <v>66</v>
      </c>
      <c r="F491" s="108" t="s">
        <v>67</v>
      </c>
      <c r="G491" s="108" t="s">
        <v>56</v>
      </c>
      <c r="H491" s="108" t="s">
        <v>48</v>
      </c>
      <c r="I491" s="108" t="s">
        <v>49</v>
      </c>
      <c r="J491" s="108" t="s">
        <v>50</v>
      </c>
      <c r="K491" s="108" t="s">
        <v>51</v>
      </c>
      <c r="L491" s="108" t="s">
        <v>24</v>
      </c>
      <c r="M491" s="108" t="s">
        <v>46</v>
      </c>
      <c r="N491" s="108" t="s">
        <v>72</v>
      </c>
      <c r="O491" s="108" t="s">
        <v>73</v>
      </c>
      <c r="P491" s="108" t="s">
        <v>74</v>
      </c>
      <c r="Q491" s="108" t="s">
        <v>37</v>
      </c>
      <c r="R491" s="108" t="s">
        <v>38</v>
      </c>
      <c r="S491" s="108" t="s">
        <v>33</v>
      </c>
      <c r="T491" s="108" t="s">
        <v>34</v>
      </c>
      <c r="U491" s="108" t="s">
        <v>88</v>
      </c>
      <c r="V491" s="108" t="s">
        <v>89</v>
      </c>
    </row>
    <row r="492" spans="1:22" s="102" customFormat="1">
      <c r="A492" s="352"/>
      <c r="B492" s="115"/>
      <c r="C492" s="109" t="s">
        <v>86</v>
      </c>
      <c r="D492" s="110">
        <f>Gasto_o_ing_total!V492*1000/Gasto_o_ing_total!V$485</f>
        <v>4353.8996896825965</v>
      </c>
      <c r="E492" s="110">
        <f>Gasto_o_ing_total!D492*1000/Gasto_o_ing_total!D$485</f>
        <v>3362.5080382592469</v>
      </c>
      <c r="F492" s="110">
        <f>Gasto_o_ing_total!E492*1000/Gasto_o_ing_total!E$485</f>
        <v>4544.5063538867307</v>
      </c>
      <c r="G492" s="110">
        <f>Gasto_o_ing_total!F492*1000/Gasto_o_ing_total!F$485</f>
        <v>4434.947841238758</v>
      </c>
      <c r="H492" s="110">
        <f>Gasto_o_ing_total!G492*1000/Gasto_o_ing_total!G$485</f>
        <v>4467.4430115855021</v>
      </c>
      <c r="I492" s="110">
        <f>Gasto_o_ing_total!H492*1000/Gasto_o_ing_total!H$485</f>
        <v>3358.9291642641933</v>
      </c>
      <c r="J492" s="110">
        <f>Gasto_o_ing_total!I492*1000/Gasto_o_ing_total!I$485</f>
        <v>4380.8307844891151</v>
      </c>
      <c r="K492" s="110">
        <f>Gasto_o_ing_total!J492*1000/Gasto_o_ing_total!J$485</f>
        <v>4080.3241828396663</v>
      </c>
      <c r="L492" s="110">
        <f>Gasto_o_ing_total!K492*1000/Gasto_o_ing_total!K$485</f>
        <v>3429.3244419730804</v>
      </c>
      <c r="M492" s="110">
        <f>Gasto_o_ing_total!L492*1000/Gasto_o_ing_total!L$485</f>
        <v>5016.9954662429554</v>
      </c>
      <c r="N492" s="110">
        <f>Gasto_o_ing_total!M492*1000/Gasto_o_ing_total!M$485</f>
        <v>3839.413204612817</v>
      </c>
      <c r="O492" s="110">
        <f>Gasto_o_ing_total!N492*1000/Gasto_o_ing_total!N$485</f>
        <v>3100.1202097743326</v>
      </c>
      <c r="P492" s="110">
        <f>Gasto_o_ing_total!O492*1000/Gasto_o_ing_total!O$485</f>
        <v>3962.4265446630984</v>
      </c>
      <c r="Q492" s="110">
        <f>Gasto_o_ing_total!P492*1000/Gasto_o_ing_total!P$485</f>
        <v>6106.128710686924</v>
      </c>
      <c r="R492" s="110">
        <f>Gasto_o_ing_total!Q492*1000/Gasto_o_ing_total!Q$485</f>
        <v>3444.7453130556996</v>
      </c>
      <c r="S492" s="110">
        <f>Gasto_o_ing_total!R492*1000/Gasto_o_ing_total!R$485</f>
        <v>5102.0613837258788</v>
      </c>
      <c r="T492" s="110">
        <f>Gasto_o_ing_total!S492*1000/Gasto_o_ing_total!S$485</f>
        <v>5412.6232442128448</v>
      </c>
      <c r="U492" s="110">
        <f>Gasto_o_ing_total!T492*1000/Gasto_o_ing_total!T$485</f>
        <v>4335.8604566010981</v>
      </c>
      <c r="V492" s="110">
        <f>Gasto_o_ing_total!U492*1000/Gasto_o_ing_total!U$485</f>
        <v>3269.3544028108968</v>
      </c>
    </row>
    <row r="493" spans="1:22" s="102" customFormat="1">
      <c r="A493" s="352"/>
      <c r="B493" s="115"/>
      <c r="C493" s="115"/>
      <c r="D493" s="116"/>
      <c r="E493" s="116"/>
      <c r="F493" s="116"/>
      <c r="G493" s="116"/>
      <c r="H493" s="116"/>
      <c r="I493" s="116"/>
      <c r="J493" s="116"/>
      <c r="K493" s="116"/>
      <c r="L493" s="116"/>
      <c r="M493" s="116"/>
      <c r="N493" s="116"/>
      <c r="O493" s="116"/>
      <c r="P493" s="116"/>
      <c r="Q493" s="116"/>
      <c r="R493" s="116"/>
      <c r="S493" s="116"/>
      <c r="T493" s="116"/>
      <c r="U493" s="116"/>
      <c r="V493" s="116"/>
    </row>
    <row r="494" spans="1:22" s="102" customFormat="1" ht="13.5">
      <c r="A494" s="352"/>
      <c r="B494" s="115"/>
      <c r="C494" s="112" t="s">
        <v>87</v>
      </c>
      <c r="D494" s="113">
        <f>Gasto_o_ing_total!V494*1000/Gasto_o_ing_total!V$485</f>
        <v>2277.600405501727</v>
      </c>
      <c r="E494" s="113">
        <f>Gasto_o_ing_total!D494*1000/Gasto_o_ing_total!D$485</f>
        <v>1481.0756244319541</v>
      </c>
      <c r="F494" s="113">
        <f>Gasto_o_ing_total!E494*1000/Gasto_o_ing_total!E$485</f>
        <v>2444.7120678977267</v>
      </c>
      <c r="G494" s="113">
        <f>Gasto_o_ing_total!F494*1000/Gasto_o_ing_total!F$485</f>
        <v>2380.6362594354609</v>
      </c>
      <c r="H494" s="113">
        <f>Gasto_o_ing_total!G494*1000/Gasto_o_ing_total!G$485</f>
        <v>2262.1295482619776</v>
      </c>
      <c r="I494" s="113">
        <f>Gasto_o_ing_total!H494*1000/Gasto_o_ing_total!H$485</f>
        <v>1624.0562442692221</v>
      </c>
      <c r="J494" s="113">
        <f>Gasto_o_ing_total!I494*1000/Gasto_o_ing_total!I$485</f>
        <v>2300.3062420046208</v>
      </c>
      <c r="K494" s="113">
        <f>Gasto_o_ing_total!J494*1000/Gasto_o_ing_total!J$485</f>
        <v>2099.5225401703146</v>
      </c>
      <c r="L494" s="113">
        <f>Gasto_o_ing_total!K494*1000/Gasto_o_ing_total!K$485</f>
        <v>1572.859401558148</v>
      </c>
      <c r="M494" s="113">
        <f>Gasto_o_ing_total!L494*1000/Gasto_o_ing_total!L$485</f>
        <v>2762.347839632976</v>
      </c>
      <c r="N494" s="113">
        <f>Gasto_o_ing_total!M494*1000/Gasto_o_ing_total!M$485</f>
        <v>1853.7800414665476</v>
      </c>
      <c r="O494" s="113">
        <f>Gasto_o_ing_total!N494*1000/Gasto_o_ing_total!N$485</f>
        <v>1372.8693772722343</v>
      </c>
      <c r="P494" s="113">
        <f>Gasto_o_ing_total!O494*1000/Gasto_o_ing_total!O$485</f>
        <v>1961.7978973745824</v>
      </c>
      <c r="Q494" s="113">
        <f>Gasto_o_ing_total!P494*1000/Gasto_o_ing_total!P$485</f>
        <v>3659.0216335713294</v>
      </c>
      <c r="R494" s="113">
        <f>Gasto_o_ing_total!Q494*1000/Gasto_o_ing_total!Q$485</f>
        <v>1553.4033163452607</v>
      </c>
      <c r="S494" s="113">
        <f>Gasto_o_ing_total!R494*1000/Gasto_o_ing_total!R$485</f>
        <v>2872.2496011558869</v>
      </c>
      <c r="T494" s="113">
        <f>Gasto_o_ing_total!S494*1000/Gasto_o_ing_total!S$485</f>
        <v>3135.0843042029801</v>
      </c>
      <c r="U494" s="113">
        <f>Gasto_o_ing_total!T494*1000/Gasto_o_ing_total!T$485</f>
        <v>2297.2189117265571</v>
      </c>
      <c r="V494" s="113">
        <f>Gasto_o_ing_total!U494*1000/Gasto_o_ing_total!U$485</f>
        <v>1481.0372103719035</v>
      </c>
    </row>
    <row r="495" spans="1:22" s="102" customFormat="1">
      <c r="A495" s="351" t="str">
        <f>IF(B495="","",(IF(ISERROR(MATCH(B495,Tot_res!C:C,0)),"Eliminar!!!","")))</f>
        <v/>
      </c>
      <c r="B495" s="115" t="s">
        <v>427</v>
      </c>
      <c r="C495" s="329" t="str">
        <f>VLOOKUP(B495,Tot_res!C:D,2,FALSE)</f>
        <v>IRPF, ingresos homogeneizados</v>
      </c>
      <c r="D495" s="332">
        <f>Gasto_o_ing_total!V495*1000/Gasto_o_ing_total!V$485</f>
        <v>1713.3909926486403</v>
      </c>
      <c r="E495" s="332">
        <f>Gasto_o_ing_total!D495*1000/Gasto_o_ing_total!D$485</f>
        <v>1058.6429079019342</v>
      </c>
      <c r="F495" s="332">
        <f>Gasto_o_ing_total!E495*1000/Gasto_o_ing_total!E$485</f>
        <v>1826.1513461892598</v>
      </c>
      <c r="G495" s="332">
        <f>Gasto_o_ing_total!F495*1000/Gasto_o_ing_total!F$485</f>
        <v>1803.94830063731</v>
      </c>
      <c r="H495" s="332">
        <f>Gasto_o_ing_total!G495*1000/Gasto_o_ing_total!G$485</f>
        <v>1694.5801654577617</v>
      </c>
      <c r="I495" s="332">
        <f>Gasto_o_ing_total!H495*1000/Gasto_o_ing_total!H$485</f>
        <v>1180.0354140515076</v>
      </c>
      <c r="J495" s="332">
        <f>Gasto_o_ing_total!I495*1000/Gasto_o_ing_total!I$485</f>
        <v>1680.1046413269505</v>
      </c>
      <c r="K495" s="332">
        <f>Gasto_o_ing_total!J495*1000/Gasto_o_ing_total!J$485</f>
        <v>1560.9415403340738</v>
      </c>
      <c r="L495" s="332">
        <f>Gasto_o_ing_total!K495*1000/Gasto_o_ing_total!K$485</f>
        <v>1143.4243761390862</v>
      </c>
      <c r="M495" s="332">
        <f>Gasto_o_ing_total!L495*1000/Gasto_o_ing_total!L$485</f>
        <v>2118.2504645022168</v>
      </c>
      <c r="N495" s="332">
        <f>Gasto_o_ing_total!M495*1000/Gasto_o_ing_total!M$485</f>
        <v>1342.6507070632229</v>
      </c>
      <c r="O495" s="332">
        <f>Gasto_o_ing_total!N495*1000/Gasto_o_ing_total!N$485</f>
        <v>977.34399916355301</v>
      </c>
      <c r="P495" s="332">
        <f>Gasto_o_ing_total!O495*1000/Gasto_o_ing_total!O$485</f>
        <v>1418.1807667847829</v>
      </c>
      <c r="Q495" s="332">
        <f>Gasto_o_ing_total!P495*1000/Gasto_o_ing_total!P$485</f>
        <v>2890.5656521954879</v>
      </c>
      <c r="R495" s="332">
        <f>Gasto_o_ing_total!Q495*1000/Gasto_o_ing_total!Q$485</f>
        <v>1115.1262745318572</v>
      </c>
      <c r="S495" s="332">
        <f>Gasto_o_ing_total!R495*1000/Gasto_o_ing_total!R$485</f>
        <v>2194.640346174881</v>
      </c>
      <c r="T495" s="332">
        <f>Gasto_o_ing_total!S495*1000/Gasto_o_ing_total!S$485</f>
        <v>2402.0030821306559</v>
      </c>
      <c r="U495" s="332">
        <f>Gasto_o_ing_total!T495*1000/Gasto_o_ing_total!T$485</f>
        <v>1694.9869946388928</v>
      </c>
      <c r="V495" s="332">
        <f>Gasto_o_ing_total!U495*1000/Gasto_o_ing_total!U$485</f>
        <v>1007.628967418051</v>
      </c>
    </row>
    <row r="496" spans="1:22" s="102" customFormat="1">
      <c r="A496" s="351" t="str">
        <f>IF(B496="","",(IF(ISERROR(MATCH(B496,Tot_res!C:C,0)),"Eliminar!!!","")))</f>
        <v/>
      </c>
      <c r="B496" s="115" t="s">
        <v>428</v>
      </c>
      <c r="C496" s="329" t="str">
        <f>VLOOKUP(B496,Tot_res!C:D,2,FALSE)</f>
        <v>Impuesto sobre sociedades, ingresos homogéneos</v>
      </c>
      <c r="D496" s="332">
        <f>Gasto_o_ing_total!V496*1000/Gasto_o_ing_total!V$485</f>
        <v>434.46534945053668</v>
      </c>
      <c r="E496" s="332">
        <f>Gasto_o_ing_total!D496*1000/Gasto_o_ing_total!D$485</f>
        <v>311.32088979545495</v>
      </c>
      <c r="F496" s="332">
        <f>Gasto_o_ing_total!E496*1000/Gasto_o_ing_total!E$485</f>
        <v>469.99877540448091</v>
      </c>
      <c r="G496" s="332">
        <f>Gasto_o_ing_total!F496*1000/Gasto_o_ing_total!F$485</f>
        <v>422.20380276656618</v>
      </c>
      <c r="H496" s="332">
        <f>Gasto_o_ing_total!G496*1000/Gasto_o_ing_total!G$485</f>
        <v>446.35725721966946</v>
      </c>
      <c r="I496" s="332">
        <f>Gasto_o_ing_total!H496*1000/Gasto_o_ing_total!H$485</f>
        <v>338.5099020952585</v>
      </c>
      <c r="J496" s="332">
        <f>Gasto_o_ing_total!I496*1000/Gasto_o_ing_total!I$485</f>
        <v>469.7433222589242</v>
      </c>
      <c r="K496" s="332">
        <f>Gasto_o_ing_total!J496*1000/Gasto_o_ing_total!J$485</f>
        <v>394.26995360067281</v>
      </c>
      <c r="L496" s="332">
        <f>Gasto_o_ing_total!K496*1000/Gasto_o_ing_total!K$485</f>
        <v>313.39434359496113</v>
      </c>
      <c r="M496" s="332">
        <f>Gasto_o_ing_total!L496*1000/Gasto_o_ing_total!L$485</f>
        <v>508.70480835734855</v>
      </c>
      <c r="N496" s="332">
        <f>Gasto_o_ing_total!M496*1000/Gasto_o_ing_total!M$485</f>
        <v>387.58964307275971</v>
      </c>
      <c r="O496" s="332">
        <f>Gasto_o_ing_total!N496*1000/Gasto_o_ing_total!N$485</f>
        <v>276.60613521140147</v>
      </c>
      <c r="P496" s="332">
        <f>Gasto_o_ing_total!O496*1000/Gasto_o_ing_total!O$485</f>
        <v>399.19803123038781</v>
      </c>
      <c r="Q496" s="332">
        <f>Gasto_o_ing_total!P496*1000/Gasto_o_ing_total!P$485</f>
        <v>626.89514605247518</v>
      </c>
      <c r="R496" s="332">
        <f>Gasto_o_ing_total!Q496*1000/Gasto_o_ing_total!Q$485</f>
        <v>330.93815693584668</v>
      </c>
      <c r="S496" s="332">
        <f>Gasto_o_ing_total!R496*1000/Gasto_o_ing_total!R$485</f>
        <v>534.62710486618039</v>
      </c>
      <c r="T496" s="332">
        <f>Gasto_o_ing_total!S496*1000/Gasto_o_ing_total!S$485</f>
        <v>578.63567293360677</v>
      </c>
      <c r="U496" s="332">
        <f>Gasto_o_ing_total!T496*1000/Gasto_o_ing_total!T$485</f>
        <v>461.62050650946367</v>
      </c>
      <c r="V496" s="332">
        <f>Gasto_o_ing_total!U496*1000/Gasto_o_ing_total!U$485</f>
        <v>362.50557038883341</v>
      </c>
    </row>
    <row r="497" spans="1:22" s="102" customFormat="1">
      <c r="A497" s="351" t="str">
        <f>IF(B497="","",(IF(ISERROR(MATCH(B497,Tot_res!C:C,0)),"Eliminar!!!","")))</f>
        <v/>
      </c>
      <c r="B497" s="115" t="s">
        <v>429</v>
      </c>
      <c r="C497" s="329" t="str">
        <f>VLOOKUP(B497,Tot_res!C:D,2,FALSE)</f>
        <v>Impuesto sobre la renta de no residentes</v>
      </c>
      <c r="D497" s="332">
        <f>Gasto_o_ing_total!V497*1000/Gasto_o_ing_total!V$485</f>
        <v>30.727873909172484</v>
      </c>
      <c r="E497" s="332">
        <f>Gasto_o_ing_total!D497*1000/Gasto_o_ing_total!D$485</f>
        <v>30.727873909172484</v>
      </c>
      <c r="F497" s="332">
        <f>Gasto_o_ing_total!E497*1000/Gasto_o_ing_total!E$485</f>
        <v>30.727873909172487</v>
      </c>
      <c r="G497" s="332">
        <f>Gasto_o_ing_total!F497*1000/Gasto_o_ing_total!F$485</f>
        <v>30.727873909172487</v>
      </c>
      <c r="H497" s="332">
        <f>Gasto_o_ing_total!G497*1000/Gasto_o_ing_total!G$485</f>
        <v>30.72787390917248</v>
      </c>
      <c r="I497" s="332">
        <f>Gasto_o_ing_total!H497*1000/Gasto_o_ing_total!H$485</f>
        <v>30.727873909172484</v>
      </c>
      <c r="J497" s="332">
        <f>Gasto_o_ing_total!I497*1000/Gasto_o_ing_total!I$485</f>
        <v>30.727873909172484</v>
      </c>
      <c r="K497" s="332">
        <f>Gasto_o_ing_total!J497*1000/Gasto_o_ing_total!J$485</f>
        <v>30.72787390917248</v>
      </c>
      <c r="L497" s="332">
        <f>Gasto_o_ing_total!K497*1000/Gasto_o_ing_total!K$485</f>
        <v>30.727873909172484</v>
      </c>
      <c r="M497" s="332">
        <f>Gasto_o_ing_total!L497*1000/Gasto_o_ing_total!L$485</f>
        <v>30.727873909172484</v>
      </c>
      <c r="N497" s="332">
        <f>Gasto_o_ing_total!M497*1000/Gasto_o_ing_total!M$485</f>
        <v>30.727873909172491</v>
      </c>
      <c r="O497" s="332">
        <f>Gasto_o_ing_total!N497*1000/Gasto_o_ing_total!N$485</f>
        <v>30.727873909172487</v>
      </c>
      <c r="P497" s="332">
        <f>Gasto_o_ing_total!O497*1000/Gasto_o_ing_total!O$485</f>
        <v>30.727873909172484</v>
      </c>
      <c r="Q497" s="332">
        <f>Gasto_o_ing_total!P497*1000/Gasto_o_ing_total!P$485</f>
        <v>30.727873909172484</v>
      </c>
      <c r="R497" s="332">
        <f>Gasto_o_ing_total!Q497*1000/Gasto_o_ing_total!Q$485</f>
        <v>30.727873909172487</v>
      </c>
      <c r="S497" s="332">
        <f>Gasto_o_ing_total!R497*1000/Gasto_o_ing_total!R$485</f>
        <v>30.727873909172484</v>
      </c>
      <c r="T497" s="332">
        <f>Gasto_o_ing_total!S497*1000/Gasto_o_ing_total!S$485</f>
        <v>30.727873909172484</v>
      </c>
      <c r="U497" s="332">
        <f>Gasto_o_ing_total!T497*1000/Gasto_o_ing_total!T$485</f>
        <v>30.727873909172487</v>
      </c>
      <c r="V497" s="332">
        <f>Gasto_o_ing_total!U497*1000/Gasto_o_ing_total!U$485</f>
        <v>30.727873909172491</v>
      </c>
    </row>
    <row r="498" spans="1:22" s="102" customFormat="1">
      <c r="A498" s="351" t="str">
        <f>IF(B498="","",(IF(ISERROR(MATCH(B498,Tot_res!C:C,0)),"Eliminar!!!","")))</f>
        <v/>
      </c>
      <c r="B498" s="115" t="s">
        <v>431</v>
      </c>
      <c r="C498" s="329" t="str">
        <f>VLOOKUP(B498,Tot_res!C:D,2,FALSE)</f>
        <v>Impuesto sobre sucesiones y donaciones, ing. homog.</v>
      </c>
      <c r="D498" s="332">
        <f>Gasto_o_ing_total!V498*1000/Gasto_o_ing_total!V$485</f>
        <v>58.46891518189738</v>
      </c>
      <c r="E498" s="332">
        <f>Gasto_o_ing_total!D498*1000/Gasto_o_ing_total!D$485</f>
        <v>44.854791973360975</v>
      </c>
      <c r="F498" s="332">
        <f>Gasto_o_ing_total!E498*1000/Gasto_o_ing_total!E$485</f>
        <v>77.682612291022778</v>
      </c>
      <c r="G498" s="332">
        <f>Gasto_o_ing_total!F498*1000/Gasto_o_ing_total!F$485</f>
        <v>83.273996262295569</v>
      </c>
      <c r="H498" s="332">
        <f>Gasto_o_ing_total!G498*1000/Gasto_o_ing_total!G$485</f>
        <v>48.533660357988062</v>
      </c>
      <c r="I498" s="332">
        <f>Gasto_o_ing_total!H498*1000/Gasto_o_ing_total!H$485</f>
        <v>39.854819314179515</v>
      </c>
      <c r="J498" s="332">
        <f>Gasto_o_ing_total!I498*1000/Gasto_o_ing_total!I$485</f>
        <v>78.244486172939347</v>
      </c>
      <c r="K498" s="332">
        <f>Gasto_o_ing_total!J498*1000/Gasto_o_ing_total!J$485</f>
        <v>74.705337519604683</v>
      </c>
      <c r="L498" s="332">
        <f>Gasto_o_ing_total!K498*1000/Gasto_o_ing_total!K$485</f>
        <v>50.502591351636489</v>
      </c>
      <c r="M498" s="332">
        <f>Gasto_o_ing_total!L498*1000/Gasto_o_ing_total!L$485</f>
        <v>61.027590627308903</v>
      </c>
      <c r="N498" s="332">
        <f>Gasto_o_ing_total!M498*1000/Gasto_o_ing_total!M$485</f>
        <v>54.081893666585103</v>
      </c>
      <c r="O498" s="332">
        <f>Gasto_o_ing_total!N498*1000/Gasto_o_ing_total!N$485</f>
        <v>54.219766565077023</v>
      </c>
      <c r="P498" s="332">
        <f>Gasto_o_ing_total!O498*1000/Gasto_o_ing_total!O$485</f>
        <v>74.963970181814517</v>
      </c>
      <c r="Q498" s="332">
        <f>Gasto_o_ing_total!P498*1000/Gasto_o_ing_total!P$485</f>
        <v>60.074909197670856</v>
      </c>
      <c r="R498" s="332">
        <f>Gasto_o_ing_total!Q498*1000/Gasto_o_ing_total!Q$485</f>
        <v>41.415779302752824</v>
      </c>
      <c r="S498" s="332">
        <f>Gasto_o_ing_total!R498*1000/Gasto_o_ing_total!R$485</f>
        <v>70.149024766379029</v>
      </c>
      <c r="T498" s="332">
        <f>Gasto_o_ing_total!S498*1000/Gasto_o_ing_total!S$485</f>
        <v>79.15973447022813</v>
      </c>
      <c r="U498" s="332">
        <f>Gasto_o_ing_total!T498*1000/Gasto_o_ing_total!T$485</f>
        <v>69.970508904210718</v>
      </c>
      <c r="V498" s="332">
        <f>Gasto_o_ing_total!U498*1000/Gasto_o_ing_total!U$485</f>
        <v>45.441140988684687</v>
      </c>
    </row>
    <row r="499" spans="1:22" s="102" customFormat="1">
      <c r="A499" s="351" t="str">
        <f>IF(B499="","",(IF(ISERROR(MATCH(B499,Tot_res!C:C,0)),"Eliminar!!!","")))</f>
        <v/>
      </c>
      <c r="B499" s="115" t="s">
        <v>650</v>
      </c>
      <c r="C499" s="329" t="str">
        <f>VLOOKUP(B499,Tot_res!C:D,2,FALSE)</f>
        <v>Impuesto sobre el patrimonio, recaudación real</v>
      </c>
      <c r="D499" s="332">
        <f>Gasto_o_ing_total!V499*1000/Gasto_o_ing_total!V$485</f>
        <v>0.59846423588369246</v>
      </c>
      <c r="E499" s="332">
        <f>Gasto_o_ing_total!D499*1000/Gasto_o_ing_total!D$485</f>
        <v>0.59846423588369235</v>
      </c>
      <c r="F499" s="332">
        <f>Gasto_o_ing_total!E499*1000/Gasto_o_ing_total!E$485</f>
        <v>0.59846423588369257</v>
      </c>
      <c r="G499" s="332">
        <f>Gasto_o_ing_total!F499*1000/Gasto_o_ing_total!F$485</f>
        <v>0.59846423588369246</v>
      </c>
      <c r="H499" s="332">
        <f>Gasto_o_ing_total!G499*1000/Gasto_o_ing_total!G$485</f>
        <v>0.59846423588369246</v>
      </c>
      <c r="I499" s="332">
        <f>Gasto_o_ing_total!H499*1000/Gasto_o_ing_total!H$485</f>
        <v>0.59846423588369235</v>
      </c>
      <c r="J499" s="332">
        <f>Gasto_o_ing_total!I499*1000/Gasto_o_ing_total!I$485</f>
        <v>0.59846423588369246</v>
      </c>
      <c r="K499" s="332">
        <f>Gasto_o_ing_total!J499*1000/Gasto_o_ing_total!J$485</f>
        <v>0.59846423588369246</v>
      </c>
      <c r="L499" s="332">
        <f>Gasto_o_ing_total!K499*1000/Gasto_o_ing_total!K$485</f>
        <v>0.59846423588369257</v>
      </c>
      <c r="M499" s="332">
        <f>Gasto_o_ing_total!L499*1000/Gasto_o_ing_total!L$485</f>
        <v>0.59846423588369246</v>
      </c>
      <c r="N499" s="332">
        <f>Gasto_o_ing_total!M499*1000/Gasto_o_ing_total!M$485</f>
        <v>0.59846423588369246</v>
      </c>
      <c r="O499" s="332">
        <f>Gasto_o_ing_total!N499*1000/Gasto_o_ing_total!N$485</f>
        <v>0.59846423588369235</v>
      </c>
      <c r="P499" s="332">
        <f>Gasto_o_ing_total!O499*1000/Gasto_o_ing_total!O$485</f>
        <v>0.59846423588369246</v>
      </c>
      <c r="Q499" s="332">
        <f>Gasto_o_ing_total!P499*1000/Gasto_o_ing_total!P$485</f>
        <v>0.59846423588369246</v>
      </c>
      <c r="R499" s="332">
        <f>Gasto_o_ing_total!Q499*1000/Gasto_o_ing_total!Q$485</f>
        <v>0.59846423588369246</v>
      </c>
      <c r="S499" s="332">
        <f>Gasto_o_ing_total!R499*1000/Gasto_o_ing_total!R$485</f>
        <v>0.59846423588369235</v>
      </c>
      <c r="T499" s="332">
        <f>Gasto_o_ing_total!S499*1000/Gasto_o_ing_total!S$485</f>
        <v>0.59846423588369235</v>
      </c>
      <c r="U499" s="332">
        <f>Gasto_o_ing_total!T499*1000/Gasto_o_ing_total!T$485</f>
        <v>0.59846423588369246</v>
      </c>
      <c r="V499" s="332">
        <f>Gasto_o_ing_total!U499*1000/Gasto_o_ing_total!U$485</f>
        <v>0.59846423588369257</v>
      </c>
    </row>
    <row r="500" spans="1:22" s="102" customFormat="1">
      <c r="A500" s="351" t="str">
        <f>IF(B500="","",(IF(ISERROR(MATCH(B500,Tot_res!C:C,0)),"Eliminar!!!","")))</f>
        <v/>
      </c>
      <c r="B500" s="115" t="s">
        <v>1223</v>
      </c>
      <c r="C500" s="329" t="str">
        <f>VLOOKUP(B500,Tot_res!C:D,2,FALSE)</f>
        <v>Impuestos mediombientales. Ingresos homogeneizados</v>
      </c>
      <c r="D500" s="332">
        <f>Gasto_o_ing_total!V500*1000/Gasto_o_ing_total!V$485</f>
        <v>35.676687250442932</v>
      </c>
      <c r="E500" s="332">
        <f>Gasto_o_ing_total!D500*1000/Gasto_o_ing_total!D$485</f>
        <v>32.631755646613165</v>
      </c>
      <c r="F500" s="332">
        <f>Gasto_o_ing_total!E500*1000/Gasto_o_ing_total!E$485</f>
        <v>35.677516855889834</v>
      </c>
      <c r="G500" s="332">
        <f>Gasto_o_ing_total!F500*1000/Gasto_o_ing_total!F$485</f>
        <v>36.179603660988086</v>
      </c>
      <c r="H500" s="332">
        <f>Gasto_o_ing_total!G500*1000/Gasto_o_ing_total!G$485</f>
        <v>37.761426554000167</v>
      </c>
      <c r="I500" s="332">
        <f>Gasto_o_ing_total!H500*1000/Gasto_o_ing_total!H$485</f>
        <v>31.857379589482903</v>
      </c>
      <c r="J500" s="332">
        <f>Gasto_o_ing_total!I500*1000/Gasto_o_ing_total!I$485</f>
        <v>36.565824001751594</v>
      </c>
      <c r="K500" s="332">
        <f>Gasto_o_ing_total!J500*1000/Gasto_o_ing_total!J$485</f>
        <v>34.467617973326519</v>
      </c>
      <c r="L500" s="332">
        <f>Gasto_o_ing_total!K500*1000/Gasto_o_ing_total!K$485</f>
        <v>31.827356400598585</v>
      </c>
      <c r="M500" s="332">
        <f>Gasto_o_ing_total!L500*1000/Gasto_o_ing_total!L$485</f>
        <v>38.63672619428803</v>
      </c>
      <c r="N500" s="332">
        <f>Gasto_o_ing_total!M500*1000/Gasto_o_ing_total!M$485</f>
        <v>34.757325585168338</v>
      </c>
      <c r="O500" s="332">
        <f>Gasto_o_ing_total!N500*1000/Gasto_o_ing_total!N$485</f>
        <v>30.877684714650407</v>
      </c>
      <c r="P500" s="332">
        <f>Gasto_o_ing_total!O500*1000/Gasto_o_ing_total!O$485</f>
        <v>34.459401499967868</v>
      </c>
      <c r="Q500" s="332">
        <f>Gasto_o_ing_total!P500*1000/Gasto_o_ing_total!P$485</f>
        <v>40.333594011397743</v>
      </c>
      <c r="R500" s="332">
        <f>Gasto_o_ing_total!Q500*1000/Gasto_o_ing_total!Q$485</f>
        <v>32.054021095451454</v>
      </c>
      <c r="S500" s="332">
        <f>Gasto_o_ing_total!R500*1000/Gasto_o_ing_total!R$485</f>
        <v>37.563511750562746</v>
      </c>
      <c r="T500" s="332">
        <f>Gasto_o_ing_total!S500*1000/Gasto_o_ing_total!S$485</f>
        <v>38.916473895248004</v>
      </c>
      <c r="U500" s="332">
        <f>Gasto_o_ing_total!T500*1000/Gasto_o_ing_total!T$485</f>
        <v>35.310064168607006</v>
      </c>
      <c r="V500" s="332">
        <f>Gasto_o_ing_total!U500*1000/Gasto_o_ing_total!U$485</f>
        <v>31.437385630483302</v>
      </c>
    </row>
    <row r="501" spans="1:22" s="102" customFormat="1">
      <c r="A501" s="351" t="str">
        <f>IF(B501="","",(IF(ISERROR(MATCH(B501,Tot_res!C:C,0)),"Eliminar!!!","")))</f>
        <v/>
      </c>
      <c r="B501" s="115" t="s">
        <v>1225</v>
      </c>
      <c r="C501" s="329" t="str">
        <f>VLOOKUP(B501,Tot_res!C:D,2,FALSE)</f>
        <v>Impuesto sobre los depósitos de las entidades de crédito.  Ingresos homogeneizados</v>
      </c>
      <c r="D501" s="332">
        <f>Gasto_o_ing_total!V501*1000/Gasto_o_ing_total!V$485</f>
        <v>4.2721228251533532</v>
      </c>
      <c r="E501" s="332">
        <f>Gasto_o_ing_total!D501*1000/Gasto_o_ing_total!D$485</f>
        <v>2.2989409695347489</v>
      </c>
      <c r="F501" s="332">
        <f>Gasto_o_ing_total!E501*1000/Gasto_o_ing_total!E$485</f>
        <v>3.8754790120176392</v>
      </c>
      <c r="G501" s="332">
        <f>Gasto_o_ing_total!F501*1000/Gasto_o_ing_total!F$485</f>
        <v>3.7042179632443433</v>
      </c>
      <c r="H501" s="332">
        <f>Gasto_o_ing_total!G501*1000/Gasto_o_ing_total!G$485</f>
        <v>3.5707005275015451</v>
      </c>
      <c r="I501" s="332">
        <f>Gasto_o_ing_total!H501*1000/Gasto_o_ing_total!H$485</f>
        <v>2.4723910737375721</v>
      </c>
      <c r="J501" s="332">
        <f>Gasto_o_ing_total!I501*1000/Gasto_o_ing_total!I$485</f>
        <v>4.3216300989984635</v>
      </c>
      <c r="K501" s="332">
        <f>Gasto_o_ing_total!J501*1000/Gasto_o_ing_total!J$485</f>
        <v>3.8117525975804289</v>
      </c>
      <c r="L501" s="332">
        <f>Gasto_o_ing_total!K501*1000/Gasto_o_ing_total!K$485</f>
        <v>2.3843959268095003</v>
      </c>
      <c r="M501" s="332">
        <f>Gasto_o_ing_total!L501*1000/Gasto_o_ing_total!L$485</f>
        <v>4.4019118067573366</v>
      </c>
      <c r="N501" s="332">
        <f>Gasto_o_ing_total!M501*1000/Gasto_o_ing_total!M$485</f>
        <v>3.3741339337549179</v>
      </c>
      <c r="O501" s="332">
        <f>Gasto_o_ing_total!N501*1000/Gasto_o_ing_total!N$485</f>
        <v>2.4954534724962123</v>
      </c>
      <c r="P501" s="332">
        <f>Gasto_o_ing_total!O501*1000/Gasto_o_ing_total!O$485</f>
        <v>3.6693895325732027</v>
      </c>
      <c r="Q501" s="332">
        <f>Gasto_o_ing_total!P501*1000/Gasto_o_ing_total!P$485</f>
        <v>9.8259939692418747</v>
      </c>
      <c r="R501" s="332">
        <f>Gasto_o_ing_total!Q501*1000/Gasto_o_ing_total!Q$485</f>
        <v>2.5427463342963428</v>
      </c>
      <c r="S501" s="332">
        <f>Gasto_o_ing_total!R501*1000/Gasto_o_ing_total!R$485</f>
        <v>3.9432754528270197</v>
      </c>
      <c r="T501" s="332">
        <f>Gasto_o_ing_total!S501*1000/Gasto_o_ing_total!S$485</f>
        <v>5.0430026281856852</v>
      </c>
      <c r="U501" s="332">
        <f>Gasto_o_ing_total!T501*1000/Gasto_o_ing_total!T$485</f>
        <v>4.00449936032678</v>
      </c>
      <c r="V501" s="332">
        <f>Gasto_o_ing_total!U501*1000/Gasto_o_ing_total!U$485</f>
        <v>2.6978078007951587</v>
      </c>
    </row>
    <row r="502" spans="1:22" s="102" customFormat="1">
      <c r="A502" s="352"/>
      <c r="B502" s="115"/>
      <c r="C502" s="119"/>
      <c r="D502" s="116"/>
      <c r="E502" s="116"/>
      <c r="F502" s="116"/>
      <c r="G502" s="116"/>
      <c r="H502" s="116"/>
      <c r="I502" s="116"/>
      <c r="J502" s="116"/>
      <c r="K502" s="116"/>
      <c r="L502" s="116"/>
      <c r="M502" s="116"/>
      <c r="N502" s="116"/>
      <c r="O502" s="116"/>
      <c r="P502" s="116"/>
      <c r="Q502" s="116"/>
      <c r="R502" s="116"/>
      <c r="S502" s="116"/>
      <c r="T502" s="116"/>
      <c r="U502" s="116"/>
      <c r="V502" s="116"/>
    </row>
    <row r="503" spans="1:22" s="102" customFormat="1" ht="13.5">
      <c r="A503" s="352"/>
      <c r="B503" s="115"/>
      <c r="C503" s="112" t="s">
        <v>109</v>
      </c>
      <c r="D503" s="113">
        <f>Gasto_o_ing_total!V503*1000/Gasto_o_ing_total!V$485</f>
        <v>2076.29928418087</v>
      </c>
      <c r="E503" s="113">
        <f>Gasto_o_ing_total!D503*1000/Gasto_o_ing_total!D$485</f>
        <v>1881.432413827293</v>
      </c>
      <c r="F503" s="113">
        <f>Gasto_o_ing_total!E503*1000/Gasto_o_ing_total!E$485</f>
        <v>2099.794285989004</v>
      </c>
      <c r="G503" s="113">
        <f>Gasto_o_ing_total!F503*1000/Gasto_o_ing_total!F$485</f>
        <v>2054.3115818032979</v>
      </c>
      <c r="H503" s="113">
        <f>Gasto_o_ing_total!G503*1000/Gasto_o_ing_total!G$485</f>
        <v>2205.3134633235254</v>
      </c>
      <c r="I503" s="113">
        <f>Gasto_o_ing_total!H503*1000/Gasto_o_ing_total!H$485</f>
        <v>1734.8729199949712</v>
      </c>
      <c r="J503" s="113">
        <f>Gasto_o_ing_total!I503*1000/Gasto_o_ing_total!I$485</f>
        <v>2080.5245424844948</v>
      </c>
      <c r="K503" s="113">
        <f>Gasto_o_ing_total!J503*1000/Gasto_o_ing_total!J$485</f>
        <v>1980.8016426693509</v>
      </c>
      <c r="L503" s="113">
        <f>Gasto_o_ing_total!K503*1000/Gasto_o_ing_total!K$485</f>
        <v>1856.4650404149324</v>
      </c>
      <c r="M503" s="113">
        <f>Gasto_o_ing_total!L503*1000/Gasto_o_ing_total!L$485</f>
        <v>2254.6476266099799</v>
      </c>
      <c r="N503" s="113">
        <f>Gasto_o_ing_total!M503*1000/Gasto_o_ing_total!M$485</f>
        <v>1985.6331631462697</v>
      </c>
      <c r="O503" s="113">
        <f>Gasto_o_ing_total!N503*1000/Gasto_o_ing_total!N$485</f>
        <v>1727.2508325020988</v>
      </c>
      <c r="P503" s="113">
        <f>Gasto_o_ing_total!O503*1000/Gasto_o_ing_total!O$485</f>
        <v>2000.6286472885156</v>
      </c>
      <c r="Q503" s="113">
        <f>Gasto_o_ing_total!P503*1000/Gasto_o_ing_total!P$485</f>
        <v>2447.1070771155951</v>
      </c>
      <c r="R503" s="113">
        <f>Gasto_o_ing_total!Q503*1000/Gasto_o_ing_total!Q$485</f>
        <v>1891.341996710438</v>
      </c>
      <c r="S503" s="113">
        <f>Gasto_o_ing_total!R503*1000/Gasto_o_ing_total!R$485</f>
        <v>2229.8117825699924</v>
      </c>
      <c r="T503" s="113">
        <f>Gasto_o_ing_total!S503*1000/Gasto_o_ing_total!S$485</f>
        <v>2277.5389400098638</v>
      </c>
      <c r="U503" s="113">
        <f>Gasto_o_ing_total!T503*1000/Gasto_o_ing_total!T$485</f>
        <v>2038.6415448745406</v>
      </c>
      <c r="V503" s="113">
        <f>Gasto_o_ing_total!U503*1000/Gasto_o_ing_total!U$485</f>
        <v>1788.3171924389924</v>
      </c>
    </row>
    <row r="504" spans="1:22" s="102" customFormat="1">
      <c r="A504" s="351" t="str">
        <f>IF(B504="","",(IF(ISERROR(MATCH(B504,Tot_res!C:C,0)),"Eliminar!!!","")))</f>
        <v/>
      </c>
      <c r="B504" s="115" t="s">
        <v>432</v>
      </c>
      <c r="C504" s="329" t="str">
        <f>VLOOKUP(B504,Tot_res!C:D,2,FALSE)</f>
        <v>IVA</v>
      </c>
      <c r="D504" s="332">
        <f>Gasto_o_ing_total!V504*1000/Gasto_o_ing_total!V$485</f>
        <v>1329.0095307683414</v>
      </c>
      <c r="E504" s="332">
        <f>Gasto_o_ing_total!D504*1000/Gasto_o_ing_total!D$485</f>
        <v>1213.63440555238</v>
      </c>
      <c r="F504" s="332">
        <f>Gasto_o_ing_total!E504*1000/Gasto_o_ing_total!E$485</f>
        <v>1406.2095611123723</v>
      </c>
      <c r="G504" s="332">
        <f>Gasto_o_ing_total!F504*1000/Gasto_o_ing_total!F$485</f>
        <v>1380.4518696014277</v>
      </c>
      <c r="H504" s="332">
        <f>Gasto_o_ing_total!G504*1000/Gasto_o_ing_total!G$485</f>
        <v>1444.9421313819921</v>
      </c>
      <c r="I504" s="332">
        <f>Gasto_o_ing_total!H504*1000/Gasto_o_ing_total!H$485</f>
        <v>102.43004305915993</v>
      </c>
      <c r="J504" s="332">
        <f>Gasto_o_ing_total!I504*1000/Gasto_o_ing_total!I$485</f>
        <v>1418.0718671628556</v>
      </c>
      <c r="K504" s="332">
        <f>Gasto_o_ing_total!J504*1000/Gasto_o_ing_total!J$485</f>
        <v>1328.9678398531848</v>
      </c>
      <c r="L504" s="332">
        <f>Gasto_o_ing_total!K504*1000/Gasto_o_ing_total!K$485</f>
        <v>1209.2453273776712</v>
      </c>
      <c r="M504" s="332">
        <f>Gasto_o_ing_total!L504*1000/Gasto_o_ing_total!L$485</f>
        <v>1547.724723606291</v>
      </c>
      <c r="N504" s="332">
        <f>Gasto_o_ing_total!M504*1000/Gasto_o_ing_total!M$485</f>
        <v>1304.7301005686718</v>
      </c>
      <c r="O504" s="332">
        <f>Gasto_o_ing_total!N504*1000/Gasto_o_ing_total!N$485</f>
        <v>1126.18013301009</v>
      </c>
      <c r="P504" s="332">
        <f>Gasto_o_ing_total!O504*1000/Gasto_o_ing_total!O$485</f>
        <v>1335.7945192043542</v>
      </c>
      <c r="Q504" s="332">
        <f>Gasto_o_ing_total!P504*1000/Gasto_o_ing_total!P$485</f>
        <v>1617.3674766468093</v>
      </c>
      <c r="R504" s="332">
        <f>Gasto_o_ing_total!Q504*1000/Gasto_o_ing_total!Q$485</f>
        <v>1212.1976168541623</v>
      </c>
      <c r="S504" s="332">
        <f>Gasto_o_ing_total!R504*1000/Gasto_o_ing_total!R$485</f>
        <v>1556.6416417223979</v>
      </c>
      <c r="T504" s="332">
        <f>Gasto_o_ing_total!S504*1000/Gasto_o_ing_total!S$485</f>
        <v>1559.1408855662742</v>
      </c>
      <c r="U504" s="332">
        <f>Gasto_o_ing_total!T504*1000/Gasto_o_ing_total!T$485</f>
        <v>1367.4895582944605</v>
      </c>
      <c r="V504" s="332">
        <f>Gasto_o_ing_total!U504*1000/Gasto_o_ing_total!U$485</f>
        <v>102.75104473558721</v>
      </c>
    </row>
    <row r="505" spans="1:22" s="102" customFormat="1">
      <c r="A505" s="351" t="str">
        <f>IF(B505="","",(IF(ISERROR(MATCH(B505,Tot_res!C:C,0)),"Eliminar!!!","")))</f>
        <v/>
      </c>
      <c r="B505" s="115" t="s">
        <v>433</v>
      </c>
      <c r="C505" s="329" t="str">
        <f>VLOOKUP(B505,Tot_res!C:D,2,FALSE)</f>
        <v>Impuestos especiales* (sin electricidad ni matriculación)</v>
      </c>
      <c r="D505" s="332">
        <f>Gasto_o_ing_total!V505*1000/Gasto_o_ing_total!V$485</f>
        <v>408.83523703221397</v>
      </c>
      <c r="E505" s="332">
        <f>Gasto_o_ing_total!D505*1000/Gasto_o_ing_total!D$485</f>
        <v>431.09458705216736</v>
      </c>
      <c r="F505" s="332">
        <f>Gasto_o_ing_total!E505*1000/Gasto_o_ing_total!E$485</f>
        <v>429.08796068778088</v>
      </c>
      <c r="G505" s="332">
        <f>Gasto_o_ing_total!F505*1000/Gasto_o_ing_total!F$485</f>
        <v>419.98155243508023</v>
      </c>
      <c r="H505" s="332">
        <f>Gasto_o_ing_total!G505*1000/Gasto_o_ing_total!G$485</f>
        <v>461.47515957861617</v>
      </c>
      <c r="I505" s="332">
        <f>Gasto_o_ing_total!H505*1000/Gasto_o_ing_total!H$485</f>
        <v>78.051242055519012</v>
      </c>
      <c r="J505" s="332">
        <f>Gasto_o_ing_total!I505*1000/Gasto_o_ing_total!I$485</f>
        <v>396.82397043827723</v>
      </c>
      <c r="K505" s="332">
        <f>Gasto_o_ing_total!J505*1000/Gasto_o_ing_total!J$485</f>
        <v>396.34850755654315</v>
      </c>
      <c r="L505" s="332">
        <f>Gasto_o_ing_total!K505*1000/Gasto_o_ing_total!K$485</f>
        <v>417.8664900888935</v>
      </c>
      <c r="M505" s="332">
        <f>Gasto_o_ing_total!L505*1000/Gasto_o_ing_total!L$485</f>
        <v>416.31197215800449</v>
      </c>
      <c r="N505" s="332">
        <f>Gasto_o_ing_total!M505*1000/Gasto_o_ing_total!M$485</f>
        <v>417.40746112806806</v>
      </c>
      <c r="O505" s="332">
        <f>Gasto_o_ing_total!N505*1000/Gasto_o_ing_total!N$485</f>
        <v>386.58639349086383</v>
      </c>
      <c r="P505" s="332">
        <f>Gasto_o_ing_total!O505*1000/Gasto_o_ing_total!O$485</f>
        <v>430.90425056034712</v>
      </c>
      <c r="Q505" s="332">
        <f>Gasto_o_ing_total!P505*1000/Gasto_o_ing_total!P$485</f>
        <v>451.91323647730394</v>
      </c>
      <c r="R505" s="332">
        <f>Gasto_o_ing_total!Q505*1000/Gasto_o_ing_total!Q$485</f>
        <v>457.63285461981195</v>
      </c>
      <c r="S505" s="332">
        <f>Gasto_o_ing_total!R505*1000/Gasto_o_ing_total!R$485</f>
        <v>402.81700070933482</v>
      </c>
      <c r="T505" s="332">
        <f>Gasto_o_ing_total!S505*1000/Gasto_o_ing_total!S$485</f>
        <v>406.86060519280403</v>
      </c>
      <c r="U505" s="332">
        <f>Gasto_o_ing_total!T505*1000/Gasto_o_ing_total!T$485</f>
        <v>402.52370120837196</v>
      </c>
      <c r="V505" s="332">
        <f>Gasto_o_ing_total!U505*1000/Gasto_o_ing_total!U$485</f>
        <v>155.87800941266354</v>
      </c>
    </row>
    <row r="506" spans="1:22" s="102" customFormat="1">
      <c r="A506" s="351" t="str">
        <f>IF(B506="","",(IF(ISERROR(MATCH(B506,Tot_res!C:C,0)),"Eliminar!!!","")))</f>
        <v/>
      </c>
      <c r="B506" s="115" t="s">
        <v>434</v>
      </c>
      <c r="C506" s="329" t="str">
        <f>VLOOKUP(B506,Tot_res!C:D,2,FALSE)</f>
        <v>Electricidad</v>
      </c>
      <c r="D506" s="332">
        <f>Gasto_o_ing_total!V506*1000/Gasto_o_ing_total!V$485</f>
        <v>31.680380053377824</v>
      </c>
      <c r="E506" s="332">
        <f>Gasto_o_ing_total!D506*1000/Gasto_o_ing_total!D$485</f>
        <v>29.784434602692382</v>
      </c>
      <c r="F506" s="332">
        <f>Gasto_o_ing_total!E506*1000/Gasto_o_ing_total!E$485</f>
        <v>31.95218736157976</v>
      </c>
      <c r="G506" s="332">
        <f>Gasto_o_ing_total!F506*1000/Gasto_o_ing_total!F$485</f>
        <v>32.218649007790347</v>
      </c>
      <c r="H506" s="332">
        <f>Gasto_o_ing_total!G506*1000/Gasto_o_ing_total!G$485</f>
        <v>36.291680357025434</v>
      </c>
      <c r="I506" s="332">
        <f>Gasto_o_ing_total!H506*1000/Gasto_o_ing_total!H$485</f>
        <v>27.269181662716615</v>
      </c>
      <c r="J506" s="332">
        <f>Gasto_o_ing_total!I506*1000/Gasto_o_ing_total!I$485</f>
        <v>31.700808714628064</v>
      </c>
      <c r="K506" s="332">
        <f>Gasto_o_ing_total!J506*1000/Gasto_o_ing_total!J$485</f>
        <v>29.7488431434919</v>
      </c>
      <c r="L506" s="332">
        <f>Gasto_o_ing_total!K506*1000/Gasto_o_ing_total!K$485</f>
        <v>29.925687888113963</v>
      </c>
      <c r="M506" s="332">
        <f>Gasto_o_ing_total!L506*1000/Gasto_o_ing_total!L$485</f>
        <v>33.559127879361846</v>
      </c>
      <c r="N506" s="332">
        <f>Gasto_o_ing_total!M506*1000/Gasto_o_ing_total!M$485</f>
        <v>32.643423349654228</v>
      </c>
      <c r="O506" s="332">
        <f>Gasto_o_ing_total!N506*1000/Gasto_o_ing_total!N$485</f>
        <v>28.744305963336906</v>
      </c>
      <c r="P506" s="332">
        <f>Gasto_o_ing_total!O506*1000/Gasto_o_ing_total!O$485</f>
        <v>30.338445874184714</v>
      </c>
      <c r="Q506" s="332">
        <f>Gasto_o_ing_total!P506*1000/Gasto_o_ing_total!P$485</f>
        <v>34.502056955234401</v>
      </c>
      <c r="R506" s="332">
        <f>Gasto_o_ing_total!Q506*1000/Gasto_o_ing_total!Q$485</f>
        <v>30.192139813288829</v>
      </c>
      <c r="S506" s="332">
        <f>Gasto_o_ing_total!R506*1000/Gasto_o_ing_total!R$485</f>
        <v>31.406365082668827</v>
      </c>
      <c r="T506" s="332">
        <f>Gasto_o_ing_total!S506*1000/Gasto_o_ing_total!S$485</f>
        <v>32.23813875013316</v>
      </c>
      <c r="U506" s="332">
        <f>Gasto_o_ing_total!T506*1000/Gasto_o_ing_total!T$485</f>
        <v>30.10396058926996</v>
      </c>
      <c r="V506" s="332">
        <f>Gasto_o_ing_total!U506*1000/Gasto_o_ing_total!U$485</f>
        <v>25.917417015901343</v>
      </c>
    </row>
    <row r="507" spans="1:22" s="102" customFormat="1">
      <c r="A507" s="351" t="str">
        <f>IF(B507="","",(IF(ISERROR(MATCH(B507,Tot_res!C:C,0)),"Eliminar!!!","")))</f>
        <v/>
      </c>
      <c r="B507" s="115" t="s">
        <v>435</v>
      </c>
      <c r="C507" s="329" t="str">
        <f>VLOOKUP(B507,Tot_res!C:D,2,FALSE)</f>
        <v>Determinados medios de transporte, homogeneizado</v>
      </c>
      <c r="D507" s="332">
        <f>Gasto_o_ing_total!V507*1000/Gasto_o_ing_total!V$485</f>
        <v>6.5911679917077155</v>
      </c>
      <c r="E507" s="332">
        <f>Gasto_o_ing_total!D507*1000/Gasto_o_ing_total!D$485</f>
        <v>5.58268903361295</v>
      </c>
      <c r="F507" s="332">
        <f>Gasto_o_ing_total!E507*1000/Gasto_o_ing_total!E$485</f>
        <v>4.5283162848911021</v>
      </c>
      <c r="G507" s="332">
        <f>Gasto_o_ing_total!F507*1000/Gasto_o_ing_total!F$485</f>
        <v>6.022142831407324</v>
      </c>
      <c r="H507" s="332">
        <f>Gasto_o_ing_total!G507*1000/Gasto_o_ing_total!G$485</f>
        <v>7.3175959244647286</v>
      </c>
      <c r="I507" s="332">
        <f>Gasto_o_ing_total!H507*1000/Gasto_o_ing_total!H$485</f>
        <v>0.9650621302316883</v>
      </c>
      <c r="J507" s="332">
        <f>Gasto_o_ing_total!I507*1000/Gasto_o_ing_total!I$485</f>
        <v>8.4493894987915095</v>
      </c>
      <c r="K507" s="332">
        <f>Gasto_o_ing_total!J507*1000/Gasto_o_ing_total!J$485</f>
        <v>5.8210465425691877</v>
      </c>
      <c r="L507" s="332">
        <f>Gasto_o_ing_total!K507*1000/Gasto_o_ing_total!K$485</f>
        <v>5.8604677677353134</v>
      </c>
      <c r="M507" s="332">
        <f>Gasto_o_ing_total!L507*1000/Gasto_o_ing_total!L$485</f>
        <v>8.1100887103877888</v>
      </c>
      <c r="N507" s="332">
        <f>Gasto_o_ing_total!M507*1000/Gasto_o_ing_total!M$485</f>
        <v>6.3493364046094412</v>
      </c>
      <c r="O507" s="332">
        <f>Gasto_o_ing_total!N507*1000/Gasto_o_ing_total!N$485</f>
        <v>4.6928110032316459</v>
      </c>
      <c r="P507" s="332">
        <f>Gasto_o_ing_total!O507*1000/Gasto_o_ing_total!O$485</f>
        <v>5.6268094015517711</v>
      </c>
      <c r="Q507" s="332">
        <f>Gasto_o_ing_total!P507*1000/Gasto_o_ing_total!P$485</f>
        <v>9.5729420665356937</v>
      </c>
      <c r="R507" s="332">
        <f>Gasto_o_ing_total!Q507*1000/Gasto_o_ing_total!Q$485</f>
        <v>6.0480428763670631</v>
      </c>
      <c r="S507" s="332">
        <f>Gasto_o_ing_total!R507*1000/Gasto_o_ing_total!R$485</f>
        <v>7.830324777691227</v>
      </c>
      <c r="T507" s="332">
        <f>Gasto_o_ing_total!S507*1000/Gasto_o_ing_total!S$485</f>
        <v>7.2603746928592257</v>
      </c>
      <c r="U507" s="332">
        <f>Gasto_o_ing_total!T507*1000/Gasto_o_ing_total!T$485</f>
        <v>5.919604974140463</v>
      </c>
      <c r="V507" s="332">
        <f>Gasto_o_ing_total!U507*1000/Gasto_o_ing_total!U$485</f>
        <v>1.9419640342063151</v>
      </c>
    </row>
    <row r="508" spans="1:22" s="102" customFormat="1">
      <c r="A508" s="351" t="str">
        <f>IF(B508="","",(IF(ISERROR(MATCH(B508,Tot_res!C:C,0)),"Eliminar!!!","")))</f>
        <v/>
      </c>
      <c r="B508" s="115" t="s">
        <v>437</v>
      </c>
      <c r="C508" s="329" t="str">
        <f>VLOOKUP(B508,Tot_res!C:D,2,FALSE)</f>
        <v xml:space="preserve">Tráfico exterior </v>
      </c>
      <c r="D508" s="332">
        <f>Gasto_o_ing_total!V508*1000/Gasto_o_ing_total!V$485</f>
        <v>32.669804376373847</v>
      </c>
      <c r="E508" s="332">
        <f>Gasto_o_ing_total!D508*1000/Gasto_o_ing_total!D$485</f>
        <v>30.017216175858245</v>
      </c>
      <c r="F508" s="332">
        <f>Gasto_o_ing_total!E508*1000/Gasto_o_ing_total!E$485</f>
        <v>33.951459892270435</v>
      </c>
      <c r="G508" s="332">
        <f>Gasto_o_ing_total!F508*1000/Gasto_o_ing_total!F$485</f>
        <v>34.547845922727419</v>
      </c>
      <c r="H508" s="332">
        <f>Gasto_o_ing_total!G508*1000/Gasto_o_ing_total!G$485</f>
        <v>36.671117464197692</v>
      </c>
      <c r="I508" s="332">
        <f>Gasto_o_ing_total!H508*1000/Gasto_o_ing_total!H$485</f>
        <v>2.740882080228503</v>
      </c>
      <c r="J508" s="332">
        <f>Gasto_o_ing_total!I508*1000/Gasto_o_ing_total!I$485</f>
        <v>35.082205776896728</v>
      </c>
      <c r="K508" s="332">
        <f>Gasto_o_ing_total!J508*1000/Gasto_o_ing_total!J$485</f>
        <v>32.364786076084407</v>
      </c>
      <c r="L508" s="332">
        <f>Gasto_o_ing_total!K508*1000/Gasto_o_ing_total!K$485</f>
        <v>28.986651250281746</v>
      </c>
      <c r="M508" s="332">
        <f>Gasto_o_ing_total!L508*1000/Gasto_o_ing_total!L$485</f>
        <v>37.788406143197811</v>
      </c>
      <c r="N508" s="332">
        <f>Gasto_o_ing_total!M508*1000/Gasto_o_ing_total!M$485</f>
        <v>32.767657680425927</v>
      </c>
      <c r="O508" s="332">
        <f>Gasto_o_ing_total!N508*1000/Gasto_o_ing_total!N$485</f>
        <v>27.740686354974244</v>
      </c>
      <c r="P508" s="332">
        <f>Gasto_o_ing_total!O508*1000/Gasto_o_ing_total!O$485</f>
        <v>32.34797459535114</v>
      </c>
      <c r="Q508" s="332">
        <f>Gasto_o_ing_total!P508*1000/Gasto_o_ing_total!P$485</f>
        <v>39.9685146931837</v>
      </c>
      <c r="R508" s="332">
        <f>Gasto_o_ing_total!Q508*1000/Gasto_o_ing_total!Q$485</f>
        <v>29.286364792945836</v>
      </c>
      <c r="S508" s="332">
        <f>Gasto_o_ing_total!R508*1000/Gasto_o_ing_total!R$485</f>
        <v>36.36671028575072</v>
      </c>
      <c r="T508" s="332">
        <f>Gasto_o_ing_total!S508*1000/Gasto_o_ing_total!S$485</f>
        <v>38.081932258362308</v>
      </c>
      <c r="U508" s="332">
        <f>Gasto_o_ing_total!T508*1000/Gasto_o_ing_total!T$485</f>
        <v>33.464884096891012</v>
      </c>
      <c r="V508" s="332">
        <f>Gasto_o_ing_total!U508*1000/Gasto_o_ing_total!U$485</f>
        <v>2.404400220875694</v>
      </c>
    </row>
    <row r="509" spans="1:22" s="102" customFormat="1">
      <c r="A509" s="351" t="str">
        <f>IF(B509="","",(IF(ISERROR(MATCH(B509,Tot_res!C:C,0)),"Eliminar!!!","")))</f>
        <v/>
      </c>
      <c r="B509" s="115" t="s">
        <v>438</v>
      </c>
      <c r="C509" s="329" t="str">
        <f>VLOOKUP(B509,Tot_res!C:D,2,FALSE)</f>
        <v>Impuesto sobre las primas de seguros</v>
      </c>
      <c r="D509" s="332">
        <f>Gasto_o_ing_total!V509*1000/Gasto_o_ing_total!V$485</f>
        <v>30.129730887141378</v>
      </c>
      <c r="E509" s="332">
        <f>Gasto_o_ing_total!D509*1000/Gasto_o_ing_total!D$485</f>
        <v>26.391929461121361</v>
      </c>
      <c r="F509" s="332">
        <f>Gasto_o_ing_total!E509*1000/Gasto_o_ing_total!E$485</f>
        <v>29.608902086228092</v>
      </c>
      <c r="G509" s="332">
        <f>Gasto_o_ing_total!F509*1000/Gasto_o_ing_total!F$485</f>
        <v>30.585772192950028</v>
      </c>
      <c r="H509" s="332">
        <f>Gasto_o_ing_total!G509*1000/Gasto_o_ing_total!G$485</f>
        <v>32.063235847430718</v>
      </c>
      <c r="I509" s="332">
        <f>Gasto_o_ing_total!H509*1000/Gasto_o_ing_total!H$485</f>
        <v>25.551584033788444</v>
      </c>
      <c r="J509" s="332">
        <f>Gasto_o_ing_total!I509*1000/Gasto_o_ing_total!I$485</f>
        <v>32.370801623203519</v>
      </c>
      <c r="K509" s="332">
        <f>Gasto_o_ing_total!J509*1000/Gasto_o_ing_total!J$485</f>
        <v>29.091451517459618</v>
      </c>
      <c r="L509" s="332">
        <f>Gasto_o_ing_total!K509*1000/Gasto_o_ing_total!K$485</f>
        <v>26.708244879674723</v>
      </c>
      <c r="M509" s="332">
        <f>Gasto_o_ing_total!L509*1000/Gasto_o_ing_total!L$485</f>
        <v>31.047897802305702</v>
      </c>
      <c r="N509" s="332">
        <f>Gasto_o_ing_total!M509*1000/Gasto_o_ing_total!M$485</f>
        <v>29.841645787083014</v>
      </c>
      <c r="O509" s="332">
        <f>Gasto_o_ing_total!N509*1000/Gasto_o_ing_total!N$485</f>
        <v>26.284867346717594</v>
      </c>
      <c r="P509" s="332">
        <f>Gasto_o_ing_total!O509*1000/Gasto_o_ing_total!O$485</f>
        <v>30.163709237039917</v>
      </c>
      <c r="Q509" s="332">
        <f>Gasto_o_ing_total!P509*1000/Gasto_o_ing_total!P$485</f>
        <v>36.767313712696065</v>
      </c>
      <c r="R509" s="332">
        <f>Gasto_o_ing_total!Q509*1000/Gasto_o_ing_total!Q$485</f>
        <v>28.748943674419056</v>
      </c>
      <c r="S509" s="332">
        <f>Gasto_o_ing_total!R509*1000/Gasto_o_ing_total!R$485</f>
        <v>31.193722101468424</v>
      </c>
      <c r="T509" s="332">
        <f>Gasto_o_ing_total!S509*1000/Gasto_o_ing_total!S$485</f>
        <v>32.65623878680244</v>
      </c>
      <c r="U509" s="332">
        <f>Gasto_o_ing_total!T509*1000/Gasto_o_ing_total!T$485</f>
        <v>30.990917451101705</v>
      </c>
      <c r="V509" s="332">
        <f>Gasto_o_ing_total!U509*1000/Gasto_o_ing_total!U$485</f>
        <v>23.392056415829543</v>
      </c>
    </row>
    <row r="510" spans="1:22" s="102" customFormat="1">
      <c r="A510" s="351" t="str">
        <f>IF(B510="","",(IF(ISERROR(MATCH(B510,Tot_res!C:C,0)),"Eliminar!!!","")))</f>
        <v/>
      </c>
      <c r="B510" s="115" t="s">
        <v>440</v>
      </c>
      <c r="C510" s="329" t="str">
        <f>VLOOKUP(B510,Tot_res!C:D,2,FALSE)</f>
        <v>Transmisiones patrim. y actos jurídicos documentados, ing. homog.</v>
      </c>
      <c r="D510" s="332">
        <f>Gasto_o_ing_total!V510*1000/Gasto_o_ing_total!V$485</f>
        <v>123.15042572228283</v>
      </c>
      <c r="E510" s="332">
        <f>Gasto_o_ing_total!D510*1000/Gasto_o_ing_total!D$485</f>
        <v>103.65820384047092</v>
      </c>
      <c r="F510" s="332">
        <f>Gasto_o_ing_total!E510*1000/Gasto_o_ing_total!E$485</f>
        <v>116.86159221977273</v>
      </c>
      <c r="G510" s="332">
        <f>Gasto_o_ing_total!F510*1000/Gasto_o_ing_total!F$485</f>
        <v>101.55344661470893</v>
      </c>
      <c r="H510" s="332">
        <f>Gasto_o_ing_total!G510*1000/Gasto_o_ing_total!G$485</f>
        <v>134.66735730995833</v>
      </c>
      <c r="I510" s="332">
        <f>Gasto_o_ing_total!H510*1000/Gasto_o_ing_total!H$485</f>
        <v>99.842235503224686</v>
      </c>
      <c r="J510" s="332">
        <f>Gasto_o_ing_total!I510*1000/Gasto_o_ing_total!I$485</f>
        <v>108.09381426097259</v>
      </c>
      <c r="K510" s="332">
        <f>Gasto_o_ing_total!J510*1000/Gasto_o_ing_total!J$485</f>
        <v>107.93380784236594</v>
      </c>
      <c r="L510" s="332">
        <f>Gasto_o_ing_total!K510*1000/Gasto_o_ing_total!K$485</f>
        <v>93.300184243258684</v>
      </c>
      <c r="M510" s="332">
        <f>Gasto_o_ing_total!L510*1000/Gasto_o_ing_total!L$485</f>
        <v>135.74938885678549</v>
      </c>
      <c r="N510" s="332">
        <f>Gasto_o_ing_total!M510*1000/Gasto_o_ing_total!M$485</f>
        <v>110.18463345366835</v>
      </c>
      <c r="O510" s="332">
        <f>Gasto_o_ing_total!N510*1000/Gasto_o_ing_total!N$485</f>
        <v>86.180161366246523</v>
      </c>
      <c r="P510" s="332">
        <f>Gasto_o_ing_total!O510*1000/Gasto_o_ing_total!O$485</f>
        <v>90.870503875046523</v>
      </c>
      <c r="Q510" s="332">
        <f>Gasto_o_ing_total!P510*1000/Gasto_o_ing_total!P$485</f>
        <v>188.82166831599574</v>
      </c>
      <c r="R510" s="332">
        <f>Gasto_o_ing_total!Q510*1000/Gasto_o_ing_total!Q$485</f>
        <v>88.940720461234775</v>
      </c>
      <c r="S510" s="332">
        <f>Gasto_o_ing_total!R510*1000/Gasto_o_ing_total!R$485</f>
        <v>117.83072171033359</v>
      </c>
      <c r="T510" s="332">
        <f>Gasto_o_ing_total!S510*1000/Gasto_o_ing_total!S$485</f>
        <v>155.40168429658348</v>
      </c>
      <c r="U510" s="332">
        <f>Gasto_o_ing_total!T510*1000/Gasto_o_ing_total!T$485</f>
        <v>125.63107972580237</v>
      </c>
      <c r="V510" s="332">
        <f>Gasto_o_ing_total!U510*1000/Gasto_o_ing_total!U$485</f>
        <v>108.57008903722222</v>
      </c>
    </row>
    <row r="511" spans="1:22" s="102" customFormat="1">
      <c r="A511" s="351" t="str">
        <f>IF(B511="","",(IF(ISERROR(MATCH(B511,Tot_res!C:C,0)),"Eliminar!!!","")))</f>
        <v/>
      </c>
      <c r="B511" s="115" t="s">
        <v>441</v>
      </c>
      <c r="C511" s="329" t="str">
        <f>VLOOKUP(B511,Tot_res!C:D,2,FALSE)</f>
        <v>Venta Minorista de Hidrocarburos, ingr. Homog.</v>
      </c>
      <c r="D511" s="332">
        <f>Gasto_o_ing_total!V511*1000/Gasto_o_ing_total!V$485</f>
        <v>6.2002601909495393E-2</v>
      </c>
      <c r="E511" s="332">
        <f>Gasto_o_ing_total!D511*1000/Gasto_o_ing_total!D$485</f>
        <v>6.1709871305779491E-2</v>
      </c>
      <c r="F511" s="332">
        <f>Gasto_o_ing_total!E511*1000/Gasto_o_ing_total!E$485</f>
        <v>5.8907438125188741E-2</v>
      </c>
      <c r="G511" s="332">
        <f>Gasto_o_ing_total!F511*1000/Gasto_o_ing_total!F$485</f>
        <v>6.2489421059653702E-2</v>
      </c>
      <c r="H511" s="332">
        <f>Gasto_o_ing_total!G511*1000/Gasto_o_ing_total!G$485</f>
        <v>7.3993820334476934E-2</v>
      </c>
      <c r="I511" s="332">
        <f>Gasto_o_ing_total!H511*1000/Gasto_o_ing_total!H$485</f>
        <v>1.5495816479542368E-2</v>
      </c>
      <c r="J511" s="332">
        <f>Gasto_o_ing_total!I511*1000/Gasto_o_ing_total!I$485</f>
        <v>6.7567327194816493E-2</v>
      </c>
      <c r="K511" s="332">
        <f>Gasto_o_ing_total!J511*1000/Gasto_o_ing_total!J$485</f>
        <v>6.2324189315380647E-2</v>
      </c>
      <c r="L511" s="332">
        <f>Gasto_o_ing_total!K511*1000/Gasto_o_ing_total!K$485</f>
        <v>6.0120509056015757E-2</v>
      </c>
      <c r="M511" s="332">
        <f>Gasto_o_ing_total!L511*1000/Gasto_o_ing_total!L$485</f>
        <v>6.5398039079871309E-2</v>
      </c>
      <c r="N511" s="332">
        <f>Gasto_o_ing_total!M511*1000/Gasto_o_ing_total!M$485</f>
        <v>6.2611959395205197E-2</v>
      </c>
      <c r="O511" s="332">
        <f>Gasto_o_ing_total!N511*1000/Gasto_o_ing_total!N$485</f>
        <v>5.7736197770654689E-2</v>
      </c>
      <c r="P511" s="332">
        <f>Gasto_o_ing_total!O511*1000/Gasto_o_ing_total!O$485</f>
        <v>6.8373978059043689E-2</v>
      </c>
      <c r="Q511" s="332">
        <f>Gasto_o_ing_total!P511*1000/Gasto_o_ing_total!P$485</f>
        <v>7.0311307397559655E-2</v>
      </c>
      <c r="R511" s="332">
        <f>Gasto_o_ing_total!Q511*1000/Gasto_o_ing_total!Q$485</f>
        <v>6.4009690872276467E-2</v>
      </c>
      <c r="S511" s="332">
        <f>Gasto_o_ing_total!R511*1000/Gasto_o_ing_total!R$485</f>
        <v>6.0711018020578336E-2</v>
      </c>
      <c r="T511" s="332">
        <f>Gasto_o_ing_total!S511*1000/Gasto_o_ing_total!S$485</f>
        <v>6.0702434753328725E-2</v>
      </c>
      <c r="U511" s="332">
        <f>Gasto_o_ing_total!T511*1000/Gasto_o_ing_total!T$485</f>
        <v>6.1775700504815324E-2</v>
      </c>
      <c r="V511" s="332">
        <f>Gasto_o_ing_total!U511*1000/Gasto_o_ing_total!U$485</f>
        <v>4.0301947230835966E-2</v>
      </c>
    </row>
    <row r="512" spans="1:22" s="102" customFormat="1">
      <c r="A512" s="351" t="str">
        <f>IF(B512="","",(IF(ISERROR(MATCH(B512,Tot_res!C:C,0)),"Eliminar!!!","")))</f>
        <v/>
      </c>
      <c r="B512" s="115" t="s">
        <v>442</v>
      </c>
      <c r="C512" s="329" t="str">
        <f>VLOOKUP(B512,Tot_res!C:D,2,FALSE)</f>
        <v>Tasas sobre el juego, ingresos homogeneizados</v>
      </c>
      <c r="D512" s="332">
        <f>Gasto_o_ing_total!V512*1000/Gasto_o_ing_total!V$485</f>
        <v>22.302290112759714</v>
      </c>
      <c r="E512" s="332">
        <f>Gasto_o_ing_total!D512*1000/Gasto_o_ing_total!D$485</f>
        <v>17.065755820787214</v>
      </c>
      <c r="F512" s="332">
        <f>Gasto_o_ing_total!E512*1000/Gasto_o_ing_total!E$485</f>
        <v>21.614456569437387</v>
      </c>
      <c r="G512" s="332">
        <f>Gasto_o_ing_total!F512*1000/Gasto_o_ing_total!F$485</f>
        <v>19.822054406875729</v>
      </c>
      <c r="H512" s="332">
        <f>Gasto_o_ing_total!G512*1000/Gasto_o_ing_total!G$485</f>
        <v>26.790559466743659</v>
      </c>
      <c r="I512" s="332">
        <f>Gasto_o_ing_total!H512*1000/Gasto_o_ing_total!H$485</f>
        <v>16.222953854637971</v>
      </c>
      <c r="J512" s="332">
        <f>Gasto_o_ing_total!I512*1000/Gasto_o_ing_total!I$485</f>
        <v>22.815817886904171</v>
      </c>
      <c r="K512" s="332">
        <f>Gasto_o_ing_total!J512*1000/Gasto_o_ing_total!J$485</f>
        <v>23.333768094324007</v>
      </c>
      <c r="L512" s="332">
        <f>Gasto_o_ing_total!K512*1000/Gasto_o_ing_total!K$485</f>
        <v>20.561162430916827</v>
      </c>
      <c r="M512" s="332">
        <f>Gasto_o_ing_total!L512*1000/Gasto_o_ing_total!L$485</f>
        <v>18.498692894002584</v>
      </c>
      <c r="N512" s="332">
        <f>Gasto_o_ing_total!M512*1000/Gasto_o_ing_total!M$485</f>
        <v>26.658612768446364</v>
      </c>
      <c r="O512" s="332">
        <f>Gasto_o_ing_total!N512*1000/Gasto_o_ing_total!N$485</f>
        <v>16.358154314430365</v>
      </c>
      <c r="P512" s="332">
        <f>Gasto_o_ing_total!O512*1000/Gasto_o_ing_total!O$485</f>
        <v>17.377475732116533</v>
      </c>
      <c r="Q512" s="332">
        <f>Gasto_o_ing_total!P512*1000/Gasto_o_ing_total!P$485</f>
        <v>40.640657849103555</v>
      </c>
      <c r="R512" s="332">
        <f>Gasto_o_ing_total!Q512*1000/Gasto_o_ing_total!Q$485</f>
        <v>14.851823043728235</v>
      </c>
      <c r="S512" s="332">
        <f>Gasto_o_ing_total!R512*1000/Gasto_o_ing_total!R$485</f>
        <v>16.967233162392663</v>
      </c>
      <c r="T512" s="332">
        <f>Gasto_o_ing_total!S512*1000/Gasto_o_ing_total!S$485</f>
        <v>14.189518954651794</v>
      </c>
      <c r="U512" s="332">
        <f>Gasto_o_ing_total!T512*1000/Gasto_o_ing_total!T$485</f>
        <v>15.338915823744767</v>
      </c>
      <c r="V512" s="332">
        <f>Gasto_o_ing_total!U512*1000/Gasto_o_ing_total!U$485</f>
        <v>16.680851415887755</v>
      </c>
    </row>
    <row r="513" spans="1:22" s="102" customFormat="1">
      <c r="A513" s="351" t="str">
        <f>IF(B513="","",(IF(ISERROR(MATCH(B513,Tot_res!C:C,0)),"Eliminar!!!","")))</f>
        <v/>
      </c>
      <c r="B513" s="115" t="s">
        <v>443</v>
      </c>
      <c r="C513" s="329" t="str">
        <f>VLOOKUP(B513,Tot_res!C:D,2,FALSE)</f>
        <v>REF Canarias (bruto de comp IGTE e incl. Parte ccll), rec. Homog.</v>
      </c>
      <c r="D513" s="332">
        <f>Gasto_o_ing_total!V513*1000/Gasto_o_ing_total!V$485</f>
        <v>84.542808077870873</v>
      </c>
      <c r="E513" s="332">
        <f>Gasto_o_ing_total!D513*1000/Gasto_o_ing_total!D$485</f>
        <v>22.580752835884073</v>
      </c>
      <c r="F513" s="332">
        <f>Gasto_o_ing_total!E513*1000/Gasto_o_ing_total!E$485</f>
        <v>23.273988948991537</v>
      </c>
      <c r="G513" s="332">
        <f>Gasto_o_ing_total!F513*1000/Gasto_o_ing_total!F$485</f>
        <v>26.095762316300515</v>
      </c>
      <c r="H513" s="332">
        <f>Gasto_o_ing_total!G513*1000/Gasto_o_ing_total!G$485</f>
        <v>22.302913068918482</v>
      </c>
      <c r="I513" s="332">
        <f>Gasto_o_ing_total!H513*1000/Gasto_o_ing_total!H$485</f>
        <v>1380.0001880172499</v>
      </c>
      <c r="J513" s="332">
        <f>Gasto_o_ing_total!I513*1000/Gasto_o_ing_total!I$485</f>
        <v>24.342443970941424</v>
      </c>
      <c r="K513" s="332">
        <f>Gasto_o_ing_total!J513*1000/Gasto_o_ing_total!J$485</f>
        <v>24.235646908770239</v>
      </c>
      <c r="L513" s="332">
        <f>Gasto_o_ing_total!K513*1000/Gasto_o_ing_total!K$485</f>
        <v>21.95719351421862</v>
      </c>
      <c r="M513" s="332">
        <f>Gasto_o_ing_total!L513*1000/Gasto_o_ing_total!L$485</f>
        <v>23.194807664009044</v>
      </c>
      <c r="N513" s="332">
        <f>Gasto_o_ing_total!M513*1000/Gasto_o_ing_total!M$485</f>
        <v>22.814423437752403</v>
      </c>
      <c r="O513" s="332">
        <f>Gasto_o_ing_total!N513*1000/Gasto_o_ing_total!N$485</f>
        <v>22.740858367756804</v>
      </c>
      <c r="P513" s="332">
        <f>Gasto_o_ing_total!O513*1000/Gasto_o_ing_total!O$485</f>
        <v>24.555476870513925</v>
      </c>
      <c r="Q513" s="332">
        <f>Gasto_o_ing_total!P513*1000/Gasto_o_ing_total!P$485</f>
        <v>24.191115064507191</v>
      </c>
      <c r="R513" s="332">
        <f>Gasto_o_ing_total!Q513*1000/Gasto_o_ing_total!Q$485</f>
        <v>21.649192062834491</v>
      </c>
      <c r="S513" s="332">
        <f>Gasto_o_ing_total!R513*1000/Gasto_o_ing_total!R$485</f>
        <v>24.788546610330481</v>
      </c>
      <c r="T513" s="332">
        <f>Gasto_o_ing_total!S513*1000/Gasto_o_ing_total!S$485</f>
        <v>26.778871722517529</v>
      </c>
      <c r="U513" s="332">
        <f>Gasto_o_ing_total!T513*1000/Gasto_o_ing_total!T$485</f>
        <v>23.809709066131958</v>
      </c>
      <c r="V513" s="332">
        <f>Gasto_o_ing_total!U513*1000/Gasto_o_ing_total!U$485</f>
        <v>21.908114418733096</v>
      </c>
    </row>
    <row r="514" spans="1:22" s="102" customFormat="1">
      <c r="A514" s="351" t="str">
        <f>IF(B514="","",(IF(ISERROR(MATCH(B514,Tot_res!C:C,0)),"Eliminar!!!","")))</f>
        <v/>
      </c>
      <c r="B514" s="115" t="s">
        <v>445</v>
      </c>
      <c r="C514" s="329" t="str">
        <f>VLOOKUP(B514,Tot_res!C:D,2,FALSE)</f>
        <v>IPSI, Ceuta y Melilla</v>
      </c>
      <c r="D514" s="332">
        <f>Gasto_o_ing_total!V514*1000/Gasto_o_ing_total!V$485</f>
        <v>4.8252759016735984</v>
      </c>
      <c r="E514" s="332">
        <f>Gasto_o_ing_total!D514*1000/Gasto_o_ing_total!D$485</f>
        <v>0</v>
      </c>
      <c r="F514" s="332">
        <f>Gasto_o_ing_total!E514*1000/Gasto_o_ing_total!E$485</f>
        <v>0</v>
      </c>
      <c r="G514" s="332">
        <f>Gasto_o_ing_total!F514*1000/Gasto_o_ing_total!F$485</f>
        <v>0</v>
      </c>
      <c r="H514" s="332">
        <f>Gasto_o_ing_total!G514*1000/Gasto_o_ing_total!G$485</f>
        <v>0</v>
      </c>
      <c r="I514" s="332">
        <f>Gasto_o_ing_total!H514*1000/Gasto_o_ing_total!H$485</f>
        <v>0</v>
      </c>
      <c r="J514" s="332">
        <f>Gasto_o_ing_total!I514*1000/Gasto_o_ing_total!I$485</f>
        <v>0</v>
      </c>
      <c r="K514" s="332">
        <f>Gasto_o_ing_total!J514*1000/Gasto_o_ing_total!J$485</f>
        <v>0</v>
      </c>
      <c r="L514" s="332">
        <f>Gasto_o_ing_total!K514*1000/Gasto_o_ing_total!K$485</f>
        <v>0</v>
      </c>
      <c r="M514" s="332">
        <f>Gasto_o_ing_total!L514*1000/Gasto_o_ing_total!L$485</f>
        <v>0</v>
      </c>
      <c r="N514" s="332">
        <f>Gasto_o_ing_total!M514*1000/Gasto_o_ing_total!M$485</f>
        <v>0</v>
      </c>
      <c r="O514" s="332">
        <f>Gasto_o_ing_total!N514*1000/Gasto_o_ing_total!N$485</f>
        <v>0</v>
      </c>
      <c r="P514" s="332">
        <f>Gasto_o_ing_total!O514*1000/Gasto_o_ing_total!O$485</f>
        <v>0</v>
      </c>
      <c r="Q514" s="332">
        <f>Gasto_o_ing_total!P514*1000/Gasto_o_ing_total!P$485</f>
        <v>0</v>
      </c>
      <c r="R514" s="332">
        <f>Gasto_o_ing_total!Q514*1000/Gasto_o_ing_total!Q$485</f>
        <v>0</v>
      </c>
      <c r="S514" s="332">
        <f>Gasto_o_ing_total!R514*1000/Gasto_o_ing_total!R$485</f>
        <v>0</v>
      </c>
      <c r="T514" s="332">
        <f>Gasto_o_ing_total!S514*1000/Gasto_o_ing_total!S$485</f>
        <v>0</v>
      </c>
      <c r="U514" s="332">
        <f>Gasto_o_ing_total!T514*1000/Gasto_o_ing_total!T$485</f>
        <v>0</v>
      </c>
      <c r="V514" s="332">
        <f>Gasto_o_ing_total!U514*1000/Gasto_o_ing_total!U$485</f>
        <v>1328.1311435884304</v>
      </c>
    </row>
    <row r="515" spans="1:22" s="102" customFormat="1">
      <c r="A515" s="351" t="str">
        <f>IF(B515="","",(IF(ISERROR(MATCH(B515,Tot_res!C:C,0)),"Eliminar!!!","")))</f>
        <v/>
      </c>
      <c r="B515" s="115" t="s">
        <v>1227</v>
      </c>
      <c r="C515" s="329" t="str">
        <f>VLOOKUP(B515,Tot_res!C:D,2,FALSE)</f>
        <v>Impuesto sobre la actividad de juego. Ingresos homogeneizados</v>
      </c>
      <c r="D515" s="332">
        <f>Gasto_o_ing_total!V515*1000/Gasto_o_ing_total!V$485</f>
        <v>1.8285013758071125</v>
      </c>
      <c r="E515" s="332">
        <f>Gasto_o_ing_total!D515*1000/Gasto_o_ing_total!D$485</f>
        <v>0.932493449213603</v>
      </c>
      <c r="F515" s="332">
        <f>Gasto_o_ing_total!E515*1000/Gasto_o_ing_total!E$485</f>
        <v>1.9361956103679232</v>
      </c>
      <c r="G515" s="332">
        <f>Gasto_o_ing_total!F515*1000/Gasto_o_ing_total!F$485</f>
        <v>2.3251934909799852</v>
      </c>
      <c r="H515" s="332">
        <f>Gasto_o_ing_total!G515*1000/Gasto_o_ing_total!G$485</f>
        <v>1.9887164936098418</v>
      </c>
      <c r="I515" s="332">
        <f>Gasto_o_ing_total!H515*1000/Gasto_o_ing_total!H$485</f>
        <v>1.194998060824511</v>
      </c>
      <c r="J515" s="332">
        <f>Gasto_o_ing_total!I515*1000/Gasto_o_ing_total!I$485</f>
        <v>2.0415606310383367</v>
      </c>
      <c r="K515" s="332">
        <f>Gasto_o_ing_total!J515*1000/Gasto_o_ing_total!J$485</f>
        <v>2.1949790174601662</v>
      </c>
      <c r="L515" s="332">
        <f>Gasto_o_ing_total!K515*1000/Gasto_o_ing_total!K$485</f>
        <v>1.3380085293031478</v>
      </c>
      <c r="M515" s="332">
        <f>Gasto_o_ing_total!L515*1000/Gasto_o_ing_total!L$485</f>
        <v>1.8920168317850172</v>
      </c>
      <c r="N515" s="332">
        <f>Gasto_o_ing_total!M515*1000/Gasto_o_ing_total!M$485</f>
        <v>1.5254295310924604</v>
      </c>
      <c r="O515" s="332">
        <f>Gasto_o_ing_total!N515*1000/Gasto_o_ing_total!N$485</f>
        <v>1.0403471775631135</v>
      </c>
      <c r="P515" s="332">
        <f>Gasto_o_ing_total!O515*1000/Gasto_o_ing_total!O$485</f>
        <v>1.9128921258368405</v>
      </c>
      <c r="Q515" s="332">
        <f>Gasto_o_ing_total!P515*1000/Gasto_o_ing_total!P$485</f>
        <v>2.5624480108991312</v>
      </c>
      <c r="R515" s="332">
        <f>Gasto_o_ing_total!Q515*1000/Gasto_o_ing_total!Q$485</f>
        <v>1.1167426245819212</v>
      </c>
      <c r="S515" s="332">
        <f>Gasto_o_ing_total!R515*1000/Gasto_o_ing_total!R$485</f>
        <v>3.1947172050962225</v>
      </c>
      <c r="T515" s="332">
        <f>Gasto_o_ing_total!S515*1000/Gasto_o_ing_total!S$485</f>
        <v>4.1576863195756202</v>
      </c>
      <c r="U515" s="332">
        <f>Gasto_o_ing_total!T515*1000/Gasto_o_ing_total!T$485</f>
        <v>2.6876495418393431</v>
      </c>
      <c r="V515" s="332">
        <f>Gasto_o_ing_total!U515*1000/Gasto_o_ing_total!U$485</f>
        <v>0.23399047796931635</v>
      </c>
    </row>
    <row r="516" spans="1:22" s="102" customFormat="1">
      <c r="A516" s="351" t="str">
        <f>IF(B516="","",(IF(ISERROR(MATCH(B516,Tot_res!C:C,0)),"Eliminar!!!","")))</f>
        <v/>
      </c>
      <c r="B516" s="115" t="s">
        <v>1229</v>
      </c>
      <c r="C516" s="329" t="str">
        <f>VLOOKUP(B516,Tot_res!C:D,2,FALSE)</f>
        <v>Impuesto sobre gases fluorados. Ingresos homogeneizados</v>
      </c>
      <c r="D516" s="332">
        <f>Gasto_o_ing_total!V516*1000/Gasto_o_ing_total!V$485</f>
        <v>0.6721292794103646</v>
      </c>
      <c r="E516" s="332">
        <f>Gasto_o_ing_total!D516*1000/Gasto_o_ing_total!D$485</f>
        <v>0.62823613179912718</v>
      </c>
      <c r="F516" s="332">
        <f>Gasto_o_ing_total!E516*1000/Gasto_o_ing_total!E$485</f>
        <v>0.71075777718712274</v>
      </c>
      <c r="G516" s="332">
        <f>Gasto_o_ing_total!F516*1000/Gasto_o_ing_total!F$485</f>
        <v>0.64480356199005906</v>
      </c>
      <c r="H516" s="332">
        <f>Gasto_o_ing_total!G516*1000/Gasto_o_ing_total!G$485</f>
        <v>0.72900261023366453</v>
      </c>
      <c r="I516" s="332">
        <f>Gasto_o_ing_total!H516*1000/Gasto_o_ing_total!H$485</f>
        <v>0.58905372091005526</v>
      </c>
      <c r="J516" s="332">
        <f>Gasto_o_ing_total!I516*1000/Gasto_o_ing_total!I$485</f>
        <v>0.6642951927907127</v>
      </c>
      <c r="K516" s="332">
        <f>Gasto_o_ing_total!J516*1000/Gasto_o_ing_total!J$485</f>
        <v>0.69864192778257073</v>
      </c>
      <c r="L516" s="332">
        <f>Gasto_o_ing_total!K516*1000/Gasto_o_ing_total!K$485</f>
        <v>0.65550193580832783</v>
      </c>
      <c r="M516" s="332">
        <f>Gasto_o_ing_total!L516*1000/Gasto_o_ing_total!L$485</f>
        <v>0.70510602476881656</v>
      </c>
      <c r="N516" s="332">
        <f>Gasto_o_ing_total!M516*1000/Gasto_o_ing_total!M$485</f>
        <v>0.64782707740235346</v>
      </c>
      <c r="O516" s="332">
        <f>Gasto_o_ing_total!N516*1000/Gasto_o_ing_total!N$485</f>
        <v>0.64437790911724602</v>
      </c>
      <c r="P516" s="332">
        <f>Gasto_o_ing_total!O516*1000/Gasto_o_ing_total!O$485</f>
        <v>0.66821583411382846</v>
      </c>
      <c r="Q516" s="332">
        <f>Gasto_o_ing_total!P516*1000/Gasto_o_ing_total!P$485</f>
        <v>0.7293360159283645</v>
      </c>
      <c r="R516" s="332">
        <f>Gasto_o_ing_total!Q516*1000/Gasto_o_ing_total!Q$485</f>
        <v>0.6135461961912464</v>
      </c>
      <c r="S516" s="332">
        <f>Gasto_o_ing_total!R516*1000/Gasto_o_ing_total!R$485</f>
        <v>0.71408818450713019</v>
      </c>
      <c r="T516" s="332">
        <f>Gasto_o_ing_total!S516*1000/Gasto_o_ing_total!S$485</f>
        <v>0.71230103454711724</v>
      </c>
      <c r="U516" s="332">
        <f>Gasto_o_ing_total!T516*1000/Gasto_o_ing_total!T$485</f>
        <v>0.61978840228177068</v>
      </c>
      <c r="V516" s="332">
        <f>Gasto_o_ing_total!U516*1000/Gasto_o_ing_total!U$485</f>
        <v>0.46780971845519204</v>
      </c>
    </row>
    <row r="517" spans="1:22">
      <c r="A517" s="352"/>
      <c r="C517" s="9"/>
      <c r="D517" s="27"/>
      <c r="E517" s="27"/>
      <c r="F517" s="27"/>
      <c r="G517" s="27"/>
      <c r="H517" s="27"/>
      <c r="I517" s="27"/>
      <c r="J517" s="27"/>
      <c r="K517" s="27"/>
      <c r="L517" s="27"/>
      <c r="M517" s="27"/>
      <c r="N517" s="27"/>
      <c r="O517" s="27"/>
      <c r="P517" s="27"/>
      <c r="Q517" s="27"/>
      <c r="R517" s="27"/>
      <c r="S517" s="27"/>
      <c r="T517" s="27"/>
      <c r="U517" s="27"/>
      <c r="V517" s="27"/>
    </row>
    <row r="518" spans="1:22" s="102" customFormat="1" ht="13.5">
      <c r="A518" s="352"/>
      <c r="B518" s="115"/>
      <c r="C518" s="112" t="s">
        <v>424</v>
      </c>
      <c r="D518" s="113">
        <f>Gasto_o_ing_total!V518*1000/Gasto_o_ing_total!V$485</f>
        <v>-14.438175812601543</v>
      </c>
      <c r="E518" s="113">
        <f>Gasto_o_ing_total!D518*1000/Gasto_o_ing_total!D$485</f>
        <v>50.149336334170364</v>
      </c>
      <c r="F518" s="113">
        <f>Gasto_o_ing_total!E518*1000/Gasto_o_ing_total!E$485</f>
        <v>92.371446073469386</v>
      </c>
      <c r="G518" s="113">
        <f>Gasto_o_ing_total!F518*1000/Gasto_o_ing_total!F$485</f>
        <v>80.188681400458478</v>
      </c>
      <c r="H518" s="113">
        <f>Gasto_o_ing_total!G518*1000/Gasto_o_ing_total!G$485</f>
        <v>166.95462745905564</v>
      </c>
      <c r="I518" s="113">
        <f>Gasto_o_ing_total!H518*1000/Gasto_o_ing_total!H$485</f>
        <v>-769.68190959719811</v>
      </c>
      <c r="J518" s="113">
        <f>Gasto_o_ing_total!I518*1000/Gasto_o_ing_total!I$485</f>
        <v>53.1750014969993</v>
      </c>
      <c r="K518" s="113">
        <f>Gasto_o_ing_total!J518*1000/Gasto_o_ing_total!J$485</f>
        <v>53.485910105974952</v>
      </c>
      <c r="L518" s="113">
        <f>Gasto_o_ing_total!K518*1000/Gasto_o_ing_total!K$485</f>
        <v>-0.72016747138184301</v>
      </c>
      <c r="M518" s="113">
        <f>Gasto_o_ing_total!L518*1000/Gasto_o_ing_total!L$485</f>
        <v>102.26653956428922</v>
      </c>
      <c r="N518" s="113">
        <f>Gasto_o_ing_total!M518*1000/Gasto_o_ing_total!M$485</f>
        <v>88.334902220910706</v>
      </c>
      <c r="O518" s="113">
        <f>Gasto_o_ing_total!N518*1000/Gasto_o_ing_total!N$485</f>
        <v>137.98517635766095</v>
      </c>
      <c r="P518" s="113">
        <f>Gasto_o_ing_total!O518*1000/Gasto_o_ing_total!O$485</f>
        <v>84.235260144333537</v>
      </c>
      <c r="Q518" s="113">
        <f>Gasto_o_ing_total!P518*1000/Gasto_o_ing_total!P$485</f>
        <v>-72.700181192393273</v>
      </c>
      <c r="R518" s="113">
        <f>Gasto_o_ing_total!Q518*1000/Gasto_o_ing_total!Q$485</f>
        <v>105.75816306783616</v>
      </c>
      <c r="S518" s="113">
        <f>Gasto_o_ing_total!R518*1000/Gasto_o_ing_total!R$485</f>
        <v>-563.38704973957579</v>
      </c>
      <c r="T518" s="113">
        <f>Gasto_o_ing_total!S518*1000/Gasto_o_ing_total!S$485</f>
        <v>-391.09692401174834</v>
      </c>
      <c r="U518" s="113">
        <f>Gasto_o_ing_total!T518*1000/Gasto_o_ing_total!T$485</f>
        <v>57.108935668457541</v>
      </c>
      <c r="V518" s="113">
        <f>Gasto_o_ing_total!U518*1000/Gasto_o_ing_total!U$485</f>
        <v>-648.59955823097425</v>
      </c>
    </row>
    <row r="519" spans="1:22" s="102" customFormat="1">
      <c r="A519" s="351" t="str">
        <f>IF(B519="","",(IF(ISERROR(MATCH(B519,Tot_res!C:C,0)),"Eliminar!!!","")))</f>
        <v/>
      </c>
      <c r="B519" s="115" t="s">
        <v>447</v>
      </c>
      <c r="C519" s="329" t="str">
        <f>VLOOKUP(B519,Tot_res!C:D,2,FALSE)</f>
        <v>IRPF, sobreesfuerzo fiscal</v>
      </c>
      <c r="D519" s="332">
        <f>Gasto_o_ing_total!V519*1000/Gasto_o_ing_total!V$485</f>
        <v>-40.268016771041289</v>
      </c>
      <c r="E519" s="332">
        <f>Gasto_o_ing_total!D519*1000/Gasto_o_ing_total!D$485</f>
        <v>1.515859478620414</v>
      </c>
      <c r="F519" s="332">
        <f>Gasto_o_ing_total!E519*1000/Gasto_o_ing_total!E$485</f>
        <v>-4.1557519358092758</v>
      </c>
      <c r="G519" s="332">
        <f>Gasto_o_ing_total!F519*1000/Gasto_o_ing_total!F$485</f>
        <v>-0.70644617408405719</v>
      </c>
      <c r="H519" s="332">
        <f>Gasto_o_ing_total!G519*1000/Gasto_o_ing_total!G$485</f>
        <v>-4.6281067507395717</v>
      </c>
      <c r="I519" s="332">
        <f>Gasto_o_ing_total!H519*1000/Gasto_o_ing_total!H$485</f>
        <v>-15.185499454430472</v>
      </c>
      <c r="J519" s="332">
        <f>Gasto_o_ing_total!I519*1000/Gasto_o_ing_total!I$485</f>
        <v>-35.199218173785646</v>
      </c>
      <c r="K519" s="332">
        <f>Gasto_o_ing_total!J519*1000/Gasto_o_ing_total!J$485</f>
        <v>-13.467831630359845</v>
      </c>
      <c r="L519" s="332">
        <f>Gasto_o_ing_total!K519*1000/Gasto_o_ing_total!K$485</f>
        <v>-27.183122567619634</v>
      </c>
      <c r="M519" s="332">
        <f>Gasto_o_ing_total!L519*1000/Gasto_o_ing_total!L$485</f>
        <v>-0.66279464653407028</v>
      </c>
      <c r="N519" s="332">
        <f>Gasto_o_ing_total!M519*1000/Gasto_o_ing_total!M$485</f>
        <v>-8.5847433058123634</v>
      </c>
      <c r="O519" s="332">
        <f>Gasto_o_ing_total!N519*1000/Gasto_o_ing_total!N$485</f>
        <v>-2.8128773444171244</v>
      </c>
      <c r="P519" s="332">
        <f>Gasto_o_ing_total!O519*1000/Gasto_o_ing_total!O$485</f>
        <v>-8.9401140441720042</v>
      </c>
      <c r="Q519" s="332">
        <f>Gasto_o_ing_total!P519*1000/Gasto_o_ing_total!P$485</f>
        <v>-66.987003346658852</v>
      </c>
      <c r="R519" s="332">
        <f>Gasto_o_ing_total!Q519*1000/Gasto_o_ing_total!Q$485</f>
        <v>-0.70887543090102212</v>
      </c>
      <c r="S519" s="332">
        <f>Gasto_o_ing_total!R519*1000/Gasto_o_ing_total!R$485</f>
        <v>-510.08304113439777</v>
      </c>
      <c r="T519" s="332">
        <f>Gasto_o_ing_total!S519*1000/Gasto_o_ing_total!S$485</f>
        <v>-396.5378748625327</v>
      </c>
      <c r="U519" s="332">
        <f>Gasto_o_ing_total!T519*1000/Gasto_o_ing_total!T$485</f>
        <v>-19.459968028622839</v>
      </c>
      <c r="V519" s="332">
        <f>Gasto_o_ing_total!U519*1000/Gasto_o_ing_total!U$485</f>
        <v>-178.38220215350725</v>
      </c>
    </row>
    <row r="520" spans="1:22" s="102" customFormat="1">
      <c r="A520" s="351" t="str">
        <f>IF(B520="","",(IF(ISERROR(MATCH(B520,Tot_res!C:C,0)),"Eliminar!!!","")))</f>
        <v/>
      </c>
      <c r="B520" s="115" t="s">
        <v>449</v>
      </c>
      <c r="C520" s="329" t="str">
        <f>VLOOKUP(B520,Tot_res!C:D,2,FALSE)</f>
        <v>Sociedades, sobreesfuerzo fiscal</v>
      </c>
      <c r="D520" s="332">
        <f>Gasto_o_ing_total!V520*1000/Gasto_o_ing_total!V$485</f>
        <v>-4.5159608687918302</v>
      </c>
      <c r="E520" s="332">
        <f>Gasto_o_ing_total!D520*1000/Gasto_o_ing_total!D$485</f>
        <v>-1.6702250631683482</v>
      </c>
      <c r="F520" s="332">
        <f>Gasto_o_ing_total!E520*1000/Gasto_o_ing_total!E$485</f>
        <v>-2.5215260526036696</v>
      </c>
      <c r="G520" s="332">
        <f>Gasto_o_ing_total!F520*1000/Gasto_o_ing_total!F$485</f>
        <v>-2.2651077915427442</v>
      </c>
      <c r="H520" s="332">
        <f>Gasto_o_ing_total!G520*1000/Gasto_o_ing_total!G$485</f>
        <v>-2.3946901816488935</v>
      </c>
      <c r="I520" s="332">
        <f>Gasto_o_ing_total!H520*1000/Gasto_o_ing_total!H$485</f>
        <v>-1.8160931088872236</v>
      </c>
      <c r="J520" s="332">
        <f>Gasto_o_ing_total!I520*1000/Gasto_o_ing_total!I$485</f>
        <v>-2.5201555559227229</v>
      </c>
      <c r="K520" s="332">
        <f>Gasto_o_ing_total!J520*1000/Gasto_o_ing_total!J$485</f>
        <v>-2.1152437235764303</v>
      </c>
      <c r="L520" s="332">
        <f>Gasto_o_ing_total!K520*1000/Gasto_o_ing_total!K$485</f>
        <v>-1.6813490661401123</v>
      </c>
      <c r="M520" s="332">
        <f>Gasto_o_ing_total!L520*1000/Gasto_o_ing_total!L$485</f>
        <v>-2.7291824883031008</v>
      </c>
      <c r="N520" s="332">
        <f>Gasto_o_ing_total!M520*1000/Gasto_o_ing_total!M$485</f>
        <v>-2.0794041045878084</v>
      </c>
      <c r="O520" s="332">
        <f>Gasto_o_ing_total!N520*1000/Gasto_o_ing_total!N$485</f>
        <v>-1.4839816883465702</v>
      </c>
      <c r="P520" s="332">
        <f>Gasto_o_ing_total!O520*1000/Gasto_o_ing_total!O$485</f>
        <v>-2.1416826778521849</v>
      </c>
      <c r="Q520" s="332">
        <f>Gasto_o_ing_total!P520*1000/Gasto_o_ing_total!P$485</f>
        <v>-3.3632692801416786</v>
      </c>
      <c r="R520" s="332">
        <f>Gasto_o_ing_total!Q520*1000/Gasto_o_ing_total!Q$485</f>
        <v>-1.7754709760599592</v>
      </c>
      <c r="S520" s="332">
        <f>Gasto_o_ing_total!R520*1000/Gasto_o_ing_total!R$485</f>
        <v>-115.1465575441853</v>
      </c>
      <c r="T520" s="332">
        <f>Gasto_o_ing_total!S520*1000/Gasto_o_ing_total!S$485</f>
        <v>-16.858247306985643</v>
      </c>
      <c r="U520" s="332">
        <f>Gasto_o_ing_total!T520*1000/Gasto_o_ing_total!T$485</f>
        <v>-2.4765769497547874</v>
      </c>
      <c r="V520" s="332">
        <f>Gasto_o_ing_total!U520*1000/Gasto_o_ing_total!U$485</f>
        <v>-1.9448289820813907</v>
      </c>
    </row>
    <row r="521" spans="1:22" s="102" customFormat="1">
      <c r="A521" s="351" t="str">
        <f>IF(B521="","",(IF(ISERROR(MATCH(B521,Tot_res!C:C,0)),"Eliminar!!!","")))</f>
        <v/>
      </c>
      <c r="B521" s="115" t="s">
        <v>450</v>
      </c>
      <c r="C521" s="329" t="str">
        <f>VLOOKUP(B521,Tot_res!C:D,2,FALSE)</f>
        <v>Sucesiones y donaciones, sobreesfuerzo fiscal</v>
      </c>
      <c r="D521" s="332">
        <f>Gasto_o_ing_total!V521*1000/Gasto_o_ing_total!V$485</f>
        <v>-1.0759229995894062</v>
      </c>
      <c r="E521" s="332">
        <f>Gasto_o_ing_total!D521*1000/Gasto_o_ing_total!D$485</f>
        <v>2.1282436474084565</v>
      </c>
      <c r="F521" s="332">
        <f>Gasto_o_ing_total!E521*1000/Gasto_o_ing_total!E$485</f>
        <v>30.931979939105616</v>
      </c>
      <c r="G521" s="332">
        <f>Gasto_o_ing_total!F521*1000/Gasto_o_ing_total!F$485</f>
        <v>20.951850313039163</v>
      </c>
      <c r="H521" s="332">
        <f>Gasto_o_ing_total!G521*1000/Gasto_o_ing_total!G$485</f>
        <v>29.922921894460337</v>
      </c>
      <c r="I521" s="332">
        <f>Gasto_o_ing_total!H521*1000/Gasto_o_ing_total!H$485</f>
        <v>-4.7527788854547337</v>
      </c>
      <c r="J521" s="332">
        <f>Gasto_o_ing_total!I521*1000/Gasto_o_ing_total!I$485</f>
        <v>-14.35770887265223</v>
      </c>
      <c r="K521" s="332">
        <f>Gasto_o_ing_total!J521*1000/Gasto_o_ing_total!J$485</f>
        <v>-4.5077302666404426</v>
      </c>
      <c r="L521" s="332">
        <f>Gasto_o_ing_total!K521*1000/Gasto_o_ing_total!K$485</f>
        <v>-13.012952073458083</v>
      </c>
      <c r="M521" s="332">
        <f>Gasto_o_ing_total!L521*1000/Gasto_o_ing_total!L$485</f>
        <v>-15.944369165359648</v>
      </c>
      <c r="N521" s="332">
        <f>Gasto_o_ing_total!M521*1000/Gasto_o_ing_total!M$485</f>
        <v>-14.328349765973297</v>
      </c>
      <c r="O521" s="332">
        <f>Gasto_o_ing_total!N521*1000/Gasto_o_ing_total!N$485</f>
        <v>-6.2287876649524128</v>
      </c>
      <c r="P521" s="332">
        <f>Gasto_o_ing_total!O521*1000/Gasto_o_ing_total!O$485</f>
        <v>14.01512784116275</v>
      </c>
      <c r="Q521" s="332">
        <f>Gasto_o_ing_total!P521*1000/Gasto_o_ing_total!P$485</f>
        <v>10.308193511943802</v>
      </c>
      <c r="R521" s="332">
        <f>Gasto_o_ing_total!Q521*1000/Gasto_o_ing_total!Q$485</f>
        <v>27.609556790920763</v>
      </c>
      <c r="S521" s="332">
        <f>Gasto_o_ing_total!R521*1000/Gasto_o_ing_total!R$485</f>
        <v>14.150842747233826</v>
      </c>
      <c r="T521" s="332">
        <f>Gasto_o_ing_total!S521*1000/Gasto_o_ing_total!S$485</f>
        <v>-24.334015043160619</v>
      </c>
      <c r="U521" s="332">
        <f>Gasto_o_ing_total!T521*1000/Gasto_o_ing_total!T$485</f>
        <v>-14.412021689758724</v>
      </c>
      <c r="V521" s="332">
        <f>Gasto_o_ing_total!U521*1000/Gasto_o_ing_total!U$485</f>
        <v>-35.593036145223387</v>
      </c>
    </row>
    <row r="522" spans="1:22" s="102" customFormat="1">
      <c r="A522" s="351" t="str">
        <f>IF(B522="","",(IF(ISERROR(MATCH(B522,Tot_res!C:C,0)),"Eliminar!!!","")))</f>
        <v/>
      </c>
      <c r="B522" s="115" t="s">
        <v>652</v>
      </c>
      <c r="C522" s="329" t="str">
        <f>VLOOKUP(B522,Tot_res!C:D,2,FALSE)</f>
        <v>Patrimonio, sobreesfuerzo fiscal</v>
      </c>
      <c r="D522" s="332">
        <f>Gasto_o_ing_total!V522*1000/Gasto_o_ing_total!V$485</f>
        <v>5.2743314594823579E-2</v>
      </c>
      <c r="E522" s="332">
        <f>Gasto_o_ing_total!D522*1000/Gasto_o_ing_total!D$485</f>
        <v>0</v>
      </c>
      <c r="F522" s="332">
        <f>Gasto_o_ing_total!E522*1000/Gasto_o_ing_total!E$485</f>
        <v>0</v>
      </c>
      <c r="G522" s="332">
        <f>Gasto_o_ing_total!F522*1000/Gasto_o_ing_total!F$485</f>
        <v>0</v>
      </c>
      <c r="H522" s="332">
        <f>Gasto_o_ing_total!G522*1000/Gasto_o_ing_total!G$485</f>
        <v>0</v>
      </c>
      <c r="I522" s="332">
        <f>Gasto_o_ing_total!H522*1000/Gasto_o_ing_total!H$485</f>
        <v>0</v>
      </c>
      <c r="J522" s="332">
        <f>Gasto_o_ing_total!I522*1000/Gasto_o_ing_total!I$485</f>
        <v>0</v>
      </c>
      <c r="K522" s="332">
        <f>Gasto_o_ing_total!J522*1000/Gasto_o_ing_total!J$485</f>
        <v>0</v>
      </c>
      <c r="L522" s="332">
        <f>Gasto_o_ing_total!K522*1000/Gasto_o_ing_total!K$485</f>
        <v>0</v>
      </c>
      <c r="M522" s="332">
        <f>Gasto_o_ing_total!L522*1000/Gasto_o_ing_total!L$485</f>
        <v>0</v>
      </c>
      <c r="N522" s="332">
        <f>Gasto_o_ing_total!M522*1000/Gasto_o_ing_total!M$485</f>
        <v>0</v>
      </c>
      <c r="O522" s="332">
        <f>Gasto_o_ing_total!N522*1000/Gasto_o_ing_total!N$485</f>
        <v>0</v>
      </c>
      <c r="P522" s="332">
        <f>Gasto_o_ing_total!O522*1000/Gasto_o_ing_total!O$485</f>
        <v>0</v>
      </c>
      <c r="Q522" s="332">
        <f>Gasto_o_ing_total!P522*1000/Gasto_o_ing_total!P$485</f>
        <v>0</v>
      </c>
      <c r="R522" s="332">
        <f>Gasto_o_ing_total!Q522*1000/Gasto_o_ing_total!Q$485</f>
        <v>0</v>
      </c>
      <c r="S522" s="332">
        <f>Gasto_o_ing_total!R522*1000/Gasto_o_ing_total!R$485</f>
        <v>0</v>
      </c>
      <c r="T522" s="332">
        <f>Gasto_o_ing_total!S522*1000/Gasto_o_ing_total!S$485</f>
        <v>0</v>
      </c>
      <c r="U522" s="332">
        <f>Gasto_o_ing_total!T522*1000/Gasto_o_ing_total!T$485</f>
        <v>0</v>
      </c>
      <c r="V522" s="332">
        <f>Gasto_o_ing_total!U522*1000/Gasto_o_ing_total!U$485</f>
        <v>14.517312617330594</v>
      </c>
    </row>
    <row r="523" spans="1:22" s="102" customFormat="1">
      <c r="A523" s="351" t="str">
        <f>IF(B523="","",(IF(ISERROR(MATCH(B523,Tot_res!C:C,0)),"Eliminar!!!","")))</f>
        <v/>
      </c>
      <c r="B523" s="115" t="s">
        <v>1095</v>
      </c>
      <c r="C523" s="329" t="str">
        <f>VLOOKUP(B523,Tot_res!C:D,2,FALSE)</f>
        <v>IH, sobreesfuerzo fiscal</v>
      </c>
      <c r="D523" s="332">
        <f>Gasto_o_ing_total!V523*1000/Gasto_o_ing_total!V$485</f>
        <v>21.680624497119634</v>
      </c>
      <c r="E523" s="332">
        <f>Gasto_o_ing_total!D523*1000/Gasto_o_ing_total!D$485</f>
        <v>25.855650623965104</v>
      </c>
      <c r="F523" s="332">
        <f>Gasto_o_ing_total!E523*1000/Gasto_o_ing_total!E$485</f>
        <v>3.4969204953672373</v>
      </c>
      <c r="G523" s="332">
        <f>Gasto_o_ing_total!F523*1000/Gasto_o_ing_total!F$485</f>
        <v>23.328504798445106</v>
      </c>
      <c r="H523" s="332">
        <f>Gasto_o_ing_total!G523*1000/Gasto_o_ing_total!G$485</f>
        <v>31.41820246684934</v>
      </c>
      <c r="I523" s="332">
        <f>Gasto_o_ing_total!H523*1000/Gasto_o_ing_total!H$485</f>
        <v>1.7033083024610856</v>
      </c>
      <c r="J523" s="332">
        <f>Gasto_o_ing_total!I523*1000/Gasto_o_ing_total!I$485</f>
        <v>35.046937766288764</v>
      </c>
      <c r="K523" s="332">
        <f>Gasto_o_ing_total!J523*1000/Gasto_o_ing_total!J$485</f>
        <v>33.216460822827983</v>
      </c>
      <c r="L523" s="332">
        <f>Gasto_o_ing_total!K523*1000/Gasto_o_ing_total!K$485</f>
        <v>31.00564753582567</v>
      </c>
      <c r="M523" s="332">
        <f>Gasto_o_ing_total!L523*1000/Gasto_o_ing_total!L$485</f>
        <v>28.094260440893347</v>
      </c>
      <c r="N523" s="332">
        <f>Gasto_o_ing_total!M523*1000/Gasto_o_ing_total!M$485</f>
        <v>24.531492063690287</v>
      </c>
      <c r="O523" s="332">
        <f>Gasto_o_ing_total!N523*1000/Gasto_o_ing_total!N$485</f>
        <v>26.289168937783636</v>
      </c>
      <c r="P523" s="332">
        <f>Gasto_o_ing_total!O523*1000/Gasto_o_ing_total!O$485</f>
        <v>25.721841289372907</v>
      </c>
      <c r="Q523" s="332">
        <f>Gasto_o_ing_total!P523*1000/Gasto_o_ing_total!P$485</f>
        <v>11.215419387035883</v>
      </c>
      <c r="R523" s="332">
        <f>Gasto_o_ing_total!Q523*1000/Gasto_o_ing_total!Q$485</f>
        <v>29.3589484636605</v>
      </c>
      <c r="S523" s="332">
        <f>Gasto_o_ing_total!R523*1000/Gasto_o_ing_total!R$485</f>
        <v>3.6801221553286374</v>
      </c>
      <c r="T523" s="332">
        <f>Gasto_o_ing_total!S523*1000/Gasto_o_ing_total!S$485</f>
        <v>3.810916554650118</v>
      </c>
      <c r="U523" s="332">
        <f>Gasto_o_ing_total!T523*1000/Gasto_o_ing_total!T$485</f>
        <v>3.4570140862144529</v>
      </c>
      <c r="V523" s="332">
        <f>Gasto_o_ing_total!U523*1000/Gasto_o_ing_total!U$485</f>
        <v>2.6610572428916099</v>
      </c>
    </row>
    <row r="524" spans="1:22" s="102" customFormat="1">
      <c r="A524" s="351" t="str">
        <f>IF(B524="","",(IF(ISERROR(MATCH(B524,Tot_res!C:C,0)),"Eliminar!!!","")))</f>
        <v/>
      </c>
      <c r="B524" s="115" t="s">
        <v>452</v>
      </c>
      <c r="C524" s="329" t="str">
        <f>VLOOKUP(B524,Tot_res!C:D,2,FALSE)</f>
        <v>ITP y AJD, sobreesfuerzo fiscal</v>
      </c>
      <c r="D524" s="332">
        <f>Gasto_o_ing_total!V524*1000/Gasto_o_ing_total!V$485</f>
        <v>6.9980546108351707</v>
      </c>
      <c r="E524" s="332">
        <f>Gasto_o_ing_total!D524*1000/Gasto_o_ing_total!D$485</f>
        <v>7.4534976202275152</v>
      </c>
      <c r="F524" s="332">
        <f>Gasto_o_ing_total!E524*1000/Gasto_o_ing_total!E$485</f>
        <v>2.6633177767443352</v>
      </c>
      <c r="G524" s="332">
        <f>Gasto_o_ing_total!F524*1000/Gasto_o_ing_total!F$485</f>
        <v>6.4386865880331356</v>
      </c>
      <c r="H524" s="332">
        <f>Gasto_o_ing_total!G524*1000/Gasto_o_ing_total!G$485</f>
        <v>9.543125668140128</v>
      </c>
      <c r="I524" s="332">
        <f>Gasto_o_ing_total!H524*1000/Gasto_o_ing_total!H$485</f>
        <v>-0.41565255673941731</v>
      </c>
      <c r="J524" s="332">
        <f>Gasto_o_ing_total!I524*1000/Gasto_o_ing_total!I$485</f>
        <v>7.277385122012217</v>
      </c>
      <c r="K524" s="332">
        <f>Gasto_o_ing_total!J524*1000/Gasto_o_ing_total!J$485</f>
        <v>7.7174992249646888</v>
      </c>
      <c r="L524" s="332">
        <f>Gasto_o_ing_total!K524*1000/Gasto_o_ing_total!K$485</f>
        <v>6.4408951850794525</v>
      </c>
      <c r="M524" s="332">
        <f>Gasto_o_ing_total!L524*1000/Gasto_o_ing_total!L$485</f>
        <v>24.100021835567052</v>
      </c>
      <c r="N524" s="332">
        <f>Gasto_o_ing_total!M524*1000/Gasto_o_ing_total!M$485</f>
        <v>18.416350389415836</v>
      </c>
      <c r="O524" s="332">
        <f>Gasto_o_ing_total!N524*1000/Gasto_o_ing_total!N$485</f>
        <v>5.8901647559427657</v>
      </c>
      <c r="P524" s="332">
        <f>Gasto_o_ing_total!O524*1000/Gasto_o_ing_total!O$485</f>
        <v>12.956934030082511</v>
      </c>
      <c r="Q524" s="332">
        <f>Gasto_o_ing_total!P524*1000/Gasto_o_ing_total!P$485</f>
        <v>-7.6016019836727864</v>
      </c>
      <c r="R524" s="332">
        <f>Gasto_o_ing_total!Q524*1000/Gasto_o_ing_total!Q$485</f>
        <v>6.2148573540359422</v>
      </c>
      <c r="S524" s="332">
        <f>Gasto_o_ing_total!R524*1000/Gasto_o_ing_total!R$485</f>
        <v>-19.912836593154843</v>
      </c>
      <c r="T524" s="332">
        <f>Gasto_o_ing_total!S524*1000/Gasto_o_ing_total!S$485</f>
        <v>-30.406701023162469</v>
      </c>
      <c r="U524" s="332">
        <f>Gasto_o_ing_total!T524*1000/Gasto_o_ing_total!T$485</f>
        <v>2.6172550947130526</v>
      </c>
      <c r="V524" s="332">
        <f>Gasto_o_ing_total!U524*1000/Gasto_o_ing_total!U$485</f>
        <v>63.726816232661385</v>
      </c>
    </row>
    <row r="525" spans="1:22" s="102" customFormat="1">
      <c r="A525" s="351" t="str">
        <f>IF(B525="","",(IF(ISERROR(MATCH(B525,Tot_res!C:C,0)),"Eliminar!!!","")))</f>
        <v/>
      </c>
      <c r="B525" s="115" t="s">
        <v>453</v>
      </c>
      <c r="C525" s="329" t="str">
        <f>VLOOKUP(B525,Tot_res!C:D,2,FALSE)</f>
        <v>IVMH, sobreesfuerzo fiscal</v>
      </c>
      <c r="D525" s="332">
        <f>Gasto_o_ing_total!V525*1000/Gasto_o_ing_total!V$485</f>
        <v>0.10138368077927404</v>
      </c>
      <c r="E525" s="332">
        <f>Gasto_o_ing_total!D525*1000/Gasto_o_ing_total!D$485</f>
        <v>0.19139299000895721</v>
      </c>
      <c r="F525" s="332">
        <f>Gasto_o_ing_total!E525*1000/Gasto_o_ing_total!E$485</f>
        <v>1.5783932464825758E-2</v>
      </c>
      <c r="G525" s="332">
        <f>Gasto_o_ing_total!F525*1000/Gasto_o_ing_total!F$485</f>
        <v>5.7406890304733442E-2</v>
      </c>
      <c r="H525" s="332">
        <f>Gasto_o_ing_total!G525*1000/Gasto_o_ing_total!G$485</f>
        <v>7.0535184838976306E-2</v>
      </c>
      <c r="I525" s="332">
        <f>Gasto_o_ing_total!H525*1000/Gasto_o_ing_total!H$485</f>
        <v>7.6897560376367633E-3</v>
      </c>
      <c r="J525" s="332">
        <f>Gasto_o_ing_total!I525*1000/Gasto_o_ing_total!I$485</f>
        <v>0.18641320676276174</v>
      </c>
      <c r="K525" s="332">
        <f>Gasto_o_ing_total!J525*1000/Gasto_o_ing_total!J$485</f>
        <v>0.16271917355230997</v>
      </c>
      <c r="L525" s="332">
        <f>Gasto_o_ing_total!K525*1000/Gasto_o_ing_total!K$485</f>
        <v>0.12390108159051627</v>
      </c>
      <c r="M525" s="332">
        <f>Gasto_o_ing_total!L525*1000/Gasto_o_ing_total!L$485</f>
        <v>7.8248372942652925E-2</v>
      </c>
      <c r="N525" s="332">
        <f>Gasto_o_ing_total!M525*1000/Gasto_o_ing_total!M$485</f>
        <v>0.18545029155613213</v>
      </c>
      <c r="O525" s="332">
        <f>Gasto_o_ing_total!N525*1000/Gasto_o_ing_total!N$485</f>
        <v>0.27158358635640301</v>
      </c>
      <c r="P525" s="332">
        <f>Gasto_o_ing_total!O525*1000/Gasto_o_ing_total!O$485</f>
        <v>7.4526684949158636E-2</v>
      </c>
      <c r="Q525" s="332">
        <f>Gasto_o_ing_total!P525*1000/Gasto_o_ing_total!P$485</f>
        <v>5.1129831437303166E-2</v>
      </c>
      <c r="R525" s="332">
        <f>Gasto_o_ing_total!Q525*1000/Gasto_o_ing_total!Q$485</f>
        <v>0.19547313355865256</v>
      </c>
      <c r="S525" s="332">
        <f>Gasto_o_ing_total!R525*1000/Gasto_o_ing_total!R$485</f>
        <v>-0.77367544885726625</v>
      </c>
      <c r="T525" s="332">
        <f>Gasto_o_ing_total!S525*1000/Gasto_o_ing_total!S$485</f>
        <v>1.7204764717408026E-2</v>
      </c>
      <c r="U525" s="332">
        <f>Gasto_o_ing_total!T525*1000/Gasto_o_ing_total!T$485</f>
        <v>1.5615385357101809E-2</v>
      </c>
      <c r="V525" s="332">
        <f>Gasto_o_ing_total!U525*1000/Gasto_o_ing_total!U$485</f>
        <v>1.2013609615156738E-2</v>
      </c>
    </row>
    <row r="526" spans="1:22" s="102" customFormat="1">
      <c r="A526" s="351" t="str">
        <f>IF(B526="","",(IF(ISERROR(MATCH(B526,Tot_res!C:C,0)),"Eliminar!!!","")))</f>
        <v/>
      </c>
      <c r="B526" s="115" t="s">
        <v>455</v>
      </c>
      <c r="C526" s="329" t="str">
        <f>VLOOKUP(B526,Tot_res!C:D,2,FALSE)</f>
        <v>Tasas sobre el juego, sobreesfuerzo fiscal</v>
      </c>
      <c r="D526" s="332">
        <f>Gasto_o_ing_total!V526*1000/Gasto_o_ing_total!V$485</f>
        <v>0.38084710113604187</v>
      </c>
      <c r="E526" s="332">
        <f>Gasto_o_ing_total!D526*1000/Gasto_o_ing_total!D$485</f>
        <v>1.7408277910311363</v>
      </c>
      <c r="F526" s="332">
        <f>Gasto_o_ing_total!E526*1000/Gasto_o_ing_total!E$485</f>
        <v>6.8746032962146373</v>
      </c>
      <c r="G526" s="332">
        <f>Gasto_o_ing_total!F526*1000/Gasto_o_ing_total!F$485</f>
        <v>5.2755052639138311</v>
      </c>
      <c r="H526" s="332">
        <f>Gasto_o_ing_total!G526*1000/Gasto_o_ing_total!G$485</f>
        <v>-4.565536052253985</v>
      </c>
      <c r="I526" s="332">
        <f>Gasto_o_ing_total!H526*1000/Gasto_o_ing_total!H$485</f>
        <v>8.4275086786237257</v>
      </c>
      <c r="J526" s="332">
        <f>Gasto_o_ing_total!I526*1000/Gasto_o_ing_total!I$485</f>
        <v>2.7167700862383319</v>
      </c>
      <c r="K526" s="332">
        <f>Gasto_o_ing_total!J526*1000/Gasto_o_ing_total!J$485</f>
        <v>1.1800197577124658</v>
      </c>
      <c r="L526" s="332">
        <f>Gasto_o_ing_total!K526*1000/Gasto_o_ing_total!K$485</f>
        <v>-2.30275794423956</v>
      </c>
      <c r="M526" s="332">
        <f>Gasto_o_ing_total!L526*1000/Gasto_o_ing_total!L$485</f>
        <v>6.7532419225250884</v>
      </c>
      <c r="N526" s="332">
        <f>Gasto_o_ing_total!M526*1000/Gasto_o_ing_total!M$485</f>
        <v>-1.0970195098002999</v>
      </c>
      <c r="O526" s="332">
        <f>Gasto_o_ing_total!N526*1000/Gasto_o_ing_total!N$485</f>
        <v>3.7840851499745667</v>
      </c>
      <c r="P526" s="332">
        <f>Gasto_o_ing_total!O526*1000/Gasto_o_ing_total!O$485</f>
        <v>-2.5850692427132387</v>
      </c>
      <c r="Q526" s="332">
        <f>Gasto_o_ing_total!P526*1000/Gasto_o_ing_total!P$485</f>
        <v>-14.452447580130919</v>
      </c>
      <c r="R526" s="332">
        <f>Gasto_o_ing_total!Q526*1000/Gasto_o_ing_total!Q$485</f>
        <v>3.8882963733243496</v>
      </c>
      <c r="S526" s="332">
        <f>Gasto_o_ing_total!R526*1000/Gasto_o_ing_total!R$485</f>
        <v>-1.2662759682296374</v>
      </c>
      <c r="T526" s="332">
        <f>Gasto_o_ing_total!S526*1000/Gasto_o_ing_total!S$485</f>
        <v>8.3782705872437422</v>
      </c>
      <c r="U526" s="332">
        <f>Gasto_o_ing_total!T526*1000/Gasto_o_ing_total!T$485</f>
        <v>11.098664626199607</v>
      </c>
      <c r="V526" s="332">
        <f>Gasto_o_ing_total!U526*1000/Gasto_o_ing_total!U$485</f>
        <v>0.74614159657470369</v>
      </c>
    </row>
    <row r="527" spans="1:22" s="102" customFormat="1">
      <c r="A527" s="351" t="str">
        <f>IF(B527="","",(IF(ISERROR(MATCH(B527,Tot_res!C:C,0)),"Eliminar!!!","")))</f>
        <v/>
      </c>
      <c r="B527" s="115" t="s">
        <v>456</v>
      </c>
      <c r="C527" s="329" t="str">
        <f>VLOOKUP(B527,Tot_res!C:D,2,FALSE)</f>
        <v>Canarias, sobreesfuerzo fiscal consumo</v>
      </c>
      <c r="D527" s="332">
        <f>Gasto_o_ing_total!V527*1000/Gasto_o_ing_total!V$485</f>
        <v>-46.053124034630478</v>
      </c>
      <c r="E527" s="332">
        <f>Gasto_o_ing_total!D527*1000/Gasto_o_ing_total!D$485</f>
        <v>-11.320366107205247</v>
      </c>
      <c r="F527" s="332">
        <f>Gasto_o_ing_total!E527*1000/Gasto_o_ing_total!E$485</f>
        <v>-11.667963540717896</v>
      </c>
      <c r="G527" s="332">
        <f>Gasto_o_ing_total!F527*1000/Gasto_o_ing_total!F$485</f>
        <v>-13.082579667523657</v>
      </c>
      <c r="H527" s="332">
        <f>Gasto_o_ing_total!G527*1000/Gasto_o_ing_total!G$485</f>
        <v>-11.181082381930059</v>
      </c>
      <c r="I527" s="332">
        <f>Gasto_o_ing_total!H527*1000/Gasto_o_ing_total!H$485</f>
        <v>-773.33064343183969</v>
      </c>
      <c r="J527" s="332">
        <f>Gasto_o_ing_total!I527*1000/Gasto_o_ing_total!I$485</f>
        <v>-12.203574878772759</v>
      </c>
      <c r="K527" s="332">
        <f>Gasto_o_ing_total!J527*1000/Gasto_o_ing_total!J$485</f>
        <v>-12.150060745709414</v>
      </c>
      <c r="L527" s="332">
        <f>Gasto_o_ing_total!K527*1000/Gasto_o_ing_total!K$485</f>
        <v>-11.007809205993697</v>
      </c>
      <c r="M527" s="332">
        <f>Gasto_o_ing_total!L527*1000/Gasto_o_ing_total!L$485</f>
        <v>-11.628213464240227</v>
      </c>
      <c r="N527" s="332">
        <f>Gasto_o_ing_total!M527*1000/Gasto_o_ing_total!M$485</f>
        <v>-11.43758513947685</v>
      </c>
      <c r="O527" s="332">
        <f>Gasto_o_ing_total!N527*1000/Gasto_o_ing_total!N$485</f>
        <v>-11.400648907434599</v>
      </c>
      <c r="P527" s="332">
        <f>Gasto_o_ing_total!O527*1000/Gasto_o_ing_total!O$485</f>
        <v>-12.310377229334145</v>
      </c>
      <c r="Q527" s="332">
        <f>Gasto_o_ing_total!P527*1000/Gasto_o_ing_total!P$485</f>
        <v>-12.127701416099322</v>
      </c>
      <c r="R527" s="332">
        <f>Gasto_o_ing_total!Q527*1000/Gasto_o_ing_total!Q$485</f>
        <v>-10.853342081647385</v>
      </c>
      <c r="S527" s="332">
        <f>Gasto_o_ing_total!R527*1000/Gasto_o_ing_total!R$485</f>
        <v>-12.427201617663972</v>
      </c>
      <c r="T527" s="332">
        <f>Gasto_o_ing_total!S527*1000/Gasto_o_ing_total!S$485</f>
        <v>-13.424992009196657</v>
      </c>
      <c r="U527" s="332">
        <f>Gasto_o_ing_total!T527*1000/Gasto_o_ing_total!T$485</f>
        <v>-11.936513589193712</v>
      </c>
      <c r="V527" s="332">
        <f>Gasto_o_ing_total!U527*1000/Gasto_o_ing_total!U$485</f>
        <v>-10.983097022807044</v>
      </c>
    </row>
    <row r="528" spans="1:22" s="102" customFormat="1">
      <c r="A528" s="351" t="str">
        <f>IF(B528="","",(IF(ISERROR(MATCH(B528,Tot_res!C:C,0)),"Eliminar!!!","")))</f>
        <v/>
      </c>
      <c r="B528" s="115" t="s">
        <v>457</v>
      </c>
      <c r="C528" s="329" t="str">
        <f>VLOOKUP(B528,Tot_res!C:D,2,FALSE)</f>
        <v>Ceuta y Melilla, sobreesfuerzo fiscal consumo</v>
      </c>
      <c r="D528" s="332">
        <f>Gasto_o_ing_total!V528*1000/Gasto_o_ing_total!V$485</f>
        <v>-1.8379656583554973</v>
      </c>
      <c r="E528" s="332">
        <f>Gasto_o_ing_total!D528*1000/Gasto_o_ing_total!D$485</f>
        <v>0</v>
      </c>
      <c r="F528" s="332">
        <f>Gasto_o_ing_total!E528*1000/Gasto_o_ing_total!E$485</f>
        <v>0</v>
      </c>
      <c r="G528" s="332">
        <f>Gasto_o_ing_total!F528*1000/Gasto_o_ing_total!F$485</f>
        <v>0</v>
      </c>
      <c r="H528" s="332">
        <f>Gasto_o_ing_total!G528*1000/Gasto_o_ing_total!G$485</f>
        <v>0</v>
      </c>
      <c r="I528" s="332">
        <f>Gasto_o_ing_total!H528*1000/Gasto_o_ing_total!H$485</f>
        <v>0</v>
      </c>
      <c r="J528" s="332">
        <f>Gasto_o_ing_total!I528*1000/Gasto_o_ing_total!I$485</f>
        <v>0</v>
      </c>
      <c r="K528" s="332">
        <f>Gasto_o_ing_total!J528*1000/Gasto_o_ing_total!J$485</f>
        <v>0</v>
      </c>
      <c r="L528" s="332">
        <f>Gasto_o_ing_total!K528*1000/Gasto_o_ing_total!K$485</f>
        <v>0</v>
      </c>
      <c r="M528" s="332">
        <f>Gasto_o_ing_total!L528*1000/Gasto_o_ing_total!L$485</f>
        <v>0</v>
      </c>
      <c r="N528" s="332">
        <f>Gasto_o_ing_total!M528*1000/Gasto_o_ing_total!M$485</f>
        <v>0</v>
      </c>
      <c r="O528" s="332">
        <f>Gasto_o_ing_total!N528*1000/Gasto_o_ing_total!N$485</f>
        <v>0</v>
      </c>
      <c r="P528" s="332">
        <f>Gasto_o_ing_total!O528*1000/Gasto_o_ing_total!O$485</f>
        <v>0</v>
      </c>
      <c r="Q528" s="332">
        <f>Gasto_o_ing_total!P528*1000/Gasto_o_ing_total!P$485</f>
        <v>0</v>
      </c>
      <c r="R528" s="332">
        <f>Gasto_o_ing_total!Q528*1000/Gasto_o_ing_total!Q$485</f>
        <v>0</v>
      </c>
      <c r="S528" s="332">
        <f>Gasto_o_ing_total!R528*1000/Gasto_o_ing_total!R$485</f>
        <v>0</v>
      </c>
      <c r="T528" s="332">
        <f>Gasto_o_ing_total!S528*1000/Gasto_o_ing_total!S$485</f>
        <v>0</v>
      </c>
      <c r="U528" s="332">
        <f>Gasto_o_ing_total!T528*1000/Gasto_o_ing_total!T$485</f>
        <v>0</v>
      </c>
      <c r="V528" s="332">
        <f>Gasto_o_ing_total!U528*1000/Gasto_o_ing_total!U$485</f>
        <v>-505.89012554935812</v>
      </c>
    </row>
    <row r="529" spans="1:22" s="102" customFormat="1">
      <c r="A529" s="351" t="str">
        <f>IF(B529="","",(IF(ISERROR(MATCH(B529,Tot_res!C:C,0)),"Eliminar!!!","")))</f>
        <v/>
      </c>
      <c r="B529" s="115" t="s">
        <v>458</v>
      </c>
      <c r="C529" s="329" t="str">
        <f>VLOOKUP(B529,Tot_res!C:D,2,FALSE)</f>
        <v>Impuesto de matriculación, sobreesfuerzo fiscal</v>
      </c>
      <c r="D529" s="332">
        <f>Gasto_o_ing_total!V529*1000/Gasto_o_ing_total!V$485</f>
        <v>4.6802785605075337E-2</v>
      </c>
      <c r="E529" s="332">
        <f>Gasto_o_ing_total!D529*1000/Gasto_o_ing_total!D$485</f>
        <v>9.6723106244355164E-2</v>
      </c>
      <c r="F529" s="332">
        <f>Gasto_o_ing_total!E529*1000/Gasto_o_ing_total!E$485</f>
        <v>4.5527248476475036E-3</v>
      </c>
      <c r="G529" s="332">
        <f>Gasto_o_ing_total!F529*1000/Gasto_o_ing_total!F$485</f>
        <v>4.9646296062152352E-2</v>
      </c>
      <c r="H529" s="332">
        <f>Gasto_o_ing_total!G529*1000/Gasto_o_ing_total!G$485</f>
        <v>0.12857624884689789</v>
      </c>
      <c r="I529" s="332">
        <f>Gasto_o_ing_total!H529*1000/Gasto_o_ing_total!H$485</f>
        <v>2.0930881224922758E-3</v>
      </c>
      <c r="J529" s="332">
        <f>Gasto_o_ing_total!I529*1000/Gasto_o_ing_total!I$485</f>
        <v>0.13865734060887128</v>
      </c>
      <c r="K529" s="332">
        <f>Gasto_o_ing_total!J529*1000/Gasto_o_ing_total!J$485</f>
        <v>4.4149775929143327E-3</v>
      </c>
      <c r="L529" s="332">
        <f>Gasto_o_ing_total!K529*1000/Gasto_o_ing_total!K$485</f>
        <v>4.0998233434835817E-3</v>
      </c>
      <c r="M529" s="332">
        <f>Gasto_o_ing_total!L529*1000/Gasto_o_ing_total!L$485</f>
        <v>9.1266131122140548E-2</v>
      </c>
      <c r="N529" s="332">
        <f>Gasto_o_ing_total!M529*1000/Gasto_o_ing_total!M$485</f>
        <v>4.3277623080743522E-3</v>
      </c>
      <c r="O529" s="332">
        <f>Gasto_o_ing_total!N529*1000/Gasto_o_ing_total!N$485</f>
        <v>0.25611465414499818</v>
      </c>
      <c r="P529" s="332">
        <f>Gasto_o_ing_total!O529*1000/Gasto_o_ing_total!O$485</f>
        <v>4.3514021589557634E-3</v>
      </c>
      <c r="Q529" s="332">
        <f>Gasto_o_ing_total!P529*1000/Gasto_o_ing_total!P$485</f>
        <v>4.98118972019023E-3</v>
      </c>
      <c r="R529" s="332">
        <f>Gasto_o_ing_total!Q529*1000/Gasto_o_ing_total!Q$485</f>
        <v>1.3029447243094783E-2</v>
      </c>
      <c r="S529" s="332">
        <f>Gasto_o_ing_total!R529*1000/Gasto_o_ing_total!R$485</f>
        <v>4.6697974260778239E-3</v>
      </c>
      <c r="T529" s="332">
        <f>Gasto_o_ing_total!S529*1000/Gasto_o_ing_total!S$485</f>
        <v>5.0958344389605082E-3</v>
      </c>
      <c r="U529" s="332">
        <f>Gasto_o_ing_total!T529*1000/Gasto_o_ing_total!T$485</f>
        <v>4.471299000236564E-3</v>
      </c>
      <c r="V529" s="332">
        <f>Gasto_o_ing_total!U529*1000/Gasto_o_ing_total!U$485</f>
        <v>3.4039705608354749E-3</v>
      </c>
    </row>
    <row r="530" spans="1:22" s="102" customFormat="1">
      <c r="A530" s="351" t="str">
        <f>IF(B530="","",(IF(ISERROR(MATCH(B530,Tot_res!C:C,0)),"Eliminar!!!","")))</f>
        <v/>
      </c>
      <c r="B530" s="115" t="s">
        <v>459</v>
      </c>
      <c r="C530" s="329" t="str">
        <f>VLOOKUP(B530,Tot_res!C:D,2,FALSE)</f>
        <v>Impuestos propios de las CCAA</v>
      </c>
      <c r="D530" s="332">
        <f>Gasto_o_ing_total!V530*1000/Gasto_o_ing_total!V$485</f>
        <v>50.052358529736964</v>
      </c>
      <c r="E530" s="332">
        <f>Gasto_o_ing_total!D530*1000/Gasto_o_ing_total!D$485</f>
        <v>24.157732247038027</v>
      </c>
      <c r="F530" s="332">
        <f>Gasto_o_ing_total!E530*1000/Gasto_o_ing_total!E$485</f>
        <v>66.72952943785593</v>
      </c>
      <c r="G530" s="332">
        <f>Gasto_o_ing_total!F530*1000/Gasto_o_ing_total!F$485</f>
        <v>40.141214883810818</v>
      </c>
      <c r="H530" s="332">
        <f>Gasto_o_ing_total!G530*1000/Gasto_o_ing_total!G$485</f>
        <v>118.64068136249246</v>
      </c>
      <c r="I530" s="332">
        <f>Gasto_o_ing_total!H530*1000/Gasto_o_ing_total!H$485</f>
        <v>15.678158014908373</v>
      </c>
      <c r="J530" s="332">
        <f>Gasto_o_ing_total!I530*1000/Gasto_o_ing_total!I$485</f>
        <v>72.089495456221712</v>
      </c>
      <c r="K530" s="332">
        <f>Gasto_o_ing_total!J530*1000/Gasto_o_ing_total!J$485</f>
        <v>43.445662515610728</v>
      </c>
      <c r="L530" s="332">
        <f>Gasto_o_ing_total!K530*1000/Gasto_o_ing_total!K$485</f>
        <v>16.893279760230119</v>
      </c>
      <c r="M530" s="332">
        <f>Gasto_o_ing_total!L530*1000/Gasto_o_ing_total!L$485</f>
        <v>74.114060625675975</v>
      </c>
      <c r="N530" s="332">
        <f>Gasto_o_ing_total!M530*1000/Gasto_o_ing_total!M$485</f>
        <v>82.724383539590988</v>
      </c>
      <c r="O530" s="332">
        <f>Gasto_o_ing_total!N530*1000/Gasto_o_ing_total!N$485</f>
        <v>123.4203548786093</v>
      </c>
      <c r="P530" s="332">
        <f>Gasto_o_ing_total!O530*1000/Gasto_o_ing_total!O$485</f>
        <v>57.439722090678821</v>
      </c>
      <c r="Q530" s="332">
        <f>Gasto_o_ing_total!P530*1000/Gasto_o_ing_total!P$485</f>
        <v>10.252118494173073</v>
      </c>
      <c r="R530" s="332">
        <f>Gasto_o_ing_total!Q530*1000/Gasto_o_ing_total!Q$485</f>
        <v>51.815689993701206</v>
      </c>
      <c r="S530" s="332">
        <f>Gasto_o_ing_total!R530*1000/Gasto_o_ing_total!R$485</f>
        <v>78.386903866924413</v>
      </c>
      <c r="T530" s="332">
        <f>Gasto_o_ing_total!S530*1000/Gasto_o_ing_total!S$485</f>
        <v>78.253418492239575</v>
      </c>
      <c r="U530" s="332">
        <f>Gasto_o_ing_total!T530*1000/Gasto_o_ing_total!T$485</f>
        <v>88.200995434303138</v>
      </c>
      <c r="V530" s="332">
        <f>Gasto_o_ing_total!U530*1000/Gasto_o_ing_total!U$485</f>
        <v>2.5269863523686276</v>
      </c>
    </row>
    <row r="531" spans="1:22">
      <c r="A531" s="352"/>
      <c r="C531" s="9"/>
      <c r="D531" s="27"/>
      <c r="E531" s="27"/>
      <c r="F531" s="27"/>
      <c r="G531" s="27"/>
      <c r="H531" s="27"/>
      <c r="I531" s="27"/>
      <c r="J531" s="27"/>
      <c r="K531" s="27"/>
      <c r="L531" s="27"/>
      <c r="M531" s="27"/>
      <c r="N531" s="27"/>
      <c r="O531" s="27"/>
      <c r="P531" s="27"/>
      <c r="Q531" s="27"/>
      <c r="R531" s="27"/>
      <c r="S531" s="27"/>
      <c r="T531" s="27"/>
      <c r="U531" s="27"/>
      <c r="V531" s="27"/>
    </row>
    <row r="532" spans="1:22" s="102" customFormat="1">
      <c r="A532" s="352"/>
      <c r="B532" s="115"/>
      <c r="C532" s="137" t="s">
        <v>425</v>
      </c>
      <c r="D532" s="110">
        <f>Gasto_o_ing_total!V532*1000/Gasto_o_ing_total!V$485</f>
        <v>525.08956195711676</v>
      </c>
      <c r="E532" s="110">
        <f>Gasto_o_ing_total!D532*1000/Gasto_o_ing_total!D$485</f>
        <v>431.96490380414713</v>
      </c>
      <c r="F532" s="110">
        <f>Gasto_o_ing_total!E532*1000/Gasto_o_ing_total!E$485</f>
        <v>549.42631634302256</v>
      </c>
      <c r="G532" s="110">
        <f>Gasto_o_ing_total!F532*1000/Gasto_o_ing_total!F$485</f>
        <v>486.10473812166197</v>
      </c>
      <c r="H532" s="110">
        <f>Gasto_o_ing_total!G532*1000/Gasto_o_ing_total!G$485</f>
        <v>690.60119053172662</v>
      </c>
      <c r="I532" s="110">
        <f>Gasto_o_ing_total!H532*1000/Gasto_o_ing_total!H$485</f>
        <v>412.72734182916503</v>
      </c>
      <c r="J532" s="110">
        <f>Gasto_o_ing_total!I532*1000/Gasto_o_ing_total!I$485</f>
        <v>564.43020807864821</v>
      </c>
      <c r="K532" s="110">
        <f>Gasto_o_ing_total!J532*1000/Gasto_o_ing_total!J$485</f>
        <v>488.1335689357544</v>
      </c>
      <c r="L532" s="110">
        <f>Gasto_o_ing_total!K532*1000/Gasto_o_ing_total!K$485</f>
        <v>472.5951734278247</v>
      </c>
      <c r="M532" s="110">
        <f>Gasto_o_ing_total!L532*1000/Gasto_o_ing_total!L$485</f>
        <v>651.22811054415411</v>
      </c>
      <c r="N532" s="110">
        <f>Gasto_o_ing_total!M532*1000/Gasto_o_ing_total!M$485</f>
        <v>500.17263531150519</v>
      </c>
      <c r="O532" s="110">
        <f>Gasto_o_ing_total!N532*1000/Gasto_o_ing_total!N$485</f>
        <v>360.41474066064075</v>
      </c>
      <c r="P532" s="110">
        <f>Gasto_o_ing_total!O532*1000/Gasto_o_ing_total!O$485</f>
        <v>389.34137512538672</v>
      </c>
      <c r="Q532" s="110">
        <f>Gasto_o_ing_total!P532*1000/Gasto_o_ing_total!P$485</f>
        <v>662.1208721293732</v>
      </c>
      <c r="R532" s="110">
        <f>Gasto_o_ing_total!Q532*1000/Gasto_o_ing_total!Q$485</f>
        <v>463.3792116167582</v>
      </c>
      <c r="S532" s="110">
        <f>Gasto_o_ing_total!R532*1000/Gasto_o_ing_total!R$485</f>
        <v>590.97190043146634</v>
      </c>
      <c r="T532" s="110">
        <f>Gasto_o_ing_total!S532*1000/Gasto_o_ing_total!S$485</f>
        <v>510.46108867440398</v>
      </c>
      <c r="U532" s="110">
        <f>Gasto_o_ing_total!T532*1000/Gasto_o_ing_total!T$485</f>
        <v>538.52625040287398</v>
      </c>
      <c r="V532" s="110">
        <f>Gasto_o_ing_total!U532*1000/Gasto_o_ing_total!U$485</f>
        <v>196.11056138913534</v>
      </c>
    </row>
    <row r="533" spans="1:22" s="102" customFormat="1">
      <c r="A533" s="351" t="str">
        <f>IF(B533="","",(IF(ISERROR(MATCH(B533,Tot_res!C:C,0)),"Eliminar!!!","")))</f>
        <v/>
      </c>
      <c r="B533" s="115" t="s">
        <v>615</v>
      </c>
      <c r="C533" s="329" t="str">
        <f>VLOOKUP(B533,Tot_res!C:D,2,FALSE)</f>
        <v>Impuestos y tasas municipales</v>
      </c>
      <c r="D533" s="332">
        <f>Gasto_o_ing_total!V533*1000/Gasto_o_ing_total!V$485</f>
        <v>525.08956195711676</v>
      </c>
      <c r="E533" s="332">
        <f>Gasto_o_ing_total!D533*1000/Gasto_o_ing_total!D$485</f>
        <v>431.96490380414713</v>
      </c>
      <c r="F533" s="332">
        <f>Gasto_o_ing_total!E533*1000/Gasto_o_ing_total!E$485</f>
        <v>549.42631634302256</v>
      </c>
      <c r="G533" s="332">
        <f>Gasto_o_ing_total!F533*1000/Gasto_o_ing_total!F$485</f>
        <v>486.10473812166197</v>
      </c>
      <c r="H533" s="332">
        <f>Gasto_o_ing_total!G533*1000/Gasto_o_ing_total!G$485</f>
        <v>690.60119053172662</v>
      </c>
      <c r="I533" s="332">
        <f>Gasto_o_ing_total!H533*1000/Gasto_o_ing_total!H$485</f>
        <v>412.72734182916503</v>
      </c>
      <c r="J533" s="332">
        <f>Gasto_o_ing_total!I533*1000/Gasto_o_ing_total!I$485</f>
        <v>564.43020807864821</v>
      </c>
      <c r="K533" s="332">
        <f>Gasto_o_ing_total!J533*1000/Gasto_o_ing_total!J$485</f>
        <v>488.1335689357544</v>
      </c>
      <c r="L533" s="332">
        <f>Gasto_o_ing_total!K533*1000/Gasto_o_ing_total!K$485</f>
        <v>472.5951734278247</v>
      </c>
      <c r="M533" s="332">
        <f>Gasto_o_ing_total!L533*1000/Gasto_o_ing_total!L$485</f>
        <v>651.22811054415411</v>
      </c>
      <c r="N533" s="332">
        <f>Gasto_o_ing_total!M533*1000/Gasto_o_ing_total!M$485</f>
        <v>500.17263531150519</v>
      </c>
      <c r="O533" s="332">
        <f>Gasto_o_ing_total!N533*1000/Gasto_o_ing_total!N$485</f>
        <v>360.41474066064075</v>
      </c>
      <c r="P533" s="332">
        <f>Gasto_o_ing_total!O533*1000/Gasto_o_ing_total!O$485</f>
        <v>389.34137512538672</v>
      </c>
      <c r="Q533" s="332">
        <f>Gasto_o_ing_total!P533*1000/Gasto_o_ing_total!P$485</f>
        <v>662.1208721293732</v>
      </c>
      <c r="R533" s="332">
        <f>Gasto_o_ing_total!Q533*1000/Gasto_o_ing_total!Q$485</f>
        <v>463.3792116167582</v>
      </c>
      <c r="S533" s="332">
        <f>Gasto_o_ing_total!R533*1000/Gasto_o_ing_total!R$485</f>
        <v>590.97190043146634</v>
      </c>
      <c r="T533" s="332">
        <f>Gasto_o_ing_total!S533*1000/Gasto_o_ing_total!S$485</f>
        <v>510.46108867440398</v>
      </c>
      <c r="U533" s="332">
        <f>Gasto_o_ing_total!T533*1000/Gasto_o_ing_total!T$485</f>
        <v>538.52625040287398</v>
      </c>
      <c r="V533" s="332">
        <f>Gasto_o_ing_total!U533*1000/Gasto_o_ing_total!U$485</f>
        <v>196.11056138913534</v>
      </c>
    </row>
    <row r="534" spans="1:22">
      <c r="A534" s="352"/>
      <c r="C534" s="6"/>
      <c r="D534" s="27"/>
      <c r="E534" s="27"/>
      <c r="F534" s="27"/>
      <c r="G534" s="27"/>
      <c r="H534" s="27"/>
      <c r="I534" s="27"/>
      <c r="J534" s="27"/>
      <c r="K534" s="27"/>
      <c r="L534" s="27"/>
      <c r="M534" s="27"/>
      <c r="N534" s="27"/>
      <c r="O534" s="27"/>
      <c r="P534" s="27"/>
      <c r="Q534" s="27"/>
      <c r="R534" s="27"/>
      <c r="S534" s="27"/>
      <c r="T534" s="27"/>
      <c r="U534" s="27"/>
      <c r="V534" s="27"/>
    </row>
    <row r="535" spans="1:22" s="102" customFormat="1">
      <c r="A535" s="352"/>
      <c r="B535" s="115"/>
      <c r="C535" s="137" t="s">
        <v>94</v>
      </c>
      <c r="D535" s="110">
        <f>Gasto_o_ing_total!V535*1000/Gasto_o_ing_total!V$485</f>
        <v>4864.5510758271121</v>
      </c>
      <c r="E535" s="110">
        <f>Gasto_o_ing_total!D535*1000/Gasto_o_ing_total!D$485</f>
        <v>3844.6222783975645</v>
      </c>
      <c r="F535" s="110">
        <f>Gasto_o_ing_total!E535*1000/Gasto_o_ing_total!E$485</f>
        <v>5186.304116303224</v>
      </c>
      <c r="G535" s="110">
        <f>Gasto_o_ing_total!F535*1000/Gasto_o_ing_total!F$485</f>
        <v>5001.2412607608794</v>
      </c>
      <c r="H535" s="110">
        <f>Gasto_o_ing_total!G535*1000/Gasto_o_ing_total!G$485</f>
        <v>5324.9988295762851</v>
      </c>
      <c r="I535" s="110">
        <f>Gasto_o_ing_total!H535*1000/Gasto_o_ing_total!H$485</f>
        <v>3001.9745964961603</v>
      </c>
      <c r="J535" s="110">
        <f>Gasto_o_ing_total!I535*1000/Gasto_o_ing_total!I$485</f>
        <v>4998.4359940647628</v>
      </c>
      <c r="K535" s="110">
        <f>Gasto_o_ing_total!J535*1000/Gasto_o_ing_total!J$485</f>
        <v>4621.9436618813952</v>
      </c>
      <c r="L535" s="110">
        <f>Gasto_o_ing_total!K535*1000/Gasto_o_ing_total!K$485</f>
        <v>3901.1994479295231</v>
      </c>
      <c r="M535" s="110">
        <f>Gasto_o_ing_total!L535*1000/Gasto_o_ing_total!L$485</f>
        <v>5770.4901163513996</v>
      </c>
      <c r="N535" s="110">
        <f>Gasto_o_ing_total!M535*1000/Gasto_o_ing_total!M$485</f>
        <v>4427.9207421452329</v>
      </c>
      <c r="O535" s="110">
        <f>Gasto_o_ing_total!N535*1000/Gasto_o_ing_total!N$485</f>
        <v>3598.5201267926341</v>
      </c>
      <c r="P535" s="110">
        <f>Gasto_o_ing_total!O535*1000/Gasto_o_ing_total!O$485</f>
        <v>4436.003179932819</v>
      </c>
      <c r="Q535" s="110">
        <f>Gasto_o_ing_total!P535*1000/Gasto_o_ing_total!P$485</f>
        <v>6695.5494016239036</v>
      </c>
      <c r="R535" s="110">
        <f>Gasto_o_ing_total!Q535*1000/Gasto_o_ing_total!Q$485</f>
        <v>4013.8826877402939</v>
      </c>
      <c r="S535" s="110">
        <f>Gasto_o_ing_total!R535*1000/Gasto_o_ing_total!R$485</f>
        <v>5129.6462344177708</v>
      </c>
      <c r="T535" s="110">
        <f>Gasto_o_ing_total!S535*1000/Gasto_o_ing_total!S$485</f>
        <v>5531.9874088755005</v>
      </c>
      <c r="U535" s="110">
        <f>Gasto_o_ing_total!T535*1000/Gasto_o_ing_total!T$485</f>
        <v>4931.4956426724302</v>
      </c>
      <c r="V535" s="110">
        <f>Gasto_o_ing_total!U535*1000/Gasto_o_ing_total!U$485</f>
        <v>2816.8654059690571</v>
      </c>
    </row>
    <row r="536" spans="1:22" s="102" customFormat="1">
      <c r="A536" s="352"/>
      <c r="B536" s="115"/>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B537" s="115"/>
      <c r="C537" s="154" t="s">
        <v>426</v>
      </c>
      <c r="D537" s="110">
        <f>Gasto_o_ing_total!V537*1000/Gasto_o_ing_total!V$485</f>
        <v>2597.5947758901293</v>
      </c>
      <c r="E537" s="110">
        <f>Gasto_o_ing_total!D537*1000/Gasto_o_ing_total!D$485</f>
        <v>1980.0094810358446</v>
      </c>
      <c r="F537" s="110">
        <f>Gasto_o_ing_total!E537*1000/Gasto_o_ing_total!E$485</f>
        <v>2829.1843562220424</v>
      </c>
      <c r="G537" s="110">
        <f>Gasto_o_ing_total!F537*1000/Gasto_o_ing_total!F$485</f>
        <v>2619.097869936696</v>
      </c>
      <c r="H537" s="110">
        <f>Gasto_o_ing_total!G537*1000/Gasto_o_ing_total!G$485</f>
        <v>2803.6347759802411</v>
      </c>
      <c r="I537" s="110">
        <f>Gasto_o_ing_total!H537*1000/Gasto_o_ing_total!H$485</f>
        <v>2252.9349653214003</v>
      </c>
      <c r="J537" s="110">
        <f>Gasto_o_ing_total!I537*1000/Gasto_o_ing_total!I$485</f>
        <v>2654.0137186588768</v>
      </c>
      <c r="K537" s="110">
        <f>Gasto_o_ing_total!J537*1000/Gasto_o_ing_total!J$485</f>
        <v>2518.5308111531863</v>
      </c>
      <c r="L537" s="110">
        <f>Gasto_o_ing_total!K537*1000/Gasto_o_ing_total!K$485</f>
        <v>2194.3607076660255</v>
      </c>
      <c r="M537" s="110">
        <f>Gasto_o_ing_total!L537*1000/Gasto_o_ing_total!L$485</f>
        <v>3028.3762853284561</v>
      </c>
      <c r="N537" s="110">
        <f>Gasto_o_ing_total!M537*1000/Gasto_o_ing_total!M$485</f>
        <v>2246.0647188592857</v>
      </c>
      <c r="O537" s="110">
        <f>Gasto_o_ing_total!N537*1000/Gasto_o_ing_total!N$485</f>
        <v>1915.4327752230436</v>
      </c>
      <c r="P537" s="110">
        <f>Gasto_o_ing_total!O537*1000/Gasto_o_ing_total!O$485</f>
        <v>2385.6660075198397</v>
      </c>
      <c r="Q537" s="110">
        <f>Gasto_o_ing_total!P537*1000/Gasto_o_ing_total!P$485</f>
        <v>3305.9684993058213</v>
      </c>
      <c r="R537" s="110">
        <f>Gasto_o_ing_total!Q537*1000/Gasto_o_ing_total!Q$485</f>
        <v>2081.9476769295429</v>
      </c>
      <c r="S537" s="110">
        <f>Gasto_o_ing_total!R537*1000/Gasto_o_ing_total!R$485</f>
        <v>3249.4673347840303</v>
      </c>
      <c r="T537" s="110">
        <f>Gasto_o_ing_total!S537*1000/Gasto_o_ing_total!S$485</f>
        <v>3517.0870712271071</v>
      </c>
      <c r="U537" s="110">
        <f>Gasto_o_ing_total!T537*1000/Gasto_o_ing_total!T$485</f>
        <v>2742.5786693704331</v>
      </c>
      <c r="V537" s="110">
        <f>Gasto_o_ing_total!U537*1000/Gasto_o_ing_total!U$485</f>
        <v>2096.7694149471449</v>
      </c>
    </row>
    <row r="538" spans="1:22" s="102" customFormat="1">
      <c r="A538" s="351" t="str">
        <f>IF(B538="","",(IF(ISERROR(MATCH(B538,Tot_res!C:C,0)),"Eliminar!!!","")))</f>
        <v/>
      </c>
      <c r="B538" s="115" t="s">
        <v>614</v>
      </c>
      <c r="C538" s="329" t="str">
        <f>VLOOKUP(B538,Tot_res!C:D,2,FALSE)</f>
        <v>Cotizaciones sociales</v>
      </c>
      <c r="D538" s="332">
        <f>Gasto_o_ing_total!V538*1000/Gasto_o_ing_total!V$485</f>
        <v>2597.5947758901293</v>
      </c>
      <c r="E538" s="332">
        <f>Gasto_o_ing_total!D538*1000/Gasto_o_ing_total!D$485</f>
        <v>1980.0094810358446</v>
      </c>
      <c r="F538" s="332">
        <f>Gasto_o_ing_total!E538*1000/Gasto_o_ing_total!E$485</f>
        <v>2829.1843562220424</v>
      </c>
      <c r="G538" s="332">
        <f>Gasto_o_ing_total!F538*1000/Gasto_o_ing_total!F$485</f>
        <v>2619.097869936696</v>
      </c>
      <c r="H538" s="332">
        <f>Gasto_o_ing_total!G538*1000/Gasto_o_ing_total!G$485</f>
        <v>2803.6347759802411</v>
      </c>
      <c r="I538" s="332">
        <f>Gasto_o_ing_total!H538*1000/Gasto_o_ing_total!H$485</f>
        <v>2252.9349653214003</v>
      </c>
      <c r="J538" s="332">
        <f>Gasto_o_ing_total!I538*1000/Gasto_o_ing_total!I$485</f>
        <v>2654.0137186588768</v>
      </c>
      <c r="K538" s="332">
        <f>Gasto_o_ing_total!J538*1000/Gasto_o_ing_total!J$485</f>
        <v>2518.5308111531863</v>
      </c>
      <c r="L538" s="332">
        <f>Gasto_o_ing_total!K538*1000/Gasto_o_ing_total!K$485</f>
        <v>2194.3607076660255</v>
      </c>
      <c r="M538" s="332">
        <f>Gasto_o_ing_total!L538*1000/Gasto_o_ing_total!L$485</f>
        <v>3028.3762853284561</v>
      </c>
      <c r="N538" s="332">
        <f>Gasto_o_ing_total!M538*1000/Gasto_o_ing_total!M$485</f>
        <v>2246.0647188592857</v>
      </c>
      <c r="O538" s="332">
        <f>Gasto_o_ing_total!N538*1000/Gasto_o_ing_total!N$485</f>
        <v>1915.4327752230436</v>
      </c>
      <c r="P538" s="332">
        <f>Gasto_o_ing_total!O538*1000/Gasto_o_ing_total!O$485</f>
        <v>2385.6660075198397</v>
      </c>
      <c r="Q538" s="332">
        <f>Gasto_o_ing_total!P538*1000/Gasto_o_ing_total!P$485</f>
        <v>3305.9684993058213</v>
      </c>
      <c r="R538" s="332">
        <f>Gasto_o_ing_total!Q538*1000/Gasto_o_ing_total!Q$485</f>
        <v>2081.9476769295429</v>
      </c>
      <c r="S538" s="332">
        <f>Gasto_o_ing_total!R538*1000/Gasto_o_ing_total!R$485</f>
        <v>3249.4673347840303</v>
      </c>
      <c r="T538" s="332">
        <f>Gasto_o_ing_total!S538*1000/Gasto_o_ing_total!S$485</f>
        <v>3517.0870712271071</v>
      </c>
      <c r="U538" s="332">
        <f>Gasto_o_ing_total!T538*1000/Gasto_o_ing_total!T$485</f>
        <v>2742.5786693704331</v>
      </c>
      <c r="V538" s="332">
        <f>Gasto_o_ing_total!U538*1000/Gasto_o_ing_total!U$485</f>
        <v>2096.7694149471449</v>
      </c>
    </row>
    <row r="539" spans="1:22">
      <c r="A539" s="352"/>
      <c r="C539" s="25"/>
      <c r="D539" s="27"/>
      <c r="E539" s="27"/>
      <c r="F539" s="27"/>
      <c r="G539" s="27"/>
      <c r="H539" s="27"/>
      <c r="I539" s="27"/>
      <c r="J539" s="27"/>
      <c r="K539" s="27"/>
      <c r="L539" s="27"/>
      <c r="M539" s="27"/>
      <c r="N539" s="27"/>
      <c r="O539" s="27"/>
      <c r="P539" s="27"/>
      <c r="Q539" s="27"/>
      <c r="R539" s="27"/>
      <c r="S539" s="27"/>
      <c r="T539" s="27"/>
      <c r="U539" s="27"/>
      <c r="V539" s="27"/>
    </row>
    <row r="540" spans="1:22" s="102" customFormat="1">
      <c r="A540" s="352"/>
      <c r="B540" s="115"/>
      <c r="C540" s="154" t="s">
        <v>95</v>
      </c>
      <c r="D540" s="110">
        <f>Gasto_o_ing_total!V540*1000/Gasto_o_ing_total!V$485</f>
        <v>567.67153087299312</v>
      </c>
      <c r="E540" s="110">
        <f>Gasto_o_ing_total!D540*1000/Gasto_o_ing_total!D$485</f>
        <v>567.56150118533787</v>
      </c>
      <c r="F540" s="110">
        <f>Gasto_o_ing_total!E540*1000/Gasto_o_ing_total!E$485</f>
        <v>567.68338501729841</v>
      </c>
      <c r="G540" s="110">
        <f>Gasto_o_ing_total!F540*1000/Gasto_o_ing_total!F$485</f>
        <v>567.686179311665</v>
      </c>
      <c r="H540" s="110">
        <f>Gasto_o_ing_total!G540*1000/Gasto_o_ing_total!G$485</f>
        <v>567.71399450151921</v>
      </c>
      <c r="I540" s="110">
        <f>Gasto_o_ing_total!H540*1000/Gasto_o_ing_total!H$485</f>
        <v>567.56676407739815</v>
      </c>
      <c r="J540" s="110">
        <f>Gasto_o_ing_total!I540*1000/Gasto_o_ing_total!I$485</f>
        <v>567.69461769944621</v>
      </c>
      <c r="K540" s="110">
        <f>Gasto_o_ing_total!J540*1000/Gasto_o_ing_total!J$485</f>
        <v>567.64131473659802</v>
      </c>
      <c r="L540" s="110">
        <f>Gasto_o_ing_total!K540*1000/Gasto_o_ing_total!K$485</f>
        <v>567.55649472315633</v>
      </c>
      <c r="M540" s="110">
        <f>Gasto_o_ing_total!L540*1000/Gasto_o_ing_total!L$485</f>
        <v>567.77479290311271</v>
      </c>
      <c r="N540" s="110">
        <f>Gasto_o_ing_total!M540*1000/Gasto_o_ing_total!M$485</f>
        <v>567.64019956720665</v>
      </c>
      <c r="O540" s="110">
        <f>Gasto_o_ing_total!N540*1000/Gasto_o_ing_total!N$485</f>
        <v>567.52702609972062</v>
      </c>
      <c r="P540" s="110">
        <f>Gasto_o_ing_total!O540*1000/Gasto_o_ing_total!O$485</f>
        <v>567.63191775138284</v>
      </c>
      <c r="Q540" s="110">
        <f>Gasto_o_ing_total!P540*1000/Gasto_o_ing_total!P$485</f>
        <v>567.80818521534934</v>
      </c>
      <c r="R540" s="110">
        <f>Gasto_o_ing_total!Q540*1000/Gasto_o_ing_total!Q$485</f>
        <v>567.55517545083421</v>
      </c>
      <c r="S540" s="110">
        <f>Gasto_o_ing_total!R540*1000/Gasto_o_ing_total!R$485</f>
        <v>567.75096468316679</v>
      </c>
      <c r="T540" s="110">
        <f>Gasto_o_ing_total!S540*1000/Gasto_o_ing_total!S$485</f>
        <v>567.79526962865293</v>
      </c>
      <c r="U540" s="110">
        <f>Gasto_o_ing_total!T540*1000/Gasto_o_ing_total!T$485</f>
        <v>567.67743250568458</v>
      </c>
      <c r="V540" s="110">
        <f>Gasto_o_ing_total!U540*1000/Gasto_o_ing_total!U$485</f>
        <v>567.55272099013155</v>
      </c>
    </row>
    <row r="541" spans="1:22" s="102" customFormat="1">
      <c r="A541" s="351" t="str">
        <f>IF(B541="","",(IF(ISERROR(MATCH(B541,Tot_res!C:C,0)),"Eliminar!!!","")))</f>
        <v/>
      </c>
      <c r="B541" s="115" t="s">
        <v>653</v>
      </c>
      <c r="C541" s="329" t="str">
        <f>VLOOKUP(B541,Tot_res!C:D,2,FALSE)</f>
        <v>Tasas, precios públicos e ingresos procedentes de la venta de bienes y servicios de la AC</v>
      </c>
      <c r="D541" s="332">
        <f>Gasto_o_ing_total!V541*1000/Gasto_o_ing_total!V$485</f>
        <v>67.050136760545229</v>
      </c>
      <c r="E541" s="332">
        <f>Gasto_o_ing_total!D541*1000/Gasto_o_ing_total!D$485</f>
        <v>67.050136760545229</v>
      </c>
      <c r="F541" s="332">
        <f>Gasto_o_ing_total!E541*1000/Gasto_o_ing_total!E$485</f>
        <v>67.050136760545229</v>
      </c>
      <c r="G541" s="332">
        <f>Gasto_o_ing_total!F541*1000/Gasto_o_ing_total!F$485</f>
        <v>67.050136760545243</v>
      </c>
      <c r="H541" s="332">
        <f>Gasto_o_ing_total!G541*1000/Gasto_o_ing_total!G$485</f>
        <v>67.050136760545243</v>
      </c>
      <c r="I541" s="332">
        <f>Gasto_o_ing_total!H541*1000/Gasto_o_ing_total!H$485</f>
        <v>67.050136760545243</v>
      </c>
      <c r="J541" s="332">
        <f>Gasto_o_ing_total!I541*1000/Gasto_o_ing_total!I$485</f>
        <v>67.050136760545243</v>
      </c>
      <c r="K541" s="332">
        <f>Gasto_o_ing_total!J541*1000/Gasto_o_ing_total!J$485</f>
        <v>67.050136760545243</v>
      </c>
      <c r="L541" s="332">
        <f>Gasto_o_ing_total!K541*1000/Gasto_o_ing_total!K$485</f>
        <v>67.050136760545243</v>
      </c>
      <c r="M541" s="332">
        <f>Gasto_o_ing_total!L541*1000/Gasto_o_ing_total!L$485</f>
        <v>67.050136760545243</v>
      </c>
      <c r="N541" s="332">
        <f>Gasto_o_ing_total!M541*1000/Gasto_o_ing_total!M$485</f>
        <v>67.050136760545243</v>
      </c>
      <c r="O541" s="332">
        <f>Gasto_o_ing_total!N541*1000/Gasto_o_ing_total!N$485</f>
        <v>67.050136760545229</v>
      </c>
      <c r="P541" s="332">
        <f>Gasto_o_ing_total!O541*1000/Gasto_o_ing_total!O$485</f>
        <v>67.050136760545229</v>
      </c>
      <c r="Q541" s="332">
        <f>Gasto_o_ing_total!P541*1000/Gasto_o_ing_total!P$485</f>
        <v>67.050136760545229</v>
      </c>
      <c r="R541" s="332">
        <f>Gasto_o_ing_total!Q541*1000/Gasto_o_ing_total!Q$485</f>
        <v>67.050136760545229</v>
      </c>
      <c r="S541" s="332">
        <f>Gasto_o_ing_total!R541*1000/Gasto_o_ing_total!R$485</f>
        <v>67.050136760545229</v>
      </c>
      <c r="T541" s="332">
        <f>Gasto_o_ing_total!S541*1000/Gasto_o_ing_total!S$485</f>
        <v>67.050136760545229</v>
      </c>
      <c r="U541" s="332">
        <f>Gasto_o_ing_total!T541*1000/Gasto_o_ing_total!T$485</f>
        <v>67.050136760545243</v>
      </c>
      <c r="V541" s="332">
        <f>Gasto_o_ing_total!U541*1000/Gasto_o_ing_total!U$485</f>
        <v>67.050136760545243</v>
      </c>
    </row>
    <row r="542" spans="1:22" s="102" customFormat="1">
      <c r="A542" s="351" t="str">
        <f>IF(B542="","",(IF(ISERROR(MATCH(B542,Tot_res!C:C,0)),"Eliminar!!!","")))</f>
        <v/>
      </c>
      <c r="B542" s="115" t="s">
        <v>462</v>
      </c>
      <c r="C542" s="329" t="str">
        <f>VLOOKUP(B542,Tot_res!C:D,2,FALSE)</f>
        <v>Tasas, CNMV</v>
      </c>
      <c r="D542" s="332">
        <f>Gasto_o_ing_total!V542*1000/Gasto_o_ing_total!V$485</f>
        <v>1.0236657196818315</v>
      </c>
      <c r="E542" s="332">
        <f>Gasto_o_ing_total!D542*1000/Gasto_o_ing_total!D$485</f>
        <v>0.91245248953205027</v>
      </c>
      <c r="F542" s="332">
        <f>Gasto_o_ing_total!E542*1000/Gasto_o_ing_total!E$485</f>
        <v>1.035786818450076</v>
      </c>
      <c r="G542" s="332">
        <f>Gasto_o_ing_total!F542*1000/Gasto_o_ing_total!F$485</f>
        <v>1.038479423035259</v>
      </c>
      <c r="H542" s="332">
        <f>Gasto_o_ing_total!G542*1000/Gasto_o_ing_total!G$485</f>
        <v>1.0665491452014388</v>
      </c>
      <c r="I542" s="332">
        <f>Gasto_o_ing_total!H542*1000/Gasto_o_ing_total!H$485</f>
        <v>0.91782617927204468</v>
      </c>
      <c r="J542" s="332">
        <f>Gasto_o_ing_total!I542*1000/Gasto_o_ing_total!I$485</f>
        <v>1.0468753290909358</v>
      </c>
      <c r="K542" s="332">
        <f>Gasto_o_ing_total!J542*1000/Gasto_o_ing_total!J$485</f>
        <v>0.99323172924166303</v>
      </c>
      <c r="L542" s="332">
        <f>Gasto_o_ing_total!K542*1000/Gasto_o_ing_total!K$485</f>
        <v>0.90746890226859533</v>
      </c>
      <c r="M542" s="332">
        <f>Gasto_o_ing_total!L542*1000/Gasto_o_ing_total!L$485</f>
        <v>1.1279290590214905</v>
      </c>
      <c r="N542" s="332">
        <f>Gasto_o_ing_total!M542*1000/Gasto_o_ing_total!M$485</f>
        <v>0.9918719934700545</v>
      </c>
      <c r="O542" s="332">
        <f>Gasto_o_ing_total!N542*1000/Gasto_o_ing_total!N$485</f>
        <v>0.87763766901801143</v>
      </c>
      <c r="P542" s="332">
        <f>Gasto_o_ing_total!O542*1000/Gasto_o_ing_total!O$485</f>
        <v>0.98363549492357716</v>
      </c>
      <c r="Q542" s="332">
        <f>Gasto_o_ing_total!P542*1000/Gasto_o_ing_total!P$485</f>
        <v>1.1618349911645744</v>
      </c>
      <c r="R542" s="332">
        <f>Gasto_o_ing_total!Q542*1000/Gasto_o_ing_total!Q$485</f>
        <v>0.90609726817112324</v>
      </c>
      <c r="S542" s="332">
        <f>Gasto_o_ing_total!R542*1000/Gasto_o_ing_total!R$485</f>
        <v>1.1041133328849033</v>
      </c>
      <c r="T542" s="332">
        <f>Gasto_o_ing_total!S542*1000/Gasto_o_ing_total!S$485</f>
        <v>1.1488790186618292</v>
      </c>
      <c r="U542" s="332">
        <f>Gasto_o_ing_total!T542*1000/Gasto_o_ing_total!T$485</f>
        <v>1.0296459800460336</v>
      </c>
      <c r="V542" s="332">
        <f>Gasto_o_ing_total!U542*1000/Gasto_o_ing_total!U$485</f>
        <v>0.90360806903413637</v>
      </c>
    </row>
    <row r="543" spans="1:22" s="102" customFormat="1">
      <c r="A543" s="351" t="str">
        <f>IF(B543="","",(IF(ISERROR(MATCH(B543,Tot_res!C:C,0)),"Eliminar!!!","")))</f>
        <v/>
      </c>
      <c r="B543" s="115" t="s">
        <v>1231</v>
      </c>
      <c r="C543" s="329" t="str">
        <f>VLOOKUP(B543,Tot_res!C:D,2,FALSE)</f>
        <v>Tasas, CNMC</v>
      </c>
      <c r="D543" s="332">
        <f>Gasto_o_ing_total!V543*1000/Gasto_o_ing_total!V$485</f>
        <v>-9.9463612482554465E-3</v>
      </c>
      <c r="E543" s="332">
        <f>Gasto_o_ing_total!D543*1000/Gasto_o_ing_total!D$485</f>
        <v>-8.7628187535127838E-3</v>
      </c>
      <c r="F543" s="332">
        <f>Gasto_o_ing_total!E543*1000/Gasto_o_ing_total!E$485</f>
        <v>-1.0213315711145006E-2</v>
      </c>
      <c r="G543" s="332">
        <f>Gasto_o_ing_total!F543*1000/Gasto_o_ing_total!F$485</f>
        <v>-1.0111625929671214E-2</v>
      </c>
      <c r="H543" s="332">
        <f>Gasto_o_ing_total!G543*1000/Gasto_o_ing_total!G$485</f>
        <v>-1.0366158241663138E-2</v>
      </c>
      <c r="I543" s="332">
        <f>Gasto_o_ing_total!H543*1000/Gasto_o_ing_total!H$485</f>
        <v>-8.8736164333924408E-3</v>
      </c>
      <c r="J543" s="332">
        <f>Gasto_o_ing_total!I543*1000/Gasto_o_ing_total!I$485</f>
        <v>-1.0069144204136607E-2</v>
      </c>
      <c r="K543" s="332">
        <f>Gasto_o_ing_total!J543*1000/Gasto_o_ing_total!J$485</f>
        <v>-9.7285072030664881E-3</v>
      </c>
      <c r="L543" s="332">
        <f>Gasto_o_ing_total!K543*1000/Gasto_o_ing_total!K$485</f>
        <v>-8.7856936716684854E-3</v>
      </c>
      <c r="M543" s="332">
        <f>Gasto_o_ing_total!L543*1000/Gasto_o_ing_total!L$485</f>
        <v>-1.0947670468224629E-2</v>
      </c>
      <c r="N543" s="332">
        <f>Gasto_o_ing_total!M543*1000/Gasto_o_ing_total!M$485</f>
        <v>-9.4839408228458762E-3</v>
      </c>
      <c r="O543" s="332">
        <f>Gasto_o_ing_total!N543*1000/Gasto_o_ing_total!N$485</f>
        <v>-8.4230838567884714E-3</v>
      </c>
      <c r="P543" s="332">
        <f>Gasto_o_ing_total!O543*1000/Gasto_o_ing_total!O$485</f>
        <v>-9.5292581002265845E-3</v>
      </c>
      <c r="Q543" s="332">
        <f>Gasto_o_ing_total!P543*1000/Gasto_o_ing_total!P$485</f>
        <v>-1.1461290374614063E-2</v>
      </c>
      <c r="R543" s="332">
        <f>Gasto_o_ing_total!Q543*1000/Gasto_o_ing_total!Q$485</f>
        <v>-8.7333318962652673E-3</v>
      </c>
      <c r="S543" s="332">
        <f>Gasto_o_ing_total!R543*1000/Gasto_o_ing_total!R$485</f>
        <v>-1.0960164277399459E-2</v>
      </c>
      <c r="T543" s="332">
        <f>Gasto_o_ing_total!S543*1000/Gasto_o_ing_total!S$485</f>
        <v>-1.1420904568271179E-2</v>
      </c>
      <c r="U543" s="332">
        <f>Gasto_o_ing_total!T543*1000/Gasto_o_ing_total!T$485</f>
        <v>-1.002498892085061E-2</v>
      </c>
      <c r="V543" s="332">
        <f>Gasto_o_ing_total!U543*1000/Gasto_o_ing_total!U$485</f>
        <v>-8.6985934619931756E-3</v>
      </c>
    </row>
    <row r="544" spans="1:22" s="102" customFormat="1">
      <c r="A544" s="351" t="str">
        <f>IF(B544="","",(IF(ISERROR(MATCH(B544,Tot_res!C:C,0)),"Eliminar!!!","")))</f>
        <v/>
      </c>
      <c r="B544" s="115" t="s">
        <v>460</v>
      </c>
      <c r="C544" s="329" t="str">
        <f>VLOOKUP(B544,Tot_res!C:D,2,FALSE)</f>
        <v>Ingresos financieros, patrimoniales y similares de la Administración Central</v>
      </c>
      <c r="D544" s="332">
        <f>Gasto_o_ing_total!V544*1000/Gasto_o_ing_total!V$485</f>
        <v>433.48730219691117</v>
      </c>
      <c r="E544" s="332">
        <f>Gasto_o_ing_total!D544*1000/Gasto_o_ing_total!D$485</f>
        <v>433.48730219691106</v>
      </c>
      <c r="F544" s="332">
        <f>Gasto_o_ing_total!E544*1000/Gasto_o_ing_total!E$485</f>
        <v>433.48730219691117</v>
      </c>
      <c r="G544" s="332">
        <f>Gasto_o_ing_total!F544*1000/Gasto_o_ing_total!F$485</f>
        <v>433.48730219691112</v>
      </c>
      <c r="H544" s="332">
        <f>Gasto_o_ing_total!G544*1000/Gasto_o_ing_total!G$485</f>
        <v>433.48730219691112</v>
      </c>
      <c r="I544" s="332">
        <f>Gasto_o_ing_total!H544*1000/Gasto_o_ing_total!H$485</f>
        <v>433.48730219691106</v>
      </c>
      <c r="J544" s="332">
        <f>Gasto_o_ing_total!I544*1000/Gasto_o_ing_total!I$485</f>
        <v>433.48730219691112</v>
      </c>
      <c r="K544" s="332">
        <f>Gasto_o_ing_total!J544*1000/Gasto_o_ing_total!J$485</f>
        <v>433.48730219691117</v>
      </c>
      <c r="L544" s="332">
        <f>Gasto_o_ing_total!K544*1000/Gasto_o_ing_total!K$485</f>
        <v>433.48730219691112</v>
      </c>
      <c r="M544" s="332">
        <f>Gasto_o_ing_total!L544*1000/Gasto_o_ing_total!L$485</f>
        <v>433.48730219691117</v>
      </c>
      <c r="N544" s="332">
        <f>Gasto_o_ing_total!M544*1000/Gasto_o_ing_total!M$485</f>
        <v>433.48730219691106</v>
      </c>
      <c r="O544" s="332">
        <f>Gasto_o_ing_total!N544*1000/Gasto_o_ing_total!N$485</f>
        <v>433.48730219691106</v>
      </c>
      <c r="P544" s="332">
        <f>Gasto_o_ing_total!O544*1000/Gasto_o_ing_total!O$485</f>
        <v>433.48730219691106</v>
      </c>
      <c r="Q544" s="332">
        <f>Gasto_o_ing_total!P544*1000/Gasto_o_ing_total!P$485</f>
        <v>433.48730219691112</v>
      </c>
      <c r="R544" s="332">
        <f>Gasto_o_ing_total!Q544*1000/Gasto_o_ing_total!Q$485</f>
        <v>433.48730219691112</v>
      </c>
      <c r="S544" s="332">
        <f>Gasto_o_ing_total!R544*1000/Gasto_o_ing_total!R$485</f>
        <v>433.48730219691106</v>
      </c>
      <c r="T544" s="332">
        <f>Gasto_o_ing_total!S544*1000/Gasto_o_ing_total!S$485</f>
        <v>433.48730219691112</v>
      </c>
      <c r="U544" s="332">
        <f>Gasto_o_ing_total!T544*1000/Gasto_o_ing_total!T$485</f>
        <v>433.48730219691112</v>
      </c>
      <c r="V544" s="332">
        <f>Gasto_o_ing_total!U544*1000/Gasto_o_ing_total!U$485</f>
        <v>433.48730219691112</v>
      </c>
    </row>
    <row r="545" spans="1:22" s="102" customFormat="1">
      <c r="A545" s="351" t="str">
        <f>IF(B545="","",(IF(ISERROR(MATCH(B545,Tot_res!C:C,0)),"Eliminar!!!","")))</f>
        <v/>
      </c>
      <c r="B545" s="115" t="s">
        <v>463</v>
      </c>
      <c r="C545" s="329" t="str">
        <f>VLOOKUP(B545,Tot_res!C:D,2,FALSE)</f>
        <v>Ingresos del Banco de España, BdE</v>
      </c>
      <c r="D545" s="332">
        <f>Gasto_o_ing_total!V545*1000/Gasto_o_ing_total!V$485</f>
        <v>66.120372557103067</v>
      </c>
      <c r="E545" s="332">
        <f>Gasto_o_ing_total!D545*1000/Gasto_o_ing_total!D$485</f>
        <v>66.120372557103067</v>
      </c>
      <c r="F545" s="332">
        <f>Gasto_o_ing_total!E545*1000/Gasto_o_ing_total!E$485</f>
        <v>66.120372557103082</v>
      </c>
      <c r="G545" s="332">
        <f>Gasto_o_ing_total!F545*1000/Gasto_o_ing_total!F$485</f>
        <v>66.120372557103067</v>
      </c>
      <c r="H545" s="332">
        <f>Gasto_o_ing_total!G545*1000/Gasto_o_ing_total!G$485</f>
        <v>66.120372557103067</v>
      </c>
      <c r="I545" s="332">
        <f>Gasto_o_ing_total!H545*1000/Gasto_o_ing_total!H$485</f>
        <v>66.120372557103067</v>
      </c>
      <c r="J545" s="332">
        <f>Gasto_o_ing_total!I545*1000/Gasto_o_ing_total!I$485</f>
        <v>66.120372557103067</v>
      </c>
      <c r="K545" s="332">
        <f>Gasto_o_ing_total!J545*1000/Gasto_o_ing_total!J$485</f>
        <v>66.120372557103082</v>
      </c>
      <c r="L545" s="332">
        <f>Gasto_o_ing_total!K545*1000/Gasto_o_ing_total!K$485</f>
        <v>66.120372557103067</v>
      </c>
      <c r="M545" s="332">
        <f>Gasto_o_ing_total!L545*1000/Gasto_o_ing_total!L$485</f>
        <v>66.120372557103082</v>
      </c>
      <c r="N545" s="332">
        <f>Gasto_o_ing_total!M545*1000/Gasto_o_ing_total!M$485</f>
        <v>66.120372557103067</v>
      </c>
      <c r="O545" s="332">
        <f>Gasto_o_ing_total!N545*1000/Gasto_o_ing_total!N$485</f>
        <v>66.120372557103082</v>
      </c>
      <c r="P545" s="332">
        <f>Gasto_o_ing_total!O545*1000/Gasto_o_ing_total!O$485</f>
        <v>66.120372557103067</v>
      </c>
      <c r="Q545" s="332">
        <f>Gasto_o_ing_total!P545*1000/Gasto_o_ing_total!P$485</f>
        <v>66.120372557103067</v>
      </c>
      <c r="R545" s="332">
        <f>Gasto_o_ing_total!Q545*1000/Gasto_o_ing_total!Q$485</f>
        <v>66.120372557103082</v>
      </c>
      <c r="S545" s="332">
        <f>Gasto_o_ing_total!R545*1000/Gasto_o_ing_total!R$485</f>
        <v>66.120372557103082</v>
      </c>
      <c r="T545" s="332">
        <f>Gasto_o_ing_total!S545*1000/Gasto_o_ing_total!S$485</f>
        <v>66.120372557103067</v>
      </c>
      <c r="U545" s="332">
        <f>Gasto_o_ing_total!T545*1000/Gasto_o_ing_total!T$485</f>
        <v>66.120372557103067</v>
      </c>
      <c r="V545" s="332">
        <f>Gasto_o_ing_total!U545*1000/Gasto_o_ing_total!U$485</f>
        <v>66.120372557103082</v>
      </c>
    </row>
    <row r="546" spans="1:22">
      <c r="A546" s="349" t="s">
        <v>1086</v>
      </c>
      <c r="C546" s="26"/>
      <c r="D546" s="27"/>
      <c r="E546" s="27"/>
      <c r="F546" s="27"/>
      <c r="G546" s="27"/>
      <c r="H546" s="27"/>
      <c r="I546" s="27"/>
      <c r="J546" s="27"/>
      <c r="K546" s="27"/>
      <c r="L546" s="27"/>
      <c r="M546" s="27"/>
      <c r="N546" s="27"/>
      <c r="O546" s="27"/>
      <c r="P546" s="27"/>
      <c r="Q546" s="27"/>
      <c r="R546" s="27"/>
      <c r="S546" s="27"/>
      <c r="T546" s="27"/>
      <c r="U546" s="27"/>
      <c r="V546" s="27"/>
    </row>
    <row r="547" spans="1:22">
      <c r="A547" s="349" t="str">
        <f>IF(B547="","",(IF(ISERROR(MATCH(B547,Tot_res!C:C,0)),"Eliminar!!!","")))</f>
        <v/>
      </c>
      <c r="D547" s="27"/>
      <c r="E547" s="27"/>
      <c r="F547" s="27"/>
      <c r="G547" s="27"/>
      <c r="H547" s="27"/>
      <c r="I547" s="27"/>
      <c r="J547" s="27"/>
      <c r="K547" s="27"/>
      <c r="L547" s="27"/>
      <c r="M547" s="27"/>
      <c r="N547" s="27"/>
      <c r="O547" s="27"/>
      <c r="P547" s="27"/>
      <c r="Q547" s="27"/>
      <c r="R547" s="27"/>
      <c r="S547" s="27"/>
      <c r="T547" s="27"/>
      <c r="U547" s="27"/>
      <c r="V547" s="27"/>
    </row>
    <row r="548" spans="1:22" s="102" customFormat="1">
      <c r="A548" s="349" t="str">
        <f>IF(B548="","",(IF(ISERROR(MATCH(B548,Tot_res!C:C,0)),"Eliminar!!!","")))</f>
        <v/>
      </c>
      <c r="B548" s="115"/>
      <c r="C548" s="103" t="s">
        <v>96</v>
      </c>
      <c r="D548" s="110">
        <f>Gasto_o_ing_total!V548*1000/Gasto_o_ing_total!V$485</f>
        <v>8029.8173825902331</v>
      </c>
      <c r="E548" s="110">
        <f>Gasto_o_ing_total!D548*1000/Gasto_o_ing_total!D$485</f>
        <v>6392.1932606187465</v>
      </c>
      <c r="F548" s="110">
        <f>Gasto_o_ing_total!E548*1000/Gasto_o_ing_total!E$485</f>
        <v>8583.1718575425657</v>
      </c>
      <c r="G548" s="110">
        <f>Gasto_o_ing_total!F548*1000/Gasto_o_ing_total!F$485</f>
        <v>8188.0253100092414</v>
      </c>
      <c r="H548" s="110">
        <f>Gasto_o_ing_total!G548*1000/Gasto_o_ing_total!G$485</f>
        <v>8696.3476000580449</v>
      </c>
      <c r="I548" s="110">
        <f>Gasto_o_ing_total!H548*1000/Gasto_o_ing_total!H$485</f>
        <v>5822.4763258949579</v>
      </c>
      <c r="J548" s="110">
        <f>Gasto_o_ing_total!I548*1000/Gasto_o_ing_total!I$485</f>
        <v>8220.144330423087</v>
      </c>
      <c r="K548" s="110">
        <f>Gasto_o_ing_total!J548*1000/Gasto_o_ing_total!J$485</f>
        <v>7708.1157877711794</v>
      </c>
      <c r="L548" s="110">
        <f>Gasto_o_ing_total!K548*1000/Gasto_o_ing_total!K$485</f>
        <v>6663.1166503187051</v>
      </c>
      <c r="M548" s="110">
        <f>Gasto_o_ing_total!L548*1000/Gasto_o_ing_total!L$485</f>
        <v>9366.6411945829677</v>
      </c>
      <c r="N548" s="110">
        <f>Gasto_o_ing_total!M548*1000/Gasto_o_ing_total!M$485</f>
        <v>7241.6256605717244</v>
      </c>
      <c r="O548" s="110">
        <f>Gasto_o_ing_total!N548*1000/Gasto_o_ing_total!N$485</f>
        <v>6081.4799281153983</v>
      </c>
      <c r="P548" s="110">
        <f>Gasto_o_ing_total!O548*1000/Gasto_o_ing_total!O$485</f>
        <v>7389.3011052040429</v>
      </c>
      <c r="Q548" s="110">
        <f>Gasto_o_ing_total!P548*1000/Gasto_o_ing_total!P$485</f>
        <v>10569.326086145074</v>
      </c>
      <c r="R548" s="110">
        <f>Gasto_o_ing_total!Q548*1000/Gasto_o_ing_total!Q$485</f>
        <v>6663.3855401206711</v>
      </c>
      <c r="S548" s="110">
        <f>Gasto_o_ing_total!R548*1000/Gasto_o_ing_total!R$485</f>
        <v>8946.8645338849674</v>
      </c>
      <c r="T548" s="110">
        <f>Gasto_o_ing_total!S548*1000/Gasto_o_ing_total!S$485</f>
        <v>9616.8697497312605</v>
      </c>
      <c r="U548" s="110">
        <f>Gasto_o_ing_total!T548*1000/Gasto_o_ing_total!T$485</f>
        <v>8241.7517445485464</v>
      </c>
      <c r="V548" s="110">
        <f>Gasto_o_ing_total!U548*1000/Gasto_o_ing_total!U$485</f>
        <v>5481.1875419063326</v>
      </c>
    </row>
    <row r="549" spans="1:22" s="102" customFormat="1">
      <c r="A549" s="349" t="str">
        <f>IF(B549="","",(IF(ISERROR(MATCH(B549,Tot_res!C:C,0)),"Eliminar!!!","")))</f>
        <v/>
      </c>
      <c r="B549" s="115"/>
      <c r="C549" s="103" t="s">
        <v>97</v>
      </c>
      <c r="D549" s="110">
        <f>Gasto_o_ing_total!V549*1000/Gasto_o_ing_total!V$485</f>
        <v>8044.2555584028369</v>
      </c>
      <c r="E549" s="110">
        <f>Gasto_o_ing_total!D549*1000/Gasto_o_ing_total!D$485</f>
        <v>6342.0439242845769</v>
      </c>
      <c r="F549" s="110">
        <f>Gasto_o_ing_total!E549*1000/Gasto_o_ing_total!E$485</f>
        <v>8490.8004114690957</v>
      </c>
      <c r="G549" s="110">
        <f>Gasto_o_ing_total!F549*1000/Gasto_o_ing_total!F$485</f>
        <v>8107.8366286087821</v>
      </c>
      <c r="H549" s="110">
        <f>Gasto_o_ing_total!G549*1000/Gasto_o_ing_total!G$485</f>
        <v>8529.3929725989892</v>
      </c>
      <c r="I549" s="110">
        <f>Gasto_o_ing_total!H549*1000/Gasto_o_ing_total!H$485</f>
        <v>6592.1582354921566</v>
      </c>
      <c r="J549" s="110">
        <f>Gasto_o_ing_total!I549*1000/Gasto_o_ing_total!I$485</f>
        <v>8166.9693289260867</v>
      </c>
      <c r="K549" s="110">
        <f>Gasto_o_ing_total!J549*1000/Gasto_o_ing_total!J$485</f>
        <v>7654.6298776652047</v>
      </c>
      <c r="L549" s="110">
        <f>Gasto_o_ing_total!K549*1000/Gasto_o_ing_total!K$485</f>
        <v>6663.8368177900875</v>
      </c>
      <c r="M549" s="110">
        <f>Gasto_o_ing_total!L549*1000/Gasto_o_ing_total!L$485</f>
        <v>9264.3746550186788</v>
      </c>
      <c r="N549" s="110">
        <f>Gasto_o_ing_total!M549*1000/Gasto_o_ing_total!M$485</f>
        <v>7153.2907583508149</v>
      </c>
      <c r="O549" s="110">
        <f>Gasto_o_ing_total!N549*1000/Gasto_o_ing_total!N$485</f>
        <v>5943.4947517577375</v>
      </c>
      <c r="P549" s="110">
        <f>Gasto_o_ing_total!O549*1000/Gasto_o_ing_total!O$485</f>
        <v>7305.0658450597066</v>
      </c>
      <c r="Q549" s="110">
        <f>Gasto_o_ing_total!P549*1000/Gasto_o_ing_total!P$485</f>
        <v>10642.026267337467</v>
      </c>
      <c r="R549" s="110">
        <f>Gasto_o_ing_total!Q549*1000/Gasto_o_ing_total!Q$485</f>
        <v>6557.6273770528342</v>
      </c>
      <c r="S549" s="110">
        <f>Gasto_o_ing_total!R549*1000/Gasto_o_ing_total!R$485</f>
        <v>9510.251583624542</v>
      </c>
      <c r="T549" s="110">
        <f>Gasto_o_ing_total!S549*1000/Gasto_o_ing_total!S$485</f>
        <v>10007.966673743009</v>
      </c>
      <c r="U549" s="110">
        <f>Gasto_o_ing_total!T549*1000/Gasto_o_ing_total!T$485</f>
        <v>8184.6428088800894</v>
      </c>
      <c r="V549" s="110">
        <f>Gasto_o_ing_total!U549*1000/Gasto_o_ing_total!U$485</f>
        <v>6129.7871001373078</v>
      </c>
    </row>
    <row r="550" spans="1:22" s="102" customFormat="1">
      <c r="A550" s="349"/>
      <c r="B550" s="115"/>
    </row>
    <row r="554" spans="1:22" s="101" customFormat="1">
      <c r="A554" s="349"/>
      <c r="B554" s="9"/>
      <c r="C554"/>
      <c r="D554"/>
      <c r="E554"/>
      <c r="F554"/>
      <c r="G554"/>
    </row>
    <row r="555" spans="1:22" s="101" customFormat="1">
      <c r="A555" s="349"/>
      <c r="B555" s="9"/>
    </row>
    <row r="556" spans="1:22" s="101" customFormat="1">
      <c r="A556" s="349"/>
      <c r="B556" s="9"/>
      <c r="D556" s="302"/>
      <c r="E556" s="302"/>
      <c r="F556" s="302"/>
      <c r="G556" s="302"/>
    </row>
    <row r="557" spans="1:22" s="101" customFormat="1">
      <c r="A557" s="349"/>
      <c r="B557" s="9"/>
      <c r="C557" s="303"/>
      <c r="D557" s="4"/>
      <c r="E557" s="4"/>
      <c r="F557" s="4"/>
      <c r="G557" s="4"/>
    </row>
    <row r="558" spans="1:22" s="101" customFormat="1">
      <c r="A558" s="349"/>
      <c r="B558" s="9"/>
      <c r="C558" s="303"/>
      <c r="D558" s="4"/>
      <c r="E558" s="4"/>
      <c r="F558" s="4"/>
      <c r="G558" s="4"/>
    </row>
    <row r="559" spans="1:22" s="101" customFormat="1">
      <c r="A559" s="349"/>
      <c r="B559" s="9"/>
      <c r="C559" s="303"/>
      <c r="D559" s="4"/>
      <c r="E559" s="4"/>
      <c r="F559" s="4"/>
      <c r="G559"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50"/>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6" customWidth="1"/>
    <col min="3" max="3" width="53.25" customWidth="1"/>
    <col min="4" max="4" width="10" customWidth="1"/>
    <col min="5" max="5" width="14.5" customWidth="1"/>
    <col min="6" max="6" width="12.875" customWidth="1"/>
    <col min="7" max="22" width="9.75" customWidth="1"/>
  </cols>
  <sheetData>
    <row r="1" spans="1:22" s="102" customFormat="1">
      <c r="A1" s="349"/>
    </row>
    <row r="2" spans="1:22" s="102" customFormat="1">
      <c r="A2" s="349"/>
    </row>
    <row r="3" spans="1:22" s="102" customFormat="1">
      <c r="A3" s="349"/>
    </row>
    <row r="4" spans="1:22" s="102" customFormat="1">
      <c r="A4" s="349"/>
    </row>
    <row r="5" spans="1:22" s="102" customFormat="1">
      <c r="A5" s="349"/>
      <c r="C5" s="103" t="s">
        <v>101</v>
      </c>
    </row>
    <row r="6" spans="1:22" s="102" customFormat="1">
      <c r="A6" s="349"/>
      <c r="C6" s="104"/>
      <c r="D6" s="105"/>
      <c r="E6" s="105"/>
      <c r="F6" s="105"/>
      <c r="G6" s="105"/>
      <c r="H6" s="105"/>
      <c r="I6" s="105"/>
      <c r="J6" s="105"/>
      <c r="K6" s="105"/>
      <c r="L6" s="105"/>
      <c r="M6" s="105"/>
      <c r="N6" s="105"/>
      <c r="O6" s="105"/>
      <c r="P6" s="105"/>
      <c r="Q6" s="105"/>
      <c r="R6" s="105"/>
      <c r="S6" s="105"/>
      <c r="T6" s="105"/>
      <c r="U6" s="105"/>
      <c r="V6" s="105"/>
    </row>
    <row r="7" spans="1:22"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c r="A8" s="349"/>
      <c r="C8" s="109" t="s">
        <v>83</v>
      </c>
      <c r="D8" s="110">
        <f>Gasto_o_ing_per_capita!D8*100/Gasto_o_ing_per_capita!$D8</f>
        <v>100</v>
      </c>
      <c r="E8" s="110">
        <f>Gasto_o_ing_per_capita!E8*100/Gasto_o_ing_per_capita!$D8</f>
        <v>100.00000000000001</v>
      </c>
      <c r="F8" s="110">
        <f>Gasto_o_ing_per_capita!F8*100/Gasto_o_ing_per_capita!$D8</f>
        <v>100</v>
      </c>
      <c r="G8" s="110">
        <f>Gasto_o_ing_per_capita!G8*100/Gasto_o_ing_per_capita!$D8</f>
        <v>100.00000000000001</v>
      </c>
      <c r="H8" s="110">
        <f>Gasto_o_ing_per_capita!H8*100/Gasto_o_ing_per_capita!$D8</f>
        <v>100.00000000000001</v>
      </c>
      <c r="I8" s="110">
        <f>Gasto_o_ing_per_capita!I8*100/Gasto_o_ing_per_capita!$D8</f>
        <v>100.00000000000001</v>
      </c>
      <c r="J8" s="110">
        <f>Gasto_o_ing_per_capita!J8*100/Gasto_o_ing_per_capita!$D8</f>
        <v>100</v>
      </c>
      <c r="K8" s="110">
        <f>Gasto_o_ing_per_capita!K8*100/Gasto_o_ing_per_capita!$D8</f>
        <v>100</v>
      </c>
      <c r="L8" s="110">
        <f>Gasto_o_ing_per_capita!L8*100/Gasto_o_ing_per_capita!$D8</f>
        <v>100</v>
      </c>
      <c r="M8" s="110">
        <f>Gasto_o_ing_per_capita!M8*100/Gasto_o_ing_per_capita!$D8</f>
        <v>100</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100.00000000000004</v>
      </c>
      <c r="R8" s="110">
        <f>Gasto_o_ing_per_capita!R8*100/Gasto_o_ing_per_capita!$D8</f>
        <v>100.00000000000004</v>
      </c>
      <c r="S8" s="110">
        <f>Gasto_o_ing_per_capita!S8*100/Gasto_o_ing_per_capita!$D8</f>
        <v>100</v>
      </c>
      <c r="T8" s="110">
        <f>Gasto_o_ing_per_capita!T8*100/Gasto_o_ing_per_capita!$D8</f>
        <v>100</v>
      </c>
      <c r="U8" s="110">
        <f>Gasto_o_ing_per_capita!U8*100/Gasto_o_ing_per_capita!$D8</f>
        <v>100</v>
      </c>
      <c r="V8" s="110">
        <f>Gasto_o_ing_per_capita!V8*100/Gasto_o_ing_per_capita!$D8</f>
        <v>100</v>
      </c>
    </row>
    <row r="9" spans="1:22" s="102" customFormat="1">
      <c r="A9" s="349"/>
      <c r="D9" s="110"/>
      <c r="E9" s="110"/>
      <c r="F9" s="110"/>
      <c r="G9" s="110"/>
      <c r="H9" s="110"/>
      <c r="I9" s="110"/>
      <c r="J9" s="110"/>
      <c r="K9" s="110"/>
      <c r="L9" s="110"/>
      <c r="M9" s="110"/>
      <c r="N9" s="110"/>
      <c r="O9" s="110"/>
      <c r="P9" s="110"/>
      <c r="Q9" s="110"/>
      <c r="R9" s="110"/>
      <c r="S9" s="110"/>
      <c r="T9" s="110"/>
      <c r="U9" s="110"/>
      <c r="V9" s="110"/>
    </row>
    <row r="10" spans="1:22" s="102" customFormat="1" ht="13.5">
      <c r="A10" s="349"/>
      <c r="C10" s="112" t="s">
        <v>32</v>
      </c>
      <c r="D10" s="113">
        <f>Gasto_o_ing_per_capita!D10*100/Gasto_o_ing_per_capita!$D10</f>
        <v>100</v>
      </c>
      <c r="E10" s="113">
        <f>Gasto_o_ing_per_capita!E10*100/Gasto_o_ing_per_capita!$D10</f>
        <v>100</v>
      </c>
      <c r="F10" s="113">
        <f>Gasto_o_ing_per_capita!F10*100/Gasto_o_ing_per_capita!$D10</f>
        <v>100</v>
      </c>
      <c r="G10" s="113">
        <f>Gasto_o_ing_per_capita!G10*100/Gasto_o_ing_per_capita!$D10</f>
        <v>100.00000000000001</v>
      </c>
      <c r="H10" s="113">
        <f>Gasto_o_ing_per_capita!H10*100/Gasto_o_ing_per_capita!$D10</f>
        <v>100.00000000000001</v>
      </c>
      <c r="I10" s="113">
        <f>Gasto_o_ing_per_capita!I10*100/Gasto_o_ing_per_capita!$D10</f>
        <v>100</v>
      </c>
      <c r="J10" s="113">
        <f>Gasto_o_ing_per_capita!J10*100/Gasto_o_ing_per_capita!$D10</f>
        <v>100.00000000000001</v>
      </c>
      <c r="K10" s="113">
        <f>Gasto_o_ing_per_capita!K10*100/Gasto_o_ing_per_capita!$D10</f>
        <v>100</v>
      </c>
      <c r="L10" s="113">
        <f>Gasto_o_ing_per_capita!L10*100/Gasto_o_ing_per_capita!$D10</f>
        <v>100</v>
      </c>
      <c r="M10" s="113">
        <f>Gasto_o_ing_per_capita!M10*100/Gasto_o_ing_per_capita!$D10</f>
        <v>100.00000000000004</v>
      </c>
      <c r="N10" s="113">
        <f>Gasto_o_ing_per_capita!N10*100/Gasto_o_ing_per_capita!$D10</f>
        <v>100.00000000000001</v>
      </c>
      <c r="O10" s="113">
        <f>Gasto_o_ing_per_capita!O10*100/Gasto_o_ing_per_capita!$D10</f>
        <v>100.00000000000001</v>
      </c>
      <c r="P10" s="113">
        <f>Gasto_o_ing_per_capita!P10*100/Gasto_o_ing_per_capita!$D10</f>
        <v>100.00000000000001</v>
      </c>
      <c r="Q10" s="113">
        <f>Gasto_o_ing_per_capita!Q10*100/Gasto_o_ing_per_capita!$D10</f>
        <v>100</v>
      </c>
      <c r="R10" s="113">
        <f>Gasto_o_ing_per_capita!R10*100/Gasto_o_ing_per_capita!$D10</f>
        <v>100.00000000000001</v>
      </c>
      <c r="S10" s="113">
        <f>Gasto_o_ing_per_capita!S10*100/Gasto_o_ing_per_capita!$D10</f>
        <v>100.00000000000001</v>
      </c>
      <c r="T10" s="113">
        <f>Gasto_o_ing_per_capita!T10*100/Gasto_o_ing_per_capita!$D10</f>
        <v>100.00000000000001</v>
      </c>
      <c r="U10" s="113">
        <f>Gasto_o_ing_per_capita!U10*100/Gasto_o_ing_per_capita!$D10</f>
        <v>100</v>
      </c>
      <c r="V10" s="113">
        <f>Gasto_o_ing_per_capita!V10*100/Gasto_o_ing_per_capita!$D10</f>
        <v>100.00000000000001</v>
      </c>
    </row>
    <row r="11" spans="1:22" s="102" customFormat="1">
      <c r="A11" s="351" t="str">
        <f>IF(B11="","",(IF(ISERROR(MATCH(B11,Tot_res!C:C,0)),"Eliminar!!!","")))</f>
        <v/>
      </c>
      <c r="B11" s="115" t="s">
        <v>114</v>
      </c>
      <c r="C11" s="329" t="str">
        <f>VLOOKUP(B11,Tot_res!C:D,2,FALSE)</f>
        <v>Gobierno del poder judicial</v>
      </c>
      <c r="D11" s="332">
        <f>Gasto_o_ing_per_capita!D11*100/Gasto_o_ing_per_capita!$D11</f>
        <v>100</v>
      </c>
      <c r="E11" s="332">
        <f>Gasto_o_ing_per_capita!E11*100/Gasto_o_ing_per_capita!$D11</f>
        <v>99.999999999999986</v>
      </c>
      <c r="F11" s="332">
        <f>Gasto_o_ing_per_capita!F11*100/Gasto_o_ing_per_capita!$D11</f>
        <v>100</v>
      </c>
      <c r="G11" s="332">
        <f>Gasto_o_ing_per_capita!G11*100/Gasto_o_ing_per_capita!$D11</f>
        <v>100</v>
      </c>
      <c r="H11" s="332">
        <f>Gasto_o_ing_per_capita!H11*100/Gasto_o_ing_per_capita!$D11</f>
        <v>100</v>
      </c>
      <c r="I11" s="332">
        <f>Gasto_o_ing_per_capita!I11*100/Gasto_o_ing_per_capita!$D11</f>
        <v>100.00000000000001</v>
      </c>
      <c r="J11" s="332">
        <f>Gasto_o_ing_per_capita!J11*100/Gasto_o_ing_per_capita!$D11</f>
        <v>100.00000000000001</v>
      </c>
      <c r="K11" s="332">
        <f>Gasto_o_ing_per_capita!K11*100/Gasto_o_ing_per_capita!$D11</f>
        <v>100.00000000000001</v>
      </c>
      <c r="L11" s="332">
        <f>Gasto_o_ing_per_capita!L11*100/Gasto_o_ing_per_capita!$D11</f>
        <v>100.00000000000001</v>
      </c>
      <c r="M11" s="332">
        <f>Gasto_o_ing_per_capita!M11*100/Gasto_o_ing_per_capita!$D11</f>
        <v>100.00000000000001</v>
      </c>
      <c r="N11" s="332">
        <f>Gasto_o_ing_per_capita!N11*100/Gasto_o_ing_per_capita!$D11</f>
        <v>100</v>
      </c>
      <c r="O11" s="332">
        <f>Gasto_o_ing_per_capita!O11*100/Gasto_o_ing_per_capita!$D11</f>
        <v>100</v>
      </c>
      <c r="P11" s="332">
        <f>Gasto_o_ing_per_capita!P11*100/Gasto_o_ing_per_capita!$D11</f>
        <v>100</v>
      </c>
      <c r="Q11" s="332">
        <f>Gasto_o_ing_per_capita!Q11*100/Gasto_o_ing_per_capita!$D11</f>
        <v>100</v>
      </c>
      <c r="R11" s="332">
        <f>Gasto_o_ing_per_capita!R11*100/Gasto_o_ing_per_capita!$D11</f>
        <v>100.00000000000001</v>
      </c>
      <c r="S11" s="332">
        <f>Gasto_o_ing_per_capita!S11*100/Gasto_o_ing_per_capita!$D11</f>
        <v>99.999999999999986</v>
      </c>
      <c r="T11" s="332">
        <f>Gasto_o_ing_per_capita!T11*100/Gasto_o_ing_per_capita!$D11</f>
        <v>100</v>
      </c>
      <c r="U11" s="332">
        <f>Gasto_o_ing_per_capita!U11*100/Gasto_o_ing_per_capita!$D11</f>
        <v>100</v>
      </c>
      <c r="V11" s="332">
        <f>Gasto_o_ing_per_capita!V11*100/Gasto_o_ing_per_capita!$D11</f>
        <v>100</v>
      </c>
    </row>
    <row r="12" spans="1:22" s="102" customFormat="1">
      <c r="A12" s="351" t="str">
        <f>IF(B12="","",(IF(ISERROR(MATCH(B12,Tot_res!C:C,0)),"Eliminar!!!","")))</f>
        <v/>
      </c>
      <c r="B12" s="115" t="s">
        <v>115</v>
      </c>
      <c r="C12" s="329" t="str">
        <f>VLOOKUP(B12,Tot_res!C:D,2,FALSE)</f>
        <v>Selección y formación de jueces</v>
      </c>
      <c r="D12" s="332">
        <f>Gasto_o_ing_per_capita!D12*100/Gasto_o_ing_per_capita!$D12</f>
        <v>100</v>
      </c>
      <c r="E12" s="332">
        <f>Gasto_o_ing_per_capita!E12*100/Gasto_o_ing_per_capita!$D12</f>
        <v>99.999999999999986</v>
      </c>
      <c r="F12" s="332">
        <f>Gasto_o_ing_per_capita!F12*100/Gasto_o_ing_per_capita!$D12</f>
        <v>100</v>
      </c>
      <c r="G12" s="332">
        <f>Gasto_o_ing_per_capita!G12*100/Gasto_o_ing_per_capita!$D12</f>
        <v>99.999999999999986</v>
      </c>
      <c r="H12" s="332">
        <f>Gasto_o_ing_per_capita!H12*100/Gasto_o_ing_per_capita!$D12</f>
        <v>100</v>
      </c>
      <c r="I12" s="332">
        <f>Gasto_o_ing_per_capita!I12*100/Gasto_o_ing_per_capita!$D12</f>
        <v>99.999999999999986</v>
      </c>
      <c r="J12" s="332">
        <f>Gasto_o_ing_per_capita!J12*100/Gasto_o_ing_per_capita!$D12</f>
        <v>100</v>
      </c>
      <c r="K12" s="332">
        <f>Gasto_o_ing_per_capita!K12*100/Gasto_o_ing_per_capita!$D12</f>
        <v>100</v>
      </c>
      <c r="L12" s="332">
        <f>Gasto_o_ing_per_capita!L12*100/Gasto_o_ing_per_capita!$D12</f>
        <v>100</v>
      </c>
      <c r="M12" s="332">
        <f>Gasto_o_ing_per_capita!M12*100/Gasto_o_ing_per_capita!$D12</f>
        <v>100</v>
      </c>
      <c r="N12" s="332">
        <f>Gasto_o_ing_per_capita!N12*100/Gasto_o_ing_per_capita!$D12</f>
        <v>100</v>
      </c>
      <c r="O12" s="332">
        <f>Gasto_o_ing_per_capita!O12*100/Gasto_o_ing_per_capita!$D12</f>
        <v>99.999999999999986</v>
      </c>
      <c r="P12" s="332">
        <f>Gasto_o_ing_per_capita!P12*100/Gasto_o_ing_per_capita!$D12</f>
        <v>100</v>
      </c>
      <c r="Q12" s="332">
        <f>Gasto_o_ing_per_capita!Q12*100/Gasto_o_ing_per_capita!$D12</f>
        <v>100</v>
      </c>
      <c r="R12" s="332">
        <f>Gasto_o_ing_per_capita!R12*100/Gasto_o_ing_per_capita!$D12</f>
        <v>100</v>
      </c>
      <c r="S12" s="332">
        <f>Gasto_o_ing_per_capita!S12*100/Gasto_o_ing_per_capita!$D12</f>
        <v>100</v>
      </c>
      <c r="T12" s="332">
        <f>Gasto_o_ing_per_capita!T12*100/Gasto_o_ing_per_capita!$D12</f>
        <v>100</v>
      </c>
      <c r="U12" s="332">
        <f>Gasto_o_ing_per_capita!U12*100/Gasto_o_ing_per_capita!$D12</f>
        <v>100</v>
      </c>
      <c r="V12" s="332">
        <f>Gasto_o_ing_per_capita!V12*100/Gasto_o_ing_per_capita!$D12</f>
        <v>100</v>
      </c>
    </row>
    <row r="13" spans="1:22" s="102" customFormat="1">
      <c r="A13" s="351" t="str">
        <f>IF(B13="","",(IF(ISERROR(MATCH(B13,Tot_res!C:C,0)),"Eliminar!!!","")))</f>
        <v/>
      </c>
      <c r="B13" s="115" t="s">
        <v>116</v>
      </c>
      <c r="C13" s="329" t="str">
        <f>VLOOKUP(B13,Tot_res!C:D,2,FALSE)</f>
        <v>Documentación y publicaciones judiciales</v>
      </c>
      <c r="D13" s="332">
        <f>Gasto_o_ing_per_capita!D13*100/Gasto_o_ing_per_capita!$D13</f>
        <v>100</v>
      </c>
      <c r="E13" s="332">
        <f>Gasto_o_ing_per_capita!E13*100/Gasto_o_ing_per_capita!$D13</f>
        <v>99.999999999999986</v>
      </c>
      <c r="F13" s="332">
        <f>Gasto_o_ing_per_capita!F13*100/Gasto_o_ing_per_capita!$D13</f>
        <v>99.999999999999986</v>
      </c>
      <c r="G13" s="332">
        <f>Gasto_o_ing_per_capita!G13*100/Gasto_o_ing_per_capita!$D13</f>
        <v>100</v>
      </c>
      <c r="H13" s="332">
        <f>Gasto_o_ing_per_capita!H13*100/Gasto_o_ing_per_capita!$D13</f>
        <v>99.999999999999986</v>
      </c>
      <c r="I13" s="332">
        <f>Gasto_o_ing_per_capita!I13*100/Gasto_o_ing_per_capita!$D13</f>
        <v>99.999999999999986</v>
      </c>
      <c r="J13" s="332">
        <f>Gasto_o_ing_per_capita!J13*100/Gasto_o_ing_per_capita!$D13</f>
        <v>99.999999999999986</v>
      </c>
      <c r="K13" s="332">
        <f>Gasto_o_ing_per_capita!K13*100/Gasto_o_ing_per_capita!$D13</f>
        <v>99.999999999999986</v>
      </c>
      <c r="L13" s="332">
        <f>Gasto_o_ing_per_capita!L13*100/Gasto_o_ing_per_capita!$D13</f>
        <v>100</v>
      </c>
      <c r="M13" s="332">
        <f>Gasto_o_ing_per_capita!M13*100/Gasto_o_ing_per_capita!$D13</f>
        <v>100</v>
      </c>
      <c r="N13" s="332">
        <f>Gasto_o_ing_per_capita!N13*100/Gasto_o_ing_per_capita!$D13</f>
        <v>99.999999999999986</v>
      </c>
      <c r="O13" s="332">
        <f>Gasto_o_ing_per_capita!O13*100/Gasto_o_ing_per_capita!$D13</f>
        <v>99.999999999999972</v>
      </c>
      <c r="P13" s="332">
        <f>Gasto_o_ing_per_capita!P13*100/Gasto_o_ing_per_capita!$D13</f>
        <v>99.999999999999986</v>
      </c>
      <c r="Q13" s="332">
        <f>Gasto_o_ing_per_capita!Q13*100/Gasto_o_ing_per_capita!$D13</f>
        <v>99.999999999999986</v>
      </c>
      <c r="R13" s="332">
        <f>Gasto_o_ing_per_capita!R13*100/Gasto_o_ing_per_capita!$D13</f>
        <v>100</v>
      </c>
      <c r="S13" s="332">
        <f>Gasto_o_ing_per_capita!S13*100/Gasto_o_ing_per_capita!$D13</f>
        <v>99.999999999999986</v>
      </c>
      <c r="T13" s="332">
        <f>Gasto_o_ing_per_capita!T13*100/Gasto_o_ing_per_capita!$D13</f>
        <v>99.999999999999986</v>
      </c>
      <c r="U13" s="332">
        <f>Gasto_o_ing_per_capita!U13*100/Gasto_o_ing_per_capita!$D13</f>
        <v>99.999999999999986</v>
      </c>
      <c r="V13" s="332">
        <f>Gasto_o_ing_per_capita!V13*100/Gasto_o_ing_per_capita!$D13</f>
        <v>99.999999999999986</v>
      </c>
    </row>
    <row r="14" spans="1:22" s="102" customFormat="1">
      <c r="A14" s="351" t="str">
        <f>IF(B14="","",(IF(ISERROR(MATCH(B14,Tot_res!C:C,0)),"Eliminar!!!","")))</f>
        <v/>
      </c>
      <c r="B14" s="115" t="s">
        <v>117</v>
      </c>
      <c r="C14" s="329" t="str">
        <f>VLOOKUP(B14,Tot_res!C:D,2,FALSE)</f>
        <v>Jefatura del estado</v>
      </c>
      <c r="D14" s="332">
        <f>Gasto_o_ing_per_capita!D14*100/Gasto_o_ing_per_capita!$D14</f>
        <v>100</v>
      </c>
      <c r="E14" s="332">
        <f>Gasto_o_ing_per_capita!E14*100/Gasto_o_ing_per_capita!$D14</f>
        <v>100</v>
      </c>
      <c r="F14" s="332">
        <f>Gasto_o_ing_per_capita!F14*100/Gasto_o_ing_per_capita!$D14</f>
        <v>100.00000000000003</v>
      </c>
      <c r="G14" s="332">
        <f>Gasto_o_ing_per_capita!G14*100/Gasto_o_ing_per_capita!$D14</f>
        <v>100.00000000000003</v>
      </c>
      <c r="H14" s="332">
        <f>Gasto_o_ing_per_capita!H14*100/Gasto_o_ing_per_capita!$D14</f>
        <v>100.00000000000003</v>
      </c>
      <c r="I14" s="332">
        <f>Gasto_o_ing_per_capita!I14*100/Gasto_o_ing_per_capita!$D14</f>
        <v>100</v>
      </c>
      <c r="J14" s="332">
        <f>Gasto_o_ing_per_capita!J14*100/Gasto_o_ing_per_capita!$D14</f>
        <v>100</v>
      </c>
      <c r="K14" s="332">
        <f>Gasto_o_ing_per_capita!K14*100/Gasto_o_ing_per_capita!$D14</f>
        <v>100.00000000000003</v>
      </c>
      <c r="L14" s="332">
        <f>Gasto_o_ing_per_capita!L14*100/Gasto_o_ing_per_capita!$D14</f>
        <v>100.00000000000003</v>
      </c>
      <c r="M14" s="332">
        <f>Gasto_o_ing_per_capita!M14*100/Gasto_o_ing_per_capita!$D14</f>
        <v>100</v>
      </c>
      <c r="N14" s="332">
        <f>Gasto_o_ing_per_capita!N14*100/Gasto_o_ing_per_capita!$D14</f>
        <v>100.00000000000003</v>
      </c>
      <c r="O14" s="332">
        <f>Gasto_o_ing_per_capita!O14*100/Gasto_o_ing_per_capita!$D14</f>
        <v>100.00000000000003</v>
      </c>
      <c r="P14" s="332">
        <f>Gasto_o_ing_per_capita!P14*100/Gasto_o_ing_per_capita!$D14</f>
        <v>100</v>
      </c>
      <c r="Q14" s="332">
        <f>Gasto_o_ing_per_capita!Q14*100/Gasto_o_ing_per_capita!$D14</f>
        <v>100.00000000000003</v>
      </c>
      <c r="R14" s="332">
        <f>Gasto_o_ing_per_capita!R14*100/Gasto_o_ing_per_capita!$D14</f>
        <v>100.00000000000003</v>
      </c>
      <c r="S14" s="332">
        <f>Gasto_o_ing_per_capita!S14*100/Gasto_o_ing_per_capita!$D14</f>
        <v>100.00000000000003</v>
      </c>
      <c r="T14" s="332">
        <f>Gasto_o_ing_per_capita!T14*100/Gasto_o_ing_per_capita!$D14</f>
        <v>100.00000000000003</v>
      </c>
      <c r="U14" s="332">
        <f>Gasto_o_ing_per_capita!U14*100/Gasto_o_ing_per_capita!$D14</f>
        <v>100.00000000000003</v>
      </c>
      <c r="V14" s="332">
        <f>Gasto_o_ing_per_capita!V14*100/Gasto_o_ing_per_capita!$D14</f>
        <v>100.00000000000003</v>
      </c>
    </row>
    <row r="15" spans="1:22" s="102" customFormat="1">
      <c r="A15" s="351" t="str">
        <f>IF(B15="","",(IF(ISERROR(MATCH(B15,Tot_res!C:C,0)),"Eliminar!!!","")))</f>
        <v/>
      </c>
      <c r="B15" s="115" t="s">
        <v>118</v>
      </c>
      <c r="C15" s="329" t="str">
        <f>VLOOKUP(B15,Tot_res!C:D,2,FALSE)</f>
        <v>Actividad legislativa</v>
      </c>
      <c r="D15" s="332">
        <f>Gasto_o_ing_per_capita!D15*100/Gasto_o_ing_per_capita!$D15</f>
        <v>100</v>
      </c>
      <c r="E15" s="332">
        <f>Gasto_o_ing_per_capita!E15*100/Gasto_o_ing_per_capita!$D15</f>
        <v>100</v>
      </c>
      <c r="F15" s="332">
        <f>Gasto_o_ing_per_capita!F15*100/Gasto_o_ing_per_capita!$D15</f>
        <v>100</v>
      </c>
      <c r="G15" s="332">
        <f>Gasto_o_ing_per_capita!G15*100/Gasto_o_ing_per_capita!$D15</f>
        <v>100</v>
      </c>
      <c r="H15" s="332">
        <f>Gasto_o_ing_per_capita!H15*100/Gasto_o_ing_per_capita!$D15</f>
        <v>100</v>
      </c>
      <c r="I15" s="332">
        <f>Gasto_o_ing_per_capita!I15*100/Gasto_o_ing_per_capita!$D15</f>
        <v>100</v>
      </c>
      <c r="J15" s="332">
        <f>Gasto_o_ing_per_capita!J15*100/Gasto_o_ing_per_capita!$D15</f>
        <v>100</v>
      </c>
      <c r="K15" s="332">
        <f>Gasto_o_ing_per_capita!K15*100/Gasto_o_ing_per_capita!$D15</f>
        <v>100</v>
      </c>
      <c r="L15" s="332">
        <f>Gasto_o_ing_per_capita!L15*100/Gasto_o_ing_per_capita!$D15</f>
        <v>100</v>
      </c>
      <c r="M15" s="332">
        <f>Gasto_o_ing_per_capita!M15*100/Gasto_o_ing_per_capita!$D15</f>
        <v>100.00000000000001</v>
      </c>
      <c r="N15" s="332">
        <f>Gasto_o_ing_per_capita!N15*100/Gasto_o_ing_per_capita!$D15</f>
        <v>100</v>
      </c>
      <c r="O15" s="332">
        <f>Gasto_o_ing_per_capita!O15*100/Gasto_o_ing_per_capita!$D15</f>
        <v>100.00000000000001</v>
      </c>
      <c r="P15" s="332">
        <f>Gasto_o_ing_per_capita!P15*100/Gasto_o_ing_per_capita!$D15</f>
        <v>100</v>
      </c>
      <c r="Q15" s="332">
        <f>Gasto_o_ing_per_capita!Q15*100/Gasto_o_ing_per_capita!$D15</f>
        <v>100</v>
      </c>
      <c r="R15" s="332">
        <f>Gasto_o_ing_per_capita!R15*100/Gasto_o_ing_per_capita!$D15</f>
        <v>100.00000000000001</v>
      </c>
      <c r="S15" s="332">
        <f>Gasto_o_ing_per_capita!S15*100/Gasto_o_ing_per_capita!$D15</f>
        <v>100</v>
      </c>
      <c r="T15" s="332">
        <f>Gasto_o_ing_per_capita!T15*100/Gasto_o_ing_per_capita!$D15</f>
        <v>100</v>
      </c>
      <c r="U15" s="332">
        <f>Gasto_o_ing_per_capita!U15*100/Gasto_o_ing_per_capita!$D15</f>
        <v>100</v>
      </c>
      <c r="V15" s="332">
        <f>Gasto_o_ing_per_capita!V15*100/Gasto_o_ing_per_capita!$D15</f>
        <v>100.00000000000001</v>
      </c>
    </row>
    <row r="16" spans="1:22" s="102" customFormat="1">
      <c r="A16" s="351" t="str">
        <f>IF(B16="","",(IF(ISERROR(MATCH(B16,Tot_res!C:C,0)),"Eliminar!!!","")))</f>
        <v/>
      </c>
      <c r="B16" s="115" t="s">
        <v>120</v>
      </c>
      <c r="C16" s="329" t="str">
        <f>VLOOKUP(B16,Tot_res!C:D,2,FALSE)</f>
        <v>Control externo del sector público</v>
      </c>
      <c r="D16" s="332">
        <f>Gasto_o_ing_per_capita!D16*100/Gasto_o_ing_per_capita!$D16</f>
        <v>100</v>
      </c>
      <c r="E16" s="332">
        <f>Gasto_o_ing_per_capita!E16*100/Gasto_o_ing_per_capita!$D16</f>
        <v>100</v>
      </c>
      <c r="F16" s="332">
        <f>Gasto_o_ing_per_capita!F16*100/Gasto_o_ing_per_capita!$D16</f>
        <v>100</v>
      </c>
      <c r="G16" s="332">
        <f>Gasto_o_ing_per_capita!G16*100/Gasto_o_ing_per_capita!$D16</f>
        <v>100</v>
      </c>
      <c r="H16" s="332">
        <f>Gasto_o_ing_per_capita!H16*100/Gasto_o_ing_per_capita!$D16</f>
        <v>100</v>
      </c>
      <c r="I16" s="332">
        <f>Gasto_o_ing_per_capita!I16*100/Gasto_o_ing_per_capita!$D16</f>
        <v>100</v>
      </c>
      <c r="J16" s="332">
        <f>Gasto_o_ing_per_capita!J16*100/Gasto_o_ing_per_capita!$D16</f>
        <v>100.00000000000001</v>
      </c>
      <c r="K16" s="332">
        <f>Gasto_o_ing_per_capita!K16*100/Gasto_o_ing_per_capita!$D16</f>
        <v>100</v>
      </c>
      <c r="L16" s="332">
        <f>Gasto_o_ing_per_capita!L16*100/Gasto_o_ing_per_capita!$D16</f>
        <v>100</v>
      </c>
      <c r="M16" s="332">
        <f>Gasto_o_ing_per_capita!M16*100/Gasto_o_ing_per_capita!$D16</f>
        <v>100.00000000000001</v>
      </c>
      <c r="N16" s="332">
        <f>Gasto_o_ing_per_capita!N16*100/Gasto_o_ing_per_capita!$D16</f>
        <v>100</v>
      </c>
      <c r="O16" s="332">
        <f>Gasto_o_ing_per_capita!O16*100/Gasto_o_ing_per_capita!$D16</f>
        <v>100.00000000000001</v>
      </c>
      <c r="P16" s="332">
        <f>Gasto_o_ing_per_capita!P16*100/Gasto_o_ing_per_capita!$D16</f>
        <v>100</v>
      </c>
      <c r="Q16" s="332">
        <f>Gasto_o_ing_per_capita!Q16*100/Gasto_o_ing_per_capita!$D16</f>
        <v>100</v>
      </c>
      <c r="R16" s="332">
        <f>Gasto_o_ing_per_capita!R16*100/Gasto_o_ing_per_capita!$D16</f>
        <v>100.00000000000001</v>
      </c>
      <c r="S16" s="332">
        <f>Gasto_o_ing_per_capita!S16*100/Gasto_o_ing_per_capita!$D16</f>
        <v>100</v>
      </c>
      <c r="T16" s="332">
        <f>Gasto_o_ing_per_capita!T16*100/Gasto_o_ing_per_capita!$D16</f>
        <v>100</v>
      </c>
      <c r="U16" s="332">
        <f>Gasto_o_ing_per_capita!U16*100/Gasto_o_ing_per_capita!$D16</f>
        <v>100</v>
      </c>
      <c r="V16" s="332">
        <f>Gasto_o_ing_per_capita!V16*100/Gasto_o_ing_per_capita!$D16</f>
        <v>100</v>
      </c>
    </row>
    <row r="17" spans="1:22" s="102" customFormat="1">
      <c r="A17" s="351" t="str">
        <f>IF(B17="","",(IF(ISERROR(MATCH(B17,Tot_res!C:C,0)),"Eliminar!!!","")))</f>
        <v/>
      </c>
      <c r="B17" s="115" t="s">
        <v>121</v>
      </c>
      <c r="C17" s="329" t="str">
        <f>VLOOKUP(B17,Tot_res!C:D,2,FALSE)</f>
        <v>Control constitucional</v>
      </c>
      <c r="D17" s="332">
        <f>Gasto_o_ing_per_capita!D17*100/Gasto_o_ing_per_capita!$D17</f>
        <v>100</v>
      </c>
      <c r="E17" s="332">
        <f>Gasto_o_ing_per_capita!E17*100/Gasto_o_ing_per_capita!$D17</f>
        <v>99.999999999999986</v>
      </c>
      <c r="F17" s="332">
        <f>Gasto_o_ing_per_capita!F17*100/Gasto_o_ing_per_capita!$D17</f>
        <v>99.999999999999986</v>
      </c>
      <c r="G17" s="332">
        <f>Gasto_o_ing_per_capita!G17*100/Gasto_o_ing_per_capita!$D17</f>
        <v>99.999999999999986</v>
      </c>
      <c r="H17" s="332">
        <f>Gasto_o_ing_per_capita!H17*100/Gasto_o_ing_per_capita!$D17</f>
        <v>99.999999999999986</v>
      </c>
      <c r="I17" s="332">
        <f>Gasto_o_ing_per_capita!I17*100/Gasto_o_ing_per_capita!$D17</f>
        <v>100</v>
      </c>
      <c r="J17" s="332">
        <f>Gasto_o_ing_per_capita!J17*100/Gasto_o_ing_per_capita!$D17</f>
        <v>99.999999999999972</v>
      </c>
      <c r="K17" s="332">
        <f>Gasto_o_ing_per_capita!K17*100/Gasto_o_ing_per_capita!$D17</f>
        <v>99.999999999999957</v>
      </c>
      <c r="L17" s="332">
        <f>Gasto_o_ing_per_capita!L17*100/Gasto_o_ing_per_capita!$D17</f>
        <v>100</v>
      </c>
      <c r="M17" s="332">
        <f>Gasto_o_ing_per_capita!M17*100/Gasto_o_ing_per_capita!$D17</f>
        <v>99.999999999999986</v>
      </c>
      <c r="N17" s="332">
        <f>Gasto_o_ing_per_capita!N17*100/Gasto_o_ing_per_capita!$D17</f>
        <v>99.999999999999986</v>
      </c>
      <c r="O17" s="332">
        <f>Gasto_o_ing_per_capita!O17*100/Gasto_o_ing_per_capita!$D17</f>
        <v>99.999999999999986</v>
      </c>
      <c r="P17" s="332">
        <f>Gasto_o_ing_per_capita!P17*100/Gasto_o_ing_per_capita!$D17</f>
        <v>99.999999999999986</v>
      </c>
      <c r="Q17" s="332">
        <f>Gasto_o_ing_per_capita!Q17*100/Gasto_o_ing_per_capita!$D17</f>
        <v>99.999999999999986</v>
      </c>
      <c r="R17" s="332">
        <f>Gasto_o_ing_per_capita!R17*100/Gasto_o_ing_per_capita!$D17</f>
        <v>99.999999999999986</v>
      </c>
      <c r="S17" s="332">
        <f>Gasto_o_ing_per_capita!S17*100/Gasto_o_ing_per_capita!$D17</f>
        <v>99.999999999999986</v>
      </c>
      <c r="T17" s="332">
        <f>Gasto_o_ing_per_capita!T17*100/Gasto_o_ing_per_capita!$D17</f>
        <v>99.999999999999986</v>
      </c>
      <c r="U17" s="332">
        <f>Gasto_o_ing_per_capita!U17*100/Gasto_o_ing_per_capita!$D17</f>
        <v>99.999999999999986</v>
      </c>
      <c r="V17" s="332">
        <f>Gasto_o_ing_per_capita!V17*100/Gasto_o_ing_per_capita!$D17</f>
        <v>99.999999999999986</v>
      </c>
    </row>
    <row r="18" spans="1:22" s="102" customFormat="1">
      <c r="A18" s="351" t="str">
        <f>IF(B18="","",(IF(ISERROR(MATCH(B18,Tot_res!C:C,0)),"Eliminar!!!","")))</f>
        <v/>
      </c>
      <c r="B18" s="115" t="s">
        <v>122</v>
      </c>
      <c r="C18" s="329" t="str">
        <f>VLOOKUP(B18,Tot_res!C:D,2,FALSE)</f>
        <v>Apoyo a la gestión administrativa de la jefatura del estado</v>
      </c>
      <c r="D18" s="332">
        <f>Gasto_o_ing_per_capita!D18*100/Gasto_o_ing_per_capita!$D18</f>
        <v>100</v>
      </c>
      <c r="E18" s="332">
        <f>Gasto_o_ing_per_capita!E18*100/Gasto_o_ing_per_capita!$D18</f>
        <v>99.999999999999986</v>
      </c>
      <c r="F18" s="332">
        <f>Gasto_o_ing_per_capita!F18*100/Gasto_o_ing_per_capita!$D18</f>
        <v>99.999999999999972</v>
      </c>
      <c r="G18" s="332">
        <f>Gasto_o_ing_per_capita!G18*100/Gasto_o_ing_per_capita!$D18</f>
        <v>99.999999999999986</v>
      </c>
      <c r="H18" s="332">
        <f>Gasto_o_ing_per_capita!H18*100/Gasto_o_ing_per_capita!$D18</f>
        <v>100</v>
      </c>
      <c r="I18" s="332">
        <f>Gasto_o_ing_per_capita!I18*100/Gasto_o_ing_per_capita!$D18</f>
        <v>99.999999999999986</v>
      </c>
      <c r="J18" s="332">
        <f>Gasto_o_ing_per_capita!J18*100/Gasto_o_ing_per_capita!$D18</f>
        <v>99.999999999999972</v>
      </c>
      <c r="K18" s="332">
        <f>Gasto_o_ing_per_capita!K18*100/Gasto_o_ing_per_capita!$D18</f>
        <v>99.999999999999972</v>
      </c>
      <c r="L18" s="332">
        <f>Gasto_o_ing_per_capita!L18*100/Gasto_o_ing_per_capita!$D18</f>
        <v>99.999999999999972</v>
      </c>
      <c r="M18" s="332">
        <f>Gasto_o_ing_per_capita!M18*100/Gasto_o_ing_per_capita!$D18</f>
        <v>99.999999999999986</v>
      </c>
      <c r="N18" s="332">
        <f>Gasto_o_ing_per_capita!N18*100/Gasto_o_ing_per_capita!$D18</f>
        <v>99.999999999999986</v>
      </c>
      <c r="O18" s="332">
        <f>Gasto_o_ing_per_capita!O18*100/Gasto_o_ing_per_capita!$D18</f>
        <v>99.999999999999972</v>
      </c>
      <c r="P18" s="332">
        <f>Gasto_o_ing_per_capita!P18*100/Gasto_o_ing_per_capita!$D18</f>
        <v>99.999999999999986</v>
      </c>
      <c r="Q18" s="332">
        <f>Gasto_o_ing_per_capita!Q18*100/Gasto_o_ing_per_capita!$D18</f>
        <v>99.999999999999986</v>
      </c>
      <c r="R18" s="332">
        <f>Gasto_o_ing_per_capita!R18*100/Gasto_o_ing_per_capita!$D18</f>
        <v>99.999999999999986</v>
      </c>
      <c r="S18" s="332">
        <f>Gasto_o_ing_per_capita!S18*100/Gasto_o_ing_per_capita!$D18</f>
        <v>99.999999999999972</v>
      </c>
      <c r="T18" s="332">
        <f>Gasto_o_ing_per_capita!T18*100/Gasto_o_ing_per_capita!$D18</f>
        <v>99.999999999999972</v>
      </c>
      <c r="U18" s="332">
        <f>Gasto_o_ing_per_capita!U18*100/Gasto_o_ing_per_capita!$D18</f>
        <v>99.999999999999957</v>
      </c>
      <c r="V18" s="332">
        <f>Gasto_o_ing_per_capita!V18*100/Gasto_o_ing_per_capita!$D18</f>
        <v>99.999999999999986</v>
      </c>
    </row>
    <row r="19" spans="1:22" s="102" customFormat="1">
      <c r="A19" s="351" t="str">
        <f>IF(B19="","",(IF(ISERROR(MATCH(B19,Tot_res!C:C,0)),"Eliminar!!!","")))</f>
        <v/>
      </c>
      <c r="B19" s="115" t="s">
        <v>123</v>
      </c>
      <c r="C19" s="329" t="str">
        <f>VLOOKUP(B19,Tot_res!C:D,2,FALSE)</f>
        <v>Presidencia del gobierno</v>
      </c>
      <c r="D19" s="332">
        <f>Gasto_o_ing_per_capita!D19*100/Gasto_o_ing_per_capita!$D19</f>
        <v>100</v>
      </c>
      <c r="E19" s="332">
        <f>Gasto_o_ing_per_capita!E19*100/Gasto_o_ing_per_capita!$D19</f>
        <v>99.999999999999957</v>
      </c>
      <c r="F19" s="332">
        <f>Gasto_o_ing_per_capita!F19*100/Gasto_o_ing_per_capita!$D19</f>
        <v>99.999999999999957</v>
      </c>
      <c r="G19" s="332">
        <f>Gasto_o_ing_per_capita!G19*100/Gasto_o_ing_per_capita!$D19</f>
        <v>99.999999999999986</v>
      </c>
      <c r="H19" s="332">
        <f>Gasto_o_ing_per_capita!H19*100/Gasto_o_ing_per_capita!$D19</f>
        <v>99.999999999999986</v>
      </c>
      <c r="I19" s="332">
        <f>Gasto_o_ing_per_capita!I19*100/Gasto_o_ing_per_capita!$D19</f>
        <v>99.999999999999957</v>
      </c>
      <c r="J19" s="332">
        <f>Gasto_o_ing_per_capita!J19*100/Gasto_o_ing_per_capita!$D19</f>
        <v>99.999999999999986</v>
      </c>
      <c r="K19" s="332">
        <f>Gasto_o_ing_per_capita!K19*100/Gasto_o_ing_per_capita!$D19</f>
        <v>99.999999999999957</v>
      </c>
      <c r="L19" s="332">
        <f>Gasto_o_ing_per_capita!L19*100/Gasto_o_ing_per_capita!$D19</f>
        <v>99.999999999999986</v>
      </c>
      <c r="M19" s="332">
        <f>Gasto_o_ing_per_capita!M19*100/Gasto_o_ing_per_capita!$D19</f>
        <v>99.999999999999957</v>
      </c>
      <c r="N19" s="332">
        <f>Gasto_o_ing_per_capita!N19*100/Gasto_o_ing_per_capita!$D19</f>
        <v>99.999999999999986</v>
      </c>
      <c r="O19" s="332">
        <f>Gasto_o_ing_per_capita!O19*100/Gasto_o_ing_per_capita!$D19</f>
        <v>99.999999999999957</v>
      </c>
      <c r="P19" s="332">
        <f>Gasto_o_ing_per_capita!P19*100/Gasto_o_ing_per_capita!$D19</f>
        <v>99.999999999999957</v>
      </c>
      <c r="Q19" s="332">
        <f>Gasto_o_ing_per_capita!Q19*100/Gasto_o_ing_per_capita!$D19</f>
        <v>99.999999999999986</v>
      </c>
      <c r="R19" s="332">
        <f>Gasto_o_ing_per_capita!R19*100/Gasto_o_ing_per_capita!$D19</f>
        <v>99.999999999999986</v>
      </c>
      <c r="S19" s="332">
        <f>Gasto_o_ing_per_capita!S19*100/Gasto_o_ing_per_capita!$D19</f>
        <v>99.999999999999957</v>
      </c>
      <c r="T19" s="332">
        <f>Gasto_o_ing_per_capita!T19*100/Gasto_o_ing_per_capita!$D19</f>
        <v>99.999999999999986</v>
      </c>
      <c r="U19" s="332">
        <f>Gasto_o_ing_per_capita!U19*100/Gasto_o_ing_per_capita!$D19</f>
        <v>99.999999999999986</v>
      </c>
      <c r="V19" s="332">
        <f>Gasto_o_ing_per_capita!V19*100/Gasto_o_ing_per_capita!$D19</f>
        <v>99.999999999999986</v>
      </c>
    </row>
    <row r="20" spans="1:22" s="102" customFormat="1">
      <c r="A20" s="351" t="str">
        <f>IF(B20="","",(IF(ISERROR(MATCH(B20,Tot_res!C:C,0)),"Eliminar!!!","")))</f>
        <v/>
      </c>
      <c r="B20" s="115" t="s">
        <v>124</v>
      </c>
      <c r="C20" s="329" t="str">
        <f>VLOOKUP(B20,Tot_res!C:D,2,FALSE)</f>
        <v>Alto asesoramiento del estado</v>
      </c>
      <c r="D20" s="332">
        <f>Gasto_o_ing_per_capita!D20*100/Gasto_o_ing_per_capita!$D20</f>
        <v>100</v>
      </c>
      <c r="E20" s="332">
        <f>Gasto_o_ing_per_capita!E20*100/Gasto_o_ing_per_capita!$D20</f>
        <v>99.999999999999972</v>
      </c>
      <c r="F20" s="332">
        <f>Gasto_o_ing_per_capita!F20*100/Gasto_o_ing_per_capita!$D20</f>
        <v>100</v>
      </c>
      <c r="G20" s="332">
        <f>Gasto_o_ing_per_capita!G20*100/Gasto_o_ing_per_capita!$D20</f>
        <v>100</v>
      </c>
      <c r="H20" s="332">
        <f>Gasto_o_ing_per_capita!H20*100/Gasto_o_ing_per_capita!$D20</f>
        <v>99.999999999999972</v>
      </c>
      <c r="I20" s="332">
        <f>Gasto_o_ing_per_capita!I20*100/Gasto_o_ing_per_capita!$D20</f>
        <v>100</v>
      </c>
      <c r="J20" s="332">
        <f>Gasto_o_ing_per_capita!J20*100/Gasto_o_ing_per_capita!$D20</f>
        <v>100</v>
      </c>
      <c r="K20" s="332">
        <f>Gasto_o_ing_per_capita!K20*100/Gasto_o_ing_per_capita!$D20</f>
        <v>100</v>
      </c>
      <c r="L20" s="332">
        <f>Gasto_o_ing_per_capita!L20*100/Gasto_o_ing_per_capita!$D20</f>
        <v>100</v>
      </c>
      <c r="M20" s="332">
        <f>Gasto_o_ing_per_capita!M20*100/Gasto_o_ing_per_capita!$D20</f>
        <v>100</v>
      </c>
      <c r="N20" s="332">
        <f>Gasto_o_ing_per_capita!N20*100/Gasto_o_ing_per_capita!$D20</f>
        <v>100</v>
      </c>
      <c r="O20" s="332">
        <f>Gasto_o_ing_per_capita!O20*100/Gasto_o_ing_per_capita!$D20</f>
        <v>100</v>
      </c>
      <c r="P20" s="332">
        <f>Gasto_o_ing_per_capita!P20*100/Gasto_o_ing_per_capita!$D20</f>
        <v>99.999999999999972</v>
      </c>
      <c r="Q20" s="332">
        <f>Gasto_o_ing_per_capita!Q20*100/Gasto_o_ing_per_capita!$D20</f>
        <v>99.999999999999972</v>
      </c>
      <c r="R20" s="332">
        <f>Gasto_o_ing_per_capita!R20*100/Gasto_o_ing_per_capita!$D20</f>
        <v>100</v>
      </c>
      <c r="S20" s="332">
        <f>Gasto_o_ing_per_capita!S20*100/Gasto_o_ing_per_capita!$D20</f>
        <v>100</v>
      </c>
      <c r="T20" s="332">
        <f>Gasto_o_ing_per_capita!T20*100/Gasto_o_ing_per_capita!$D20</f>
        <v>100</v>
      </c>
      <c r="U20" s="332">
        <f>Gasto_o_ing_per_capita!U20*100/Gasto_o_ing_per_capita!$D20</f>
        <v>100</v>
      </c>
      <c r="V20" s="332">
        <f>Gasto_o_ing_per_capita!V20*100/Gasto_o_ing_per_capita!$D20</f>
        <v>100</v>
      </c>
    </row>
    <row r="21" spans="1:22"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Gasto_o_ing_per_capita!D21*100/Gasto_o_ing_per_capita!$D21</f>
        <v>100.00000000000001</v>
      </c>
      <c r="E21" s="332">
        <f>Gasto_o_ing_per_capita!E21*100/Gasto_o_ing_per_capita!$D21</f>
        <v>100.00000000000001</v>
      </c>
      <c r="F21" s="332">
        <f>Gasto_o_ing_per_capita!F21*100/Gasto_o_ing_per_capita!$D21</f>
        <v>100.00000000000001</v>
      </c>
      <c r="G21" s="332">
        <f>Gasto_o_ing_per_capita!G21*100/Gasto_o_ing_per_capita!$D21</f>
        <v>100.00000000000003</v>
      </c>
      <c r="H21" s="332">
        <f>Gasto_o_ing_per_capita!H21*100/Gasto_o_ing_per_capita!$D21</f>
        <v>100.00000000000001</v>
      </c>
      <c r="I21" s="332">
        <f>Gasto_o_ing_per_capita!I21*100/Gasto_o_ing_per_capita!$D21</f>
        <v>100.00000000000001</v>
      </c>
      <c r="J21" s="332">
        <f>Gasto_o_ing_per_capita!J21*100/Gasto_o_ing_per_capita!$D21</f>
        <v>100.00000000000001</v>
      </c>
      <c r="K21" s="332">
        <f>Gasto_o_ing_per_capita!K21*100/Gasto_o_ing_per_capita!$D21</f>
        <v>100.00000000000003</v>
      </c>
      <c r="L21" s="332">
        <f>Gasto_o_ing_per_capita!L21*100/Gasto_o_ing_per_capita!$D21</f>
        <v>100.00000000000003</v>
      </c>
      <c r="M21" s="332">
        <f>Gasto_o_ing_per_capita!M21*100/Gasto_o_ing_per_capita!$D21</f>
        <v>100.00000000000003</v>
      </c>
      <c r="N21" s="332">
        <f>Gasto_o_ing_per_capita!N21*100/Gasto_o_ing_per_capita!$D21</f>
        <v>100.00000000000003</v>
      </c>
      <c r="O21" s="332">
        <f>Gasto_o_ing_per_capita!O21*100/Gasto_o_ing_per_capita!$D21</f>
        <v>100.00000000000001</v>
      </c>
      <c r="P21" s="332">
        <f>Gasto_o_ing_per_capita!P21*100/Gasto_o_ing_per_capita!$D21</f>
        <v>100.00000000000003</v>
      </c>
      <c r="Q21" s="332">
        <f>Gasto_o_ing_per_capita!Q21*100/Gasto_o_ing_per_capita!$D21</f>
        <v>100.00000000000001</v>
      </c>
      <c r="R21" s="332">
        <f>Gasto_o_ing_per_capita!R21*100/Gasto_o_ing_per_capita!$D21</f>
        <v>100.00000000000001</v>
      </c>
      <c r="S21" s="332">
        <f>Gasto_o_ing_per_capita!S21*100/Gasto_o_ing_per_capita!$D21</f>
        <v>100.00000000000001</v>
      </c>
      <c r="T21" s="332">
        <f>Gasto_o_ing_per_capita!T21*100/Gasto_o_ing_per_capita!$D21</f>
        <v>100.00000000000001</v>
      </c>
      <c r="U21" s="332">
        <f>Gasto_o_ing_per_capita!U21*100/Gasto_o_ing_per_capita!$D21</f>
        <v>100.00000000000001</v>
      </c>
      <c r="V21" s="332">
        <f>Gasto_o_ing_per_capita!V21*100/Gasto_o_ing_per_capita!$D21</f>
        <v>100.00000000000003</v>
      </c>
    </row>
    <row r="22" spans="1:22" s="102" customFormat="1">
      <c r="A22" s="351" t="str">
        <f>IF(B22="","",(IF(ISERROR(MATCH(B22,Tot_res!C:C,0)),"Eliminar!!!","")))</f>
        <v/>
      </c>
      <c r="B22" s="115" t="s">
        <v>126</v>
      </c>
      <c r="C22" s="329" t="str">
        <f>VLOOKUP(B22,Tot_res!C:D,2,FALSE)</f>
        <v>Asesoramiento del gobierno en materia social, económica y laboral</v>
      </c>
      <c r="D22" s="332">
        <f>Gasto_o_ing_per_capita!D22*100/Gasto_o_ing_per_capita!$D22</f>
        <v>100</v>
      </c>
      <c r="E22" s="332">
        <f>Gasto_o_ing_per_capita!E22*100/Gasto_o_ing_per_capita!$D22</f>
        <v>100.00000000000003</v>
      </c>
      <c r="F22" s="332">
        <f>Gasto_o_ing_per_capita!F22*100/Gasto_o_ing_per_capita!$D22</f>
        <v>100.00000000000003</v>
      </c>
      <c r="G22" s="332">
        <f>Gasto_o_ing_per_capita!G22*100/Gasto_o_ing_per_capita!$D22</f>
        <v>100.00000000000003</v>
      </c>
      <c r="H22" s="332">
        <f>Gasto_o_ing_per_capita!H22*100/Gasto_o_ing_per_capita!$D22</f>
        <v>100.00000000000003</v>
      </c>
      <c r="I22" s="332">
        <f>Gasto_o_ing_per_capita!I22*100/Gasto_o_ing_per_capita!$D22</f>
        <v>100.00000000000003</v>
      </c>
      <c r="J22" s="332">
        <f>Gasto_o_ing_per_capita!J22*100/Gasto_o_ing_per_capita!$D22</f>
        <v>100.00000000000003</v>
      </c>
      <c r="K22" s="332">
        <f>Gasto_o_ing_per_capita!K22*100/Gasto_o_ing_per_capita!$D22</f>
        <v>100.00000000000003</v>
      </c>
      <c r="L22" s="332">
        <f>Gasto_o_ing_per_capita!L22*100/Gasto_o_ing_per_capita!$D22</f>
        <v>100.00000000000003</v>
      </c>
      <c r="M22" s="332">
        <f>Gasto_o_ing_per_capita!M22*100/Gasto_o_ing_per_capita!$D22</f>
        <v>100.00000000000003</v>
      </c>
      <c r="N22" s="332">
        <f>Gasto_o_ing_per_capita!N22*100/Gasto_o_ing_per_capita!$D22</f>
        <v>100.00000000000003</v>
      </c>
      <c r="O22" s="332">
        <f>Gasto_o_ing_per_capita!O22*100/Gasto_o_ing_per_capita!$D22</f>
        <v>100.00000000000003</v>
      </c>
      <c r="P22" s="332">
        <f>Gasto_o_ing_per_capita!P22*100/Gasto_o_ing_per_capita!$D22</f>
        <v>100.00000000000003</v>
      </c>
      <c r="Q22" s="332">
        <f>Gasto_o_ing_per_capita!Q22*100/Gasto_o_ing_per_capita!$D22</f>
        <v>100.00000000000003</v>
      </c>
      <c r="R22" s="332">
        <f>Gasto_o_ing_per_capita!R22*100/Gasto_o_ing_per_capita!$D22</f>
        <v>100.00000000000003</v>
      </c>
      <c r="S22" s="332">
        <f>Gasto_o_ing_per_capita!S22*100/Gasto_o_ing_per_capita!$D22</f>
        <v>100.00000000000003</v>
      </c>
      <c r="T22" s="332">
        <f>Gasto_o_ing_per_capita!T22*100/Gasto_o_ing_per_capita!$D22</f>
        <v>100.00000000000003</v>
      </c>
      <c r="U22" s="332">
        <f>Gasto_o_ing_per_capita!U22*100/Gasto_o_ing_per_capita!$D22</f>
        <v>100.00000000000003</v>
      </c>
      <c r="V22" s="332">
        <f>Gasto_o_ing_per_capita!V22*100/Gasto_o_ing_per_capita!$D22</f>
        <v>100.00000000000003</v>
      </c>
    </row>
    <row r="23" spans="1:22" s="102" customFormat="1">
      <c r="A23" s="351" t="str">
        <f>IF(B23="","",(IF(ISERROR(MATCH(B23,Tot_res!C:C,0)),"Eliminar!!!","")))</f>
        <v/>
      </c>
      <c r="B23" s="115" t="s">
        <v>127</v>
      </c>
      <c r="C23" s="329" t="str">
        <f>VLOOKUP(B23,Tot_res!C:D,2,FALSE)</f>
        <v>Cobertura informativa</v>
      </c>
      <c r="D23" s="332">
        <f>Gasto_o_ing_per_capita!D23*100/Gasto_o_ing_per_capita!$D23</f>
        <v>100</v>
      </c>
      <c r="E23" s="332">
        <f>Gasto_o_ing_per_capita!E23*100/Gasto_o_ing_per_capita!$D23</f>
        <v>100.00000000000003</v>
      </c>
      <c r="F23" s="332">
        <f>Gasto_o_ing_per_capita!F23*100/Gasto_o_ing_per_capita!$D23</f>
        <v>100.00000000000003</v>
      </c>
      <c r="G23" s="332">
        <f>Gasto_o_ing_per_capita!G23*100/Gasto_o_ing_per_capita!$D23</f>
        <v>100.00000000000003</v>
      </c>
      <c r="H23" s="332">
        <f>Gasto_o_ing_per_capita!H23*100/Gasto_o_ing_per_capita!$D23</f>
        <v>100.00000000000003</v>
      </c>
      <c r="I23" s="332">
        <f>Gasto_o_ing_per_capita!I23*100/Gasto_o_ing_per_capita!$D23</f>
        <v>100</v>
      </c>
      <c r="J23" s="332">
        <f>Gasto_o_ing_per_capita!J23*100/Gasto_o_ing_per_capita!$D23</f>
        <v>100.00000000000003</v>
      </c>
      <c r="K23" s="332">
        <f>Gasto_o_ing_per_capita!K23*100/Gasto_o_ing_per_capita!$D23</f>
        <v>100.00000000000003</v>
      </c>
      <c r="L23" s="332">
        <f>Gasto_o_ing_per_capita!L23*100/Gasto_o_ing_per_capita!$D23</f>
        <v>100.00000000000003</v>
      </c>
      <c r="M23" s="332">
        <f>Gasto_o_ing_per_capita!M23*100/Gasto_o_ing_per_capita!$D23</f>
        <v>100.00000000000003</v>
      </c>
      <c r="N23" s="332">
        <f>Gasto_o_ing_per_capita!N23*100/Gasto_o_ing_per_capita!$D23</f>
        <v>100.00000000000003</v>
      </c>
      <c r="O23" s="332">
        <f>Gasto_o_ing_per_capita!O23*100/Gasto_o_ing_per_capita!$D23</f>
        <v>100.00000000000003</v>
      </c>
      <c r="P23" s="332">
        <f>Gasto_o_ing_per_capita!P23*100/Gasto_o_ing_per_capita!$D23</f>
        <v>100</v>
      </c>
      <c r="Q23" s="332">
        <f>Gasto_o_ing_per_capita!Q23*100/Gasto_o_ing_per_capita!$D23</f>
        <v>100.00000000000003</v>
      </c>
      <c r="R23" s="332">
        <f>Gasto_o_ing_per_capita!R23*100/Gasto_o_ing_per_capita!$D23</f>
        <v>100.00000000000003</v>
      </c>
      <c r="S23" s="332">
        <f>Gasto_o_ing_per_capita!S23*100/Gasto_o_ing_per_capita!$D23</f>
        <v>100.00000000000003</v>
      </c>
      <c r="T23" s="332">
        <f>Gasto_o_ing_per_capita!T23*100/Gasto_o_ing_per_capita!$D23</f>
        <v>100.00000000000003</v>
      </c>
      <c r="U23" s="332">
        <f>Gasto_o_ing_per_capita!U23*100/Gasto_o_ing_per_capita!$D23</f>
        <v>100</v>
      </c>
      <c r="V23" s="332">
        <f>Gasto_o_ing_per_capita!V23*100/Gasto_o_ing_per_capita!$D23</f>
        <v>100.00000000000003</v>
      </c>
    </row>
    <row r="24" spans="1:22" s="102" customFormat="1">
      <c r="A24" s="352"/>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5">
      <c r="A25" s="352"/>
      <c r="B25" s="115"/>
      <c r="C25" s="117" t="s">
        <v>47</v>
      </c>
      <c r="D25" s="113">
        <f>Gasto_o_ing_per_capita!D25*100/Gasto_o_ing_per_capita!$D25</f>
        <v>100</v>
      </c>
      <c r="E25" s="113">
        <f>Gasto_o_ing_per_capita!E25*100/Gasto_o_ing_per_capita!$D25</f>
        <v>100</v>
      </c>
      <c r="F25" s="113">
        <f>Gasto_o_ing_per_capita!F25*100/Gasto_o_ing_per_capita!$D25</f>
        <v>100.00000000000001</v>
      </c>
      <c r="G25" s="113">
        <f>Gasto_o_ing_per_capita!G25*100/Gasto_o_ing_per_capita!$D25</f>
        <v>100</v>
      </c>
      <c r="H25" s="113">
        <f>Gasto_o_ing_per_capita!H25*100/Gasto_o_ing_per_capita!$D25</f>
        <v>100.00000000000001</v>
      </c>
      <c r="I25" s="113">
        <f>Gasto_o_ing_per_capita!I25*100/Gasto_o_ing_per_capita!$D25</f>
        <v>100.00000000000001</v>
      </c>
      <c r="J25" s="113">
        <f>Gasto_o_ing_per_capita!J25*100/Gasto_o_ing_per_capita!$D25</f>
        <v>100</v>
      </c>
      <c r="K25" s="113">
        <f>Gasto_o_ing_per_capita!K25*100/Gasto_o_ing_per_capita!$D25</f>
        <v>100</v>
      </c>
      <c r="L25" s="113">
        <f>Gasto_o_ing_per_capita!L25*100/Gasto_o_ing_per_capita!$D25</f>
        <v>100.00000000000001</v>
      </c>
      <c r="M25" s="113">
        <f>Gasto_o_ing_per_capita!M25*100/Gasto_o_ing_per_capita!$D25</f>
        <v>100</v>
      </c>
      <c r="N25" s="113">
        <f>Gasto_o_ing_per_capita!N25*100/Gasto_o_ing_per_capita!$D25</f>
        <v>100.00000000000001</v>
      </c>
      <c r="O25" s="113">
        <f>Gasto_o_ing_per_capita!O25*100/Gasto_o_ing_per_capita!$D25</f>
        <v>100.00000000000001</v>
      </c>
      <c r="P25" s="113">
        <f>Gasto_o_ing_per_capita!P25*100/Gasto_o_ing_per_capita!$D25</f>
        <v>100.00000000000004</v>
      </c>
      <c r="Q25" s="113">
        <f>Gasto_o_ing_per_capita!Q25*100/Gasto_o_ing_per_capita!$D25</f>
        <v>100.00000000000001</v>
      </c>
      <c r="R25" s="113">
        <f>Gasto_o_ing_per_capita!R25*100/Gasto_o_ing_per_capita!$D25</f>
        <v>100.00000000000001</v>
      </c>
      <c r="S25" s="113">
        <f>Gasto_o_ing_per_capita!S25*100/Gasto_o_ing_per_capita!$D25</f>
        <v>100</v>
      </c>
      <c r="T25" s="113">
        <f>Gasto_o_ing_per_capita!T25*100/Gasto_o_ing_per_capita!$D25</f>
        <v>100</v>
      </c>
      <c r="U25" s="113">
        <f>Gasto_o_ing_per_capita!U25*100/Gasto_o_ing_per_capita!$D25</f>
        <v>100.00000000000001</v>
      </c>
      <c r="V25" s="113">
        <f>Gasto_o_ing_per_capita!V25*100/Gasto_o_ing_per_capita!$D25</f>
        <v>100.00000000000001</v>
      </c>
    </row>
    <row r="26" spans="1:22" s="102" customFormat="1">
      <c r="A26" s="351" t="str">
        <f>IF(B26="","",(IF(ISERROR(MATCH(B26,Tot_res!C:C,0)),"Eliminar!!!","")))</f>
        <v/>
      </c>
      <c r="B26" s="115" t="s">
        <v>129</v>
      </c>
      <c r="C26" s="329" t="str">
        <f>VLOOKUP(B26,Tot_res!C:D,2,FALSE)</f>
        <v>Dirección y servicios generales de asuntos exteriores</v>
      </c>
      <c r="D26" s="332">
        <f>Gasto_o_ing_per_capita!D26*100/Gasto_o_ing_per_capita!$D26</f>
        <v>100</v>
      </c>
      <c r="E26" s="332">
        <f>Gasto_o_ing_per_capita!E26*100/Gasto_o_ing_per_capita!$D26</f>
        <v>100.00000000000003</v>
      </c>
      <c r="F26" s="332">
        <f>Gasto_o_ing_per_capita!F26*100/Gasto_o_ing_per_capita!$D26</f>
        <v>100.00000000000003</v>
      </c>
      <c r="G26" s="332">
        <f>Gasto_o_ing_per_capita!G26*100/Gasto_o_ing_per_capita!$D26</f>
        <v>100.00000000000003</v>
      </c>
      <c r="H26" s="332">
        <f>Gasto_o_ing_per_capita!H26*100/Gasto_o_ing_per_capita!$D26</f>
        <v>100.00000000000003</v>
      </c>
      <c r="I26" s="332">
        <f>Gasto_o_ing_per_capita!I26*100/Gasto_o_ing_per_capita!$D26</f>
        <v>100.00000000000003</v>
      </c>
      <c r="J26" s="332">
        <f>Gasto_o_ing_per_capita!J26*100/Gasto_o_ing_per_capita!$D26</f>
        <v>100.00000000000004</v>
      </c>
      <c r="K26" s="332">
        <f>Gasto_o_ing_per_capita!K26*100/Gasto_o_ing_per_capita!$D26</f>
        <v>100.00000000000003</v>
      </c>
      <c r="L26" s="332">
        <f>Gasto_o_ing_per_capita!L26*100/Gasto_o_ing_per_capita!$D26</f>
        <v>100.00000000000003</v>
      </c>
      <c r="M26" s="332">
        <f>Gasto_o_ing_per_capita!M26*100/Gasto_o_ing_per_capita!$D26</f>
        <v>100.00000000000004</v>
      </c>
      <c r="N26" s="332">
        <f>Gasto_o_ing_per_capita!N26*100/Gasto_o_ing_per_capita!$D26</f>
        <v>100.00000000000004</v>
      </c>
      <c r="O26" s="332">
        <f>Gasto_o_ing_per_capita!O26*100/Gasto_o_ing_per_capita!$D26</f>
        <v>100.00000000000003</v>
      </c>
      <c r="P26" s="332">
        <f>Gasto_o_ing_per_capita!P26*100/Gasto_o_ing_per_capita!$D26</f>
        <v>100.00000000000003</v>
      </c>
      <c r="Q26" s="332">
        <f>Gasto_o_ing_per_capita!Q26*100/Gasto_o_ing_per_capita!$D26</f>
        <v>100.00000000000003</v>
      </c>
      <c r="R26" s="332">
        <f>Gasto_o_ing_per_capita!R26*100/Gasto_o_ing_per_capita!$D26</f>
        <v>100.00000000000003</v>
      </c>
      <c r="S26" s="332">
        <f>Gasto_o_ing_per_capita!S26*100/Gasto_o_ing_per_capita!$D26</f>
        <v>100.00000000000003</v>
      </c>
      <c r="T26" s="332">
        <f>Gasto_o_ing_per_capita!T26*100/Gasto_o_ing_per_capita!$D26</f>
        <v>100.00000000000003</v>
      </c>
      <c r="U26" s="332">
        <f>Gasto_o_ing_per_capita!U26*100/Gasto_o_ing_per_capita!$D26</f>
        <v>100.00000000000004</v>
      </c>
      <c r="V26" s="332">
        <f>Gasto_o_ing_per_capita!V26*100/Gasto_o_ing_per_capita!$D26</f>
        <v>100.00000000000004</v>
      </c>
    </row>
    <row r="27" spans="1:22" s="102" customFormat="1">
      <c r="A27" s="351" t="str">
        <f>IF(B27="","",(IF(ISERROR(MATCH(B27,Tot_res!C:C,0)),"Eliminar!!!","")))</f>
        <v/>
      </c>
      <c r="B27" s="115" t="s">
        <v>130</v>
      </c>
      <c r="C27" s="329" t="str">
        <f>VLOOKUP(B27,Tot_res!C:D,2,FALSE)</f>
        <v>Acción del estado en el exterior</v>
      </c>
      <c r="D27" s="332">
        <f>Gasto_o_ing_per_capita!D27*100/Gasto_o_ing_per_capita!$D27</f>
        <v>100</v>
      </c>
      <c r="E27" s="332">
        <f>Gasto_o_ing_per_capita!E27*100/Gasto_o_ing_per_capita!$D27</f>
        <v>100.00000000000001</v>
      </c>
      <c r="F27" s="332">
        <f>Gasto_o_ing_per_capita!F27*100/Gasto_o_ing_per_capita!$D27</f>
        <v>100.00000000000001</v>
      </c>
      <c r="G27" s="332">
        <f>Gasto_o_ing_per_capita!G27*100/Gasto_o_ing_per_capita!$D27</f>
        <v>100.00000000000003</v>
      </c>
      <c r="H27" s="332">
        <f>Gasto_o_ing_per_capita!H27*100/Gasto_o_ing_per_capita!$D27</f>
        <v>100.00000000000003</v>
      </c>
      <c r="I27" s="332">
        <f>Gasto_o_ing_per_capita!I27*100/Gasto_o_ing_per_capita!$D27</f>
        <v>100.00000000000001</v>
      </c>
      <c r="J27" s="332">
        <f>Gasto_o_ing_per_capita!J27*100/Gasto_o_ing_per_capita!$D27</f>
        <v>100.00000000000001</v>
      </c>
      <c r="K27" s="332">
        <f>Gasto_o_ing_per_capita!K27*100/Gasto_o_ing_per_capita!$D27</f>
        <v>100</v>
      </c>
      <c r="L27" s="332">
        <f>Gasto_o_ing_per_capita!L27*100/Gasto_o_ing_per_capita!$D27</f>
        <v>100.00000000000001</v>
      </c>
      <c r="M27" s="332">
        <f>Gasto_o_ing_per_capita!M27*100/Gasto_o_ing_per_capita!$D27</f>
        <v>100.00000000000003</v>
      </c>
      <c r="N27" s="332">
        <f>Gasto_o_ing_per_capita!N27*100/Gasto_o_ing_per_capita!$D27</f>
        <v>100.00000000000003</v>
      </c>
      <c r="O27" s="332">
        <f>Gasto_o_ing_per_capita!O27*100/Gasto_o_ing_per_capita!$D27</f>
        <v>100.00000000000001</v>
      </c>
      <c r="P27" s="332">
        <f>Gasto_o_ing_per_capita!P27*100/Gasto_o_ing_per_capita!$D27</f>
        <v>100.00000000000001</v>
      </c>
      <c r="Q27" s="332">
        <f>Gasto_o_ing_per_capita!Q27*100/Gasto_o_ing_per_capita!$D27</f>
        <v>100.00000000000001</v>
      </c>
      <c r="R27" s="332">
        <f>Gasto_o_ing_per_capita!R27*100/Gasto_o_ing_per_capita!$D27</f>
        <v>100.00000000000003</v>
      </c>
      <c r="S27" s="332">
        <f>Gasto_o_ing_per_capita!S27*100/Gasto_o_ing_per_capita!$D27</f>
        <v>100.00000000000001</v>
      </c>
      <c r="T27" s="332">
        <f>Gasto_o_ing_per_capita!T27*100/Gasto_o_ing_per_capita!$D27</f>
        <v>100.00000000000001</v>
      </c>
      <c r="U27" s="332">
        <f>Gasto_o_ing_per_capita!U27*100/Gasto_o_ing_per_capita!$D27</f>
        <v>100.00000000000001</v>
      </c>
      <c r="V27" s="332">
        <f>Gasto_o_ing_per_capita!V27*100/Gasto_o_ing_per_capita!$D27</f>
        <v>100.00000000000003</v>
      </c>
    </row>
    <row r="28" spans="1:22" s="102" customFormat="1">
      <c r="A28" s="351" t="str">
        <f>IF(B28="","",(IF(ISERROR(MATCH(B28,Tot_res!C:C,0)),"Eliminar!!!","")))</f>
        <v/>
      </c>
      <c r="B28" s="115" t="s">
        <v>131</v>
      </c>
      <c r="C28" s="329" t="str">
        <f>VLOOKUP(B28,Tot_res!C:D,2,FALSE)</f>
        <v>Acción diplomática ante la unión europea</v>
      </c>
      <c r="D28" s="332">
        <f>Gasto_o_ing_per_capita!D28*100/Gasto_o_ing_per_capita!$D28</f>
        <v>100</v>
      </c>
      <c r="E28" s="332">
        <f>Gasto_o_ing_per_capita!E28*100/Gasto_o_ing_per_capita!$D28</f>
        <v>100</v>
      </c>
      <c r="F28" s="332">
        <f>Gasto_o_ing_per_capita!F28*100/Gasto_o_ing_per_capita!$D28</f>
        <v>100</v>
      </c>
      <c r="G28" s="332">
        <f>Gasto_o_ing_per_capita!G28*100/Gasto_o_ing_per_capita!$D28</f>
        <v>100.00000000000001</v>
      </c>
      <c r="H28" s="332">
        <f>Gasto_o_ing_per_capita!H28*100/Gasto_o_ing_per_capita!$D28</f>
        <v>100</v>
      </c>
      <c r="I28" s="332">
        <f>Gasto_o_ing_per_capita!I28*100/Gasto_o_ing_per_capita!$D28</f>
        <v>100.00000000000001</v>
      </c>
      <c r="J28" s="332">
        <f>Gasto_o_ing_per_capita!J28*100/Gasto_o_ing_per_capita!$D28</f>
        <v>100.00000000000001</v>
      </c>
      <c r="K28" s="332">
        <f>Gasto_o_ing_per_capita!K28*100/Gasto_o_ing_per_capita!$D28</f>
        <v>100</v>
      </c>
      <c r="L28" s="332">
        <f>Gasto_o_ing_per_capita!L28*100/Gasto_o_ing_per_capita!$D28</f>
        <v>100.00000000000001</v>
      </c>
      <c r="M28" s="332">
        <f>Gasto_o_ing_per_capita!M28*100/Gasto_o_ing_per_capita!$D28</f>
        <v>100.00000000000001</v>
      </c>
      <c r="N28" s="332">
        <f>Gasto_o_ing_per_capita!N28*100/Gasto_o_ing_per_capita!$D28</f>
        <v>100.00000000000003</v>
      </c>
      <c r="O28" s="332">
        <f>Gasto_o_ing_per_capita!O28*100/Gasto_o_ing_per_capita!$D28</f>
        <v>100</v>
      </c>
      <c r="P28" s="332">
        <f>Gasto_o_ing_per_capita!P28*100/Gasto_o_ing_per_capita!$D28</f>
        <v>100.00000000000001</v>
      </c>
      <c r="Q28" s="332">
        <f>Gasto_o_ing_per_capita!Q28*100/Gasto_o_ing_per_capita!$D28</f>
        <v>100</v>
      </c>
      <c r="R28" s="332">
        <f>Gasto_o_ing_per_capita!R28*100/Gasto_o_ing_per_capita!$D28</f>
        <v>100.00000000000003</v>
      </c>
      <c r="S28" s="332">
        <f>Gasto_o_ing_per_capita!S28*100/Gasto_o_ing_per_capita!$D28</f>
        <v>100.00000000000003</v>
      </c>
      <c r="T28" s="332">
        <f>Gasto_o_ing_per_capita!T28*100/Gasto_o_ing_per_capita!$D28</f>
        <v>100</v>
      </c>
      <c r="U28" s="332">
        <f>Gasto_o_ing_per_capita!U28*100/Gasto_o_ing_per_capita!$D28</f>
        <v>100</v>
      </c>
      <c r="V28" s="332">
        <f>Gasto_o_ing_per_capita!V28*100/Gasto_o_ing_per_capita!$D28</f>
        <v>100.00000000000003</v>
      </c>
    </row>
    <row r="29" spans="1:22" s="102" customFormat="1">
      <c r="A29" s="351" t="str">
        <f>IF(B29="","",(IF(ISERROR(MATCH(B29,Tot_res!C:C,0)),"Eliminar!!!","")))</f>
        <v/>
      </c>
      <c r="B29" s="115" t="s">
        <v>132</v>
      </c>
      <c r="C29" s="329" t="str">
        <f>VLOOKUP(B29,Tot_res!C:D,2,FALSE)</f>
        <v>Cooperación para el desarrollo</v>
      </c>
      <c r="D29" s="332">
        <f>Gasto_o_ing_per_capita!D29*100/Gasto_o_ing_per_capita!$D29</f>
        <v>100</v>
      </c>
      <c r="E29" s="332">
        <f>Gasto_o_ing_per_capita!E29*100/Gasto_o_ing_per_capita!$D29</f>
        <v>100.00000000000003</v>
      </c>
      <c r="F29" s="332">
        <f>Gasto_o_ing_per_capita!F29*100/Gasto_o_ing_per_capita!$D29</f>
        <v>100.00000000000003</v>
      </c>
      <c r="G29" s="332">
        <f>Gasto_o_ing_per_capita!G29*100/Gasto_o_ing_per_capita!$D29</f>
        <v>100.00000000000003</v>
      </c>
      <c r="H29" s="332">
        <f>Gasto_o_ing_per_capita!H29*100/Gasto_o_ing_per_capita!$D29</f>
        <v>100.00000000000003</v>
      </c>
      <c r="I29" s="332">
        <f>Gasto_o_ing_per_capita!I29*100/Gasto_o_ing_per_capita!$D29</f>
        <v>100.00000000000003</v>
      </c>
      <c r="J29" s="332">
        <f>Gasto_o_ing_per_capita!J29*100/Gasto_o_ing_per_capita!$D29</f>
        <v>100.00000000000003</v>
      </c>
      <c r="K29" s="332">
        <f>Gasto_o_ing_per_capita!K29*100/Gasto_o_ing_per_capita!$D29</f>
        <v>100.00000000000003</v>
      </c>
      <c r="L29" s="332">
        <f>Gasto_o_ing_per_capita!L29*100/Gasto_o_ing_per_capita!$D29</f>
        <v>100.00000000000003</v>
      </c>
      <c r="M29" s="332">
        <f>Gasto_o_ing_per_capita!M29*100/Gasto_o_ing_per_capita!$D29</f>
        <v>100.00000000000004</v>
      </c>
      <c r="N29" s="332">
        <f>Gasto_o_ing_per_capita!N29*100/Gasto_o_ing_per_capita!$D29</f>
        <v>100.00000000000003</v>
      </c>
      <c r="O29" s="332">
        <f>Gasto_o_ing_per_capita!O29*100/Gasto_o_ing_per_capita!$D29</f>
        <v>100.00000000000003</v>
      </c>
      <c r="P29" s="332">
        <f>Gasto_o_ing_per_capita!P29*100/Gasto_o_ing_per_capita!$D29</f>
        <v>100.00000000000003</v>
      </c>
      <c r="Q29" s="332">
        <f>Gasto_o_ing_per_capita!Q29*100/Gasto_o_ing_per_capita!$D29</f>
        <v>100.00000000000003</v>
      </c>
      <c r="R29" s="332">
        <f>Gasto_o_ing_per_capita!R29*100/Gasto_o_ing_per_capita!$D29</f>
        <v>100.00000000000003</v>
      </c>
      <c r="S29" s="332">
        <f>Gasto_o_ing_per_capita!S29*100/Gasto_o_ing_per_capita!$D29</f>
        <v>100.00000000000003</v>
      </c>
      <c r="T29" s="332">
        <f>Gasto_o_ing_per_capita!T29*100/Gasto_o_ing_per_capita!$D29</f>
        <v>100.00000000000003</v>
      </c>
      <c r="U29" s="332">
        <f>Gasto_o_ing_per_capita!U29*100/Gasto_o_ing_per_capita!$D29</f>
        <v>100.00000000000003</v>
      </c>
      <c r="V29" s="332">
        <f>Gasto_o_ing_per_capita!V29*100/Gasto_o_ing_per_capita!$D29</f>
        <v>100.00000000000004</v>
      </c>
    </row>
    <row r="30" spans="1:22" s="102" customFormat="1">
      <c r="A30" s="351" t="str">
        <f>IF(B30="","",(IF(ISERROR(MATCH(B30,Tot_res!C:C,0)),"Eliminar!!!","")))</f>
        <v/>
      </c>
      <c r="B30" s="115" t="s">
        <v>134</v>
      </c>
      <c r="C30" s="329" t="str">
        <f>VLOOKUP(B30,Tot_res!C:D,2,FALSE)</f>
        <v>Cooperación, promoción y difusión cultural en el exterior</v>
      </c>
      <c r="D30" s="332">
        <f>Gasto_o_ing_per_capita!D30*100/Gasto_o_ing_per_capita!$D30</f>
        <v>100</v>
      </c>
      <c r="E30" s="332">
        <f>Gasto_o_ing_per_capita!E30*100/Gasto_o_ing_per_capita!$D30</f>
        <v>99.999999999999972</v>
      </c>
      <c r="F30" s="332">
        <f>Gasto_o_ing_per_capita!F30*100/Gasto_o_ing_per_capita!$D30</f>
        <v>100</v>
      </c>
      <c r="G30" s="332">
        <f>Gasto_o_ing_per_capita!G30*100/Gasto_o_ing_per_capita!$D30</f>
        <v>99.999999999999972</v>
      </c>
      <c r="H30" s="332">
        <f>Gasto_o_ing_per_capita!H30*100/Gasto_o_ing_per_capita!$D30</f>
        <v>100</v>
      </c>
      <c r="I30" s="332">
        <f>Gasto_o_ing_per_capita!I30*100/Gasto_o_ing_per_capita!$D30</f>
        <v>99.999999999999972</v>
      </c>
      <c r="J30" s="332">
        <f>Gasto_o_ing_per_capita!J30*100/Gasto_o_ing_per_capita!$D30</f>
        <v>99.999999999999972</v>
      </c>
      <c r="K30" s="332">
        <f>Gasto_o_ing_per_capita!K30*100/Gasto_o_ing_per_capita!$D30</f>
        <v>100</v>
      </c>
      <c r="L30" s="332">
        <f>Gasto_o_ing_per_capita!L30*100/Gasto_o_ing_per_capita!$D30</f>
        <v>100</v>
      </c>
      <c r="M30" s="332">
        <f>Gasto_o_ing_per_capita!M30*100/Gasto_o_ing_per_capita!$D30</f>
        <v>100</v>
      </c>
      <c r="N30" s="332">
        <f>Gasto_o_ing_per_capita!N30*100/Gasto_o_ing_per_capita!$D30</f>
        <v>99.999999999999972</v>
      </c>
      <c r="O30" s="332">
        <f>Gasto_o_ing_per_capita!O30*100/Gasto_o_ing_per_capita!$D30</f>
        <v>99.999999999999972</v>
      </c>
      <c r="P30" s="332">
        <f>Gasto_o_ing_per_capita!P30*100/Gasto_o_ing_per_capita!$D30</f>
        <v>99.999999999999972</v>
      </c>
      <c r="Q30" s="332">
        <f>Gasto_o_ing_per_capita!Q30*100/Gasto_o_ing_per_capita!$D30</f>
        <v>99.999999999999972</v>
      </c>
      <c r="R30" s="332">
        <f>Gasto_o_ing_per_capita!R30*100/Gasto_o_ing_per_capita!$D30</f>
        <v>100</v>
      </c>
      <c r="S30" s="332">
        <f>Gasto_o_ing_per_capita!S30*100/Gasto_o_ing_per_capita!$D30</f>
        <v>99.999999999999972</v>
      </c>
      <c r="T30" s="332">
        <f>Gasto_o_ing_per_capita!T30*100/Gasto_o_ing_per_capita!$D30</f>
        <v>100</v>
      </c>
      <c r="U30" s="332">
        <f>Gasto_o_ing_per_capita!U30*100/Gasto_o_ing_per_capita!$D30</f>
        <v>99.999999999999972</v>
      </c>
      <c r="V30" s="332">
        <f>Gasto_o_ing_per_capita!V30*100/Gasto_o_ing_per_capita!$D30</f>
        <v>100</v>
      </c>
    </row>
    <row r="31" spans="1:22" s="102" customFormat="1">
      <c r="A31" s="351" t="str">
        <f>IF(B31="","",(IF(ISERROR(MATCH(B31,Tot_res!C:C,0)),"Eliminar!!!","")))</f>
        <v/>
      </c>
      <c r="B31" s="119" t="s">
        <v>136</v>
      </c>
      <c r="C31" s="329" t="str">
        <f>VLOOKUP(B31,Tot_res!C:D,2,FALSE)</f>
        <v>Educación en el exterior</v>
      </c>
      <c r="D31" s="332">
        <f>Gasto_o_ing_per_capita!D31*100/Gasto_o_ing_per_capita!$D31</f>
        <v>100</v>
      </c>
      <c r="E31" s="332">
        <f>Gasto_o_ing_per_capita!E31*100/Gasto_o_ing_per_capita!$D31</f>
        <v>99.999999999999986</v>
      </c>
      <c r="F31" s="332">
        <f>Gasto_o_ing_per_capita!F31*100/Gasto_o_ing_per_capita!$D31</f>
        <v>100</v>
      </c>
      <c r="G31" s="332">
        <f>Gasto_o_ing_per_capita!G31*100/Gasto_o_ing_per_capita!$D31</f>
        <v>100.00000000000001</v>
      </c>
      <c r="H31" s="332">
        <f>Gasto_o_ing_per_capita!H31*100/Gasto_o_ing_per_capita!$D31</f>
        <v>100</v>
      </c>
      <c r="I31" s="332">
        <f>Gasto_o_ing_per_capita!I31*100/Gasto_o_ing_per_capita!$D31</f>
        <v>100</v>
      </c>
      <c r="J31" s="332">
        <f>Gasto_o_ing_per_capita!J31*100/Gasto_o_ing_per_capita!$D31</f>
        <v>100</v>
      </c>
      <c r="K31" s="332">
        <f>Gasto_o_ing_per_capita!K31*100/Gasto_o_ing_per_capita!$D31</f>
        <v>100.00000000000001</v>
      </c>
      <c r="L31" s="332">
        <f>Gasto_o_ing_per_capita!L31*100/Gasto_o_ing_per_capita!$D31</f>
        <v>100</v>
      </c>
      <c r="M31" s="332">
        <f>Gasto_o_ing_per_capita!M31*100/Gasto_o_ing_per_capita!$D31</f>
        <v>100.00000000000001</v>
      </c>
      <c r="N31" s="332">
        <f>Gasto_o_ing_per_capita!N31*100/Gasto_o_ing_per_capita!$D31</f>
        <v>100</v>
      </c>
      <c r="O31" s="332">
        <f>Gasto_o_ing_per_capita!O31*100/Gasto_o_ing_per_capita!$D31</f>
        <v>99.999999999999986</v>
      </c>
      <c r="P31" s="332">
        <f>Gasto_o_ing_per_capita!P31*100/Gasto_o_ing_per_capita!$D31</f>
        <v>100.00000000000001</v>
      </c>
      <c r="Q31" s="332">
        <f>Gasto_o_ing_per_capita!Q31*100/Gasto_o_ing_per_capita!$D31</f>
        <v>100.00000000000001</v>
      </c>
      <c r="R31" s="332">
        <f>Gasto_o_ing_per_capita!R31*100/Gasto_o_ing_per_capita!$D31</f>
        <v>100</v>
      </c>
      <c r="S31" s="332">
        <f>Gasto_o_ing_per_capita!S31*100/Gasto_o_ing_per_capita!$D31</f>
        <v>100</v>
      </c>
      <c r="T31" s="332">
        <f>Gasto_o_ing_per_capita!T31*100/Gasto_o_ing_per_capita!$D31</f>
        <v>100</v>
      </c>
      <c r="U31" s="332">
        <f>Gasto_o_ing_per_capita!U31*100/Gasto_o_ing_per_capita!$D31</f>
        <v>99.999999999999986</v>
      </c>
      <c r="V31" s="332">
        <f>Gasto_o_ing_per_capita!V31*100/Gasto_o_ing_per_capita!$D31</f>
        <v>99.999999999999986</v>
      </c>
    </row>
    <row r="32" spans="1:22" s="102" customFormat="1">
      <c r="A32" s="351" t="str">
        <f>IF(B32="","",(IF(ISERROR(MATCH(B32,Tot_res!C:C,0)),"Eliminar!!!","")))</f>
        <v/>
      </c>
      <c r="B32" s="115" t="s">
        <v>138</v>
      </c>
      <c r="C32" s="329" t="str">
        <f>VLOOKUP(B32,Tot_res!C:D,2,FALSE)</f>
        <v>Relaciones con los organismos financieros multilaterales</v>
      </c>
      <c r="D32" s="332">
        <f>Gasto_o_ing_per_capita!D32*100/Gasto_o_ing_per_capita!$D32</f>
        <v>100</v>
      </c>
      <c r="E32" s="332">
        <f>Gasto_o_ing_per_capita!E32*100/Gasto_o_ing_per_capita!$D32</f>
        <v>100</v>
      </c>
      <c r="F32" s="332">
        <f>Gasto_o_ing_per_capita!F32*100/Gasto_o_ing_per_capita!$D32</f>
        <v>100</v>
      </c>
      <c r="G32" s="332">
        <f>Gasto_o_ing_per_capita!G32*100/Gasto_o_ing_per_capita!$D32</f>
        <v>100</v>
      </c>
      <c r="H32" s="332">
        <f>Gasto_o_ing_per_capita!H32*100/Gasto_o_ing_per_capita!$D32</f>
        <v>100</v>
      </c>
      <c r="I32" s="332">
        <f>Gasto_o_ing_per_capita!I32*100/Gasto_o_ing_per_capita!$D32</f>
        <v>100</v>
      </c>
      <c r="J32" s="332">
        <f>Gasto_o_ing_per_capita!J32*100/Gasto_o_ing_per_capita!$D32</f>
        <v>100</v>
      </c>
      <c r="K32" s="332">
        <f>Gasto_o_ing_per_capita!K32*100/Gasto_o_ing_per_capita!$D32</f>
        <v>100</v>
      </c>
      <c r="L32" s="332">
        <f>Gasto_o_ing_per_capita!L32*100/Gasto_o_ing_per_capita!$D32</f>
        <v>100</v>
      </c>
      <c r="M32" s="332">
        <f>Gasto_o_ing_per_capita!M32*100/Gasto_o_ing_per_capita!$D32</f>
        <v>100</v>
      </c>
      <c r="N32" s="332">
        <f>Gasto_o_ing_per_capita!N32*100/Gasto_o_ing_per_capita!$D32</f>
        <v>100</v>
      </c>
      <c r="O32" s="332">
        <f>Gasto_o_ing_per_capita!O32*100/Gasto_o_ing_per_capita!$D32</f>
        <v>100</v>
      </c>
      <c r="P32" s="332">
        <f>Gasto_o_ing_per_capita!P32*100/Gasto_o_ing_per_capita!$D32</f>
        <v>99.999999999999986</v>
      </c>
      <c r="Q32" s="332">
        <f>Gasto_o_ing_per_capita!Q32*100/Gasto_o_ing_per_capita!$D32</f>
        <v>100</v>
      </c>
      <c r="R32" s="332">
        <f>Gasto_o_ing_per_capita!R32*100/Gasto_o_ing_per_capita!$D32</f>
        <v>100</v>
      </c>
      <c r="S32" s="332">
        <f>Gasto_o_ing_per_capita!S32*100/Gasto_o_ing_per_capita!$D32</f>
        <v>99.999999999999986</v>
      </c>
      <c r="T32" s="332">
        <f>Gasto_o_ing_per_capita!T32*100/Gasto_o_ing_per_capita!$D32</f>
        <v>100</v>
      </c>
      <c r="U32" s="332">
        <f>Gasto_o_ing_per_capita!U32*100/Gasto_o_ing_per_capita!$D32</f>
        <v>100</v>
      </c>
      <c r="V32" s="332">
        <f>Gasto_o_ing_per_capita!V32*100/Gasto_o_ing_per_capita!$D32</f>
        <v>100</v>
      </c>
    </row>
    <row r="33" spans="1:22" s="102" customFormat="1">
      <c r="A33" s="351" t="str">
        <f>IF(B33="","",(IF(ISERROR(MATCH(B33,Tot_res!C:C,0)),"Eliminar!!!","")))</f>
        <v/>
      </c>
      <c r="B33" s="115" t="s">
        <v>139</v>
      </c>
      <c r="C33" s="329" t="str">
        <f>VLOOKUP(B33,Tot_res!C:D,2,FALSE)</f>
        <v>Cooperación al desarrollo a través del fondo europeo de desarrollo</v>
      </c>
      <c r="D33" s="332">
        <f>Gasto_o_ing_per_capita!D33*100/Gasto_o_ing_per_capita!$D33</f>
        <v>100</v>
      </c>
      <c r="E33" s="332">
        <f>Gasto_o_ing_per_capita!E33*100/Gasto_o_ing_per_capita!$D33</f>
        <v>100</v>
      </c>
      <c r="F33" s="332">
        <f>Gasto_o_ing_per_capita!F33*100/Gasto_o_ing_per_capita!$D33</f>
        <v>100</v>
      </c>
      <c r="G33" s="332">
        <f>Gasto_o_ing_per_capita!G33*100/Gasto_o_ing_per_capita!$D33</f>
        <v>100</v>
      </c>
      <c r="H33" s="332">
        <f>Gasto_o_ing_per_capita!H33*100/Gasto_o_ing_per_capita!$D33</f>
        <v>100</v>
      </c>
      <c r="I33" s="332">
        <f>Gasto_o_ing_per_capita!I33*100/Gasto_o_ing_per_capita!$D33</f>
        <v>100</v>
      </c>
      <c r="J33" s="332">
        <f>Gasto_o_ing_per_capita!J33*100/Gasto_o_ing_per_capita!$D33</f>
        <v>100</v>
      </c>
      <c r="K33" s="332">
        <f>Gasto_o_ing_per_capita!K33*100/Gasto_o_ing_per_capita!$D33</f>
        <v>100</v>
      </c>
      <c r="L33" s="332">
        <f>Gasto_o_ing_per_capita!L33*100/Gasto_o_ing_per_capita!$D33</f>
        <v>100</v>
      </c>
      <c r="M33" s="332">
        <f>Gasto_o_ing_per_capita!M33*100/Gasto_o_ing_per_capita!$D33</f>
        <v>100.00000000000001</v>
      </c>
      <c r="N33" s="332">
        <f>Gasto_o_ing_per_capita!N33*100/Gasto_o_ing_per_capita!$D33</f>
        <v>100</v>
      </c>
      <c r="O33" s="332">
        <f>Gasto_o_ing_per_capita!O33*100/Gasto_o_ing_per_capita!$D33</f>
        <v>100</v>
      </c>
      <c r="P33" s="332">
        <f>Gasto_o_ing_per_capita!P33*100/Gasto_o_ing_per_capita!$D33</f>
        <v>99.999999999999972</v>
      </c>
      <c r="Q33" s="332">
        <f>Gasto_o_ing_per_capita!Q33*100/Gasto_o_ing_per_capita!$D33</f>
        <v>99.999999999999972</v>
      </c>
      <c r="R33" s="332">
        <f>Gasto_o_ing_per_capita!R33*100/Gasto_o_ing_per_capita!$D33</f>
        <v>100</v>
      </c>
      <c r="S33" s="332">
        <f>Gasto_o_ing_per_capita!S33*100/Gasto_o_ing_per_capita!$D33</f>
        <v>100</v>
      </c>
      <c r="T33" s="332">
        <f>Gasto_o_ing_per_capita!T33*100/Gasto_o_ing_per_capita!$D33</f>
        <v>100</v>
      </c>
      <c r="U33" s="332">
        <f>Gasto_o_ing_per_capita!U33*100/Gasto_o_ing_per_capita!$D33</f>
        <v>99.999999999999972</v>
      </c>
      <c r="V33" s="332">
        <f>Gasto_o_ing_per_capita!V33*100/Gasto_o_ing_per_capita!$D33</f>
        <v>100</v>
      </c>
    </row>
    <row r="34" spans="1:22" s="102" customFormat="1">
      <c r="A34" s="352"/>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5">
      <c r="A35" s="352"/>
      <c r="B35" s="115"/>
      <c r="C35" s="128" t="s">
        <v>35</v>
      </c>
      <c r="D35" s="113">
        <f>Gasto_o_ing_per_capita!D35*100/Gasto_o_ing_per_capita!$D35</f>
        <v>100.00000000000001</v>
      </c>
      <c r="E35" s="113">
        <f>Gasto_o_ing_per_capita!E35*100/Gasto_o_ing_per_capita!$D35</f>
        <v>100.00000000000001</v>
      </c>
      <c r="F35" s="113">
        <f>Gasto_o_ing_per_capita!F35*100/Gasto_o_ing_per_capita!$D35</f>
        <v>100.00000000000001</v>
      </c>
      <c r="G35" s="113">
        <f>Gasto_o_ing_per_capita!G35*100/Gasto_o_ing_per_capita!$D35</f>
        <v>100.00000000000001</v>
      </c>
      <c r="H35" s="113">
        <f>Gasto_o_ing_per_capita!H35*100/Gasto_o_ing_per_capita!$D35</f>
        <v>100.00000000000001</v>
      </c>
      <c r="I35" s="113">
        <f>Gasto_o_ing_per_capita!I35*100/Gasto_o_ing_per_capita!$D35</f>
        <v>100.00000000000001</v>
      </c>
      <c r="J35" s="113">
        <f>Gasto_o_ing_per_capita!J35*100/Gasto_o_ing_per_capita!$D35</f>
        <v>100.00000000000001</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99.999999999999972</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99.999999999999972</v>
      </c>
      <c r="T35" s="113">
        <f>Gasto_o_ing_per_capita!T35*100/Gasto_o_ing_per_capita!$D35</f>
        <v>100.00000000000001</v>
      </c>
      <c r="U35" s="113">
        <f>Gasto_o_ing_per_capita!U35*100/Gasto_o_ing_per_capita!$D35</f>
        <v>100.00000000000001</v>
      </c>
      <c r="V35" s="113">
        <f>Gasto_o_ing_per_capita!V35*100/Gasto_o_ing_per_capita!$D35</f>
        <v>100.00000000000001</v>
      </c>
    </row>
    <row r="36" spans="1:22" s="102" customFormat="1">
      <c r="A36" s="351" t="str">
        <f>IF(B36="","",(IF(ISERROR(MATCH(B36,Tot_res!C:C,0)),"Eliminar!!!","")))</f>
        <v/>
      </c>
      <c r="B36" s="115" t="s">
        <v>140</v>
      </c>
      <c r="C36" s="329" t="str">
        <f>VLOOKUP(B36,Tot_res!C:D,2,FALSE)</f>
        <v>Administración y servicios generales de defensa</v>
      </c>
      <c r="D36" s="332">
        <f>Gasto_o_ing_per_capita!D36*100/Gasto_o_ing_per_capita!$D36</f>
        <v>100.00000000000001</v>
      </c>
      <c r="E36" s="332">
        <f>Gasto_o_ing_per_capita!E36*100/Gasto_o_ing_per_capita!$D36</f>
        <v>99.999999999999957</v>
      </c>
      <c r="F36" s="332">
        <f>Gasto_o_ing_per_capita!F36*100/Gasto_o_ing_per_capita!$D36</f>
        <v>99.999999999999986</v>
      </c>
      <c r="G36" s="332">
        <f>Gasto_o_ing_per_capita!G36*100/Gasto_o_ing_per_capita!$D36</f>
        <v>99.999999999999986</v>
      </c>
      <c r="H36" s="332">
        <f>Gasto_o_ing_per_capita!H36*100/Gasto_o_ing_per_capita!$D36</f>
        <v>99.999999999999972</v>
      </c>
      <c r="I36" s="332">
        <f>Gasto_o_ing_per_capita!I36*100/Gasto_o_ing_per_capita!$D36</f>
        <v>99.999999999999986</v>
      </c>
      <c r="J36" s="332">
        <f>Gasto_o_ing_per_capita!J36*100/Gasto_o_ing_per_capita!$D36</f>
        <v>99.999999999999957</v>
      </c>
      <c r="K36" s="332">
        <f>Gasto_o_ing_per_capita!K36*100/Gasto_o_ing_per_capita!$D36</f>
        <v>99.999999999999972</v>
      </c>
      <c r="L36" s="332">
        <f>Gasto_o_ing_per_capita!L36*100/Gasto_o_ing_per_capita!$D36</f>
        <v>99.999999999999972</v>
      </c>
      <c r="M36" s="332">
        <f>Gasto_o_ing_per_capita!M36*100/Gasto_o_ing_per_capita!$D36</f>
        <v>99.999999999999972</v>
      </c>
      <c r="N36" s="332">
        <f>Gasto_o_ing_per_capita!N36*100/Gasto_o_ing_per_capita!$D36</f>
        <v>99.999999999999986</v>
      </c>
      <c r="O36" s="332">
        <f>Gasto_o_ing_per_capita!O36*100/Gasto_o_ing_per_capita!$D36</f>
        <v>99.999999999999972</v>
      </c>
      <c r="P36" s="332">
        <f>Gasto_o_ing_per_capita!P36*100/Gasto_o_ing_per_capita!$D36</f>
        <v>99.999999999999957</v>
      </c>
      <c r="Q36" s="332">
        <f>Gasto_o_ing_per_capita!Q36*100/Gasto_o_ing_per_capita!$D36</f>
        <v>99.999999999999986</v>
      </c>
      <c r="R36" s="332">
        <f>Gasto_o_ing_per_capita!R36*100/Gasto_o_ing_per_capita!$D36</f>
        <v>99.999999999999972</v>
      </c>
      <c r="S36" s="332">
        <f>Gasto_o_ing_per_capita!S36*100/Gasto_o_ing_per_capita!$D36</f>
        <v>99.999999999999972</v>
      </c>
      <c r="T36" s="332">
        <f>Gasto_o_ing_per_capita!T36*100/Gasto_o_ing_per_capita!$D36</f>
        <v>99.999999999999972</v>
      </c>
      <c r="U36" s="332">
        <f>Gasto_o_ing_per_capita!U36*100/Gasto_o_ing_per_capita!$D36</f>
        <v>99.999999999999972</v>
      </c>
      <c r="V36" s="332">
        <f>Gasto_o_ing_per_capita!V36*100/Gasto_o_ing_per_capita!$D36</f>
        <v>99.999999999999972</v>
      </c>
    </row>
    <row r="37" spans="1:22" s="102" customFormat="1">
      <c r="A37" s="351" t="str">
        <f>IF(B37="","",(IF(ISERROR(MATCH(B37,Tot_res!C:C,0)),"Eliminar!!!","")))</f>
        <v/>
      </c>
      <c r="B37" s="115" t="s">
        <v>141</v>
      </c>
      <c r="C37" s="329" t="str">
        <f>VLOOKUP(B37,Tot_res!C:D,2,FALSE)</f>
        <v>Formación del personal de las fuerzas armadas</v>
      </c>
      <c r="D37" s="332">
        <f>Gasto_o_ing_per_capita!D37*100/Gasto_o_ing_per_capita!$D37</f>
        <v>100</v>
      </c>
      <c r="E37" s="332">
        <f>Gasto_o_ing_per_capita!E37*100/Gasto_o_ing_per_capita!$D37</f>
        <v>99.999999999999986</v>
      </c>
      <c r="F37" s="332">
        <f>Gasto_o_ing_per_capita!F37*100/Gasto_o_ing_per_capita!$D37</f>
        <v>100</v>
      </c>
      <c r="G37" s="332">
        <f>Gasto_o_ing_per_capita!G37*100/Gasto_o_ing_per_capita!$D37</f>
        <v>100.00000000000003</v>
      </c>
      <c r="H37" s="332">
        <f>Gasto_o_ing_per_capita!H37*100/Gasto_o_ing_per_capita!$D37</f>
        <v>99.999999999999986</v>
      </c>
      <c r="I37" s="332">
        <f>Gasto_o_ing_per_capita!I37*100/Gasto_o_ing_per_capita!$D37</f>
        <v>99.999999999999986</v>
      </c>
      <c r="J37" s="332">
        <f>Gasto_o_ing_per_capita!J37*100/Gasto_o_ing_per_capita!$D37</f>
        <v>100</v>
      </c>
      <c r="K37" s="332">
        <f>Gasto_o_ing_per_capita!K37*100/Gasto_o_ing_per_capita!$D37</f>
        <v>100</v>
      </c>
      <c r="L37" s="332">
        <f>Gasto_o_ing_per_capita!L37*100/Gasto_o_ing_per_capita!$D37</f>
        <v>99.999999999999986</v>
      </c>
      <c r="M37" s="332">
        <f>Gasto_o_ing_per_capita!M37*100/Gasto_o_ing_per_capita!$D37</f>
        <v>100</v>
      </c>
      <c r="N37" s="332">
        <f>Gasto_o_ing_per_capita!N37*100/Gasto_o_ing_per_capita!$D37</f>
        <v>99.999999999999986</v>
      </c>
      <c r="O37" s="332">
        <f>Gasto_o_ing_per_capita!O37*100/Gasto_o_ing_per_capita!$D37</f>
        <v>99.999999999999986</v>
      </c>
      <c r="P37" s="332">
        <f>Gasto_o_ing_per_capita!P37*100/Gasto_o_ing_per_capita!$D37</f>
        <v>100</v>
      </c>
      <c r="Q37" s="332">
        <f>Gasto_o_ing_per_capita!Q37*100/Gasto_o_ing_per_capita!$D37</f>
        <v>99.999999999999986</v>
      </c>
      <c r="R37" s="332">
        <f>Gasto_o_ing_per_capita!R37*100/Gasto_o_ing_per_capita!$D37</f>
        <v>100</v>
      </c>
      <c r="S37" s="332">
        <f>Gasto_o_ing_per_capita!S37*100/Gasto_o_ing_per_capita!$D37</f>
        <v>99.999999999999986</v>
      </c>
      <c r="T37" s="332">
        <f>Gasto_o_ing_per_capita!T37*100/Gasto_o_ing_per_capita!$D37</f>
        <v>100</v>
      </c>
      <c r="U37" s="332">
        <f>Gasto_o_ing_per_capita!U37*100/Gasto_o_ing_per_capita!$D37</f>
        <v>100</v>
      </c>
      <c r="V37" s="332">
        <f>Gasto_o_ing_per_capita!V37*100/Gasto_o_ing_per_capita!$D37</f>
        <v>100</v>
      </c>
    </row>
    <row r="38" spans="1:22" s="102" customFormat="1">
      <c r="A38" s="351" t="str">
        <f>IF(B38="","",(IF(ISERROR(MATCH(B38,Tot_res!C:C,0)),"Eliminar!!!","")))</f>
        <v/>
      </c>
      <c r="B38" s="115" t="s">
        <v>142</v>
      </c>
      <c r="C38" s="329" t="str">
        <f>VLOOKUP(B38,Tot_res!C:D,2,FALSE)</f>
        <v>Personal en reserva</v>
      </c>
      <c r="D38" s="332">
        <f>Gasto_o_ing_per_capita!D38*100/Gasto_o_ing_per_capita!$D38</f>
        <v>100</v>
      </c>
      <c r="E38" s="332">
        <f>Gasto_o_ing_per_capita!E38*100/Gasto_o_ing_per_capita!$D38</f>
        <v>99.999999999999957</v>
      </c>
      <c r="F38" s="332">
        <f>Gasto_o_ing_per_capita!F38*100/Gasto_o_ing_per_capita!$D38</f>
        <v>99.999999999999986</v>
      </c>
      <c r="G38" s="332">
        <f>Gasto_o_ing_per_capita!G38*100/Gasto_o_ing_per_capita!$D38</f>
        <v>99.999999999999957</v>
      </c>
      <c r="H38" s="332">
        <f>Gasto_o_ing_per_capita!H38*100/Gasto_o_ing_per_capita!$D38</f>
        <v>99.999999999999957</v>
      </c>
      <c r="I38" s="332">
        <f>Gasto_o_ing_per_capita!I38*100/Gasto_o_ing_per_capita!$D38</f>
        <v>99.999999999999957</v>
      </c>
      <c r="J38" s="332">
        <f>Gasto_o_ing_per_capita!J38*100/Gasto_o_ing_per_capita!$D38</f>
        <v>99.999999999999957</v>
      </c>
      <c r="K38" s="332">
        <f>Gasto_o_ing_per_capita!K38*100/Gasto_o_ing_per_capita!$D38</f>
        <v>99.999999999999957</v>
      </c>
      <c r="L38" s="332">
        <f>Gasto_o_ing_per_capita!L38*100/Gasto_o_ing_per_capita!$D38</f>
        <v>99.999999999999957</v>
      </c>
      <c r="M38" s="332">
        <f>Gasto_o_ing_per_capita!M38*100/Gasto_o_ing_per_capita!$D38</f>
        <v>99.999999999999986</v>
      </c>
      <c r="N38" s="332">
        <f>Gasto_o_ing_per_capita!N38*100/Gasto_o_ing_per_capita!$D38</f>
        <v>99.999999999999957</v>
      </c>
      <c r="O38" s="332">
        <f>Gasto_o_ing_per_capita!O38*100/Gasto_o_ing_per_capita!$D38</f>
        <v>99.999999999999957</v>
      </c>
      <c r="P38" s="332">
        <f>Gasto_o_ing_per_capita!P38*100/Gasto_o_ing_per_capita!$D38</f>
        <v>99.999999999999957</v>
      </c>
      <c r="Q38" s="332">
        <f>Gasto_o_ing_per_capita!Q38*100/Gasto_o_ing_per_capita!$D38</f>
        <v>99.999999999999957</v>
      </c>
      <c r="R38" s="332">
        <f>Gasto_o_ing_per_capita!R38*100/Gasto_o_ing_per_capita!$D38</f>
        <v>99.999999999999957</v>
      </c>
      <c r="S38" s="332">
        <f>Gasto_o_ing_per_capita!S38*100/Gasto_o_ing_per_capita!$D38</f>
        <v>99.999999999999957</v>
      </c>
      <c r="T38" s="332">
        <f>Gasto_o_ing_per_capita!T38*100/Gasto_o_ing_per_capita!$D38</f>
        <v>99.999999999999957</v>
      </c>
      <c r="U38" s="332">
        <f>Gasto_o_ing_per_capita!U38*100/Gasto_o_ing_per_capita!$D38</f>
        <v>99.999999999999986</v>
      </c>
      <c r="V38" s="332">
        <f>Gasto_o_ing_per_capita!V38*100/Gasto_o_ing_per_capita!$D38</f>
        <v>99.999999999999957</v>
      </c>
    </row>
    <row r="39" spans="1:22" s="102" customFormat="1">
      <c r="A39" s="351" t="str">
        <f>IF(B39="","",(IF(ISERROR(MATCH(B39,Tot_res!C:C,0)),"Eliminar!!!","")))</f>
        <v/>
      </c>
      <c r="B39" s="115" t="s">
        <v>144</v>
      </c>
      <c r="C39" s="329" t="str">
        <f>VLOOKUP(B39,Tot_res!C:D,2,FALSE)</f>
        <v>Modernización de las fuerzas armadas</v>
      </c>
      <c r="D39" s="332">
        <f>Gasto_o_ing_per_capita!D39*100/Gasto_o_ing_per_capita!$D39</f>
        <v>100</v>
      </c>
      <c r="E39" s="332">
        <f>Gasto_o_ing_per_capita!E39*100/Gasto_o_ing_per_capita!$D39</f>
        <v>99.999999999999986</v>
      </c>
      <c r="F39" s="332">
        <f>Gasto_o_ing_per_capita!F39*100/Gasto_o_ing_per_capita!$D39</f>
        <v>100.00000000000001</v>
      </c>
      <c r="G39" s="332">
        <f>Gasto_o_ing_per_capita!G39*100/Gasto_o_ing_per_capita!$D39</f>
        <v>100.00000000000001</v>
      </c>
      <c r="H39" s="332">
        <f>Gasto_o_ing_per_capita!H39*100/Gasto_o_ing_per_capita!$D39</f>
        <v>100</v>
      </c>
      <c r="I39" s="332">
        <f>Gasto_o_ing_per_capita!I39*100/Gasto_o_ing_per_capita!$D39</f>
        <v>100.00000000000001</v>
      </c>
      <c r="J39" s="332">
        <f>Gasto_o_ing_per_capita!J39*100/Gasto_o_ing_per_capita!$D39</f>
        <v>100.00000000000001</v>
      </c>
      <c r="K39" s="332">
        <f>Gasto_o_ing_per_capita!K39*100/Gasto_o_ing_per_capita!$D39</f>
        <v>100.00000000000001</v>
      </c>
      <c r="L39" s="332">
        <f>Gasto_o_ing_per_capita!L39*100/Gasto_o_ing_per_capita!$D39</f>
        <v>100</v>
      </c>
      <c r="M39" s="332">
        <f>Gasto_o_ing_per_capita!M39*100/Gasto_o_ing_per_capita!$D39</f>
        <v>100.00000000000001</v>
      </c>
      <c r="N39" s="332">
        <f>Gasto_o_ing_per_capita!N39*100/Gasto_o_ing_per_capita!$D39</f>
        <v>100</v>
      </c>
      <c r="O39" s="332">
        <f>Gasto_o_ing_per_capita!O39*100/Gasto_o_ing_per_capita!$D39</f>
        <v>100.00000000000001</v>
      </c>
      <c r="P39" s="332">
        <f>Gasto_o_ing_per_capita!P39*100/Gasto_o_ing_per_capita!$D39</f>
        <v>100</v>
      </c>
      <c r="Q39" s="332">
        <f>Gasto_o_ing_per_capita!Q39*100/Gasto_o_ing_per_capita!$D39</f>
        <v>100</v>
      </c>
      <c r="R39" s="332">
        <f>Gasto_o_ing_per_capita!R39*100/Gasto_o_ing_per_capita!$D39</f>
        <v>100.00000000000001</v>
      </c>
      <c r="S39" s="332">
        <f>Gasto_o_ing_per_capita!S39*100/Gasto_o_ing_per_capita!$D39</f>
        <v>100</v>
      </c>
      <c r="T39" s="332">
        <f>Gasto_o_ing_per_capita!T39*100/Gasto_o_ing_per_capita!$D39</f>
        <v>100.00000000000001</v>
      </c>
      <c r="U39" s="332">
        <f>Gasto_o_ing_per_capita!U39*100/Gasto_o_ing_per_capita!$D39</f>
        <v>100.00000000000001</v>
      </c>
      <c r="V39" s="332">
        <f>Gasto_o_ing_per_capita!V39*100/Gasto_o_ing_per_capita!$D39</f>
        <v>100.00000000000003</v>
      </c>
    </row>
    <row r="40" spans="1:22" s="102" customFormat="1">
      <c r="A40" s="351" t="str">
        <f>IF(B40="","",(IF(ISERROR(MATCH(B40,Tot_res!C:C,0)),"Eliminar!!!","")))</f>
        <v/>
      </c>
      <c r="B40" s="115" t="s">
        <v>145</v>
      </c>
      <c r="C40" s="329" t="str">
        <f>VLOOKUP(B40,Tot_res!C:D,2,FALSE)</f>
        <v>Programas especiales de modernización</v>
      </c>
      <c r="D40" s="332">
        <f>Gasto_o_ing_per_capita!D40*100/Gasto_o_ing_per_capita!$D40</f>
        <v>100</v>
      </c>
      <c r="E40" s="332">
        <f>Gasto_o_ing_per_capita!E40*100/Gasto_o_ing_per_capita!$D40</f>
        <v>100</v>
      </c>
      <c r="F40" s="332">
        <f>Gasto_o_ing_per_capita!F40*100/Gasto_o_ing_per_capita!$D40</f>
        <v>100.00000000000001</v>
      </c>
      <c r="G40" s="332">
        <f>Gasto_o_ing_per_capita!G40*100/Gasto_o_ing_per_capita!$D40</f>
        <v>100.00000000000001</v>
      </c>
      <c r="H40" s="332">
        <f>Gasto_o_ing_per_capita!H40*100/Gasto_o_ing_per_capita!$D40</f>
        <v>100</v>
      </c>
      <c r="I40" s="332">
        <f>Gasto_o_ing_per_capita!I40*100/Gasto_o_ing_per_capita!$D40</f>
        <v>100.00000000000001</v>
      </c>
      <c r="J40" s="332">
        <f>Gasto_o_ing_per_capita!J40*100/Gasto_o_ing_per_capita!$D40</f>
        <v>100</v>
      </c>
      <c r="K40" s="332">
        <f>Gasto_o_ing_per_capita!K40*100/Gasto_o_ing_per_capita!$D40</f>
        <v>100</v>
      </c>
      <c r="L40" s="332">
        <f>Gasto_o_ing_per_capita!L40*100/Gasto_o_ing_per_capita!$D40</f>
        <v>100</v>
      </c>
      <c r="M40" s="332">
        <f>Gasto_o_ing_per_capita!M40*100/Gasto_o_ing_per_capita!$D40</f>
        <v>100.00000000000001</v>
      </c>
      <c r="N40" s="332">
        <f>Gasto_o_ing_per_capita!N40*100/Gasto_o_ing_per_capita!$D40</f>
        <v>100.00000000000001</v>
      </c>
      <c r="O40" s="332">
        <f>Gasto_o_ing_per_capita!O40*100/Gasto_o_ing_per_capita!$D40</f>
        <v>100</v>
      </c>
      <c r="P40" s="332">
        <f>Gasto_o_ing_per_capita!P40*100/Gasto_o_ing_per_capita!$D40</f>
        <v>100.00000000000001</v>
      </c>
      <c r="Q40" s="332">
        <f>Gasto_o_ing_per_capita!Q40*100/Gasto_o_ing_per_capita!$D40</f>
        <v>100</v>
      </c>
      <c r="R40" s="332">
        <f>Gasto_o_ing_per_capita!R40*100/Gasto_o_ing_per_capita!$D40</f>
        <v>100.00000000000001</v>
      </c>
      <c r="S40" s="332">
        <f>Gasto_o_ing_per_capita!S40*100/Gasto_o_ing_per_capita!$D40</f>
        <v>100.00000000000001</v>
      </c>
      <c r="T40" s="332">
        <f>Gasto_o_ing_per_capita!T40*100/Gasto_o_ing_per_capita!$D40</f>
        <v>100</v>
      </c>
      <c r="U40" s="332">
        <f>Gasto_o_ing_per_capita!U40*100/Gasto_o_ing_per_capita!$D40</f>
        <v>100.00000000000001</v>
      </c>
      <c r="V40" s="332">
        <f>Gasto_o_ing_per_capita!V40*100/Gasto_o_ing_per_capita!$D40</f>
        <v>100.00000000000001</v>
      </c>
    </row>
    <row r="41" spans="1:22" s="102" customFormat="1">
      <c r="A41" s="351" t="str">
        <f>IF(B41="","",(IF(ISERROR(MATCH(B41,Tot_res!C:C,0)),"Eliminar!!!","")))</f>
        <v/>
      </c>
      <c r="B41" s="115" t="s">
        <v>147</v>
      </c>
      <c r="C41" s="329" t="str">
        <f>VLOOKUP(B41,Tot_res!C:D,2,FALSE)</f>
        <v>Gastos operativos de las fuerzas armadas</v>
      </c>
      <c r="D41" s="332">
        <f>Gasto_o_ing_per_capita!D41*100/Gasto_o_ing_per_capita!$D41</f>
        <v>100</v>
      </c>
      <c r="E41" s="332">
        <f>Gasto_o_ing_per_capita!E41*100/Gasto_o_ing_per_capita!$D41</f>
        <v>99.999999999999986</v>
      </c>
      <c r="F41" s="332">
        <f>Gasto_o_ing_per_capita!F41*100/Gasto_o_ing_per_capita!$D41</f>
        <v>100</v>
      </c>
      <c r="G41" s="332">
        <f>Gasto_o_ing_per_capita!G41*100/Gasto_o_ing_per_capita!$D41</f>
        <v>100.00000000000003</v>
      </c>
      <c r="H41" s="332">
        <f>Gasto_o_ing_per_capita!H41*100/Gasto_o_ing_per_capita!$D41</f>
        <v>100</v>
      </c>
      <c r="I41" s="332">
        <f>Gasto_o_ing_per_capita!I41*100/Gasto_o_ing_per_capita!$D41</f>
        <v>100</v>
      </c>
      <c r="J41" s="332">
        <f>Gasto_o_ing_per_capita!J41*100/Gasto_o_ing_per_capita!$D41</f>
        <v>100.00000000000001</v>
      </c>
      <c r="K41" s="332">
        <f>Gasto_o_ing_per_capita!K41*100/Gasto_o_ing_per_capita!$D41</f>
        <v>99.999999999999986</v>
      </c>
      <c r="L41" s="332">
        <f>Gasto_o_ing_per_capita!L41*100/Gasto_o_ing_per_capita!$D41</f>
        <v>100.00000000000001</v>
      </c>
      <c r="M41" s="332">
        <f>Gasto_o_ing_per_capita!M41*100/Gasto_o_ing_per_capita!$D41</f>
        <v>100</v>
      </c>
      <c r="N41" s="332">
        <f>Gasto_o_ing_per_capita!N41*100/Gasto_o_ing_per_capita!$D41</f>
        <v>100.00000000000001</v>
      </c>
      <c r="O41" s="332">
        <f>Gasto_o_ing_per_capita!O41*100/Gasto_o_ing_per_capita!$D41</f>
        <v>99.999999999999986</v>
      </c>
      <c r="P41" s="332">
        <f>Gasto_o_ing_per_capita!P41*100/Gasto_o_ing_per_capita!$D41</f>
        <v>99.999999999999986</v>
      </c>
      <c r="Q41" s="332">
        <f>Gasto_o_ing_per_capita!Q41*100/Gasto_o_ing_per_capita!$D41</f>
        <v>100</v>
      </c>
      <c r="R41" s="332">
        <f>Gasto_o_ing_per_capita!R41*100/Gasto_o_ing_per_capita!$D41</f>
        <v>100.00000000000001</v>
      </c>
      <c r="S41" s="332">
        <f>Gasto_o_ing_per_capita!S41*100/Gasto_o_ing_per_capita!$D41</f>
        <v>99.999999999999986</v>
      </c>
      <c r="T41" s="332">
        <f>Gasto_o_ing_per_capita!T41*100/Gasto_o_ing_per_capita!$D41</f>
        <v>100.00000000000001</v>
      </c>
      <c r="U41" s="332">
        <f>Gasto_o_ing_per_capita!U41*100/Gasto_o_ing_per_capita!$D41</f>
        <v>100.00000000000001</v>
      </c>
      <c r="V41" s="332">
        <f>Gasto_o_ing_per_capita!V41*100/Gasto_o_ing_per_capita!$D41</f>
        <v>100</v>
      </c>
    </row>
    <row r="42" spans="1:22" s="102" customFormat="1">
      <c r="A42" s="351" t="str">
        <f>IF(B42="","",(IF(ISERROR(MATCH(B42,Tot_res!C:C,0)),"Eliminar!!!","")))</f>
        <v/>
      </c>
      <c r="B42" s="115" t="s">
        <v>148</v>
      </c>
      <c r="C42" s="329" t="str">
        <f>VLOOKUP(B42,Tot_res!C:D,2,FALSE)</f>
        <v>Apoyo logístico</v>
      </c>
      <c r="D42" s="332">
        <f>Gasto_o_ing_per_capita!D42*100/Gasto_o_ing_per_capita!$D42</f>
        <v>100</v>
      </c>
      <c r="E42" s="332">
        <f>Gasto_o_ing_per_capita!E42*100/Gasto_o_ing_per_capita!$D42</f>
        <v>99.999999999999972</v>
      </c>
      <c r="F42" s="332">
        <f>Gasto_o_ing_per_capita!F42*100/Gasto_o_ing_per_capita!$D42</f>
        <v>99.999999999999986</v>
      </c>
      <c r="G42" s="332">
        <f>Gasto_o_ing_per_capita!G42*100/Gasto_o_ing_per_capita!$D42</f>
        <v>99.999999999999986</v>
      </c>
      <c r="H42" s="332">
        <f>Gasto_o_ing_per_capita!H42*100/Gasto_o_ing_per_capita!$D42</f>
        <v>99.999999999999972</v>
      </c>
      <c r="I42" s="332">
        <f>Gasto_o_ing_per_capita!I42*100/Gasto_o_ing_per_capita!$D42</f>
        <v>99.999999999999986</v>
      </c>
      <c r="J42" s="332">
        <f>Gasto_o_ing_per_capita!J42*100/Gasto_o_ing_per_capita!$D42</f>
        <v>99.999999999999972</v>
      </c>
      <c r="K42" s="332">
        <f>Gasto_o_ing_per_capita!K42*100/Gasto_o_ing_per_capita!$D42</f>
        <v>99.999999999999957</v>
      </c>
      <c r="L42" s="332">
        <f>Gasto_o_ing_per_capita!L42*100/Gasto_o_ing_per_capita!$D42</f>
        <v>99.999999999999986</v>
      </c>
      <c r="M42" s="332">
        <f>Gasto_o_ing_per_capita!M42*100/Gasto_o_ing_per_capita!$D42</f>
        <v>99.999999999999986</v>
      </c>
      <c r="N42" s="332">
        <f>Gasto_o_ing_per_capita!N42*100/Gasto_o_ing_per_capita!$D42</f>
        <v>100</v>
      </c>
      <c r="O42" s="332">
        <f>Gasto_o_ing_per_capita!O42*100/Gasto_o_ing_per_capita!$D42</f>
        <v>99.999999999999972</v>
      </c>
      <c r="P42" s="332">
        <f>Gasto_o_ing_per_capita!P42*100/Gasto_o_ing_per_capita!$D42</f>
        <v>99.999999999999986</v>
      </c>
      <c r="Q42" s="332">
        <f>Gasto_o_ing_per_capita!Q42*100/Gasto_o_ing_per_capita!$D42</f>
        <v>99.999999999999972</v>
      </c>
      <c r="R42" s="332">
        <f>Gasto_o_ing_per_capita!R42*100/Gasto_o_ing_per_capita!$D42</f>
        <v>99.999999999999986</v>
      </c>
      <c r="S42" s="332">
        <f>Gasto_o_ing_per_capita!S42*100/Gasto_o_ing_per_capita!$D42</f>
        <v>99.999999999999972</v>
      </c>
      <c r="T42" s="332">
        <f>Gasto_o_ing_per_capita!T42*100/Gasto_o_ing_per_capita!$D42</f>
        <v>99.999999999999986</v>
      </c>
      <c r="U42" s="332">
        <f>Gasto_o_ing_per_capita!U42*100/Gasto_o_ing_per_capita!$D42</f>
        <v>99.999999999999972</v>
      </c>
      <c r="V42" s="332">
        <f>Gasto_o_ing_per_capita!V42*100/Gasto_o_ing_per_capita!$D42</f>
        <v>99.999999999999986</v>
      </c>
    </row>
    <row r="43" spans="1:22" s="102" customFormat="1">
      <c r="A43" s="351" t="str">
        <f>IF(B43="","",(IF(ISERROR(MATCH(B43,Tot_res!C:C,0)),"Eliminar!!!","")))</f>
        <v/>
      </c>
      <c r="B43" s="115" t="s">
        <v>149</v>
      </c>
      <c r="C43" s="329" t="str">
        <f>VLOOKUP(B43,Tot_res!C:D,2,FALSE)</f>
        <v>Asistencia hospitalaria en las fuerzas armadas</v>
      </c>
      <c r="D43" s="332">
        <f>Gasto_o_ing_per_capita!D43*100/Gasto_o_ing_per_capita!$D43</f>
        <v>100</v>
      </c>
      <c r="E43" s="332">
        <f>Gasto_o_ing_per_capita!E43*100/Gasto_o_ing_per_capita!$D43</f>
        <v>100</v>
      </c>
      <c r="F43" s="332">
        <f>Gasto_o_ing_per_capita!F43*100/Gasto_o_ing_per_capita!$D43</f>
        <v>100</v>
      </c>
      <c r="G43" s="332">
        <f>Gasto_o_ing_per_capita!G43*100/Gasto_o_ing_per_capita!$D43</f>
        <v>100</v>
      </c>
      <c r="H43" s="332">
        <f>Gasto_o_ing_per_capita!H43*100/Gasto_o_ing_per_capita!$D43</f>
        <v>100</v>
      </c>
      <c r="I43" s="332">
        <f>Gasto_o_ing_per_capita!I43*100/Gasto_o_ing_per_capita!$D43</f>
        <v>99.999999999999972</v>
      </c>
      <c r="J43" s="332">
        <f>Gasto_o_ing_per_capita!J43*100/Gasto_o_ing_per_capita!$D43</f>
        <v>100</v>
      </c>
      <c r="K43" s="332">
        <f>Gasto_o_ing_per_capita!K43*100/Gasto_o_ing_per_capita!$D43</f>
        <v>100</v>
      </c>
      <c r="L43" s="332">
        <f>Gasto_o_ing_per_capita!L43*100/Gasto_o_ing_per_capita!$D43</f>
        <v>100</v>
      </c>
      <c r="M43" s="332">
        <f>Gasto_o_ing_per_capita!M43*100/Gasto_o_ing_per_capita!$D43</f>
        <v>100</v>
      </c>
      <c r="N43" s="332">
        <f>Gasto_o_ing_per_capita!N43*100/Gasto_o_ing_per_capita!$D43</f>
        <v>100</v>
      </c>
      <c r="O43" s="332">
        <f>Gasto_o_ing_per_capita!O43*100/Gasto_o_ing_per_capita!$D43</f>
        <v>99.999999999999972</v>
      </c>
      <c r="P43" s="332">
        <f>Gasto_o_ing_per_capita!P43*100/Gasto_o_ing_per_capita!$D43</f>
        <v>100</v>
      </c>
      <c r="Q43" s="332">
        <f>Gasto_o_ing_per_capita!Q43*100/Gasto_o_ing_per_capita!$D43</f>
        <v>99.999999999999972</v>
      </c>
      <c r="R43" s="332">
        <f>Gasto_o_ing_per_capita!R43*100/Gasto_o_ing_per_capita!$D43</f>
        <v>100</v>
      </c>
      <c r="S43" s="332">
        <f>Gasto_o_ing_per_capita!S43*100/Gasto_o_ing_per_capita!$D43</f>
        <v>100</v>
      </c>
      <c r="T43" s="332">
        <f>Gasto_o_ing_per_capita!T43*100/Gasto_o_ing_per_capita!$D43</f>
        <v>100</v>
      </c>
      <c r="U43" s="332">
        <f>Gasto_o_ing_per_capita!U43*100/Gasto_o_ing_per_capita!$D43</f>
        <v>100</v>
      </c>
      <c r="V43" s="332">
        <f>Gasto_o_ing_per_capita!V43*100/Gasto_o_ing_per_capita!$D43</f>
        <v>100.00000000000001</v>
      </c>
    </row>
    <row r="44" spans="1:22" s="102" customFormat="1">
      <c r="A44" s="351" t="str">
        <f>IF(B44="","",(IF(ISERROR(MATCH(B44,Tot_res!C:C,0)),"Eliminar!!!","")))</f>
        <v/>
      </c>
      <c r="B44" s="115" t="s">
        <v>150</v>
      </c>
      <c r="C44" s="329" t="str">
        <f>VLOOKUP(B44,Tot_res!C:D,2,FALSE)</f>
        <v>Investigación y estudios de las fuerzas armadas</v>
      </c>
      <c r="D44" s="332">
        <f>Gasto_o_ing_per_capita!D44*100/Gasto_o_ing_per_capita!$D44</f>
        <v>100</v>
      </c>
      <c r="E44" s="332">
        <f>Gasto_o_ing_per_capita!E44*100/Gasto_o_ing_per_capita!$D44</f>
        <v>99.999999999999986</v>
      </c>
      <c r="F44" s="332">
        <f>Gasto_o_ing_per_capita!F44*100/Gasto_o_ing_per_capita!$D44</f>
        <v>100</v>
      </c>
      <c r="G44" s="332">
        <f>Gasto_o_ing_per_capita!G44*100/Gasto_o_ing_per_capita!$D44</f>
        <v>100.00000000000001</v>
      </c>
      <c r="H44" s="332">
        <f>Gasto_o_ing_per_capita!H44*100/Gasto_o_ing_per_capita!$D44</f>
        <v>100</v>
      </c>
      <c r="I44" s="332">
        <f>Gasto_o_ing_per_capita!I44*100/Gasto_o_ing_per_capita!$D44</f>
        <v>100</v>
      </c>
      <c r="J44" s="332">
        <f>Gasto_o_ing_per_capita!J44*100/Gasto_o_ing_per_capita!$D44</f>
        <v>100</v>
      </c>
      <c r="K44" s="332">
        <f>Gasto_o_ing_per_capita!K44*100/Gasto_o_ing_per_capita!$D44</f>
        <v>100</v>
      </c>
      <c r="L44" s="332">
        <f>Gasto_o_ing_per_capita!L44*100/Gasto_o_ing_per_capita!$D44</f>
        <v>100</v>
      </c>
      <c r="M44" s="332">
        <f>Gasto_o_ing_per_capita!M44*100/Gasto_o_ing_per_capita!$D44</f>
        <v>100</v>
      </c>
      <c r="N44" s="332">
        <f>Gasto_o_ing_per_capita!N44*100/Gasto_o_ing_per_capita!$D44</f>
        <v>100</v>
      </c>
      <c r="O44" s="332">
        <f>Gasto_o_ing_per_capita!O44*100/Gasto_o_ing_per_capita!$D44</f>
        <v>99.999999999999986</v>
      </c>
      <c r="P44" s="332">
        <f>Gasto_o_ing_per_capita!P44*100/Gasto_o_ing_per_capita!$D44</f>
        <v>100</v>
      </c>
      <c r="Q44" s="332">
        <f>Gasto_o_ing_per_capita!Q44*100/Gasto_o_ing_per_capita!$D44</f>
        <v>100</v>
      </c>
      <c r="R44" s="332">
        <f>Gasto_o_ing_per_capita!R44*100/Gasto_o_ing_per_capita!$D44</f>
        <v>100.00000000000001</v>
      </c>
      <c r="S44" s="332">
        <f>Gasto_o_ing_per_capita!S44*100/Gasto_o_ing_per_capita!$D44</f>
        <v>99.999999999999986</v>
      </c>
      <c r="T44" s="332">
        <f>Gasto_o_ing_per_capita!T44*100/Gasto_o_ing_per_capita!$D44</f>
        <v>99.999999999999986</v>
      </c>
      <c r="U44" s="332">
        <f>Gasto_o_ing_per_capita!U44*100/Gasto_o_ing_per_capita!$D44</f>
        <v>99.999999999999986</v>
      </c>
      <c r="V44" s="332">
        <f>Gasto_o_ing_per_capita!V44*100/Gasto_o_ing_per_capita!$D44</f>
        <v>100.00000000000001</v>
      </c>
    </row>
    <row r="45" spans="1:22" s="102" customFormat="1">
      <c r="A45" s="351" t="str">
        <f>IF(B45="","",(IF(ISERROR(MATCH(B45,Tot_res!C:C,0)),"Eliminar!!!","")))</f>
        <v/>
      </c>
      <c r="B45" s="115" t="s">
        <v>151</v>
      </c>
      <c r="C45" s="329" t="str">
        <f>VLOOKUP(B45,Tot_res!C:D,2,FALSE)</f>
        <v>Asesoramiento para la protección de los intereses nacionales</v>
      </c>
      <c r="D45" s="332">
        <f>Gasto_o_ing_per_capita!D45*100/Gasto_o_ing_per_capita!$D45</f>
        <v>100</v>
      </c>
      <c r="E45" s="332">
        <f>Gasto_o_ing_per_capita!E45*100/Gasto_o_ing_per_capita!$D45</f>
        <v>100</v>
      </c>
      <c r="F45" s="332">
        <f>Gasto_o_ing_per_capita!F45*100/Gasto_o_ing_per_capita!$D45</f>
        <v>100</v>
      </c>
      <c r="G45" s="332">
        <f>Gasto_o_ing_per_capita!G45*100/Gasto_o_ing_per_capita!$D45</f>
        <v>100</v>
      </c>
      <c r="H45" s="332">
        <f>Gasto_o_ing_per_capita!H45*100/Gasto_o_ing_per_capita!$D45</f>
        <v>100</v>
      </c>
      <c r="I45" s="332">
        <f>Gasto_o_ing_per_capita!I45*100/Gasto_o_ing_per_capita!$D45</f>
        <v>100</v>
      </c>
      <c r="J45" s="332">
        <f>Gasto_o_ing_per_capita!J45*100/Gasto_o_ing_per_capita!$D45</f>
        <v>100</v>
      </c>
      <c r="K45" s="332">
        <f>Gasto_o_ing_per_capita!K45*100/Gasto_o_ing_per_capita!$D45</f>
        <v>100</v>
      </c>
      <c r="L45" s="332">
        <f>Gasto_o_ing_per_capita!L45*100/Gasto_o_ing_per_capita!$D45</f>
        <v>100</v>
      </c>
      <c r="M45" s="332">
        <f>Gasto_o_ing_per_capita!M45*100/Gasto_o_ing_per_capita!$D45</f>
        <v>100</v>
      </c>
      <c r="N45" s="332">
        <f>Gasto_o_ing_per_capita!N45*100/Gasto_o_ing_per_capita!$D45</f>
        <v>100</v>
      </c>
      <c r="O45" s="332">
        <f>Gasto_o_ing_per_capita!O45*100/Gasto_o_ing_per_capita!$D45</f>
        <v>99.999999999999986</v>
      </c>
      <c r="P45" s="332">
        <f>Gasto_o_ing_per_capita!P45*100/Gasto_o_ing_per_capita!$D45</f>
        <v>100</v>
      </c>
      <c r="Q45" s="332">
        <f>Gasto_o_ing_per_capita!Q45*100/Gasto_o_ing_per_capita!$D45</f>
        <v>100</v>
      </c>
      <c r="R45" s="332">
        <f>Gasto_o_ing_per_capita!R45*100/Gasto_o_ing_per_capita!$D45</f>
        <v>100</v>
      </c>
      <c r="S45" s="332">
        <f>Gasto_o_ing_per_capita!S45*100/Gasto_o_ing_per_capita!$D45</f>
        <v>99.999999999999986</v>
      </c>
      <c r="T45" s="332">
        <f>Gasto_o_ing_per_capita!T45*100/Gasto_o_ing_per_capita!$D45</f>
        <v>99.999999999999986</v>
      </c>
      <c r="U45" s="332">
        <f>Gasto_o_ing_per_capita!U45*100/Gasto_o_ing_per_capita!$D45</f>
        <v>100</v>
      </c>
      <c r="V45" s="332">
        <f>Gasto_o_ing_per_capita!V45*100/Gasto_o_ing_per_capita!$D45</f>
        <v>100</v>
      </c>
    </row>
    <row r="46" spans="1:22" s="102" customFormat="1">
      <c r="A46" s="352"/>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5">
      <c r="A47" s="352"/>
      <c r="B47" s="115"/>
      <c r="C47" s="128" t="s">
        <v>30</v>
      </c>
      <c r="D47" s="113">
        <f>Gasto_o_ing_per_capita!D47*100/Gasto_o_ing_per_capita!$D47</f>
        <v>100</v>
      </c>
      <c r="E47" s="113">
        <f>Gasto_o_ing_per_capita!E47*100/Gasto_o_ing_per_capita!$D47</f>
        <v>99.999999999999986</v>
      </c>
      <c r="F47" s="113">
        <f>Gasto_o_ing_per_capita!F47*100/Gasto_o_ing_per_capita!$D47</f>
        <v>99.999999999999986</v>
      </c>
      <c r="G47" s="113">
        <f>Gasto_o_ing_per_capita!G47*100/Gasto_o_ing_per_capita!$D47</f>
        <v>100</v>
      </c>
      <c r="H47" s="113">
        <f>Gasto_o_ing_per_capita!H47*100/Gasto_o_ing_per_capita!$D47</f>
        <v>99.999999999999986</v>
      </c>
      <c r="I47" s="113">
        <f>Gasto_o_ing_per_capita!I47*100/Gasto_o_ing_per_capita!$D47</f>
        <v>99.999999999999986</v>
      </c>
      <c r="J47" s="113">
        <f>Gasto_o_ing_per_capita!J47*100/Gasto_o_ing_per_capita!$D47</f>
        <v>99.999999999999972</v>
      </c>
      <c r="K47" s="113">
        <f>Gasto_o_ing_per_capita!K47*100/Gasto_o_ing_per_capita!$D47</f>
        <v>99.999999999999986</v>
      </c>
      <c r="L47" s="113">
        <f>Gasto_o_ing_per_capita!L47*100/Gasto_o_ing_per_capita!$D47</f>
        <v>99.999999999999986</v>
      </c>
      <c r="M47" s="113">
        <f>Gasto_o_ing_per_capita!M47*100/Gasto_o_ing_per_capita!$D47</f>
        <v>99.999999999999986</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99.999999999999972</v>
      </c>
      <c r="R47" s="113">
        <f>Gasto_o_ing_per_capita!R47*100/Gasto_o_ing_per_capita!$D47</f>
        <v>99.999999999999986</v>
      </c>
      <c r="S47" s="113">
        <f>Gasto_o_ing_per_capita!S47*100/Gasto_o_ing_per_capita!$D47</f>
        <v>99.999999999999972</v>
      </c>
      <c r="T47" s="113">
        <f>Gasto_o_ing_per_capita!T47*100/Gasto_o_ing_per_capita!$D47</f>
        <v>100.00000000000003</v>
      </c>
      <c r="U47" s="113">
        <f>Gasto_o_ing_per_capita!U47*100/Gasto_o_ing_per_capita!$D47</f>
        <v>100</v>
      </c>
      <c r="V47" s="113">
        <f>Gasto_o_ing_per_capita!V47*100/Gasto_o_ing_per_capita!$D47</f>
        <v>99.999999999999986</v>
      </c>
    </row>
    <row r="48" spans="1:22" s="102" customFormat="1">
      <c r="A48" s="351" t="str">
        <f>IF(B48="","",(IF(ISERROR(MATCH(B48,Tot_res!C:C,0)),"Eliminar!!!","")))</f>
        <v/>
      </c>
      <c r="B48" s="115" t="s">
        <v>152</v>
      </c>
      <c r="C48" s="329" t="str">
        <f>VLOOKUP(B48,Tot_res!C:D,2,FALSE)</f>
        <v>Coordinación y relaciones financieras con los entes territoriales</v>
      </c>
      <c r="D48" s="332">
        <f>Gasto_o_ing_per_capita!D48*100/Gasto_o_ing_per_capita!$D48</f>
        <v>100</v>
      </c>
      <c r="E48" s="332">
        <f>Gasto_o_ing_per_capita!E48*100/Gasto_o_ing_per_capita!$D48</f>
        <v>99.999999999999986</v>
      </c>
      <c r="F48" s="332">
        <f>Gasto_o_ing_per_capita!F48*100/Gasto_o_ing_per_capita!$D48</f>
        <v>100</v>
      </c>
      <c r="G48" s="332">
        <f>Gasto_o_ing_per_capita!G48*100/Gasto_o_ing_per_capita!$D48</f>
        <v>100</v>
      </c>
      <c r="H48" s="332">
        <f>Gasto_o_ing_per_capita!H48*100/Gasto_o_ing_per_capita!$D48</f>
        <v>100</v>
      </c>
      <c r="I48" s="332">
        <f>Gasto_o_ing_per_capita!I48*100/Gasto_o_ing_per_capita!$D48</f>
        <v>100</v>
      </c>
      <c r="J48" s="332">
        <f>Gasto_o_ing_per_capita!J48*100/Gasto_o_ing_per_capita!$D48</f>
        <v>100</v>
      </c>
      <c r="K48" s="332">
        <f>Gasto_o_ing_per_capita!K48*100/Gasto_o_ing_per_capita!$D48</f>
        <v>100</v>
      </c>
      <c r="L48" s="332">
        <f>Gasto_o_ing_per_capita!L48*100/Gasto_o_ing_per_capita!$D48</f>
        <v>100.00000000000001</v>
      </c>
      <c r="M48" s="332">
        <f>Gasto_o_ing_per_capita!M48*100/Gasto_o_ing_per_capita!$D48</f>
        <v>100.00000000000001</v>
      </c>
      <c r="N48" s="332">
        <f>Gasto_o_ing_per_capita!N48*100/Gasto_o_ing_per_capita!$D48</f>
        <v>100</v>
      </c>
      <c r="O48" s="332">
        <f>Gasto_o_ing_per_capita!O48*100/Gasto_o_ing_per_capita!$D48</f>
        <v>100</v>
      </c>
      <c r="P48" s="332">
        <f>Gasto_o_ing_per_capita!P48*100/Gasto_o_ing_per_capita!$D48</f>
        <v>99.999999999999986</v>
      </c>
      <c r="Q48" s="332">
        <f>Gasto_o_ing_per_capita!Q48*100/Gasto_o_ing_per_capita!$D48</f>
        <v>100</v>
      </c>
      <c r="R48" s="332">
        <f>Gasto_o_ing_per_capita!R48*100/Gasto_o_ing_per_capita!$D48</f>
        <v>100.00000000000001</v>
      </c>
      <c r="S48" s="332">
        <f>Gasto_o_ing_per_capita!S48*100/Gasto_o_ing_per_capita!$D48</f>
        <v>99.999999999999986</v>
      </c>
      <c r="T48" s="332">
        <f>Gasto_o_ing_per_capita!T48*100/Gasto_o_ing_per_capita!$D48</f>
        <v>100</v>
      </c>
      <c r="U48" s="332">
        <f>Gasto_o_ing_per_capita!U48*100/Gasto_o_ing_per_capita!$D48</f>
        <v>99.999999999999986</v>
      </c>
      <c r="V48" s="332">
        <f>Gasto_o_ing_per_capita!V48*100/Gasto_o_ing_per_capita!$D48</f>
        <v>100</v>
      </c>
    </row>
    <row r="49" spans="1:22" s="102" customFormat="1">
      <c r="A49" s="351" t="str">
        <f>IF(B49="","",(IF(ISERROR(MATCH(B49,Tot_res!C:C,0)),"Eliminar!!!","")))</f>
        <v/>
      </c>
      <c r="B49" s="115" t="s">
        <v>620</v>
      </c>
      <c r="C49" s="329" t="str">
        <f>VLOOKUP(B49,Tot_res!C:D,2,FALSE)</f>
        <v>Gestión del patrimonio del estado</v>
      </c>
      <c r="D49" s="332">
        <f>Gasto_o_ing_per_capita!D49*100/Gasto_o_ing_per_capita!$D49</f>
        <v>100</v>
      </c>
      <c r="E49" s="332">
        <f>Gasto_o_ing_per_capita!E49*100/Gasto_o_ing_per_capita!$D49</f>
        <v>99.999999999999986</v>
      </c>
      <c r="F49" s="332">
        <f>Gasto_o_ing_per_capita!F49*100/Gasto_o_ing_per_capita!$D49</f>
        <v>100</v>
      </c>
      <c r="G49" s="332">
        <f>Gasto_o_ing_per_capita!G49*100/Gasto_o_ing_per_capita!$D49</f>
        <v>100</v>
      </c>
      <c r="H49" s="332">
        <f>Gasto_o_ing_per_capita!H49*100/Gasto_o_ing_per_capita!$D49</f>
        <v>99.999999999999986</v>
      </c>
      <c r="I49" s="332">
        <f>Gasto_o_ing_per_capita!I49*100/Gasto_o_ing_per_capita!$D49</f>
        <v>99.999999999999986</v>
      </c>
      <c r="J49" s="332">
        <f>Gasto_o_ing_per_capita!J49*100/Gasto_o_ing_per_capita!$D49</f>
        <v>100</v>
      </c>
      <c r="K49" s="332">
        <f>Gasto_o_ing_per_capita!K49*100/Gasto_o_ing_per_capita!$D49</f>
        <v>99.999999999999986</v>
      </c>
      <c r="L49" s="332">
        <f>Gasto_o_ing_per_capita!L49*100/Gasto_o_ing_per_capita!$D49</f>
        <v>100</v>
      </c>
      <c r="M49" s="332">
        <f>Gasto_o_ing_per_capita!M49*100/Gasto_o_ing_per_capita!$D49</f>
        <v>100</v>
      </c>
      <c r="N49" s="332">
        <f>Gasto_o_ing_per_capita!N49*100/Gasto_o_ing_per_capita!$D49</f>
        <v>99.999999999999986</v>
      </c>
      <c r="O49" s="332">
        <f>Gasto_o_ing_per_capita!O49*100/Gasto_o_ing_per_capita!$D49</f>
        <v>99.999999999999986</v>
      </c>
      <c r="P49" s="332">
        <f>Gasto_o_ing_per_capita!P49*100/Gasto_o_ing_per_capita!$D49</f>
        <v>99.999999999999986</v>
      </c>
      <c r="Q49" s="332">
        <f>Gasto_o_ing_per_capita!Q49*100/Gasto_o_ing_per_capita!$D49</f>
        <v>99.999999999999986</v>
      </c>
      <c r="R49" s="332">
        <f>Gasto_o_ing_per_capita!R49*100/Gasto_o_ing_per_capita!$D49</f>
        <v>100</v>
      </c>
      <c r="S49" s="332">
        <f>Gasto_o_ing_per_capita!S49*100/Gasto_o_ing_per_capita!$D49</f>
        <v>99.999999999999986</v>
      </c>
      <c r="T49" s="332">
        <f>Gasto_o_ing_per_capita!T49*100/Gasto_o_ing_per_capita!$D49</f>
        <v>99.999999999999986</v>
      </c>
      <c r="U49" s="332">
        <f>Gasto_o_ing_per_capita!U49*100/Gasto_o_ing_per_capita!$D49</f>
        <v>99.999999999999986</v>
      </c>
      <c r="V49" s="332">
        <f>Gasto_o_ing_per_capita!V49*100/Gasto_o_ing_per_capita!$D49</f>
        <v>100</v>
      </c>
    </row>
    <row r="50" spans="1:22" s="102" customFormat="1">
      <c r="A50" s="351" t="str">
        <f>IF(B50="","",(IF(ISERROR(MATCH(B50,Tot_res!C:C,0)),"Eliminar!!!","")))</f>
        <v/>
      </c>
      <c r="B50" s="115" t="s">
        <v>683</v>
      </c>
      <c r="C50" s="329" t="str">
        <f>VLOOKUP(B50,Tot_res!C:D,2,FALSE)</f>
        <v>Dirección y servicios generales de hacienda y administraciones públicas</v>
      </c>
      <c r="D50" s="332">
        <f>Gasto_o_ing_per_capita!D50*100/Gasto_o_ing_per_capita!$D50</f>
        <v>100</v>
      </c>
      <c r="E50" s="332">
        <f>Gasto_o_ing_per_capita!E50*100/Gasto_o_ing_per_capita!$D50</f>
        <v>99.999999999999986</v>
      </c>
      <c r="F50" s="332">
        <f>Gasto_o_ing_per_capita!F50*100/Gasto_o_ing_per_capita!$D50</f>
        <v>100</v>
      </c>
      <c r="G50" s="332">
        <f>Gasto_o_ing_per_capita!G50*100/Gasto_o_ing_per_capita!$D50</f>
        <v>100.00000000000001</v>
      </c>
      <c r="H50" s="332">
        <f>Gasto_o_ing_per_capita!H50*100/Gasto_o_ing_per_capita!$D50</f>
        <v>100</v>
      </c>
      <c r="I50" s="332">
        <f>Gasto_o_ing_per_capita!I50*100/Gasto_o_ing_per_capita!$D50</f>
        <v>99.999999999999986</v>
      </c>
      <c r="J50" s="332">
        <f>Gasto_o_ing_per_capita!J50*100/Gasto_o_ing_per_capita!$D50</f>
        <v>100</v>
      </c>
      <c r="K50" s="332">
        <f>Gasto_o_ing_per_capita!K50*100/Gasto_o_ing_per_capita!$D50</f>
        <v>100</v>
      </c>
      <c r="L50" s="332">
        <f>Gasto_o_ing_per_capita!L50*100/Gasto_o_ing_per_capita!$D50</f>
        <v>99.999999999999986</v>
      </c>
      <c r="M50" s="332">
        <f>Gasto_o_ing_per_capita!M50*100/Gasto_o_ing_per_capita!$D50</f>
        <v>100.00000000000001</v>
      </c>
      <c r="N50" s="332">
        <f>Gasto_o_ing_per_capita!N50*100/Gasto_o_ing_per_capita!$D50</f>
        <v>99.999999999999986</v>
      </c>
      <c r="O50" s="332">
        <f>Gasto_o_ing_per_capita!O50*100/Gasto_o_ing_per_capita!$D50</f>
        <v>100</v>
      </c>
      <c r="P50" s="332">
        <f>Gasto_o_ing_per_capita!P50*100/Gasto_o_ing_per_capita!$D50</f>
        <v>100</v>
      </c>
      <c r="Q50" s="332">
        <f>Gasto_o_ing_per_capita!Q50*100/Gasto_o_ing_per_capita!$D50</f>
        <v>100</v>
      </c>
      <c r="R50" s="332">
        <f>Gasto_o_ing_per_capita!R50*100/Gasto_o_ing_per_capita!$D50</f>
        <v>99.999999999999986</v>
      </c>
      <c r="S50" s="332">
        <f>Gasto_o_ing_per_capita!S50*100/Gasto_o_ing_per_capita!$D50</f>
        <v>99.999999999999986</v>
      </c>
      <c r="T50" s="332">
        <f>Gasto_o_ing_per_capita!T50*100/Gasto_o_ing_per_capita!$D50</f>
        <v>100</v>
      </c>
      <c r="U50" s="332">
        <f>Gasto_o_ing_per_capita!U50*100/Gasto_o_ing_per_capita!$D50</f>
        <v>100</v>
      </c>
      <c r="V50" s="332">
        <f>Gasto_o_ing_per_capita!V50*100/Gasto_o_ing_per_capita!$D50</f>
        <v>100</v>
      </c>
    </row>
    <row r="51" spans="1:22" s="102" customFormat="1">
      <c r="A51" s="351" t="str">
        <f>IF(B51="","",(IF(ISERROR(MATCH(B51,Tot_res!C:C,0)),"Eliminar!!!","")))</f>
        <v/>
      </c>
      <c r="B51" s="115" t="s">
        <v>153</v>
      </c>
      <c r="C51" s="329" t="str">
        <f>VLOOKUP(B51,Tot_res!C:D,2,FALSE)</f>
        <v>Formación del personal de economía y hacienda</v>
      </c>
      <c r="D51" s="332">
        <f>Gasto_o_ing_per_capita!D51*100/Gasto_o_ing_per_capita!$D51</f>
        <v>100</v>
      </c>
      <c r="E51" s="332">
        <f>Gasto_o_ing_per_capita!E51*100/Gasto_o_ing_per_capita!$D51</f>
        <v>100</v>
      </c>
      <c r="F51" s="332">
        <f>Gasto_o_ing_per_capita!F51*100/Gasto_o_ing_per_capita!$D51</f>
        <v>100</v>
      </c>
      <c r="G51" s="332">
        <f>Gasto_o_ing_per_capita!G51*100/Gasto_o_ing_per_capita!$D51</f>
        <v>100</v>
      </c>
      <c r="H51" s="332">
        <f>Gasto_o_ing_per_capita!H51*100/Gasto_o_ing_per_capita!$D51</f>
        <v>100</v>
      </c>
      <c r="I51" s="332">
        <f>Gasto_o_ing_per_capita!I51*100/Gasto_o_ing_per_capita!$D51</f>
        <v>100</v>
      </c>
      <c r="J51" s="332">
        <f>Gasto_o_ing_per_capita!J51*100/Gasto_o_ing_per_capita!$D51</f>
        <v>100</v>
      </c>
      <c r="K51" s="332">
        <f>Gasto_o_ing_per_capita!K51*100/Gasto_o_ing_per_capita!$D51</f>
        <v>99.999999999999986</v>
      </c>
      <c r="L51" s="332">
        <f>Gasto_o_ing_per_capita!L51*100/Gasto_o_ing_per_capita!$D51</f>
        <v>100</v>
      </c>
      <c r="M51" s="332">
        <f>Gasto_o_ing_per_capita!M51*100/Gasto_o_ing_per_capita!$D51</f>
        <v>100</v>
      </c>
      <c r="N51" s="332">
        <f>Gasto_o_ing_per_capita!N51*100/Gasto_o_ing_per_capita!$D51</f>
        <v>100.00000000000003</v>
      </c>
      <c r="O51" s="332">
        <f>Gasto_o_ing_per_capita!O51*100/Gasto_o_ing_per_capita!$D51</f>
        <v>100</v>
      </c>
      <c r="P51" s="332">
        <f>Gasto_o_ing_per_capita!P51*100/Gasto_o_ing_per_capita!$D51</f>
        <v>100</v>
      </c>
      <c r="Q51" s="332">
        <f>Gasto_o_ing_per_capita!Q51*100/Gasto_o_ing_per_capita!$D51</f>
        <v>100</v>
      </c>
      <c r="R51" s="332">
        <f>Gasto_o_ing_per_capita!R51*100/Gasto_o_ing_per_capita!$D51</f>
        <v>100.00000000000003</v>
      </c>
      <c r="S51" s="332">
        <f>Gasto_o_ing_per_capita!S51*100/Gasto_o_ing_per_capita!$D51</f>
        <v>99.999999999999986</v>
      </c>
      <c r="T51" s="332">
        <f>Gasto_o_ing_per_capita!T51*100/Gasto_o_ing_per_capita!$D51</f>
        <v>100.00000000000003</v>
      </c>
      <c r="U51" s="332">
        <f>Gasto_o_ing_per_capita!U51*100/Gasto_o_ing_per_capita!$D51</f>
        <v>100</v>
      </c>
      <c r="V51" s="332">
        <f>Gasto_o_ing_per_capita!V51*100/Gasto_o_ing_per_capita!$D51</f>
        <v>100</v>
      </c>
    </row>
    <row r="52" spans="1:22" s="102" customFormat="1">
      <c r="A52" s="351" t="str">
        <f>IF(B52="","",(IF(ISERROR(MATCH(B52,Tot_res!C:C,0)),"Eliminar!!!","")))</f>
        <v/>
      </c>
      <c r="B52" s="115" t="s">
        <v>685</v>
      </c>
      <c r="C52" s="329" t="str">
        <f>VLOOKUP(B52,Tot_res!C:D,2,FALSE)</f>
        <v>Gestión de la deuda y de la tesorería del estado</v>
      </c>
      <c r="D52" s="332">
        <f>Gasto_o_ing_per_capita!D52*100/Gasto_o_ing_per_capita!$D52</f>
        <v>99.999999999999986</v>
      </c>
      <c r="E52" s="332">
        <f>Gasto_o_ing_per_capita!E52*100/Gasto_o_ing_per_capita!$D52</f>
        <v>99.999999999999986</v>
      </c>
      <c r="F52" s="332">
        <f>Gasto_o_ing_per_capita!F52*100/Gasto_o_ing_per_capita!$D52</f>
        <v>99.999999999999986</v>
      </c>
      <c r="G52" s="332">
        <f>Gasto_o_ing_per_capita!G52*100/Gasto_o_ing_per_capita!$D52</f>
        <v>100.00000000000001</v>
      </c>
      <c r="H52" s="332">
        <f>Gasto_o_ing_per_capita!H52*100/Gasto_o_ing_per_capita!$D52</f>
        <v>99.999999999999986</v>
      </c>
      <c r="I52" s="332">
        <f>Gasto_o_ing_per_capita!I52*100/Gasto_o_ing_per_capita!$D52</f>
        <v>100.00000000000001</v>
      </c>
      <c r="J52" s="332">
        <f>Gasto_o_ing_per_capita!J52*100/Gasto_o_ing_per_capita!$D52</f>
        <v>100.00000000000001</v>
      </c>
      <c r="K52" s="332">
        <f>Gasto_o_ing_per_capita!K52*100/Gasto_o_ing_per_capita!$D52</f>
        <v>99.999999999999986</v>
      </c>
      <c r="L52" s="332">
        <f>Gasto_o_ing_per_capita!L52*100/Gasto_o_ing_per_capita!$D52</f>
        <v>99.999999999999986</v>
      </c>
      <c r="M52" s="332">
        <f>Gasto_o_ing_per_capita!M52*100/Gasto_o_ing_per_capita!$D52</f>
        <v>100.00000000000001</v>
      </c>
      <c r="N52" s="332">
        <f>Gasto_o_ing_per_capita!N52*100/Gasto_o_ing_per_capita!$D52</f>
        <v>100.00000000000001</v>
      </c>
      <c r="O52" s="332">
        <f>Gasto_o_ing_per_capita!O52*100/Gasto_o_ing_per_capita!$D52</f>
        <v>100.00000000000001</v>
      </c>
      <c r="P52" s="332">
        <f>Gasto_o_ing_per_capita!P52*100/Gasto_o_ing_per_capita!$D52</f>
        <v>99.999999999999986</v>
      </c>
      <c r="Q52" s="332">
        <f>Gasto_o_ing_per_capita!Q52*100/Gasto_o_ing_per_capita!$D52</f>
        <v>99.999999999999986</v>
      </c>
      <c r="R52" s="332">
        <f>Gasto_o_ing_per_capita!R52*100/Gasto_o_ing_per_capita!$D52</f>
        <v>100.00000000000001</v>
      </c>
      <c r="S52" s="332">
        <f>Gasto_o_ing_per_capita!S52*100/Gasto_o_ing_per_capita!$D52</f>
        <v>99.999999999999986</v>
      </c>
      <c r="T52" s="332">
        <f>Gasto_o_ing_per_capita!T52*100/Gasto_o_ing_per_capita!$D52</f>
        <v>100.00000000000001</v>
      </c>
      <c r="U52" s="332">
        <f>Gasto_o_ing_per_capita!U52*100/Gasto_o_ing_per_capita!$D52</f>
        <v>99.999999999999986</v>
      </c>
      <c r="V52" s="332">
        <f>Gasto_o_ing_per_capita!V52*100/Gasto_o_ing_per_capita!$D52</f>
        <v>99.999999999999986</v>
      </c>
    </row>
    <row r="53" spans="1:22" s="102" customFormat="1">
      <c r="A53" s="351" t="str">
        <f>IF(B53="","",(IF(ISERROR(MATCH(B53,Tot_res!C:C,0)),"Eliminar!!!","")))</f>
        <v/>
      </c>
      <c r="B53" s="115" t="s">
        <v>1183</v>
      </c>
      <c r="C53" s="329" t="str">
        <f>VLOOKUP(B53,Tot_res!C:D,2,FALSE)</f>
        <v>Dirección y Servicios Generales de Economía y Competitividad</v>
      </c>
      <c r="D53" s="332">
        <f>Gasto_o_ing_per_capita!D53*100/Gasto_o_ing_per_capita!$D53</f>
        <v>100</v>
      </c>
      <c r="E53" s="332">
        <f>Gasto_o_ing_per_capita!E53*100/Gasto_o_ing_per_capita!$D53</f>
        <v>99.999999999999957</v>
      </c>
      <c r="F53" s="332">
        <f>Gasto_o_ing_per_capita!F53*100/Gasto_o_ing_per_capita!$D53</f>
        <v>99.999999999999986</v>
      </c>
      <c r="G53" s="332">
        <f>Gasto_o_ing_per_capita!G53*100/Gasto_o_ing_per_capita!$D53</f>
        <v>99.999999999999986</v>
      </c>
      <c r="H53" s="332">
        <f>Gasto_o_ing_per_capita!H53*100/Gasto_o_ing_per_capita!$D53</f>
        <v>99.999999999999986</v>
      </c>
      <c r="I53" s="332">
        <f>Gasto_o_ing_per_capita!I53*100/Gasto_o_ing_per_capita!$D53</f>
        <v>99.999999999999957</v>
      </c>
      <c r="J53" s="332">
        <f>Gasto_o_ing_per_capita!J53*100/Gasto_o_ing_per_capita!$D53</f>
        <v>99.999999999999986</v>
      </c>
      <c r="K53" s="332">
        <f>Gasto_o_ing_per_capita!K53*100/Gasto_o_ing_per_capita!$D53</f>
        <v>99.999999999999957</v>
      </c>
      <c r="L53" s="332">
        <f>Gasto_o_ing_per_capita!L53*100/Gasto_o_ing_per_capita!$D53</f>
        <v>99.999999999999986</v>
      </c>
      <c r="M53" s="332">
        <f>Gasto_o_ing_per_capita!M53*100/Gasto_o_ing_per_capita!$D53</f>
        <v>99.999999999999957</v>
      </c>
      <c r="N53" s="332">
        <f>Gasto_o_ing_per_capita!N53*100/Gasto_o_ing_per_capita!$D53</f>
        <v>99.999999999999986</v>
      </c>
      <c r="O53" s="332">
        <f>Gasto_o_ing_per_capita!O53*100/Gasto_o_ing_per_capita!$D53</f>
        <v>99.999999999999957</v>
      </c>
      <c r="P53" s="332">
        <f>Gasto_o_ing_per_capita!P53*100/Gasto_o_ing_per_capita!$D53</f>
        <v>99.999999999999986</v>
      </c>
      <c r="Q53" s="332">
        <f>Gasto_o_ing_per_capita!Q53*100/Gasto_o_ing_per_capita!$D53</f>
        <v>99.999999999999986</v>
      </c>
      <c r="R53" s="332">
        <f>Gasto_o_ing_per_capita!R53*100/Gasto_o_ing_per_capita!$D53</f>
        <v>99.999999999999986</v>
      </c>
      <c r="S53" s="332">
        <f>Gasto_o_ing_per_capita!S53*100/Gasto_o_ing_per_capita!$D53</f>
        <v>99.999999999999986</v>
      </c>
      <c r="T53" s="332">
        <f>Gasto_o_ing_per_capita!T53*100/Gasto_o_ing_per_capita!$D53</f>
        <v>99.999999999999957</v>
      </c>
      <c r="U53" s="332">
        <f>Gasto_o_ing_per_capita!U53*100/Gasto_o_ing_per_capita!$D53</f>
        <v>99.999999999999957</v>
      </c>
      <c r="V53" s="332">
        <f>Gasto_o_ing_per_capita!V53*100/Gasto_o_ing_per_capita!$D53</f>
        <v>99.999999999999986</v>
      </c>
    </row>
    <row r="54" spans="1:22" s="102" customFormat="1">
      <c r="A54" s="351" t="str">
        <f>IF(B54="","",(IF(ISERROR(MATCH(B54,Tot_res!C:C,0)),"Eliminar!!!","")))</f>
        <v/>
      </c>
      <c r="B54" s="115" t="s">
        <v>1185</v>
      </c>
      <c r="C54" s="329" t="str">
        <f>VLOOKUP(B54,Tot_res!C:D,2,FALSE)</f>
        <v>Contratación centralizada</v>
      </c>
      <c r="D54" s="332">
        <f>Gasto_o_ing_per_capita!D54*100/Gasto_o_ing_per_capita!$D54</f>
        <v>100</v>
      </c>
      <c r="E54" s="332">
        <f>Gasto_o_ing_per_capita!E54*100/Gasto_o_ing_per_capita!$D54</f>
        <v>100.00000000000004</v>
      </c>
      <c r="F54" s="332">
        <f>Gasto_o_ing_per_capita!F54*100/Gasto_o_ing_per_capita!$D54</f>
        <v>100.00000000000004</v>
      </c>
      <c r="G54" s="332">
        <f>Gasto_o_ing_per_capita!G54*100/Gasto_o_ing_per_capita!$D54</f>
        <v>100.00000000000004</v>
      </c>
      <c r="H54" s="332">
        <f>Gasto_o_ing_per_capita!H54*100/Gasto_o_ing_per_capita!$D54</f>
        <v>100.00000000000004</v>
      </c>
      <c r="I54" s="332">
        <f>Gasto_o_ing_per_capita!I54*100/Gasto_o_ing_per_capita!$D54</f>
        <v>100.00000000000004</v>
      </c>
      <c r="J54" s="332">
        <f>Gasto_o_ing_per_capita!J54*100/Gasto_o_ing_per_capita!$D54</f>
        <v>100.00000000000004</v>
      </c>
      <c r="K54" s="332">
        <f>Gasto_o_ing_per_capita!K54*100/Gasto_o_ing_per_capita!$D54</f>
        <v>100.00000000000004</v>
      </c>
      <c r="L54" s="332">
        <f>Gasto_o_ing_per_capita!L54*100/Gasto_o_ing_per_capita!$D54</f>
        <v>100.00000000000004</v>
      </c>
      <c r="M54" s="332">
        <f>Gasto_o_ing_per_capita!M54*100/Gasto_o_ing_per_capita!$D54</f>
        <v>100.00000000000004</v>
      </c>
      <c r="N54" s="332">
        <f>Gasto_o_ing_per_capita!N54*100/Gasto_o_ing_per_capita!$D54</f>
        <v>100.00000000000004</v>
      </c>
      <c r="O54" s="332">
        <f>Gasto_o_ing_per_capita!O54*100/Gasto_o_ing_per_capita!$D54</f>
        <v>100.00000000000004</v>
      </c>
      <c r="P54" s="332">
        <f>Gasto_o_ing_per_capita!P54*100/Gasto_o_ing_per_capita!$D54</f>
        <v>100.00000000000004</v>
      </c>
      <c r="Q54" s="332">
        <f>Gasto_o_ing_per_capita!Q54*100/Gasto_o_ing_per_capita!$D54</f>
        <v>100.00000000000004</v>
      </c>
      <c r="R54" s="332">
        <f>Gasto_o_ing_per_capita!R54*100/Gasto_o_ing_per_capita!$D54</f>
        <v>100.00000000000004</v>
      </c>
      <c r="S54" s="332">
        <f>Gasto_o_ing_per_capita!S54*100/Gasto_o_ing_per_capita!$D54</f>
        <v>100.00000000000001</v>
      </c>
      <c r="T54" s="332">
        <f>Gasto_o_ing_per_capita!T54*100/Gasto_o_ing_per_capita!$D54</f>
        <v>100.00000000000004</v>
      </c>
      <c r="U54" s="332">
        <f>Gasto_o_ing_per_capita!U54*100/Gasto_o_ing_per_capita!$D54</f>
        <v>100.00000000000004</v>
      </c>
      <c r="V54" s="332">
        <f>Gasto_o_ing_per_capita!V54*100/Gasto_o_ing_per_capita!$D54</f>
        <v>100.00000000000004</v>
      </c>
    </row>
    <row r="55" spans="1:22" s="102" customFormat="1">
      <c r="A55" s="351" t="str">
        <f>IF(B55="","",(IF(ISERROR(MATCH(B55,Tot_res!C:C,0)),"Eliminar!!!","")))</f>
        <v/>
      </c>
      <c r="B55" s="115" t="s">
        <v>687</v>
      </c>
      <c r="C55" s="329" t="str">
        <f>VLOOKUP(B55,Tot_res!C:D,2,FALSE)</f>
        <v>Previsión y política económica</v>
      </c>
      <c r="D55" s="332">
        <f>Gasto_o_ing_per_capita!D55*100/Gasto_o_ing_per_capita!$D55</f>
        <v>99.999999999999986</v>
      </c>
      <c r="E55" s="332">
        <f>Gasto_o_ing_per_capita!E55*100/Gasto_o_ing_per_capita!$D55</f>
        <v>99.999999999999972</v>
      </c>
      <c r="F55" s="332">
        <f>Gasto_o_ing_per_capita!F55*100/Gasto_o_ing_per_capita!$D55</f>
        <v>99.999999999999986</v>
      </c>
      <c r="G55" s="332">
        <f>Gasto_o_ing_per_capita!G55*100/Gasto_o_ing_per_capita!$D55</f>
        <v>99.999999999999986</v>
      </c>
      <c r="H55" s="332">
        <f>Gasto_o_ing_per_capita!H55*100/Gasto_o_ing_per_capita!$D55</f>
        <v>99.999999999999986</v>
      </c>
      <c r="I55" s="332">
        <f>Gasto_o_ing_per_capita!I55*100/Gasto_o_ing_per_capita!$D55</f>
        <v>99.999999999999986</v>
      </c>
      <c r="J55" s="332">
        <f>Gasto_o_ing_per_capita!J55*100/Gasto_o_ing_per_capita!$D55</f>
        <v>99.999999999999986</v>
      </c>
      <c r="K55" s="332">
        <f>Gasto_o_ing_per_capita!K55*100/Gasto_o_ing_per_capita!$D55</f>
        <v>99.999999999999986</v>
      </c>
      <c r="L55" s="332">
        <f>Gasto_o_ing_per_capita!L55*100/Gasto_o_ing_per_capita!$D55</f>
        <v>99.999999999999986</v>
      </c>
      <c r="M55" s="332">
        <f>Gasto_o_ing_per_capita!M55*100/Gasto_o_ing_per_capita!$D55</f>
        <v>99.999999999999986</v>
      </c>
      <c r="N55" s="332">
        <f>Gasto_o_ing_per_capita!N55*100/Gasto_o_ing_per_capita!$D55</f>
        <v>99.999999999999986</v>
      </c>
      <c r="O55" s="332">
        <f>Gasto_o_ing_per_capita!O55*100/Gasto_o_ing_per_capita!$D55</f>
        <v>99.999999999999986</v>
      </c>
      <c r="P55" s="332">
        <f>Gasto_o_ing_per_capita!P55*100/Gasto_o_ing_per_capita!$D55</f>
        <v>99.999999999999986</v>
      </c>
      <c r="Q55" s="332">
        <f>Gasto_o_ing_per_capita!Q55*100/Gasto_o_ing_per_capita!$D55</f>
        <v>99.999999999999986</v>
      </c>
      <c r="R55" s="332">
        <f>Gasto_o_ing_per_capita!R55*100/Gasto_o_ing_per_capita!$D55</f>
        <v>99.999999999999986</v>
      </c>
      <c r="S55" s="332">
        <f>Gasto_o_ing_per_capita!S55*100/Gasto_o_ing_per_capita!$D55</f>
        <v>99.999999999999986</v>
      </c>
      <c r="T55" s="332">
        <f>Gasto_o_ing_per_capita!T55*100/Gasto_o_ing_per_capita!$D55</f>
        <v>99.999999999999986</v>
      </c>
      <c r="U55" s="332">
        <f>Gasto_o_ing_per_capita!U55*100/Gasto_o_ing_per_capita!$D55</f>
        <v>99.999999999999986</v>
      </c>
      <c r="V55" s="332">
        <f>Gasto_o_ing_per_capita!V55*100/Gasto_o_ing_per_capita!$D55</f>
        <v>99.999999999999986</v>
      </c>
    </row>
    <row r="56" spans="1:22" s="102" customFormat="1">
      <c r="A56" s="351" t="str">
        <f>IF(B56="","",(IF(ISERROR(MATCH(B56,Tot_res!C:C,0)),"Eliminar!!!","")))</f>
        <v/>
      </c>
      <c r="B56" s="115" t="s">
        <v>155</v>
      </c>
      <c r="C56" s="329" t="str">
        <f>VLOOKUP(B56,Tot_res!C:D,2,FALSE)</f>
        <v>Política presupuestaria</v>
      </c>
      <c r="D56" s="332">
        <f>Gasto_o_ing_per_capita!D56*100/Gasto_o_ing_per_capita!$D56</f>
        <v>100</v>
      </c>
      <c r="E56" s="332">
        <f>Gasto_o_ing_per_capita!E56*100/Gasto_o_ing_per_capita!$D56</f>
        <v>100</v>
      </c>
      <c r="F56" s="332">
        <f>Gasto_o_ing_per_capita!F56*100/Gasto_o_ing_per_capita!$D56</f>
        <v>100</v>
      </c>
      <c r="G56" s="332">
        <f>Gasto_o_ing_per_capita!G56*100/Gasto_o_ing_per_capita!$D56</f>
        <v>100.00000000000003</v>
      </c>
      <c r="H56" s="332">
        <f>Gasto_o_ing_per_capita!H56*100/Gasto_o_ing_per_capita!$D56</f>
        <v>100.00000000000003</v>
      </c>
      <c r="I56" s="332">
        <f>Gasto_o_ing_per_capita!I56*100/Gasto_o_ing_per_capita!$D56</f>
        <v>100</v>
      </c>
      <c r="J56" s="332">
        <f>Gasto_o_ing_per_capita!J56*100/Gasto_o_ing_per_capita!$D56</f>
        <v>100.00000000000003</v>
      </c>
      <c r="K56" s="332">
        <f>Gasto_o_ing_per_capita!K56*100/Gasto_o_ing_per_capita!$D56</f>
        <v>100.00000000000003</v>
      </c>
      <c r="L56" s="332">
        <f>Gasto_o_ing_per_capita!L56*100/Gasto_o_ing_per_capita!$D56</f>
        <v>100</v>
      </c>
      <c r="M56" s="332">
        <f>Gasto_o_ing_per_capita!M56*100/Gasto_o_ing_per_capita!$D56</f>
        <v>100.00000000000003</v>
      </c>
      <c r="N56" s="332">
        <f>Gasto_o_ing_per_capita!N56*100/Gasto_o_ing_per_capita!$D56</f>
        <v>100.00000000000003</v>
      </c>
      <c r="O56" s="332">
        <f>Gasto_o_ing_per_capita!O56*100/Gasto_o_ing_per_capita!$D56</f>
        <v>100</v>
      </c>
      <c r="P56" s="332">
        <f>Gasto_o_ing_per_capita!P56*100/Gasto_o_ing_per_capita!$D56</f>
        <v>100</v>
      </c>
      <c r="Q56" s="332">
        <f>Gasto_o_ing_per_capita!Q56*100/Gasto_o_ing_per_capita!$D56</f>
        <v>100.00000000000003</v>
      </c>
      <c r="R56" s="332">
        <f>Gasto_o_ing_per_capita!R56*100/Gasto_o_ing_per_capita!$D56</f>
        <v>100</v>
      </c>
      <c r="S56" s="332">
        <f>Gasto_o_ing_per_capita!S56*100/Gasto_o_ing_per_capita!$D56</f>
        <v>100</v>
      </c>
      <c r="T56" s="332">
        <f>Gasto_o_ing_per_capita!T56*100/Gasto_o_ing_per_capita!$D56</f>
        <v>100</v>
      </c>
      <c r="U56" s="332">
        <f>Gasto_o_ing_per_capita!U56*100/Gasto_o_ing_per_capita!$D56</f>
        <v>100</v>
      </c>
      <c r="V56" s="332">
        <f>Gasto_o_ing_per_capita!V56*100/Gasto_o_ing_per_capita!$D56</f>
        <v>100</v>
      </c>
    </row>
    <row r="57" spans="1:22" s="102" customFormat="1">
      <c r="A57" s="351" t="str">
        <f>IF(B57="","",(IF(ISERROR(MATCH(B57,Tot_res!C:C,0)),"Eliminar!!!","")))</f>
        <v/>
      </c>
      <c r="B57" s="115" t="s">
        <v>157</v>
      </c>
      <c r="C57" s="329" t="str">
        <f>VLOOKUP(B57,Tot_res!C:D,2,FALSE)</f>
        <v>Política tributaria</v>
      </c>
      <c r="D57" s="332">
        <f>Gasto_o_ing_per_capita!D57*100/Gasto_o_ing_per_capita!$D57</f>
        <v>100</v>
      </c>
      <c r="E57" s="332">
        <f>Gasto_o_ing_per_capita!E57*100/Gasto_o_ing_per_capita!$D57</f>
        <v>100.00000000000001</v>
      </c>
      <c r="F57" s="332">
        <f>Gasto_o_ing_per_capita!F57*100/Gasto_o_ing_per_capita!$D57</f>
        <v>100.00000000000003</v>
      </c>
      <c r="G57" s="332">
        <f>Gasto_o_ing_per_capita!G57*100/Gasto_o_ing_per_capita!$D57</f>
        <v>100.00000000000003</v>
      </c>
      <c r="H57" s="332">
        <f>Gasto_o_ing_per_capita!H57*100/Gasto_o_ing_per_capita!$D57</f>
        <v>100.00000000000001</v>
      </c>
      <c r="I57" s="332">
        <f>Gasto_o_ing_per_capita!I57*100/Gasto_o_ing_per_capita!$D57</f>
        <v>100.00000000000003</v>
      </c>
      <c r="J57" s="332">
        <f>Gasto_o_ing_per_capita!J57*100/Gasto_o_ing_per_capita!$D57</f>
        <v>100.00000000000003</v>
      </c>
      <c r="K57" s="332">
        <f>Gasto_o_ing_per_capita!K57*100/Gasto_o_ing_per_capita!$D57</f>
        <v>100.00000000000003</v>
      </c>
      <c r="L57" s="332">
        <f>Gasto_o_ing_per_capita!L57*100/Gasto_o_ing_per_capita!$D57</f>
        <v>100.00000000000003</v>
      </c>
      <c r="M57" s="332">
        <f>Gasto_o_ing_per_capita!M57*100/Gasto_o_ing_per_capita!$D57</f>
        <v>100.00000000000003</v>
      </c>
      <c r="N57" s="332">
        <f>Gasto_o_ing_per_capita!N57*100/Gasto_o_ing_per_capita!$D57</f>
        <v>100.00000000000003</v>
      </c>
      <c r="O57" s="332">
        <f>Gasto_o_ing_per_capita!O57*100/Gasto_o_ing_per_capita!$D57</f>
        <v>100.00000000000001</v>
      </c>
      <c r="P57" s="332">
        <f>Gasto_o_ing_per_capita!P57*100/Gasto_o_ing_per_capita!$D57</f>
        <v>100.00000000000001</v>
      </c>
      <c r="Q57" s="332">
        <f>Gasto_o_ing_per_capita!Q57*100/Gasto_o_ing_per_capita!$D57</f>
        <v>100.00000000000003</v>
      </c>
      <c r="R57" s="332">
        <f>Gasto_o_ing_per_capita!R57*100/Gasto_o_ing_per_capita!$D57</f>
        <v>100.00000000000003</v>
      </c>
      <c r="S57" s="332">
        <f>Gasto_o_ing_per_capita!S57*100/Gasto_o_ing_per_capita!$D57</f>
        <v>100.00000000000003</v>
      </c>
      <c r="T57" s="332">
        <f>Gasto_o_ing_per_capita!T57*100/Gasto_o_ing_per_capita!$D57</f>
        <v>100.00000000000001</v>
      </c>
      <c r="U57" s="332">
        <f>Gasto_o_ing_per_capita!U57*100/Gasto_o_ing_per_capita!$D57</f>
        <v>100</v>
      </c>
      <c r="V57" s="332">
        <f>Gasto_o_ing_per_capita!V57*100/Gasto_o_ing_per_capita!$D57</f>
        <v>100.00000000000003</v>
      </c>
    </row>
    <row r="58" spans="1:22" s="102" customFormat="1">
      <c r="A58" s="351" t="str">
        <f>IF(B58="","",(IF(ISERROR(MATCH(B58,Tot_res!C:C,0)),"Eliminar!!!","")))</f>
        <v/>
      </c>
      <c r="B58" s="115" t="s">
        <v>159</v>
      </c>
      <c r="C58" s="329" t="str">
        <f>VLOOKUP(B58,Tot_res!C:D,2,FALSE)</f>
        <v>Control interno y contabilidad pública</v>
      </c>
      <c r="D58" s="332">
        <f>Gasto_o_ing_per_capita!D58*100/Gasto_o_ing_per_capita!$D58</f>
        <v>100</v>
      </c>
      <c r="E58" s="332">
        <f>Gasto_o_ing_per_capita!E58*100/Gasto_o_ing_per_capita!$D58</f>
        <v>100</v>
      </c>
      <c r="F58" s="332">
        <f>Gasto_o_ing_per_capita!F58*100/Gasto_o_ing_per_capita!$D58</f>
        <v>100</v>
      </c>
      <c r="G58" s="332">
        <f>Gasto_o_ing_per_capita!G58*100/Gasto_o_ing_per_capita!$D58</f>
        <v>100.00000000000003</v>
      </c>
      <c r="H58" s="332">
        <f>Gasto_o_ing_per_capita!H58*100/Gasto_o_ing_per_capita!$D58</f>
        <v>100</v>
      </c>
      <c r="I58" s="332">
        <f>Gasto_o_ing_per_capita!I58*100/Gasto_o_ing_per_capita!$D58</f>
        <v>100</v>
      </c>
      <c r="J58" s="332">
        <f>Gasto_o_ing_per_capita!J58*100/Gasto_o_ing_per_capita!$D58</f>
        <v>100</v>
      </c>
      <c r="K58" s="332">
        <f>Gasto_o_ing_per_capita!K58*100/Gasto_o_ing_per_capita!$D58</f>
        <v>100</v>
      </c>
      <c r="L58" s="332">
        <f>Gasto_o_ing_per_capita!L58*100/Gasto_o_ing_per_capita!$D58</f>
        <v>100</v>
      </c>
      <c r="M58" s="332">
        <f>Gasto_o_ing_per_capita!M58*100/Gasto_o_ing_per_capita!$D58</f>
        <v>100</v>
      </c>
      <c r="N58" s="332">
        <f>Gasto_o_ing_per_capita!N58*100/Gasto_o_ing_per_capita!$D58</f>
        <v>100</v>
      </c>
      <c r="O58" s="332">
        <f>Gasto_o_ing_per_capita!O58*100/Gasto_o_ing_per_capita!$D58</f>
        <v>100</v>
      </c>
      <c r="P58" s="332">
        <f>Gasto_o_ing_per_capita!P58*100/Gasto_o_ing_per_capita!$D58</f>
        <v>100</v>
      </c>
      <c r="Q58" s="332">
        <f>Gasto_o_ing_per_capita!Q58*100/Gasto_o_ing_per_capita!$D58</f>
        <v>100</v>
      </c>
      <c r="R58" s="332">
        <f>Gasto_o_ing_per_capita!R58*100/Gasto_o_ing_per_capita!$D58</f>
        <v>100</v>
      </c>
      <c r="S58" s="332">
        <f>Gasto_o_ing_per_capita!S58*100/Gasto_o_ing_per_capita!$D58</f>
        <v>100</v>
      </c>
      <c r="T58" s="332">
        <f>Gasto_o_ing_per_capita!T58*100/Gasto_o_ing_per_capita!$D58</f>
        <v>100</v>
      </c>
      <c r="U58" s="332">
        <f>Gasto_o_ing_per_capita!U58*100/Gasto_o_ing_per_capita!$D58</f>
        <v>100</v>
      </c>
      <c r="V58" s="332">
        <f>Gasto_o_ing_per_capita!V58*100/Gasto_o_ing_per_capita!$D58</f>
        <v>100</v>
      </c>
    </row>
    <row r="59" spans="1:22" s="102" customFormat="1">
      <c r="A59" s="351" t="str">
        <f>IF(B59="","",(IF(ISERROR(MATCH(B59,Tot_res!C:C,0)),"Eliminar!!!","")))</f>
        <v/>
      </c>
      <c r="B59" s="115" t="s">
        <v>160</v>
      </c>
      <c r="C59" s="329" t="str">
        <f>VLOOKUP(B59,Tot_res!C:D,2,FALSE)</f>
        <v>Aplicación del sistema tributario estatal +  AF01: ajuste forales, gestión tributaria</v>
      </c>
      <c r="D59" s="332">
        <f>Gasto_o_ing_per_capita!D59*100/Gasto_o_ing_per_capita!$D59</f>
        <v>100</v>
      </c>
      <c r="E59" s="332">
        <f>Gasto_o_ing_per_capita!E59*100/Gasto_o_ing_per_capita!$D59</f>
        <v>99.999999999999986</v>
      </c>
      <c r="F59" s="332">
        <f>Gasto_o_ing_per_capita!F59*100/Gasto_o_ing_per_capita!$D59</f>
        <v>100</v>
      </c>
      <c r="G59" s="332">
        <f>Gasto_o_ing_per_capita!G59*100/Gasto_o_ing_per_capita!$D59</f>
        <v>99.999999999999986</v>
      </c>
      <c r="H59" s="332">
        <f>Gasto_o_ing_per_capita!H59*100/Gasto_o_ing_per_capita!$D59</f>
        <v>99.999999999999986</v>
      </c>
      <c r="I59" s="332">
        <f>Gasto_o_ing_per_capita!I59*100/Gasto_o_ing_per_capita!$D59</f>
        <v>100</v>
      </c>
      <c r="J59" s="332">
        <f>Gasto_o_ing_per_capita!J59*100/Gasto_o_ing_per_capita!$D59</f>
        <v>99.999999999999986</v>
      </c>
      <c r="K59" s="332">
        <f>Gasto_o_ing_per_capita!K59*100/Gasto_o_ing_per_capita!$D59</f>
        <v>99.999999999999986</v>
      </c>
      <c r="L59" s="332">
        <f>Gasto_o_ing_per_capita!L59*100/Gasto_o_ing_per_capita!$D59</f>
        <v>99.999999999999986</v>
      </c>
      <c r="M59" s="332">
        <f>Gasto_o_ing_per_capita!M59*100/Gasto_o_ing_per_capita!$D59</f>
        <v>100</v>
      </c>
      <c r="N59" s="332">
        <f>Gasto_o_ing_per_capita!N59*100/Gasto_o_ing_per_capita!$D59</f>
        <v>100.00000000000001</v>
      </c>
      <c r="O59" s="332">
        <f>Gasto_o_ing_per_capita!O59*100/Gasto_o_ing_per_capita!$D59</f>
        <v>100</v>
      </c>
      <c r="P59" s="332">
        <f>Gasto_o_ing_per_capita!P59*100/Gasto_o_ing_per_capita!$D59</f>
        <v>99.999999999999986</v>
      </c>
      <c r="Q59" s="332">
        <f>Gasto_o_ing_per_capita!Q59*100/Gasto_o_ing_per_capita!$D59</f>
        <v>99.999999999999986</v>
      </c>
      <c r="R59" s="332">
        <f>Gasto_o_ing_per_capita!R59*100/Gasto_o_ing_per_capita!$D59</f>
        <v>99.999999999999986</v>
      </c>
      <c r="S59" s="332">
        <f>Gasto_o_ing_per_capita!S59*100/Gasto_o_ing_per_capita!$D59</f>
        <v>100</v>
      </c>
      <c r="T59" s="332">
        <f>Gasto_o_ing_per_capita!T59*100/Gasto_o_ing_per_capita!$D59</f>
        <v>100.00000000000003</v>
      </c>
      <c r="U59" s="332">
        <f>Gasto_o_ing_per_capita!U59*100/Gasto_o_ing_per_capita!$D59</f>
        <v>99.999999999999986</v>
      </c>
      <c r="V59" s="332">
        <f>Gasto_o_ing_per_capita!V59*100/Gasto_o_ing_per_capita!$D59</f>
        <v>99.999999999999986</v>
      </c>
    </row>
    <row r="60" spans="1:22" s="102" customFormat="1">
      <c r="A60" s="351" t="str">
        <f>IF(B60="","",(IF(ISERROR(MATCH(B60,Tot_res!C:C,0)),"Eliminar!!!","")))</f>
        <v/>
      </c>
      <c r="B60" s="115" t="s">
        <v>161</v>
      </c>
      <c r="C60" s="329" t="str">
        <f>VLOOKUP(B60,Tot_res!C:D,2,FALSE)</f>
        <v>Gestión del catastro inmobiliario + AF02: corrección forales, catastro</v>
      </c>
      <c r="D60" s="332">
        <f>Gasto_o_ing_per_capita!D60*100/Gasto_o_ing_per_capita!$D60</f>
        <v>100</v>
      </c>
      <c r="E60" s="332">
        <f>Gasto_o_ing_per_capita!E60*100/Gasto_o_ing_per_capita!$D60</f>
        <v>100</v>
      </c>
      <c r="F60" s="332">
        <f>Gasto_o_ing_per_capita!F60*100/Gasto_o_ing_per_capita!$D60</f>
        <v>100</v>
      </c>
      <c r="G60" s="332">
        <f>Gasto_o_ing_per_capita!G60*100/Gasto_o_ing_per_capita!$D60</f>
        <v>100.00000000000003</v>
      </c>
      <c r="H60" s="332">
        <f>Gasto_o_ing_per_capita!H60*100/Gasto_o_ing_per_capita!$D60</f>
        <v>99.999999999999986</v>
      </c>
      <c r="I60" s="332">
        <f>Gasto_o_ing_per_capita!I60*100/Gasto_o_ing_per_capita!$D60</f>
        <v>100.00000000000003</v>
      </c>
      <c r="J60" s="332">
        <f>Gasto_o_ing_per_capita!J60*100/Gasto_o_ing_per_capita!$D60</f>
        <v>100</v>
      </c>
      <c r="K60" s="332">
        <f>Gasto_o_ing_per_capita!K60*100/Gasto_o_ing_per_capita!$D60</f>
        <v>100</v>
      </c>
      <c r="L60" s="332">
        <f>Gasto_o_ing_per_capita!L60*100/Gasto_o_ing_per_capita!$D60</f>
        <v>100</v>
      </c>
      <c r="M60" s="332">
        <f>Gasto_o_ing_per_capita!M60*100/Gasto_o_ing_per_capita!$D60</f>
        <v>100</v>
      </c>
      <c r="N60" s="332">
        <f>Gasto_o_ing_per_capita!N60*100/Gasto_o_ing_per_capita!$D60</f>
        <v>100.00000000000003</v>
      </c>
      <c r="O60" s="332">
        <f>Gasto_o_ing_per_capita!O60*100/Gasto_o_ing_per_capita!$D60</f>
        <v>100</v>
      </c>
      <c r="P60" s="332">
        <f>Gasto_o_ing_per_capita!P60*100/Gasto_o_ing_per_capita!$D60</f>
        <v>100</v>
      </c>
      <c r="Q60" s="332">
        <f>Gasto_o_ing_per_capita!Q60*100/Gasto_o_ing_per_capita!$D60</f>
        <v>99.999999999999986</v>
      </c>
      <c r="R60" s="332">
        <f>Gasto_o_ing_per_capita!R60*100/Gasto_o_ing_per_capita!$D60</f>
        <v>99.999999999999986</v>
      </c>
      <c r="S60" s="332">
        <f>Gasto_o_ing_per_capita!S60*100/Gasto_o_ing_per_capita!$D60</f>
        <v>100</v>
      </c>
      <c r="T60" s="332">
        <f>Gasto_o_ing_per_capita!T60*100/Gasto_o_ing_per_capita!$D60</f>
        <v>100</v>
      </c>
      <c r="U60" s="332">
        <f>Gasto_o_ing_per_capita!U60*100/Gasto_o_ing_per_capita!$D60</f>
        <v>99.999999999999986</v>
      </c>
      <c r="V60" s="332">
        <f>Gasto_o_ing_per_capita!V60*100/Gasto_o_ing_per_capita!$D60</f>
        <v>100</v>
      </c>
    </row>
    <row r="61" spans="1:22" s="102" customFormat="1">
      <c r="A61" s="351" t="str">
        <f>IF(B61="","",(IF(ISERROR(MATCH(B61,Tot_res!C:C,0)),"Eliminar!!!","")))</f>
        <v/>
      </c>
      <c r="B61" s="115" t="s">
        <v>162</v>
      </c>
      <c r="C61" s="329" t="str">
        <f>VLOOKUP(B61,Tot_res!C:D,2,FALSE)</f>
        <v>Resolución de reclamaciones económico-administrativas</v>
      </c>
      <c r="D61" s="332">
        <f>Gasto_o_ing_per_capita!D61*100/Gasto_o_ing_per_capita!$D61</f>
        <v>100</v>
      </c>
      <c r="E61" s="332">
        <f>Gasto_o_ing_per_capita!E61*100/Gasto_o_ing_per_capita!$D61</f>
        <v>100</v>
      </c>
      <c r="F61" s="332">
        <f>Gasto_o_ing_per_capita!F61*100/Gasto_o_ing_per_capita!$D61</f>
        <v>100.00000000000001</v>
      </c>
      <c r="G61" s="332">
        <f>Gasto_o_ing_per_capita!G61*100/Gasto_o_ing_per_capita!$D61</f>
        <v>100.00000000000001</v>
      </c>
      <c r="H61" s="332">
        <f>Gasto_o_ing_per_capita!H61*100/Gasto_o_ing_per_capita!$D61</f>
        <v>100</v>
      </c>
      <c r="I61" s="332">
        <f>Gasto_o_ing_per_capita!I61*100/Gasto_o_ing_per_capita!$D61</f>
        <v>100</v>
      </c>
      <c r="J61" s="332">
        <f>Gasto_o_ing_per_capita!J61*100/Gasto_o_ing_per_capita!$D61</f>
        <v>100</v>
      </c>
      <c r="K61" s="332">
        <f>Gasto_o_ing_per_capita!K61*100/Gasto_o_ing_per_capita!$D61</f>
        <v>100</v>
      </c>
      <c r="L61" s="332">
        <f>Gasto_o_ing_per_capita!L61*100/Gasto_o_ing_per_capita!$D61</f>
        <v>100.00000000000001</v>
      </c>
      <c r="M61" s="332">
        <f>Gasto_o_ing_per_capita!M61*100/Gasto_o_ing_per_capita!$D61</f>
        <v>99.999999999999986</v>
      </c>
      <c r="N61" s="332">
        <f>Gasto_o_ing_per_capita!N61*100/Gasto_o_ing_per_capita!$D61</f>
        <v>100.00000000000001</v>
      </c>
      <c r="O61" s="332">
        <f>Gasto_o_ing_per_capita!O61*100/Gasto_o_ing_per_capita!$D61</f>
        <v>100</v>
      </c>
      <c r="P61" s="332">
        <f>Gasto_o_ing_per_capita!P61*100/Gasto_o_ing_per_capita!$D61</f>
        <v>100</v>
      </c>
      <c r="Q61" s="332">
        <f>Gasto_o_ing_per_capita!Q61*100/Gasto_o_ing_per_capita!$D61</f>
        <v>100.00000000000001</v>
      </c>
      <c r="R61" s="332">
        <f>Gasto_o_ing_per_capita!R61*100/Gasto_o_ing_per_capita!$D61</f>
        <v>100</v>
      </c>
      <c r="S61" s="332">
        <f>Gasto_o_ing_per_capita!S61*100/Gasto_o_ing_per_capita!$D61</f>
        <v>100</v>
      </c>
      <c r="T61" s="332">
        <f>Gasto_o_ing_per_capita!T61*100/Gasto_o_ing_per_capita!$D61</f>
        <v>100</v>
      </c>
      <c r="U61" s="332">
        <f>Gasto_o_ing_per_capita!U61*100/Gasto_o_ing_per_capita!$D61</f>
        <v>100</v>
      </c>
      <c r="V61" s="332">
        <f>Gasto_o_ing_per_capita!V61*100/Gasto_o_ing_per_capita!$D61</f>
        <v>100</v>
      </c>
    </row>
    <row r="62" spans="1:22" s="102" customFormat="1">
      <c r="A62" s="352"/>
      <c r="B62" s="115"/>
      <c r="D62" s="110"/>
      <c r="E62" s="110"/>
      <c r="F62" s="110"/>
      <c r="G62" s="110"/>
      <c r="H62" s="110"/>
      <c r="I62" s="110"/>
      <c r="J62" s="110"/>
      <c r="K62" s="110"/>
      <c r="L62" s="110"/>
      <c r="M62" s="110"/>
      <c r="N62" s="110"/>
      <c r="O62" s="110"/>
      <c r="P62" s="110"/>
      <c r="Q62" s="110"/>
      <c r="R62" s="110"/>
      <c r="S62" s="110"/>
      <c r="T62" s="110"/>
      <c r="U62" s="110"/>
      <c r="V62" s="110"/>
    </row>
    <row r="63" spans="1:22" s="102" customFormat="1" ht="13.5">
      <c r="A63" s="352"/>
      <c r="B63" s="115"/>
      <c r="C63" s="128" t="s">
        <v>0</v>
      </c>
      <c r="D63" s="113">
        <f>Gasto_o_ing_per_capita!D63*100/Gasto_o_ing_per_capita!$D63</f>
        <v>100</v>
      </c>
      <c r="E63" s="113">
        <f>Gasto_o_ing_per_capita!E63*100/Gasto_o_ing_per_capita!$D63</f>
        <v>100</v>
      </c>
      <c r="F63" s="113">
        <f>Gasto_o_ing_per_capita!F63*100/Gasto_o_ing_per_capita!$D63</f>
        <v>100</v>
      </c>
      <c r="G63" s="113">
        <f>Gasto_o_ing_per_capita!G63*100/Gasto_o_ing_per_capita!$D63</f>
        <v>100.00000000000001</v>
      </c>
      <c r="H63" s="113">
        <f>Gasto_o_ing_per_capita!H63*100/Gasto_o_ing_per_capita!$D63</f>
        <v>100.00000000000001</v>
      </c>
      <c r="I63" s="113">
        <f>Gasto_o_ing_per_capita!I63*100/Gasto_o_ing_per_capita!$D63</f>
        <v>100.00000000000001</v>
      </c>
      <c r="J63" s="113">
        <f>Gasto_o_ing_per_capita!J63*100/Gasto_o_ing_per_capita!$D63</f>
        <v>100.00000000000001</v>
      </c>
      <c r="K63" s="113">
        <f>Gasto_o_ing_per_capita!K63*100/Gasto_o_ing_per_capita!$D63</f>
        <v>100.00000000000001</v>
      </c>
      <c r="L63" s="113">
        <f>Gasto_o_ing_per_capita!L63*100/Gasto_o_ing_per_capita!$D63</f>
        <v>100.00000000000001</v>
      </c>
      <c r="M63" s="113">
        <f>Gasto_o_ing_per_capita!M63*100/Gasto_o_ing_per_capita!$D63</f>
        <v>100.00000000000001</v>
      </c>
      <c r="N63" s="113">
        <f>Gasto_o_ing_per_capita!N63*100/Gasto_o_ing_per_capita!$D63</f>
        <v>100.00000000000001</v>
      </c>
      <c r="O63" s="113">
        <f>Gasto_o_ing_per_capita!O63*100/Gasto_o_ing_per_capita!$D63</f>
        <v>100</v>
      </c>
      <c r="P63" s="113">
        <f>Gasto_o_ing_per_capita!P63*100/Gasto_o_ing_per_capita!$D63</f>
        <v>100</v>
      </c>
      <c r="Q63" s="113">
        <f>Gasto_o_ing_per_capita!Q63*100/Gasto_o_ing_per_capita!$D63</f>
        <v>100.00000000000001</v>
      </c>
      <c r="R63" s="113">
        <f>Gasto_o_ing_per_capita!R63*100/Gasto_o_ing_per_capita!$D63</f>
        <v>100</v>
      </c>
      <c r="S63" s="113">
        <f>Gasto_o_ing_per_capita!S63*100/Gasto_o_ing_per_capita!$D63</f>
        <v>100</v>
      </c>
      <c r="T63" s="113">
        <f>Gasto_o_ing_per_capita!T63*100/Gasto_o_ing_per_capita!$D63</f>
        <v>100.00000000000001</v>
      </c>
      <c r="U63" s="113">
        <f>Gasto_o_ing_per_capita!U63*100/Gasto_o_ing_per_capita!$D63</f>
        <v>99.999999999999972</v>
      </c>
      <c r="V63" s="113">
        <f>Gasto_o_ing_per_capita!V63*100/Gasto_o_ing_per_capita!$D63</f>
        <v>100.00000000000001</v>
      </c>
    </row>
    <row r="64" spans="1:22" s="102" customFormat="1">
      <c r="A64" s="351" t="str">
        <f>IF(B64="","",(IF(ISERROR(MATCH(B64,Tot_res!C:C,0)),"Eliminar!!!","")))</f>
        <v/>
      </c>
      <c r="B64" s="115" t="s">
        <v>163</v>
      </c>
      <c r="C64" s="329" t="str">
        <f>VLOOKUP(B64,Tot_res!C:D,2,FALSE)</f>
        <v>Registros vinculados con la fe pública</v>
      </c>
      <c r="D64" s="332">
        <f>Gasto_o_ing_per_capita!D64*100/Gasto_o_ing_per_capita!$D64</f>
        <v>100</v>
      </c>
      <c r="E64" s="332">
        <f>Gasto_o_ing_per_capita!E64*100/Gasto_o_ing_per_capita!$D64</f>
        <v>100</v>
      </c>
      <c r="F64" s="332">
        <f>Gasto_o_ing_per_capita!F64*100/Gasto_o_ing_per_capita!$D64</f>
        <v>100.00000000000001</v>
      </c>
      <c r="G64" s="332">
        <f>Gasto_o_ing_per_capita!G64*100/Gasto_o_ing_per_capita!$D64</f>
        <v>100.00000000000001</v>
      </c>
      <c r="H64" s="332">
        <f>Gasto_o_ing_per_capita!H64*100/Gasto_o_ing_per_capita!$D64</f>
        <v>100.00000000000001</v>
      </c>
      <c r="I64" s="332">
        <f>Gasto_o_ing_per_capita!I64*100/Gasto_o_ing_per_capita!$D64</f>
        <v>100.00000000000001</v>
      </c>
      <c r="J64" s="332">
        <f>Gasto_o_ing_per_capita!J64*100/Gasto_o_ing_per_capita!$D64</f>
        <v>100</v>
      </c>
      <c r="K64" s="332">
        <f>Gasto_o_ing_per_capita!K64*100/Gasto_o_ing_per_capita!$D64</f>
        <v>100.00000000000001</v>
      </c>
      <c r="L64" s="332">
        <f>Gasto_o_ing_per_capita!L64*100/Gasto_o_ing_per_capita!$D64</f>
        <v>100.00000000000001</v>
      </c>
      <c r="M64" s="332">
        <f>Gasto_o_ing_per_capita!M64*100/Gasto_o_ing_per_capita!$D64</f>
        <v>100.00000000000001</v>
      </c>
      <c r="N64" s="332">
        <f>Gasto_o_ing_per_capita!N64*100/Gasto_o_ing_per_capita!$D64</f>
        <v>100.00000000000003</v>
      </c>
      <c r="O64" s="332">
        <f>Gasto_o_ing_per_capita!O64*100/Gasto_o_ing_per_capita!$D64</f>
        <v>100</v>
      </c>
      <c r="P64" s="332">
        <f>Gasto_o_ing_per_capita!P64*100/Gasto_o_ing_per_capita!$D64</f>
        <v>100.00000000000001</v>
      </c>
      <c r="Q64" s="332">
        <f>Gasto_o_ing_per_capita!Q64*100/Gasto_o_ing_per_capita!$D64</f>
        <v>100.00000000000001</v>
      </c>
      <c r="R64" s="332">
        <f>Gasto_o_ing_per_capita!R64*100/Gasto_o_ing_per_capita!$D64</f>
        <v>100.00000000000003</v>
      </c>
      <c r="S64" s="332">
        <f>Gasto_o_ing_per_capita!S64*100/Gasto_o_ing_per_capita!$D64</f>
        <v>100.00000000000001</v>
      </c>
      <c r="T64" s="332">
        <f>Gasto_o_ing_per_capita!T64*100/Gasto_o_ing_per_capita!$D64</f>
        <v>100.00000000000001</v>
      </c>
      <c r="U64" s="332">
        <f>Gasto_o_ing_per_capita!U64*100/Gasto_o_ing_per_capita!$D64</f>
        <v>100.00000000000001</v>
      </c>
      <c r="V64" s="332">
        <f>Gasto_o_ing_per_capita!V64*100/Gasto_o_ing_per_capita!$D64</f>
        <v>100.00000000000001</v>
      </c>
    </row>
    <row r="65" spans="1:22" s="102" customFormat="1">
      <c r="A65" s="351" t="str">
        <f>IF(B65="","",(IF(ISERROR(MATCH(B65,Tot_res!C:C,0)),"Eliminar!!!","")))</f>
        <v/>
      </c>
      <c r="B65" s="115" t="s">
        <v>164</v>
      </c>
      <c r="C65" s="329" t="str">
        <f>VLOOKUP(B65,Tot_res!C:D,2,FALSE)</f>
        <v>Derecho de asilo y apátridas</v>
      </c>
      <c r="D65" s="332">
        <f>Gasto_o_ing_per_capita!D65*100/Gasto_o_ing_per_capita!$D65</f>
        <v>100</v>
      </c>
      <c r="E65" s="332">
        <f>Gasto_o_ing_per_capita!E65*100/Gasto_o_ing_per_capita!$D65</f>
        <v>99.999999999999972</v>
      </c>
      <c r="F65" s="332">
        <f>Gasto_o_ing_per_capita!F65*100/Gasto_o_ing_per_capita!$D65</f>
        <v>100</v>
      </c>
      <c r="G65" s="332">
        <f>Gasto_o_ing_per_capita!G65*100/Gasto_o_ing_per_capita!$D65</f>
        <v>100</v>
      </c>
      <c r="H65" s="332">
        <f>Gasto_o_ing_per_capita!H65*100/Gasto_o_ing_per_capita!$D65</f>
        <v>100</v>
      </c>
      <c r="I65" s="332">
        <f>Gasto_o_ing_per_capita!I65*100/Gasto_o_ing_per_capita!$D65</f>
        <v>100</v>
      </c>
      <c r="J65" s="332">
        <f>Gasto_o_ing_per_capita!J65*100/Gasto_o_ing_per_capita!$D65</f>
        <v>100</v>
      </c>
      <c r="K65" s="332">
        <f>Gasto_o_ing_per_capita!K65*100/Gasto_o_ing_per_capita!$D65</f>
        <v>100</v>
      </c>
      <c r="L65" s="332">
        <f>Gasto_o_ing_per_capita!L65*100/Gasto_o_ing_per_capita!$D65</f>
        <v>100</v>
      </c>
      <c r="M65" s="332">
        <f>Gasto_o_ing_per_capita!M65*100/Gasto_o_ing_per_capita!$D65</f>
        <v>100</v>
      </c>
      <c r="N65" s="332">
        <f>Gasto_o_ing_per_capita!N65*100/Gasto_o_ing_per_capita!$D65</f>
        <v>100</v>
      </c>
      <c r="O65" s="332">
        <f>Gasto_o_ing_per_capita!O65*100/Gasto_o_ing_per_capita!$D65</f>
        <v>100</v>
      </c>
      <c r="P65" s="332">
        <f>Gasto_o_ing_per_capita!P65*100/Gasto_o_ing_per_capita!$D65</f>
        <v>100</v>
      </c>
      <c r="Q65" s="332">
        <f>Gasto_o_ing_per_capita!Q65*100/Gasto_o_ing_per_capita!$D65</f>
        <v>100</v>
      </c>
      <c r="R65" s="332">
        <f>Gasto_o_ing_per_capita!R65*100/Gasto_o_ing_per_capita!$D65</f>
        <v>100</v>
      </c>
      <c r="S65" s="332">
        <f>Gasto_o_ing_per_capita!S65*100/Gasto_o_ing_per_capita!$D65</f>
        <v>100</v>
      </c>
      <c r="T65" s="332">
        <f>Gasto_o_ing_per_capita!T65*100/Gasto_o_ing_per_capita!$D65</f>
        <v>100</v>
      </c>
      <c r="U65" s="332">
        <f>Gasto_o_ing_per_capita!U65*100/Gasto_o_ing_per_capita!$D65</f>
        <v>100</v>
      </c>
      <c r="V65" s="332">
        <f>Gasto_o_ing_per_capita!V65*100/Gasto_o_ing_per_capita!$D65</f>
        <v>100</v>
      </c>
    </row>
    <row r="66" spans="1:22" s="102" customFormat="1">
      <c r="A66" s="351" t="str">
        <f>IF(B66="","",(IF(ISERROR(MATCH(B66,Tot_res!C:C,0)),"Eliminar!!!","")))</f>
        <v/>
      </c>
      <c r="B66" s="115" t="s">
        <v>165</v>
      </c>
      <c r="C66" s="329" t="str">
        <f>VLOOKUP(B66,Tot_res!C:D,2,FALSE)</f>
        <v>Protección de datos de carácter personal</v>
      </c>
      <c r="D66" s="332">
        <f>Gasto_o_ing_per_capita!D66*100/Gasto_o_ing_per_capita!$D66</f>
        <v>100</v>
      </c>
      <c r="E66" s="332">
        <f>Gasto_o_ing_per_capita!E66*100/Gasto_o_ing_per_capita!$D66</f>
        <v>100</v>
      </c>
      <c r="F66" s="332">
        <f>Gasto_o_ing_per_capita!F66*100/Gasto_o_ing_per_capita!$D66</f>
        <v>100</v>
      </c>
      <c r="G66" s="332">
        <f>Gasto_o_ing_per_capita!G66*100/Gasto_o_ing_per_capita!$D66</f>
        <v>100</v>
      </c>
      <c r="H66" s="332">
        <f>Gasto_o_ing_per_capita!H66*100/Gasto_o_ing_per_capita!$D66</f>
        <v>100</v>
      </c>
      <c r="I66" s="332">
        <f>Gasto_o_ing_per_capita!I66*100/Gasto_o_ing_per_capita!$D66</f>
        <v>99.999999999999986</v>
      </c>
      <c r="J66" s="332">
        <f>Gasto_o_ing_per_capita!J66*100/Gasto_o_ing_per_capita!$D66</f>
        <v>99.999999999999972</v>
      </c>
      <c r="K66" s="332">
        <f>Gasto_o_ing_per_capita!K66*100/Gasto_o_ing_per_capita!$D66</f>
        <v>100</v>
      </c>
      <c r="L66" s="332">
        <f>Gasto_o_ing_per_capita!L66*100/Gasto_o_ing_per_capita!$D66</f>
        <v>100.00000000000001</v>
      </c>
      <c r="M66" s="332">
        <f>Gasto_o_ing_per_capita!M66*100/Gasto_o_ing_per_capita!$D66</f>
        <v>100</v>
      </c>
      <c r="N66" s="332">
        <f>Gasto_o_ing_per_capita!N66*100/Gasto_o_ing_per_capita!$D66</f>
        <v>100</v>
      </c>
      <c r="O66" s="332">
        <f>Gasto_o_ing_per_capita!O66*100/Gasto_o_ing_per_capita!$D66</f>
        <v>99.999999999999972</v>
      </c>
      <c r="P66" s="332">
        <f>Gasto_o_ing_per_capita!P66*100/Gasto_o_ing_per_capita!$D66</f>
        <v>99.999999999999972</v>
      </c>
      <c r="Q66" s="332">
        <f>Gasto_o_ing_per_capita!Q66*100/Gasto_o_ing_per_capita!$D66</f>
        <v>99.999999999999986</v>
      </c>
      <c r="R66" s="332">
        <f>Gasto_o_ing_per_capita!R66*100/Gasto_o_ing_per_capita!$D66</f>
        <v>100.00000000000001</v>
      </c>
      <c r="S66" s="332">
        <f>Gasto_o_ing_per_capita!S66*100/Gasto_o_ing_per_capita!$D66</f>
        <v>99.999999999999972</v>
      </c>
      <c r="T66" s="332">
        <f>Gasto_o_ing_per_capita!T66*100/Gasto_o_ing_per_capita!$D66</f>
        <v>100.00000000000001</v>
      </c>
      <c r="U66" s="332">
        <f>Gasto_o_ing_per_capita!U66*100/Gasto_o_ing_per_capita!$D66</f>
        <v>100</v>
      </c>
      <c r="V66" s="332">
        <f>Gasto_o_ing_per_capita!V66*100/Gasto_o_ing_per_capita!$D66</f>
        <v>100.00000000000001</v>
      </c>
    </row>
    <row r="67" spans="1:22" s="102" customFormat="1">
      <c r="A67" s="351" t="str">
        <f>IF(B67="","",(IF(ISERROR(MATCH(B67,Tot_res!C:C,0)),"Eliminar!!!","")))</f>
        <v/>
      </c>
      <c r="B67" s="115" t="s">
        <v>166</v>
      </c>
      <c r="C67" s="329" t="str">
        <f>VLOOKUP(B67,Tot_res!C:D,2,FALSE)</f>
        <v>Meteorología</v>
      </c>
      <c r="D67" s="332">
        <f>Gasto_o_ing_per_capita!D67*100/Gasto_o_ing_per_capita!$D67</f>
        <v>100</v>
      </c>
      <c r="E67" s="332">
        <f>Gasto_o_ing_per_capita!E67*100/Gasto_o_ing_per_capita!$D67</f>
        <v>99.999999999999972</v>
      </c>
      <c r="F67" s="332">
        <f>Gasto_o_ing_per_capita!F67*100/Gasto_o_ing_per_capita!$D67</f>
        <v>99.999999999999972</v>
      </c>
      <c r="G67" s="332">
        <f>Gasto_o_ing_per_capita!G67*100/Gasto_o_ing_per_capita!$D67</f>
        <v>99.999999999999986</v>
      </c>
      <c r="H67" s="332">
        <f>Gasto_o_ing_per_capita!H67*100/Gasto_o_ing_per_capita!$D67</f>
        <v>100</v>
      </c>
      <c r="I67" s="332">
        <f>Gasto_o_ing_per_capita!I67*100/Gasto_o_ing_per_capita!$D67</f>
        <v>99.999999999999972</v>
      </c>
      <c r="J67" s="332">
        <f>Gasto_o_ing_per_capita!J67*100/Gasto_o_ing_per_capita!$D67</f>
        <v>99.999999999999972</v>
      </c>
      <c r="K67" s="332">
        <f>Gasto_o_ing_per_capita!K67*100/Gasto_o_ing_per_capita!$D67</f>
        <v>99.999999999999986</v>
      </c>
      <c r="L67" s="332">
        <f>Gasto_o_ing_per_capita!L67*100/Gasto_o_ing_per_capita!$D67</f>
        <v>99.999999999999972</v>
      </c>
      <c r="M67" s="332">
        <f>Gasto_o_ing_per_capita!M67*100/Gasto_o_ing_per_capita!$D67</f>
        <v>100</v>
      </c>
      <c r="N67" s="332">
        <f>Gasto_o_ing_per_capita!N67*100/Gasto_o_ing_per_capita!$D67</f>
        <v>99.999999999999986</v>
      </c>
      <c r="O67" s="332">
        <f>Gasto_o_ing_per_capita!O67*100/Gasto_o_ing_per_capita!$D67</f>
        <v>99.999999999999972</v>
      </c>
      <c r="P67" s="332">
        <f>Gasto_o_ing_per_capita!P67*100/Gasto_o_ing_per_capita!$D67</f>
        <v>99.999999999999957</v>
      </c>
      <c r="Q67" s="332">
        <f>Gasto_o_ing_per_capita!Q67*100/Gasto_o_ing_per_capita!$D67</f>
        <v>99.999999999999972</v>
      </c>
      <c r="R67" s="332">
        <f>Gasto_o_ing_per_capita!R67*100/Gasto_o_ing_per_capita!$D67</f>
        <v>99.999999999999986</v>
      </c>
      <c r="S67" s="332">
        <f>Gasto_o_ing_per_capita!S67*100/Gasto_o_ing_per_capita!$D67</f>
        <v>99.999999999999972</v>
      </c>
      <c r="T67" s="332">
        <f>Gasto_o_ing_per_capita!T67*100/Gasto_o_ing_per_capita!$D67</f>
        <v>99.999999999999972</v>
      </c>
      <c r="U67" s="332">
        <f>Gasto_o_ing_per_capita!U67*100/Gasto_o_ing_per_capita!$D67</f>
        <v>99.999999999999972</v>
      </c>
      <c r="V67" s="332">
        <f>Gasto_o_ing_per_capita!V67*100/Gasto_o_ing_per_capita!$D67</f>
        <v>100</v>
      </c>
    </row>
    <row r="68" spans="1:22" s="102" customFormat="1">
      <c r="A68" s="351" t="str">
        <f>IF(B68="","",(IF(ISERROR(MATCH(B68,Tot_res!C:C,0)),"Eliminar!!!","")))</f>
        <v/>
      </c>
      <c r="B68" s="115" t="s">
        <v>168</v>
      </c>
      <c r="C68" s="329" t="str">
        <f>VLOOKUP(B68,Tot_res!C:D,2,FALSE)</f>
        <v>Metrología</v>
      </c>
      <c r="D68" s="332">
        <f>Gasto_o_ing_per_capita!D68*100/Gasto_o_ing_per_capita!$D68</f>
        <v>100</v>
      </c>
      <c r="E68" s="332">
        <f>Gasto_o_ing_per_capita!E68*100/Gasto_o_ing_per_capita!$D68</f>
        <v>100.00000000000001</v>
      </c>
      <c r="F68" s="332">
        <f>Gasto_o_ing_per_capita!F68*100/Gasto_o_ing_per_capita!$D68</f>
        <v>100.00000000000003</v>
      </c>
      <c r="G68" s="332">
        <f>Gasto_o_ing_per_capita!G68*100/Gasto_o_ing_per_capita!$D68</f>
        <v>100.00000000000003</v>
      </c>
      <c r="H68" s="332">
        <f>Gasto_o_ing_per_capita!H68*100/Gasto_o_ing_per_capita!$D68</f>
        <v>100.00000000000003</v>
      </c>
      <c r="I68" s="332">
        <f>Gasto_o_ing_per_capita!I68*100/Gasto_o_ing_per_capita!$D68</f>
        <v>100.00000000000001</v>
      </c>
      <c r="J68" s="332">
        <f>Gasto_o_ing_per_capita!J68*100/Gasto_o_ing_per_capita!$D68</f>
        <v>100.00000000000001</v>
      </c>
      <c r="K68" s="332">
        <f>Gasto_o_ing_per_capita!K68*100/Gasto_o_ing_per_capita!$D68</f>
        <v>100.00000000000003</v>
      </c>
      <c r="L68" s="332">
        <f>Gasto_o_ing_per_capita!L68*100/Gasto_o_ing_per_capita!$D68</f>
        <v>100.00000000000001</v>
      </c>
      <c r="M68" s="332">
        <f>Gasto_o_ing_per_capita!M68*100/Gasto_o_ing_per_capita!$D68</f>
        <v>100.00000000000003</v>
      </c>
      <c r="N68" s="332">
        <f>Gasto_o_ing_per_capita!N68*100/Gasto_o_ing_per_capita!$D68</f>
        <v>100</v>
      </c>
      <c r="O68" s="332">
        <f>Gasto_o_ing_per_capita!O68*100/Gasto_o_ing_per_capita!$D68</f>
        <v>100</v>
      </c>
      <c r="P68" s="332">
        <f>Gasto_o_ing_per_capita!P68*100/Gasto_o_ing_per_capita!$D68</f>
        <v>100.00000000000001</v>
      </c>
      <c r="Q68" s="332">
        <f>Gasto_o_ing_per_capita!Q68*100/Gasto_o_ing_per_capita!$D68</f>
        <v>100.00000000000001</v>
      </c>
      <c r="R68" s="332">
        <f>Gasto_o_ing_per_capita!R68*100/Gasto_o_ing_per_capita!$D68</f>
        <v>100.00000000000001</v>
      </c>
      <c r="S68" s="332">
        <f>Gasto_o_ing_per_capita!S68*100/Gasto_o_ing_per_capita!$D68</f>
        <v>100.00000000000001</v>
      </c>
      <c r="T68" s="332">
        <f>Gasto_o_ing_per_capita!T68*100/Gasto_o_ing_per_capita!$D68</f>
        <v>100</v>
      </c>
      <c r="U68" s="332">
        <f>Gasto_o_ing_per_capita!U68*100/Gasto_o_ing_per_capita!$D68</f>
        <v>100.00000000000003</v>
      </c>
      <c r="V68" s="332">
        <f>Gasto_o_ing_per_capita!V68*100/Gasto_o_ing_per_capita!$D68</f>
        <v>100.00000000000001</v>
      </c>
    </row>
    <row r="69" spans="1:22" s="102" customFormat="1">
      <c r="A69" s="351" t="str">
        <f>IF(B69="","",(IF(ISERROR(MATCH(B69,Tot_res!C:C,0)),"Eliminar!!!","")))</f>
        <v/>
      </c>
      <c r="B69" s="115" t="s">
        <v>169</v>
      </c>
      <c r="C69" s="329" t="str">
        <f>VLOOKUP(B69,Tot_res!C:D,2,FALSE)</f>
        <v>Dirección y organización de la administración pública</v>
      </c>
      <c r="D69" s="332">
        <f>Gasto_o_ing_per_capita!D69*100/Gasto_o_ing_per_capita!$D69</f>
        <v>100</v>
      </c>
      <c r="E69" s="332">
        <f>Gasto_o_ing_per_capita!E69*100/Gasto_o_ing_per_capita!$D69</f>
        <v>100</v>
      </c>
      <c r="F69" s="332">
        <f>Gasto_o_ing_per_capita!F69*100/Gasto_o_ing_per_capita!$D69</f>
        <v>100</v>
      </c>
      <c r="G69" s="332">
        <f>Gasto_o_ing_per_capita!G69*100/Gasto_o_ing_per_capita!$D69</f>
        <v>100</v>
      </c>
      <c r="H69" s="332">
        <f>Gasto_o_ing_per_capita!H69*100/Gasto_o_ing_per_capita!$D69</f>
        <v>100</v>
      </c>
      <c r="I69" s="332">
        <f>Gasto_o_ing_per_capita!I69*100/Gasto_o_ing_per_capita!$D69</f>
        <v>100</v>
      </c>
      <c r="J69" s="332">
        <f>Gasto_o_ing_per_capita!J69*100/Gasto_o_ing_per_capita!$D69</f>
        <v>100</v>
      </c>
      <c r="K69" s="332">
        <f>Gasto_o_ing_per_capita!K69*100/Gasto_o_ing_per_capita!$D69</f>
        <v>100</v>
      </c>
      <c r="L69" s="332">
        <f>Gasto_o_ing_per_capita!L69*100/Gasto_o_ing_per_capita!$D69</f>
        <v>100</v>
      </c>
      <c r="M69" s="332">
        <f>Gasto_o_ing_per_capita!M69*100/Gasto_o_ing_per_capita!$D69</f>
        <v>100</v>
      </c>
      <c r="N69" s="332">
        <f>Gasto_o_ing_per_capita!N69*100/Gasto_o_ing_per_capita!$D69</f>
        <v>100</v>
      </c>
      <c r="O69" s="332">
        <f>Gasto_o_ing_per_capita!O69*100/Gasto_o_ing_per_capita!$D69</f>
        <v>100</v>
      </c>
      <c r="P69" s="332">
        <f>Gasto_o_ing_per_capita!P69*100/Gasto_o_ing_per_capita!$D69</f>
        <v>100</v>
      </c>
      <c r="Q69" s="332">
        <f>Gasto_o_ing_per_capita!Q69*100/Gasto_o_ing_per_capita!$D69</f>
        <v>100</v>
      </c>
      <c r="R69" s="332">
        <f>Gasto_o_ing_per_capita!R69*100/Gasto_o_ing_per_capita!$D69</f>
        <v>100</v>
      </c>
      <c r="S69" s="332">
        <f>Gasto_o_ing_per_capita!S69*100/Gasto_o_ing_per_capita!$D69</f>
        <v>99.999999999999986</v>
      </c>
      <c r="T69" s="332">
        <f>Gasto_o_ing_per_capita!T69*100/Gasto_o_ing_per_capita!$D69</f>
        <v>100</v>
      </c>
      <c r="U69" s="332">
        <f>Gasto_o_ing_per_capita!U69*100/Gasto_o_ing_per_capita!$D69</f>
        <v>100</v>
      </c>
      <c r="V69" s="332">
        <f>Gasto_o_ing_per_capita!V69*100/Gasto_o_ing_per_capita!$D69</f>
        <v>100</v>
      </c>
    </row>
    <row r="70" spans="1:22" s="102" customFormat="1">
      <c r="A70" s="351" t="str">
        <f>IF(B70="","",(IF(ISERROR(MATCH(B70,Tot_res!C:C,0)),"Eliminar!!!","")))</f>
        <v/>
      </c>
      <c r="B70" s="115" t="s">
        <v>698</v>
      </c>
      <c r="C70" s="329" t="str">
        <f>VLOOKUP(B70,Tot_res!C:D,2,FALSE)</f>
        <v>Formación del personal de las administraciones públicas</v>
      </c>
      <c r="D70" s="332">
        <f>Gasto_o_ing_per_capita!D70*100/Gasto_o_ing_per_capita!$D70</f>
        <v>100</v>
      </c>
      <c r="E70" s="332">
        <f>Gasto_o_ing_per_capita!E70*100/Gasto_o_ing_per_capita!$D70</f>
        <v>100</v>
      </c>
      <c r="F70" s="332">
        <f>Gasto_o_ing_per_capita!F70*100/Gasto_o_ing_per_capita!$D70</f>
        <v>100</v>
      </c>
      <c r="G70" s="332">
        <f>Gasto_o_ing_per_capita!G70*100/Gasto_o_ing_per_capita!$D70</f>
        <v>100</v>
      </c>
      <c r="H70" s="332">
        <f>Gasto_o_ing_per_capita!H70*100/Gasto_o_ing_per_capita!$D70</f>
        <v>100</v>
      </c>
      <c r="I70" s="332">
        <f>Gasto_o_ing_per_capita!I70*100/Gasto_o_ing_per_capita!$D70</f>
        <v>100.00000000000001</v>
      </c>
      <c r="J70" s="332">
        <f>Gasto_o_ing_per_capita!J70*100/Gasto_o_ing_per_capita!$D70</f>
        <v>100.00000000000001</v>
      </c>
      <c r="K70" s="332">
        <f>Gasto_o_ing_per_capita!K70*100/Gasto_o_ing_per_capita!$D70</f>
        <v>100</v>
      </c>
      <c r="L70" s="332">
        <f>Gasto_o_ing_per_capita!L70*100/Gasto_o_ing_per_capita!$D70</f>
        <v>100</v>
      </c>
      <c r="M70" s="332">
        <f>Gasto_o_ing_per_capita!M70*100/Gasto_o_ing_per_capita!$D70</f>
        <v>100.00000000000001</v>
      </c>
      <c r="N70" s="332">
        <f>Gasto_o_ing_per_capita!N70*100/Gasto_o_ing_per_capita!$D70</f>
        <v>100</v>
      </c>
      <c r="O70" s="332">
        <f>Gasto_o_ing_per_capita!O70*100/Gasto_o_ing_per_capita!$D70</f>
        <v>100</v>
      </c>
      <c r="P70" s="332">
        <f>Gasto_o_ing_per_capita!P70*100/Gasto_o_ing_per_capita!$D70</f>
        <v>100</v>
      </c>
      <c r="Q70" s="332">
        <f>Gasto_o_ing_per_capita!Q70*100/Gasto_o_ing_per_capita!$D70</f>
        <v>100.00000000000001</v>
      </c>
      <c r="R70" s="332">
        <f>Gasto_o_ing_per_capita!R70*100/Gasto_o_ing_per_capita!$D70</f>
        <v>100.00000000000001</v>
      </c>
      <c r="S70" s="332">
        <f>Gasto_o_ing_per_capita!S70*100/Gasto_o_ing_per_capita!$D70</f>
        <v>100</v>
      </c>
      <c r="T70" s="332">
        <f>Gasto_o_ing_per_capita!T70*100/Gasto_o_ing_per_capita!$D70</f>
        <v>100</v>
      </c>
      <c r="U70" s="332">
        <f>Gasto_o_ing_per_capita!U70*100/Gasto_o_ing_per_capita!$D70</f>
        <v>100</v>
      </c>
      <c r="V70" s="332">
        <f>Gasto_o_ing_per_capita!V70*100/Gasto_o_ing_per_capita!$D70</f>
        <v>100</v>
      </c>
    </row>
    <row r="71" spans="1:22" s="102" customFormat="1">
      <c r="A71" s="351" t="str">
        <f>IF(B71="","",(IF(ISERROR(MATCH(B71,Tot_res!C:C,0)),"Eliminar!!!","")))</f>
        <v/>
      </c>
      <c r="B71" s="115" t="s">
        <v>170</v>
      </c>
      <c r="C71" s="329" t="str">
        <f>VLOOKUP(B71,Tot_res!C:D,2,FALSE)</f>
        <v>Administración periférica del estado</v>
      </c>
      <c r="D71" s="332">
        <f>Gasto_o_ing_per_capita!D71*100/Gasto_o_ing_per_capita!$D71</f>
        <v>100</v>
      </c>
      <c r="E71" s="332">
        <f>Gasto_o_ing_per_capita!E71*100/Gasto_o_ing_per_capita!$D71</f>
        <v>100.00000000000003</v>
      </c>
      <c r="F71" s="332">
        <f>Gasto_o_ing_per_capita!F71*100/Gasto_o_ing_per_capita!$D71</f>
        <v>100.00000000000003</v>
      </c>
      <c r="G71" s="332">
        <f>Gasto_o_ing_per_capita!G71*100/Gasto_o_ing_per_capita!$D71</f>
        <v>100.00000000000003</v>
      </c>
      <c r="H71" s="332">
        <f>Gasto_o_ing_per_capita!H71*100/Gasto_o_ing_per_capita!$D71</f>
        <v>100.00000000000003</v>
      </c>
      <c r="I71" s="332">
        <f>Gasto_o_ing_per_capita!I71*100/Gasto_o_ing_per_capita!$D71</f>
        <v>100.00000000000003</v>
      </c>
      <c r="J71" s="332">
        <f>Gasto_o_ing_per_capita!J71*100/Gasto_o_ing_per_capita!$D71</f>
        <v>100.00000000000003</v>
      </c>
      <c r="K71" s="332">
        <f>Gasto_o_ing_per_capita!K71*100/Gasto_o_ing_per_capita!$D71</f>
        <v>100</v>
      </c>
      <c r="L71" s="332">
        <f>Gasto_o_ing_per_capita!L71*100/Gasto_o_ing_per_capita!$D71</f>
        <v>100.00000000000003</v>
      </c>
      <c r="M71" s="332">
        <f>Gasto_o_ing_per_capita!M71*100/Gasto_o_ing_per_capita!$D71</f>
        <v>100.00000000000003</v>
      </c>
      <c r="N71" s="332">
        <f>Gasto_o_ing_per_capita!N71*100/Gasto_o_ing_per_capita!$D71</f>
        <v>100.00000000000003</v>
      </c>
      <c r="O71" s="332">
        <f>Gasto_o_ing_per_capita!O71*100/Gasto_o_ing_per_capita!$D71</f>
        <v>100.00000000000003</v>
      </c>
      <c r="P71" s="332">
        <f>Gasto_o_ing_per_capita!P71*100/Gasto_o_ing_per_capita!$D71</f>
        <v>100</v>
      </c>
      <c r="Q71" s="332">
        <f>Gasto_o_ing_per_capita!Q71*100/Gasto_o_ing_per_capita!$D71</f>
        <v>100</v>
      </c>
      <c r="R71" s="332">
        <f>Gasto_o_ing_per_capita!R71*100/Gasto_o_ing_per_capita!$D71</f>
        <v>100.00000000000003</v>
      </c>
      <c r="S71" s="332">
        <f>Gasto_o_ing_per_capita!S71*100/Gasto_o_ing_per_capita!$D71</f>
        <v>100.00000000000003</v>
      </c>
      <c r="T71" s="332">
        <f>Gasto_o_ing_per_capita!T71*100/Gasto_o_ing_per_capita!$D71</f>
        <v>100.00000000000003</v>
      </c>
      <c r="U71" s="332">
        <f>Gasto_o_ing_per_capita!U71*100/Gasto_o_ing_per_capita!$D71</f>
        <v>100.00000000000003</v>
      </c>
      <c r="V71" s="332">
        <f>Gasto_o_ing_per_capita!V71*100/Gasto_o_ing_per_capita!$D71</f>
        <v>100.00000000000003</v>
      </c>
    </row>
    <row r="72" spans="1:22" s="102" customFormat="1">
      <c r="A72" s="351" t="str">
        <f>IF(B72="","",(IF(ISERROR(MATCH(B72,Tot_res!C:C,0)),"Eliminar!!!","")))</f>
        <v/>
      </c>
      <c r="B72" s="115" t="s">
        <v>171</v>
      </c>
      <c r="C72" s="329" t="str">
        <f>VLOOKUP(B72,Tot_res!C:D,2,FALSE)</f>
        <v>Publicidad de las normas legales</v>
      </c>
      <c r="D72" s="332">
        <f>Gasto_o_ing_per_capita!D72*100/Gasto_o_ing_per_capita!$D72</f>
        <v>100</v>
      </c>
      <c r="E72" s="332">
        <f>Gasto_o_ing_per_capita!E72*100/Gasto_o_ing_per_capita!$D72</f>
        <v>100</v>
      </c>
      <c r="F72" s="332">
        <f>Gasto_o_ing_per_capita!F72*100/Gasto_o_ing_per_capita!$D72</f>
        <v>100</v>
      </c>
      <c r="G72" s="332">
        <f>Gasto_o_ing_per_capita!G72*100/Gasto_o_ing_per_capita!$D72</f>
        <v>100</v>
      </c>
      <c r="H72" s="332">
        <f>Gasto_o_ing_per_capita!H72*100/Gasto_o_ing_per_capita!$D72</f>
        <v>100</v>
      </c>
      <c r="I72" s="332">
        <f>Gasto_o_ing_per_capita!I72*100/Gasto_o_ing_per_capita!$D72</f>
        <v>100</v>
      </c>
      <c r="J72" s="332">
        <f>Gasto_o_ing_per_capita!J72*100/Gasto_o_ing_per_capita!$D72</f>
        <v>100</v>
      </c>
      <c r="K72" s="332">
        <f>Gasto_o_ing_per_capita!K72*100/Gasto_o_ing_per_capita!$D72</f>
        <v>99.999999999999986</v>
      </c>
      <c r="L72" s="332">
        <f>Gasto_o_ing_per_capita!L72*100/Gasto_o_ing_per_capita!$D72</f>
        <v>100.00000000000001</v>
      </c>
      <c r="M72" s="332">
        <f>Gasto_o_ing_per_capita!M72*100/Gasto_o_ing_per_capita!$D72</f>
        <v>100</v>
      </c>
      <c r="N72" s="332">
        <f>Gasto_o_ing_per_capita!N72*100/Gasto_o_ing_per_capita!$D72</f>
        <v>100</v>
      </c>
      <c r="O72" s="332">
        <f>Gasto_o_ing_per_capita!O72*100/Gasto_o_ing_per_capita!$D72</f>
        <v>100</v>
      </c>
      <c r="P72" s="332">
        <f>Gasto_o_ing_per_capita!P72*100/Gasto_o_ing_per_capita!$D72</f>
        <v>100</v>
      </c>
      <c r="Q72" s="332">
        <f>Gasto_o_ing_per_capita!Q72*100/Gasto_o_ing_per_capita!$D72</f>
        <v>100</v>
      </c>
      <c r="R72" s="332">
        <f>Gasto_o_ing_per_capita!R72*100/Gasto_o_ing_per_capita!$D72</f>
        <v>100</v>
      </c>
      <c r="S72" s="332">
        <f>Gasto_o_ing_per_capita!S72*100/Gasto_o_ing_per_capita!$D72</f>
        <v>100</v>
      </c>
      <c r="T72" s="332">
        <f>Gasto_o_ing_per_capita!T72*100/Gasto_o_ing_per_capita!$D72</f>
        <v>100.00000000000001</v>
      </c>
      <c r="U72" s="332">
        <f>Gasto_o_ing_per_capita!U72*100/Gasto_o_ing_per_capita!$D72</f>
        <v>100</v>
      </c>
      <c r="V72" s="332">
        <f>Gasto_o_ing_per_capita!V72*100/Gasto_o_ing_per_capita!$D72</f>
        <v>100.00000000000001</v>
      </c>
    </row>
    <row r="73" spans="1:22" s="102" customFormat="1">
      <c r="A73" s="351" t="str">
        <f>IF(B73="","",(IF(ISERROR(MATCH(B73,Tot_res!C:C,0)),"Eliminar!!!","")))</f>
        <v/>
      </c>
      <c r="B73" s="115" t="s">
        <v>173</v>
      </c>
      <c r="C73" s="329" t="str">
        <f>VLOOKUP(B73,Tot_res!C:D,2,FALSE)</f>
        <v>Asesoramiento y defensa intereses del estado</v>
      </c>
      <c r="D73" s="332">
        <f>Gasto_o_ing_per_capita!D73*100/Gasto_o_ing_per_capita!$D73</f>
        <v>100.00000000000001</v>
      </c>
      <c r="E73" s="332">
        <f>Gasto_o_ing_per_capita!E73*100/Gasto_o_ing_per_capita!$D73</f>
        <v>100.00000000000001</v>
      </c>
      <c r="F73" s="332">
        <f>Gasto_o_ing_per_capita!F73*100/Gasto_o_ing_per_capita!$D73</f>
        <v>100.00000000000001</v>
      </c>
      <c r="G73" s="332">
        <f>Gasto_o_ing_per_capita!G73*100/Gasto_o_ing_per_capita!$D73</f>
        <v>100.00000000000001</v>
      </c>
      <c r="H73" s="332">
        <f>Gasto_o_ing_per_capita!H73*100/Gasto_o_ing_per_capita!$D73</f>
        <v>99.999999999999986</v>
      </c>
      <c r="I73" s="332">
        <f>Gasto_o_ing_per_capita!I73*100/Gasto_o_ing_per_capita!$D73</f>
        <v>99.999999999999986</v>
      </c>
      <c r="J73" s="332">
        <f>Gasto_o_ing_per_capita!J73*100/Gasto_o_ing_per_capita!$D73</f>
        <v>100.00000000000001</v>
      </c>
      <c r="K73" s="332">
        <f>Gasto_o_ing_per_capita!K73*100/Gasto_o_ing_per_capita!$D73</f>
        <v>100.00000000000001</v>
      </c>
      <c r="L73" s="332">
        <f>Gasto_o_ing_per_capita!L73*100/Gasto_o_ing_per_capita!$D73</f>
        <v>100.00000000000001</v>
      </c>
      <c r="M73" s="332">
        <f>Gasto_o_ing_per_capita!M73*100/Gasto_o_ing_per_capita!$D73</f>
        <v>100.00000000000001</v>
      </c>
      <c r="N73" s="332">
        <f>Gasto_o_ing_per_capita!N73*100/Gasto_o_ing_per_capita!$D73</f>
        <v>100.00000000000001</v>
      </c>
      <c r="O73" s="332">
        <f>Gasto_o_ing_per_capita!O73*100/Gasto_o_ing_per_capita!$D73</f>
        <v>100.00000000000001</v>
      </c>
      <c r="P73" s="332">
        <f>Gasto_o_ing_per_capita!P73*100/Gasto_o_ing_per_capita!$D73</f>
        <v>99.999999999999986</v>
      </c>
      <c r="Q73" s="332">
        <f>Gasto_o_ing_per_capita!Q73*100/Gasto_o_ing_per_capita!$D73</f>
        <v>100.00000000000001</v>
      </c>
      <c r="R73" s="332">
        <f>Gasto_o_ing_per_capita!R73*100/Gasto_o_ing_per_capita!$D73</f>
        <v>100.00000000000001</v>
      </c>
      <c r="S73" s="332">
        <f>Gasto_o_ing_per_capita!S73*100/Gasto_o_ing_per_capita!$D73</f>
        <v>100.00000000000001</v>
      </c>
      <c r="T73" s="332">
        <f>Gasto_o_ing_per_capita!T73*100/Gasto_o_ing_per_capita!$D73</f>
        <v>100.00000000000001</v>
      </c>
      <c r="U73" s="332">
        <f>Gasto_o_ing_per_capita!U73*100/Gasto_o_ing_per_capita!$D73</f>
        <v>100.00000000000001</v>
      </c>
      <c r="V73" s="332">
        <f>Gasto_o_ing_per_capita!V73*100/Gasto_o_ing_per_capita!$D73</f>
        <v>100.00000000000001</v>
      </c>
    </row>
    <row r="74" spans="1:22" s="102" customFormat="1">
      <c r="A74" s="351" t="str">
        <f>IF(B74="","",(IF(ISERROR(MATCH(B74,Tot_res!C:C,0)),"Eliminar!!!","")))</f>
        <v/>
      </c>
      <c r="B74" s="115" t="s">
        <v>174</v>
      </c>
      <c r="C74" s="329" t="str">
        <f>VLOOKUP(B74,Tot_res!C:D,2,FALSE)</f>
        <v>Servicios de transportes de ministerios</v>
      </c>
      <c r="D74" s="332">
        <f>Gasto_o_ing_per_capita!D74*100/Gasto_o_ing_per_capita!$D74</f>
        <v>100.00000000000001</v>
      </c>
      <c r="E74" s="332">
        <f>Gasto_o_ing_per_capita!E74*100/Gasto_o_ing_per_capita!$D74</f>
        <v>100.00000000000001</v>
      </c>
      <c r="F74" s="332">
        <f>Gasto_o_ing_per_capita!F74*100/Gasto_o_ing_per_capita!$D74</f>
        <v>100.00000000000001</v>
      </c>
      <c r="G74" s="332">
        <f>Gasto_o_ing_per_capita!G74*100/Gasto_o_ing_per_capita!$D74</f>
        <v>100.00000000000001</v>
      </c>
      <c r="H74" s="332">
        <f>Gasto_o_ing_per_capita!H74*100/Gasto_o_ing_per_capita!$D74</f>
        <v>100.00000000000001</v>
      </c>
      <c r="I74" s="332">
        <f>Gasto_o_ing_per_capita!I74*100/Gasto_o_ing_per_capita!$D74</f>
        <v>100.00000000000001</v>
      </c>
      <c r="J74" s="332">
        <f>Gasto_o_ing_per_capita!J74*100/Gasto_o_ing_per_capita!$D74</f>
        <v>100.00000000000001</v>
      </c>
      <c r="K74" s="332">
        <f>Gasto_o_ing_per_capita!K74*100/Gasto_o_ing_per_capita!$D74</f>
        <v>100.00000000000001</v>
      </c>
      <c r="L74" s="332">
        <f>Gasto_o_ing_per_capita!L74*100/Gasto_o_ing_per_capita!$D74</f>
        <v>100.00000000000001</v>
      </c>
      <c r="M74" s="332">
        <f>Gasto_o_ing_per_capita!M74*100/Gasto_o_ing_per_capita!$D74</f>
        <v>100.00000000000001</v>
      </c>
      <c r="N74" s="332">
        <f>Gasto_o_ing_per_capita!N74*100/Gasto_o_ing_per_capita!$D74</f>
        <v>100.00000000000001</v>
      </c>
      <c r="O74" s="332">
        <f>Gasto_o_ing_per_capita!O74*100/Gasto_o_ing_per_capita!$D74</f>
        <v>100.00000000000001</v>
      </c>
      <c r="P74" s="332">
        <f>Gasto_o_ing_per_capita!P74*100/Gasto_o_ing_per_capita!$D74</f>
        <v>100.00000000000001</v>
      </c>
      <c r="Q74" s="332">
        <f>Gasto_o_ing_per_capita!Q74*100/Gasto_o_ing_per_capita!$D74</f>
        <v>100.00000000000001</v>
      </c>
      <c r="R74" s="332">
        <f>Gasto_o_ing_per_capita!R74*100/Gasto_o_ing_per_capita!$D74</f>
        <v>100.00000000000001</v>
      </c>
      <c r="S74" s="332">
        <f>Gasto_o_ing_per_capita!S74*100/Gasto_o_ing_per_capita!$D74</f>
        <v>100.00000000000001</v>
      </c>
      <c r="T74" s="332">
        <f>Gasto_o_ing_per_capita!T74*100/Gasto_o_ing_per_capita!$D74</f>
        <v>100.00000000000001</v>
      </c>
      <c r="U74" s="332">
        <f>Gasto_o_ing_per_capita!U74*100/Gasto_o_ing_per_capita!$D74</f>
        <v>100.00000000000001</v>
      </c>
      <c r="V74" s="332">
        <f>Gasto_o_ing_per_capita!V74*100/Gasto_o_ing_per_capita!$D74</f>
        <v>100.00000000000001</v>
      </c>
    </row>
    <row r="75" spans="1:22"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Gasto_o_ing_per_capita!D75*100/Gasto_o_ing_per_capita!$D75</f>
        <v>100</v>
      </c>
      <c r="E75" s="332">
        <f>Gasto_o_ing_per_capita!E75*100/Gasto_o_ing_per_capita!$D75</f>
        <v>99.999999999999986</v>
      </c>
      <c r="F75" s="332">
        <f>Gasto_o_ing_per_capita!F75*100/Gasto_o_ing_per_capita!$D75</f>
        <v>100</v>
      </c>
      <c r="G75" s="332">
        <f>Gasto_o_ing_per_capita!G75*100/Gasto_o_ing_per_capita!$D75</f>
        <v>100</v>
      </c>
      <c r="H75" s="332">
        <f>Gasto_o_ing_per_capita!H75*100/Gasto_o_ing_per_capita!$D75</f>
        <v>99.999999999999986</v>
      </c>
      <c r="I75" s="332">
        <f>Gasto_o_ing_per_capita!I75*100/Gasto_o_ing_per_capita!$D75</f>
        <v>100</v>
      </c>
      <c r="J75" s="332">
        <f>Gasto_o_ing_per_capita!J75*100/Gasto_o_ing_per_capita!$D75</f>
        <v>99.999999999999986</v>
      </c>
      <c r="K75" s="332">
        <f>Gasto_o_ing_per_capita!K75*100/Gasto_o_ing_per_capita!$D75</f>
        <v>99.999999999999986</v>
      </c>
      <c r="L75" s="332">
        <f>Gasto_o_ing_per_capita!L75*100/Gasto_o_ing_per_capita!$D75</f>
        <v>100</v>
      </c>
      <c r="M75" s="332">
        <f>Gasto_o_ing_per_capita!M75*100/Gasto_o_ing_per_capita!$D75</f>
        <v>100</v>
      </c>
      <c r="N75" s="332">
        <f>Gasto_o_ing_per_capita!N75*100/Gasto_o_ing_per_capita!$D75</f>
        <v>99.999999999999986</v>
      </c>
      <c r="O75" s="332">
        <f>Gasto_o_ing_per_capita!O75*100/Gasto_o_ing_per_capita!$D75</f>
        <v>99.999999999999957</v>
      </c>
      <c r="P75" s="332">
        <f>Gasto_o_ing_per_capita!P75*100/Gasto_o_ing_per_capita!$D75</f>
        <v>99.999999999999986</v>
      </c>
      <c r="Q75" s="332">
        <f>Gasto_o_ing_per_capita!Q75*100/Gasto_o_ing_per_capita!$D75</f>
        <v>99.999999999999986</v>
      </c>
      <c r="R75" s="332">
        <f>Gasto_o_ing_per_capita!R75*100/Gasto_o_ing_per_capita!$D75</f>
        <v>100</v>
      </c>
      <c r="S75" s="332">
        <f>Gasto_o_ing_per_capita!S75*100/Gasto_o_ing_per_capita!$D75</f>
        <v>99.999999999999986</v>
      </c>
      <c r="T75" s="332">
        <f>Gasto_o_ing_per_capita!T75*100/Gasto_o_ing_per_capita!$D75</f>
        <v>99.999999999999986</v>
      </c>
      <c r="U75" s="332">
        <f>Gasto_o_ing_per_capita!U75*100/Gasto_o_ing_per_capita!$D75</f>
        <v>99.999999999999986</v>
      </c>
      <c r="V75" s="332">
        <f>Gasto_o_ing_per_capita!V75*100/Gasto_o_ing_per_capita!$D75</f>
        <v>100</v>
      </c>
    </row>
    <row r="76" spans="1:22" s="102" customFormat="1">
      <c r="A76" s="351" t="str">
        <f>IF(B76="","",(IF(ISERROR(MATCH(B76,Tot_res!C:C,0)),"Eliminar!!!","")))</f>
        <v/>
      </c>
      <c r="B76" s="115" t="s">
        <v>176</v>
      </c>
      <c r="C76" s="329" t="str">
        <f>VLOOKUP(B76,Tot_res!C:D,2,FALSE)</f>
        <v>Organización territorial del estado y desarrollo de sus sistemas de colaboración</v>
      </c>
      <c r="D76" s="332">
        <f>Gasto_o_ing_per_capita!D76*100/Gasto_o_ing_per_capita!$D76</f>
        <v>100</v>
      </c>
      <c r="E76" s="332">
        <f>Gasto_o_ing_per_capita!E76*100/Gasto_o_ing_per_capita!$D76</f>
        <v>99.999999999999986</v>
      </c>
      <c r="F76" s="332">
        <f>Gasto_o_ing_per_capita!F76*100/Gasto_o_ing_per_capita!$D76</f>
        <v>100.00000000000001</v>
      </c>
      <c r="G76" s="332">
        <f>Gasto_o_ing_per_capita!G76*100/Gasto_o_ing_per_capita!$D76</f>
        <v>100</v>
      </c>
      <c r="H76" s="332">
        <f>Gasto_o_ing_per_capita!H76*100/Gasto_o_ing_per_capita!$D76</f>
        <v>100</v>
      </c>
      <c r="I76" s="332">
        <f>Gasto_o_ing_per_capita!I76*100/Gasto_o_ing_per_capita!$D76</f>
        <v>100</v>
      </c>
      <c r="J76" s="332">
        <f>Gasto_o_ing_per_capita!J76*100/Gasto_o_ing_per_capita!$D76</f>
        <v>100</v>
      </c>
      <c r="K76" s="332">
        <f>Gasto_o_ing_per_capita!K76*100/Gasto_o_ing_per_capita!$D76</f>
        <v>100.00000000000001</v>
      </c>
      <c r="L76" s="332">
        <f>Gasto_o_ing_per_capita!L76*100/Gasto_o_ing_per_capita!$D76</f>
        <v>100.00000000000001</v>
      </c>
      <c r="M76" s="332">
        <f>Gasto_o_ing_per_capita!M76*100/Gasto_o_ing_per_capita!$D76</f>
        <v>100.00000000000001</v>
      </c>
      <c r="N76" s="332">
        <f>Gasto_o_ing_per_capita!N76*100/Gasto_o_ing_per_capita!$D76</f>
        <v>100</v>
      </c>
      <c r="O76" s="332">
        <f>Gasto_o_ing_per_capita!O76*100/Gasto_o_ing_per_capita!$D76</f>
        <v>100</v>
      </c>
      <c r="P76" s="332">
        <f>Gasto_o_ing_per_capita!P76*100/Gasto_o_ing_per_capita!$D76</f>
        <v>100.00000000000001</v>
      </c>
      <c r="Q76" s="332">
        <f>Gasto_o_ing_per_capita!Q76*100/Gasto_o_ing_per_capita!$D76</f>
        <v>100</v>
      </c>
      <c r="R76" s="332">
        <f>Gasto_o_ing_per_capita!R76*100/Gasto_o_ing_per_capita!$D76</f>
        <v>100.00000000000001</v>
      </c>
      <c r="S76" s="332">
        <f>Gasto_o_ing_per_capita!S76*100/Gasto_o_ing_per_capita!$D76</f>
        <v>100.00000000000001</v>
      </c>
      <c r="T76" s="332">
        <f>Gasto_o_ing_per_capita!T76*100/Gasto_o_ing_per_capita!$D76</f>
        <v>100.00000000000001</v>
      </c>
      <c r="U76" s="332">
        <f>Gasto_o_ing_per_capita!U76*100/Gasto_o_ing_per_capita!$D76</f>
        <v>100</v>
      </c>
      <c r="V76" s="332">
        <f>Gasto_o_ing_per_capita!V76*100/Gasto_o_ing_per_capita!$D76</f>
        <v>100.00000000000001</v>
      </c>
    </row>
    <row r="77" spans="1:22" s="102" customFormat="1">
      <c r="A77" s="351" t="str">
        <f>IF(B77="","",(IF(ISERROR(MATCH(B77,Tot_res!C:C,0)),"Eliminar!!!","")))</f>
        <v/>
      </c>
      <c r="B77" s="115" t="s">
        <v>177</v>
      </c>
      <c r="C77" s="329" t="str">
        <f>VLOOKUP(B77,Tot_res!C:D,2,FALSE)</f>
        <v>Elecciones y partidos políticos</v>
      </c>
      <c r="D77" s="332">
        <f>Gasto_o_ing_per_capita!D77*100/Gasto_o_ing_per_capita!$D77</f>
        <v>100</v>
      </c>
      <c r="E77" s="332">
        <f>Gasto_o_ing_per_capita!E77*100/Gasto_o_ing_per_capita!$D77</f>
        <v>99.999999999999957</v>
      </c>
      <c r="F77" s="332">
        <f>Gasto_o_ing_per_capita!F77*100/Gasto_o_ing_per_capita!$D77</f>
        <v>99.999999999999986</v>
      </c>
      <c r="G77" s="332">
        <f>Gasto_o_ing_per_capita!G77*100/Gasto_o_ing_per_capita!$D77</f>
        <v>99.999999999999986</v>
      </c>
      <c r="H77" s="332">
        <f>Gasto_o_ing_per_capita!H77*100/Gasto_o_ing_per_capita!$D77</f>
        <v>100</v>
      </c>
      <c r="I77" s="332">
        <f>Gasto_o_ing_per_capita!I77*100/Gasto_o_ing_per_capita!$D77</f>
        <v>99.999999999999986</v>
      </c>
      <c r="J77" s="332">
        <f>Gasto_o_ing_per_capita!J77*100/Gasto_o_ing_per_capita!$D77</f>
        <v>99.999999999999986</v>
      </c>
      <c r="K77" s="332">
        <f>Gasto_o_ing_per_capita!K77*100/Gasto_o_ing_per_capita!$D77</f>
        <v>99.999999999999986</v>
      </c>
      <c r="L77" s="332">
        <f>Gasto_o_ing_per_capita!L77*100/Gasto_o_ing_per_capita!$D77</f>
        <v>99.999999999999986</v>
      </c>
      <c r="M77" s="332">
        <f>Gasto_o_ing_per_capita!M77*100/Gasto_o_ing_per_capita!$D77</f>
        <v>99.999999999999986</v>
      </c>
      <c r="N77" s="332">
        <f>Gasto_o_ing_per_capita!N77*100/Gasto_o_ing_per_capita!$D77</f>
        <v>100</v>
      </c>
      <c r="O77" s="332">
        <f>Gasto_o_ing_per_capita!O77*100/Gasto_o_ing_per_capita!$D77</f>
        <v>99.999999999999986</v>
      </c>
      <c r="P77" s="332">
        <f>Gasto_o_ing_per_capita!P77*100/Gasto_o_ing_per_capita!$D77</f>
        <v>99.999999999999957</v>
      </c>
      <c r="Q77" s="332">
        <f>Gasto_o_ing_per_capita!Q77*100/Gasto_o_ing_per_capita!$D77</f>
        <v>99.999999999999986</v>
      </c>
      <c r="R77" s="332">
        <f>Gasto_o_ing_per_capita!R77*100/Gasto_o_ing_per_capita!$D77</f>
        <v>99.999999999999986</v>
      </c>
      <c r="S77" s="332">
        <f>Gasto_o_ing_per_capita!S77*100/Gasto_o_ing_per_capita!$D77</f>
        <v>99.999999999999957</v>
      </c>
      <c r="T77" s="332">
        <f>Gasto_o_ing_per_capita!T77*100/Gasto_o_ing_per_capita!$D77</f>
        <v>99.999999999999986</v>
      </c>
      <c r="U77" s="332">
        <f>Gasto_o_ing_per_capita!U77*100/Gasto_o_ing_per_capita!$D77</f>
        <v>99.999999999999957</v>
      </c>
      <c r="V77" s="332">
        <f>Gasto_o_ing_per_capita!V77*100/Gasto_o_ing_per_capita!$D77</f>
        <v>99.999999999999986</v>
      </c>
    </row>
    <row r="78" spans="1:22" s="102" customFormat="1">
      <c r="A78" s="352"/>
      <c r="B78" s="115"/>
      <c r="D78" s="110"/>
      <c r="E78" s="110"/>
      <c r="F78" s="110"/>
      <c r="G78" s="110"/>
      <c r="H78" s="110"/>
      <c r="I78" s="110"/>
      <c r="J78" s="110"/>
      <c r="K78" s="110"/>
      <c r="L78" s="110"/>
      <c r="M78" s="110"/>
      <c r="N78" s="110"/>
      <c r="O78" s="110"/>
      <c r="P78" s="110"/>
      <c r="Q78" s="110"/>
      <c r="R78" s="110"/>
      <c r="S78" s="110"/>
      <c r="T78" s="110"/>
      <c r="U78" s="110"/>
      <c r="V78" s="110"/>
    </row>
    <row r="79" spans="1:22" s="102" customFormat="1" ht="13.5">
      <c r="A79" s="352"/>
      <c r="B79" s="115"/>
      <c r="C79" s="128" t="s">
        <v>25</v>
      </c>
      <c r="D79" s="113">
        <f>Gasto_o_ing_per_capita!D79*100/Gasto_o_ing_per_capita!$D79</f>
        <v>100</v>
      </c>
      <c r="E79" s="113">
        <f>Gasto_o_ing_per_capita!E79*100/Gasto_o_ing_per_capita!$D79</f>
        <v>100</v>
      </c>
      <c r="F79" s="113">
        <f>Gasto_o_ing_per_capita!F79*100/Gasto_o_ing_per_capita!$D79</f>
        <v>100.00000000000001</v>
      </c>
      <c r="G79" s="113">
        <f>Gasto_o_ing_per_capita!G79*100/Gasto_o_ing_per_capita!$D79</f>
        <v>100.00000000000001</v>
      </c>
      <c r="H79" s="113">
        <f>Gasto_o_ing_per_capita!H79*100/Gasto_o_ing_per_capita!$D79</f>
        <v>99.999999999999972</v>
      </c>
      <c r="I79" s="113">
        <f>Gasto_o_ing_per_capita!I79*100/Gasto_o_ing_per_capita!$D79</f>
        <v>99.999999999999972</v>
      </c>
      <c r="J79" s="113">
        <f>Gasto_o_ing_per_capita!J79*100/Gasto_o_ing_per_capita!$D79</f>
        <v>100.00000000000001</v>
      </c>
      <c r="K79" s="113">
        <f>Gasto_o_ing_per_capita!K79*100/Gasto_o_ing_per_capita!$D79</f>
        <v>100.00000000000001</v>
      </c>
      <c r="L79" s="113">
        <f>Gasto_o_ing_per_capita!L79*100/Gasto_o_ing_per_capita!$D79</f>
        <v>100</v>
      </c>
      <c r="M79" s="113">
        <f>Gasto_o_ing_per_capita!M79*100/Gasto_o_ing_per_capita!$D79</f>
        <v>99.999999999999972</v>
      </c>
      <c r="N79" s="113">
        <f>Gasto_o_ing_per_capita!N79*100/Gasto_o_ing_per_capita!$D79</f>
        <v>100</v>
      </c>
      <c r="O79" s="113">
        <f>Gasto_o_ing_per_capita!O79*100/Gasto_o_ing_per_capita!$D79</f>
        <v>99.999999999999972</v>
      </c>
      <c r="P79" s="113">
        <f>Gasto_o_ing_per_capita!P79*100/Gasto_o_ing_per_capita!$D79</f>
        <v>99.999999999999972</v>
      </c>
      <c r="Q79" s="113">
        <f>Gasto_o_ing_per_capita!Q79*100/Gasto_o_ing_per_capita!$D79</f>
        <v>100.00000000000001</v>
      </c>
      <c r="R79" s="113">
        <f>Gasto_o_ing_per_capita!R79*100/Gasto_o_ing_per_capita!$D79</f>
        <v>100</v>
      </c>
      <c r="S79" s="113">
        <f>Gasto_o_ing_per_capita!S79*100/Gasto_o_ing_per_capita!$D79</f>
        <v>100</v>
      </c>
      <c r="T79" s="113">
        <f>Gasto_o_ing_per_capita!T79*100/Gasto_o_ing_per_capita!$D79</f>
        <v>99.999999999999972</v>
      </c>
      <c r="U79" s="113">
        <f>Gasto_o_ing_per_capita!U79*100/Gasto_o_ing_per_capita!$D79</f>
        <v>99.999999999999972</v>
      </c>
      <c r="V79" s="113">
        <f>Gasto_o_ing_per_capita!V79*100/Gasto_o_ing_per_capita!$D79</f>
        <v>100</v>
      </c>
    </row>
    <row r="80" spans="1:22" s="102" customFormat="1">
      <c r="A80" s="351" t="str">
        <f>IF(B80="","",(IF(ISERROR(MATCH(B80,Tot_res!C:C,0)),"Eliminar!!!","")))</f>
        <v/>
      </c>
      <c r="B80" s="115" t="s">
        <v>178</v>
      </c>
      <c r="C80" s="329" t="str">
        <f>VLOOKUP(B80,Tot_res!C:D,2,FALSE)</f>
        <v>Investigación y estudios sociológicos y constitucionales</v>
      </c>
      <c r="D80" s="332">
        <f>Gasto_o_ing_per_capita!D80*100/Gasto_o_ing_per_capita!$D80</f>
        <v>100</v>
      </c>
      <c r="E80" s="332">
        <f>Gasto_o_ing_per_capita!E80*100/Gasto_o_ing_per_capita!$D80</f>
        <v>99.999999999999972</v>
      </c>
      <c r="F80" s="332">
        <f>Gasto_o_ing_per_capita!F80*100/Gasto_o_ing_per_capita!$D80</f>
        <v>99.999999999999972</v>
      </c>
      <c r="G80" s="332">
        <f>Gasto_o_ing_per_capita!G80*100/Gasto_o_ing_per_capita!$D80</f>
        <v>99.999999999999972</v>
      </c>
      <c r="H80" s="332">
        <f>Gasto_o_ing_per_capita!H80*100/Gasto_o_ing_per_capita!$D80</f>
        <v>99.999999999999972</v>
      </c>
      <c r="I80" s="332">
        <f>Gasto_o_ing_per_capita!I80*100/Gasto_o_ing_per_capita!$D80</f>
        <v>99.999999999999986</v>
      </c>
      <c r="J80" s="332">
        <f>Gasto_o_ing_per_capita!J80*100/Gasto_o_ing_per_capita!$D80</f>
        <v>100</v>
      </c>
      <c r="K80" s="332">
        <f>Gasto_o_ing_per_capita!K80*100/Gasto_o_ing_per_capita!$D80</f>
        <v>99.999999999999972</v>
      </c>
      <c r="L80" s="332">
        <f>Gasto_o_ing_per_capita!L80*100/Gasto_o_ing_per_capita!$D80</f>
        <v>100</v>
      </c>
      <c r="M80" s="332">
        <f>Gasto_o_ing_per_capita!M80*100/Gasto_o_ing_per_capita!$D80</f>
        <v>99.999999999999986</v>
      </c>
      <c r="N80" s="332">
        <f>Gasto_o_ing_per_capita!N80*100/Gasto_o_ing_per_capita!$D80</f>
        <v>99.999999999999986</v>
      </c>
      <c r="O80" s="332">
        <f>Gasto_o_ing_per_capita!O80*100/Gasto_o_ing_per_capita!$D80</f>
        <v>99.999999999999972</v>
      </c>
      <c r="P80" s="332">
        <f>Gasto_o_ing_per_capita!P80*100/Gasto_o_ing_per_capita!$D80</f>
        <v>99.999999999999986</v>
      </c>
      <c r="Q80" s="332">
        <f>Gasto_o_ing_per_capita!Q80*100/Gasto_o_ing_per_capita!$D80</f>
        <v>99.999999999999986</v>
      </c>
      <c r="R80" s="332">
        <f>Gasto_o_ing_per_capita!R80*100/Gasto_o_ing_per_capita!$D80</f>
        <v>99.999999999999986</v>
      </c>
      <c r="S80" s="332">
        <f>Gasto_o_ing_per_capita!S80*100/Gasto_o_ing_per_capita!$D80</f>
        <v>99.999999999999972</v>
      </c>
      <c r="T80" s="332">
        <f>Gasto_o_ing_per_capita!T80*100/Gasto_o_ing_per_capita!$D80</f>
        <v>99.999999999999986</v>
      </c>
      <c r="U80" s="332">
        <f>Gasto_o_ing_per_capita!U80*100/Gasto_o_ing_per_capita!$D80</f>
        <v>99.999999999999986</v>
      </c>
      <c r="V80" s="332">
        <f>Gasto_o_ing_per_capita!V80*100/Gasto_o_ing_per_capita!$D80</f>
        <v>100</v>
      </c>
    </row>
    <row r="81" spans="1:22" s="102" customFormat="1">
      <c r="A81" s="351" t="str">
        <f>IF(B81="","",(IF(ISERROR(MATCH(B81,Tot_res!C:C,0)),"Eliminar!!!","")))</f>
        <v/>
      </c>
      <c r="B81" s="115" t="s">
        <v>180</v>
      </c>
      <c r="C81" s="329" t="str">
        <f>VLOOKUP(B81,Tot_res!C:D,2,FALSE)</f>
        <v>Investigación y estudios estadísticos y económicos</v>
      </c>
      <c r="D81" s="332">
        <f>Gasto_o_ing_per_capita!D81*100/Gasto_o_ing_per_capita!$D81</f>
        <v>100</v>
      </c>
      <c r="E81" s="332">
        <f>Gasto_o_ing_per_capita!E81*100/Gasto_o_ing_per_capita!$D81</f>
        <v>100</v>
      </c>
      <c r="F81" s="332">
        <f>Gasto_o_ing_per_capita!F81*100/Gasto_o_ing_per_capita!$D81</f>
        <v>100</v>
      </c>
      <c r="G81" s="332">
        <f>Gasto_o_ing_per_capita!G81*100/Gasto_o_ing_per_capita!$D81</f>
        <v>100.00000000000001</v>
      </c>
      <c r="H81" s="332">
        <f>Gasto_o_ing_per_capita!H81*100/Gasto_o_ing_per_capita!$D81</f>
        <v>100</v>
      </c>
      <c r="I81" s="332">
        <f>Gasto_o_ing_per_capita!I81*100/Gasto_o_ing_per_capita!$D81</f>
        <v>100</v>
      </c>
      <c r="J81" s="332">
        <f>Gasto_o_ing_per_capita!J81*100/Gasto_o_ing_per_capita!$D81</f>
        <v>100</v>
      </c>
      <c r="K81" s="332">
        <f>Gasto_o_ing_per_capita!K81*100/Gasto_o_ing_per_capita!$D81</f>
        <v>100</v>
      </c>
      <c r="L81" s="332">
        <f>Gasto_o_ing_per_capita!L81*100/Gasto_o_ing_per_capita!$D81</f>
        <v>100</v>
      </c>
      <c r="M81" s="332">
        <f>Gasto_o_ing_per_capita!M81*100/Gasto_o_ing_per_capita!$D81</f>
        <v>100</v>
      </c>
      <c r="N81" s="332">
        <f>Gasto_o_ing_per_capita!N81*100/Gasto_o_ing_per_capita!$D81</f>
        <v>100</v>
      </c>
      <c r="O81" s="332">
        <f>Gasto_o_ing_per_capita!O81*100/Gasto_o_ing_per_capita!$D81</f>
        <v>100</v>
      </c>
      <c r="P81" s="332">
        <f>Gasto_o_ing_per_capita!P81*100/Gasto_o_ing_per_capita!$D81</f>
        <v>100</v>
      </c>
      <c r="Q81" s="332">
        <f>Gasto_o_ing_per_capita!Q81*100/Gasto_o_ing_per_capita!$D81</f>
        <v>100</v>
      </c>
      <c r="R81" s="332">
        <f>Gasto_o_ing_per_capita!R81*100/Gasto_o_ing_per_capita!$D81</f>
        <v>100.00000000000001</v>
      </c>
      <c r="S81" s="332">
        <f>Gasto_o_ing_per_capita!S81*100/Gasto_o_ing_per_capita!$D81</f>
        <v>100</v>
      </c>
      <c r="T81" s="332">
        <f>Gasto_o_ing_per_capita!T81*100/Gasto_o_ing_per_capita!$D81</f>
        <v>100</v>
      </c>
      <c r="U81" s="332">
        <f>Gasto_o_ing_per_capita!U81*100/Gasto_o_ing_per_capita!$D81</f>
        <v>100</v>
      </c>
      <c r="V81" s="332">
        <f>Gasto_o_ing_per_capita!V81*100/Gasto_o_ing_per_capita!$D81</f>
        <v>100.00000000000001</v>
      </c>
    </row>
    <row r="82" spans="1:22" s="102" customFormat="1">
      <c r="A82" s="351" t="str">
        <f>IF(B82="","",(IF(ISERROR(MATCH(B82,Tot_res!C:C,0)),"Eliminar!!!","")))</f>
        <v/>
      </c>
      <c r="B82" s="115" t="s">
        <v>182</v>
      </c>
      <c r="C82" s="329" t="str">
        <f>VLOOKUP(B82,Tot_res!C:D,2,FALSE)</f>
        <v>Investigación científica</v>
      </c>
      <c r="D82" s="332">
        <f>Gasto_o_ing_per_capita!D82*100/Gasto_o_ing_per_capita!$D82</f>
        <v>100</v>
      </c>
      <c r="E82" s="332">
        <f>Gasto_o_ing_per_capita!E82*100/Gasto_o_ing_per_capita!$D82</f>
        <v>99.999999999999972</v>
      </c>
      <c r="F82" s="332">
        <f>Gasto_o_ing_per_capita!F82*100/Gasto_o_ing_per_capita!$D82</f>
        <v>99.999999999999972</v>
      </c>
      <c r="G82" s="332">
        <f>Gasto_o_ing_per_capita!G82*100/Gasto_o_ing_per_capita!$D82</f>
        <v>99.999999999999986</v>
      </c>
      <c r="H82" s="332">
        <f>Gasto_o_ing_per_capita!H82*100/Gasto_o_ing_per_capita!$D82</f>
        <v>99.999999999999972</v>
      </c>
      <c r="I82" s="332">
        <f>Gasto_o_ing_per_capita!I82*100/Gasto_o_ing_per_capita!$D82</f>
        <v>99.999999999999972</v>
      </c>
      <c r="J82" s="332">
        <f>Gasto_o_ing_per_capita!J82*100/Gasto_o_ing_per_capita!$D82</f>
        <v>100</v>
      </c>
      <c r="K82" s="332">
        <f>Gasto_o_ing_per_capita!K82*100/Gasto_o_ing_per_capita!$D82</f>
        <v>99.999999999999972</v>
      </c>
      <c r="L82" s="332">
        <f>Gasto_o_ing_per_capita!L82*100/Gasto_o_ing_per_capita!$D82</f>
        <v>100</v>
      </c>
      <c r="M82" s="332">
        <f>Gasto_o_ing_per_capita!M82*100/Gasto_o_ing_per_capita!$D82</f>
        <v>99.999999999999986</v>
      </c>
      <c r="N82" s="332">
        <f>Gasto_o_ing_per_capita!N82*100/Gasto_o_ing_per_capita!$D82</f>
        <v>99.999999999999986</v>
      </c>
      <c r="O82" s="332">
        <f>Gasto_o_ing_per_capita!O82*100/Gasto_o_ing_per_capita!$D82</f>
        <v>99.999999999999957</v>
      </c>
      <c r="P82" s="332">
        <f>Gasto_o_ing_per_capita!P82*100/Gasto_o_ing_per_capita!$D82</f>
        <v>99.999999999999986</v>
      </c>
      <c r="Q82" s="332">
        <f>Gasto_o_ing_per_capita!Q82*100/Gasto_o_ing_per_capita!$D82</f>
        <v>99.999999999999986</v>
      </c>
      <c r="R82" s="332">
        <f>Gasto_o_ing_per_capita!R82*100/Gasto_o_ing_per_capita!$D82</f>
        <v>99.999999999999986</v>
      </c>
      <c r="S82" s="332">
        <f>Gasto_o_ing_per_capita!S82*100/Gasto_o_ing_per_capita!$D82</f>
        <v>99.999999999999986</v>
      </c>
      <c r="T82" s="332">
        <f>Gasto_o_ing_per_capita!T82*100/Gasto_o_ing_per_capita!$D82</f>
        <v>100</v>
      </c>
      <c r="U82" s="332">
        <f>Gasto_o_ing_per_capita!U82*100/Gasto_o_ing_per_capita!$D82</f>
        <v>99.999999999999986</v>
      </c>
      <c r="V82" s="332">
        <f>Gasto_o_ing_per_capita!V82*100/Gasto_o_ing_per_capita!$D82</f>
        <v>99.999999999999972</v>
      </c>
    </row>
    <row r="83" spans="1:22" s="102" customFormat="1">
      <c r="A83" s="351" t="str">
        <f>IF(B83="","",(IF(ISERROR(MATCH(B83,Tot_res!C:C,0)),"Eliminar!!!","")))</f>
        <v/>
      </c>
      <c r="B83" s="115" t="s">
        <v>184</v>
      </c>
      <c r="C83" s="329" t="str">
        <f>VLOOKUP(B83,Tot_res!C:D,2,FALSE)</f>
        <v>Fomento y coordinación de la investigación científica y técnica</v>
      </c>
      <c r="D83" s="332">
        <f>Gasto_o_ing_per_capita!D83*100/Gasto_o_ing_per_capita!$D83</f>
        <v>100</v>
      </c>
      <c r="E83" s="332">
        <f>Gasto_o_ing_per_capita!E83*100/Gasto_o_ing_per_capita!$D83</f>
        <v>100</v>
      </c>
      <c r="F83" s="332">
        <f>Gasto_o_ing_per_capita!F83*100/Gasto_o_ing_per_capita!$D83</f>
        <v>100.00000000000001</v>
      </c>
      <c r="G83" s="332">
        <f>Gasto_o_ing_per_capita!G83*100/Gasto_o_ing_per_capita!$D83</f>
        <v>100.00000000000001</v>
      </c>
      <c r="H83" s="332">
        <f>Gasto_o_ing_per_capita!H83*100/Gasto_o_ing_per_capita!$D83</f>
        <v>100</v>
      </c>
      <c r="I83" s="332">
        <f>Gasto_o_ing_per_capita!I83*100/Gasto_o_ing_per_capita!$D83</f>
        <v>100.00000000000001</v>
      </c>
      <c r="J83" s="332">
        <f>Gasto_o_ing_per_capita!J83*100/Gasto_o_ing_per_capita!$D83</f>
        <v>100</v>
      </c>
      <c r="K83" s="332">
        <f>Gasto_o_ing_per_capita!K83*100/Gasto_o_ing_per_capita!$D83</f>
        <v>100</v>
      </c>
      <c r="L83" s="332">
        <f>Gasto_o_ing_per_capita!L83*100/Gasto_o_ing_per_capita!$D83</f>
        <v>100.00000000000001</v>
      </c>
      <c r="M83" s="332">
        <f>Gasto_o_ing_per_capita!M83*100/Gasto_o_ing_per_capita!$D83</f>
        <v>100.00000000000001</v>
      </c>
      <c r="N83" s="332">
        <f>Gasto_o_ing_per_capita!N83*100/Gasto_o_ing_per_capita!$D83</f>
        <v>100.00000000000001</v>
      </c>
      <c r="O83" s="332">
        <f>Gasto_o_ing_per_capita!O83*100/Gasto_o_ing_per_capita!$D83</f>
        <v>100</v>
      </c>
      <c r="P83" s="332">
        <f>Gasto_o_ing_per_capita!P83*100/Gasto_o_ing_per_capita!$D83</f>
        <v>100</v>
      </c>
      <c r="Q83" s="332">
        <f>Gasto_o_ing_per_capita!Q83*100/Gasto_o_ing_per_capita!$D83</f>
        <v>100.00000000000001</v>
      </c>
      <c r="R83" s="332">
        <f>Gasto_o_ing_per_capita!R83*100/Gasto_o_ing_per_capita!$D83</f>
        <v>100.00000000000001</v>
      </c>
      <c r="S83" s="332">
        <f>Gasto_o_ing_per_capita!S83*100/Gasto_o_ing_per_capita!$D83</f>
        <v>100</v>
      </c>
      <c r="T83" s="332">
        <f>Gasto_o_ing_per_capita!T83*100/Gasto_o_ing_per_capita!$D83</f>
        <v>100</v>
      </c>
      <c r="U83" s="332">
        <f>Gasto_o_ing_per_capita!U83*100/Gasto_o_ing_per_capita!$D83</f>
        <v>100.00000000000001</v>
      </c>
      <c r="V83" s="332">
        <f>Gasto_o_ing_per_capita!V83*100/Gasto_o_ing_per_capita!$D83</f>
        <v>100</v>
      </c>
    </row>
    <row r="84" spans="1:22" s="102" customFormat="1">
      <c r="A84" s="351" t="str">
        <f>IF(B84="","",(IF(ISERROR(MATCH(B84,Tot_res!C:C,0)),"Eliminar!!!","")))</f>
        <v/>
      </c>
      <c r="B84" s="115" t="s">
        <v>185</v>
      </c>
      <c r="C84" s="329" t="str">
        <f>VLOOKUP(B84,Tot_res!C:D,2,FALSE)</f>
        <v>Investigación sanitaria</v>
      </c>
      <c r="D84" s="332">
        <f>Gasto_o_ing_per_capita!D84*100/Gasto_o_ing_per_capita!$D84</f>
        <v>100</v>
      </c>
      <c r="E84" s="332">
        <f>Gasto_o_ing_per_capita!E84*100/Gasto_o_ing_per_capita!$D84</f>
        <v>100</v>
      </c>
      <c r="F84" s="332">
        <f>Gasto_o_ing_per_capita!F84*100/Gasto_o_ing_per_capita!$D84</f>
        <v>100.00000000000003</v>
      </c>
      <c r="G84" s="332">
        <f>Gasto_o_ing_per_capita!G84*100/Gasto_o_ing_per_capita!$D84</f>
        <v>100</v>
      </c>
      <c r="H84" s="332">
        <f>Gasto_o_ing_per_capita!H84*100/Gasto_o_ing_per_capita!$D84</f>
        <v>100</v>
      </c>
      <c r="I84" s="332">
        <f>Gasto_o_ing_per_capita!I84*100/Gasto_o_ing_per_capita!$D84</f>
        <v>100</v>
      </c>
      <c r="J84" s="332">
        <f>Gasto_o_ing_per_capita!J84*100/Gasto_o_ing_per_capita!$D84</f>
        <v>100</v>
      </c>
      <c r="K84" s="332">
        <f>Gasto_o_ing_per_capita!K84*100/Gasto_o_ing_per_capita!$D84</f>
        <v>100</v>
      </c>
      <c r="L84" s="332">
        <f>Gasto_o_ing_per_capita!L84*100/Gasto_o_ing_per_capita!$D84</f>
        <v>100</v>
      </c>
      <c r="M84" s="332">
        <f>Gasto_o_ing_per_capita!M84*100/Gasto_o_ing_per_capita!$D84</f>
        <v>100</v>
      </c>
      <c r="N84" s="332">
        <f>Gasto_o_ing_per_capita!N84*100/Gasto_o_ing_per_capita!$D84</f>
        <v>100</v>
      </c>
      <c r="O84" s="332">
        <f>Gasto_o_ing_per_capita!O84*100/Gasto_o_ing_per_capita!$D84</f>
        <v>100</v>
      </c>
      <c r="P84" s="332">
        <f>Gasto_o_ing_per_capita!P84*100/Gasto_o_ing_per_capita!$D84</f>
        <v>100</v>
      </c>
      <c r="Q84" s="332">
        <f>Gasto_o_ing_per_capita!Q84*100/Gasto_o_ing_per_capita!$D84</f>
        <v>100</v>
      </c>
      <c r="R84" s="332">
        <f>Gasto_o_ing_per_capita!R84*100/Gasto_o_ing_per_capita!$D84</f>
        <v>100.00000000000003</v>
      </c>
      <c r="S84" s="332">
        <f>Gasto_o_ing_per_capita!S84*100/Gasto_o_ing_per_capita!$D84</f>
        <v>100</v>
      </c>
      <c r="T84" s="332">
        <f>Gasto_o_ing_per_capita!T84*100/Gasto_o_ing_per_capita!$D84</f>
        <v>100</v>
      </c>
      <c r="U84" s="332">
        <f>Gasto_o_ing_per_capita!U84*100/Gasto_o_ing_per_capita!$D84</f>
        <v>100</v>
      </c>
      <c r="V84" s="332">
        <f>Gasto_o_ing_per_capita!V84*100/Gasto_o_ing_per_capita!$D84</f>
        <v>99.999999999999986</v>
      </c>
    </row>
    <row r="85" spans="1:22" s="102" customFormat="1">
      <c r="A85" s="351" t="str">
        <f>IF(B85="","",(IF(ISERROR(MATCH(B85,Tot_res!C:C,0)),"Eliminar!!!","")))</f>
        <v/>
      </c>
      <c r="B85" s="115" t="s">
        <v>709</v>
      </c>
      <c r="C85" s="329" t="str">
        <f>VLOOKUP(B85,Tot_res!C:D,2,FALSE)</f>
        <v>Investigación y desarrollo tecnológico-industrial</v>
      </c>
      <c r="D85" s="332">
        <f>Gasto_o_ing_per_capita!D85*100/Gasto_o_ing_per_capita!$D85</f>
        <v>100</v>
      </c>
      <c r="E85" s="332">
        <f>Gasto_o_ing_per_capita!E85*100/Gasto_o_ing_per_capita!$D85</f>
        <v>99.999999999999972</v>
      </c>
      <c r="F85" s="332">
        <f>Gasto_o_ing_per_capita!F85*100/Gasto_o_ing_per_capita!$D85</f>
        <v>99.999999999999972</v>
      </c>
      <c r="G85" s="332">
        <f>Gasto_o_ing_per_capita!G85*100/Gasto_o_ing_per_capita!$D85</f>
        <v>99.999999999999986</v>
      </c>
      <c r="H85" s="332">
        <f>Gasto_o_ing_per_capita!H85*100/Gasto_o_ing_per_capita!$D85</f>
        <v>99.999999999999986</v>
      </c>
      <c r="I85" s="332">
        <f>Gasto_o_ing_per_capita!I85*100/Gasto_o_ing_per_capita!$D85</f>
        <v>99.999999999999986</v>
      </c>
      <c r="J85" s="332">
        <f>Gasto_o_ing_per_capita!J85*100/Gasto_o_ing_per_capita!$D85</f>
        <v>99.999999999999986</v>
      </c>
      <c r="K85" s="332">
        <f>Gasto_o_ing_per_capita!K85*100/Gasto_o_ing_per_capita!$D85</f>
        <v>99.999999999999972</v>
      </c>
      <c r="L85" s="332">
        <f>Gasto_o_ing_per_capita!L85*100/Gasto_o_ing_per_capita!$D85</f>
        <v>99.999999999999986</v>
      </c>
      <c r="M85" s="332">
        <f>Gasto_o_ing_per_capita!M85*100/Gasto_o_ing_per_capita!$D85</f>
        <v>99.999999999999986</v>
      </c>
      <c r="N85" s="332">
        <f>Gasto_o_ing_per_capita!N85*100/Gasto_o_ing_per_capita!$D85</f>
        <v>100</v>
      </c>
      <c r="O85" s="332">
        <f>Gasto_o_ing_per_capita!O85*100/Gasto_o_ing_per_capita!$D85</f>
        <v>99.999999999999986</v>
      </c>
      <c r="P85" s="332">
        <f>Gasto_o_ing_per_capita!P85*100/Gasto_o_ing_per_capita!$D85</f>
        <v>99.999999999999986</v>
      </c>
      <c r="Q85" s="332">
        <f>Gasto_o_ing_per_capita!Q85*100/Gasto_o_ing_per_capita!$D85</f>
        <v>99.999999999999986</v>
      </c>
      <c r="R85" s="332">
        <f>Gasto_o_ing_per_capita!R85*100/Gasto_o_ing_per_capita!$D85</f>
        <v>100</v>
      </c>
      <c r="S85" s="332">
        <f>Gasto_o_ing_per_capita!S85*100/Gasto_o_ing_per_capita!$D85</f>
        <v>99.999999999999986</v>
      </c>
      <c r="T85" s="332">
        <f>Gasto_o_ing_per_capita!T85*100/Gasto_o_ing_per_capita!$D85</f>
        <v>99.999999999999986</v>
      </c>
      <c r="U85" s="332">
        <f>Gasto_o_ing_per_capita!U85*100/Gasto_o_ing_per_capita!$D85</f>
        <v>99.999999999999972</v>
      </c>
      <c r="V85" s="332">
        <f>Gasto_o_ing_per_capita!V85*100/Gasto_o_ing_per_capita!$D85</f>
        <v>100</v>
      </c>
    </row>
    <row r="86" spans="1:22" s="102" customFormat="1">
      <c r="A86" s="351" t="str">
        <f>IF(B86="","",(IF(ISERROR(MATCH(B86,Tot_res!C:C,0)),"Eliminar!!!","")))</f>
        <v/>
      </c>
      <c r="B86" s="115" t="s">
        <v>186</v>
      </c>
      <c r="C86" s="329" t="str">
        <f>VLOOKUP(B86,Tot_res!C:D,2,FALSE)</f>
        <v>Investigación y experimentación agraria</v>
      </c>
      <c r="D86" s="332">
        <f>Gasto_o_ing_per_capita!D86*100/Gasto_o_ing_per_capita!$D86</f>
        <v>100</v>
      </c>
      <c r="E86" s="332">
        <f>Gasto_o_ing_per_capita!E86*100/Gasto_o_ing_per_capita!$D86</f>
        <v>99.999999999999986</v>
      </c>
      <c r="F86" s="332">
        <f>Gasto_o_ing_per_capita!F86*100/Gasto_o_ing_per_capita!$D86</f>
        <v>100</v>
      </c>
      <c r="G86" s="332">
        <f>Gasto_o_ing_per_capita!G86*100/Gasto_o_ing_per_capita!$D86</f>
        <v>100</v>
      </c>
      <c r="H86" s="332">
        <f>Gasto_o_ing_per_capita!H86*100/Gasto_o_ing_per_capita!$D86</f>
        <v>100</v>
      </c>
      <c r="I86" s="332">
        <f>Gasto_o_ing_per_capita!I86*100/Gasto_o_ing_per_capita!$D86</f>
        <v>100</v>
      </c>
      <c r="J86" s="332">
        <f>Gasto_o_ing_per_capita!J86*100/Gasto_o_ing_per_capita!$D86</f>
        <v>99.999999999999986</v>
      </c>
      <c r="K86" s="332">
        <f>Gasto_o_ing_per_capita!K86*100/Gasto_o_ing_per_capita!$D86</f>
        <v>100</v>
      </c>
      <c r="L86" s="332">
        <f>Gasto_o_ing_per_capita!L86*100/Gasto_o_ing_per_capita!$D86</f>
        <v>100</v>
      </c>
      <c r="M86" s="332">
        <f>Gasto_o_ing_per_capita!M86*100/Gasto_o_ing_per_capita!$D86</f>
        <v>100</v>
      </c>
      <c r="N86" s="332">
        <f>Gasto_o_ing_per_capita!N86*100/Gasto_o_ing_per_capita!$D86</f>
        <v>100</v>
      </c>
      <c r="O86" s="332">
        <f>Gasto_o_ing_per_capita!O86*100/Gasto_o_ing_per_capita!$D86</f>
        <v>100</v>
      </c>
      <c r="P86" s="332">
        <f>Gasto_o_ing_per_capita!P86*100/Gasto_o_ing_per_capita!$D86</f>
        <v>99.999999999999986</v>
      </c>
      <c r="Q86" s="332">
        <f>Gasto_o_ing_per_capita!Q86*100/Gasto_o_ing_per_capita!$D86</f>
        <v>99.999999999999986</v>
      </c>
      <c r="R86" s="332">
        <f>Gasto_o_ing_per_capita!R86*100/Gasto_o_ing_per_capita!$D86</f>
        <v>100</v>
      </c>
      <c r="S86" s="332">
        <f>Gasto_o_ing_per_capita!S86*100/Gasto_o_ing_per_capita!$D86</f>
        <v>99.999999999999986</v>
      </c>
      <c r="T86" s="332">
        <f>Gasto_o_ing_per_capita!T86*100/Gasto_o_ing_per_capita!$D86</f>
        <v>99.999999999999986</v>
      </c>
      <c r="U86" s="332">
        <f>Gasto_o_ing_per_capita!U86*100/Gasto_o_ing_per_capita!$D86</f>
        <v>99.999999999999986</v>
      </c>
      <c r="V86" s="332">
        <f>Gasto_o_ing_per_capita!V86*100/Gasto_o_ing_per_capita!$D86</f>
        <v>100</v>
      </c>
    </row>
    <row r="87" spans="1:22" s="102" customFormat="1">
      <c r="A87" s="351" t="str">
        <f>IF(B87="","",(IF(ISERROR(MATCH(B87,Tot_res!C:C,0)),"Eliminar!!!","")))</f>
        <v/>
      </c>
      <c r="B87" s="115" t="s">
        <v>187</v>
      </c>
      <c r="C87" s="329" t="str">
        <f>VLOOKUP(B87,Tot_res!C:D,2,FALSE)</f>
        <v>Investigación oceanográfica y pesquera</v>
      </c>
      <c r="D87" s="332">
        <f>Gasto_o_ing_per_capita!D87*100/Gasto_o_ing_per_capita!$D87</f>
        <v>100</v>
      </c>
      <c r="E87" s="332">
        <f>Gasto_o_ing_per_capita!E87*100/Gasto_o_ing_per_capita!$D87</f>
        <v>100</v>
      </c>
      <c r="F87" s="332">
        <f>Gasto_o_ing_per_capita!F87*100/Gasto_o_ing_per_capita!$D87</f>
        <v>100.00000000000001</v>
      </c>
      <c r="G87" s="332">
        <f>Gasto_o_ing_per_capita!G87*100/Gasto_o_ing_per_capita!$D87</f>
        <v>100.00000000000001</v>
      </c>
      <c r="H87" s="332">
        <f>Gasto_o_ing_per_capita!H87*100/Gasto_o_ing_per_capita!$D87</f>
        <v>100</v>
      </c>
      <c r="I87" s="332">
        <f>Gasto_o_ing_per_capita!I87*100/Gasto_o_ing_per_capita!$D87</f>
        <v>100</v>
      </c>
      <c r="J87" s="332">
        <f>Gasto_o_ing_per_capita!J87*100/Gasto_o_ing_per_capita!$D87</f>
        <v>100</v>
      </c>
      <c r="K87" s="332">
        <f>Gasto_o_ing_per_capita!K87*100/Gasto_o_ing_per_capita!$D87</f>
        <v>100</v>
      </c>
      <c r="L87" s="332">
        <f>Gasto_o_ing_per_capita!L87*100/Gasto_o_ing_per_capita!$D87</f>
        <v>99.999999999999986</v>
      </c>
      <c r="M87" s="332">
        <f>Gasto_o_ing_per_capita!M87*100/Gasto_o_ing_per_capita!$D87</f>
        <v>100</v>
      </c>
      <c r="N87" s="332">
        <f>Gasto_o_ing_per_capita!N87*100/Gasto_o_ing_per_capita!$D87</f>
        <v>100.00000000000001</v>
      </c>
      <c r="O87" s="332">
        <f>Gasto_o_ing_per_capita!O87*100/Gasto_o_ing_per_capita!$D87</f>
        <v>99.999999999999986</v>
      </c>
      <c r="P87" s="332">
        <f>Gasto_o_ing_per_capita!P87*100/Gasto_o_ing_per_capita!$D87</f>
        <v>100</v>
      </c>
      <c r="Q87" s="332">
        <f>Gasto_o_ing_per_capita!Q87*100/Gasto_o_ing_per_capita!$D87</f>
        <v>100</v>
      </c>
      <c r="R87" s="332">
        <f>Gasto_o_ing_per_capita!R87*100/Gasto_o_ing_per_capita!$D87</f>
        <v>99.999999999999986</v>
      </c>
      <c r="S87" s="332">
        <f>Gasto_o_ing_per_capita!S87*100/Gasto_o_ing_per_capita!$D87</f>
        <v>100</v>
      </c>
      <c r="T87" s="332">
        <f>Gasto_o_ing_per_capita!T87*100/Gasto_o_ing_per_capita!$D87</f>
        <v>100.00000000000001</v>
      </c>
      <c r="U87" s="332">
        <f>Gasto_o_ing_per_capita!U87*100/Gasto_o_ing_per_capita!$D87</f>
        <v>100.00000000000001</v>
      </c>
      <c r="V87" s="332">
        <f>Gasto_o_ing_per_capita!V87*100/Gasto_o_ing_per_capita!$D87</f>
        <v>100.00000000000001</v>
      </c>
    </row>
    <row r="88" spans="1:22" s="102" customFormat="1">
      <c r="A88" s="351" t="str">
        <f>IF(B88="","",(IF(ISERROR(MATCH(B88,Tot_res!C:C,0)),"Eliminar!!!","")))</f>
        <v/>
      </c>
      <c r="B88" s="115" t="s">
        <v>188</v>
      </c>
      <c r="C88" s="329" t="str">
        <f>VLOOKUP(B88,Tot_res!C:D,2,FALSE)</f>
        <v>Investigación geológico-minera y medioambiental</v>
      </c>
      <c r="D88" s="332">
        <f>Gasto_o_ing_per_capita!D88*100/Gasto_o_ing_per_capita!$D88</f>
        <v>99.999999999999986</v>
      </c>
      <c r="E88" s="332">
        <f>Gasto_o_ing_per_capita!E88*100/Gasto_o_ing_per_capita!$D88</f>
        <v>99.999999999999986</v>
      </c>
      <c r="F88" s="332">
        <f>Gasto_o_ing_per_capita!F88*100/Gasto_o_ing_per_capita!$D88</f>
        <v>99.999999999999986</v>
      </c>
      <c r="G88" s="332">
        <f>Gasto_o_ing_per_capita!G88*100/Gasto_o_ing_per_capita!$D88</f>
        <v>99.999999999999986</v>
      </c>
      <c r="H88" s="332">
        <f>Gasto_o_ing_per_capita!H88*100/Gasto_o_ing_per_capita!$D88</f>
        <v>99.999999999999986</v>
      </c>
      <c r="I88" s="332">
        <f>Gasto_o_ing_per_capita!I88*100/Gasto_o_ing_per_capita!$D88</f>
        <v>99.999999999999986</v>
      </c>
      <c r="J88" s="332">
        <f>Gasto_o_ing_per_capita!J88*100/Gasto_o_ing_per_capita!$D88</f>
        <v>99.999999999999986</v>
      </c>
      <c r="K88" s="332">
        <f>Gasto_o_ing_per_capita!K88*100/Gasto_o_ing_per_capita!$D88</f>
        <v>99.999999999999986</v>
      </c>
      <c r="L88" s="332">
        <f>Gasto_o_ing_per_capita!L88*100/Gasto_o_ing_per_capita!$D88</f>
        <v>99.999999999999986</v>
      </c>
      <c r="M88" s="332">
        <f>Gasto_o_ing_per_capita!M88*100/Gasto_o_ing_per_capita!$D88</f>
        <v>99.999999999999986</v>
      </c>
      <c r="N88" s="332">
        <f>Gasto_o_ing_per_capita!N88*100/Gasto_o_ing_per_capita!$D88</f>
        <v>100.00000000000001</v>
      </c>
      <c r="O88" s="332">
        <f>Gasto_o_ing_per_capita!O88*100/Gasto_o_ing_per_capita!$D88</f>
        <v>99.999999999999986</v>
      </c>
      <c r="P88" s="332">
        <f>Gasto_o_ing_per_capita!P88*100/Gasto_o_ing_per_capita!$D88</f>
        <v>99.999999999999972</v>
      </c>
      <c r="Q88" s="332">
        <f>Gasto_o_ing_per_capita!Q88*100/Gasto_o_ing_per_capita!$D88</f>
        <v>99.999999999999986</v>
      </c>
      <c r="R88" s="332">
        <f>Gasto_o_ing_per_capita!R88*100/Gasto_o_ing_per_capita!$D88</f>
        <v>99.999999999999986</v>
      </c>
      <c r="S88" s="332">
        <f>Gasto_o_ing_per_capita!S88*100/Gasto_o_ing_per_capita!$D88</f>
        <v>99.999999999999986</v>
      </c>
      <c r="T88" s="332">
        <f>Gasto_o_ing_per_capita!T88*100/Gasto_o_ing_per_capita!$D88</f>
        <v>100.00000000000001</v>
      </c>
      <c r="U88" s="332">
        <f>Gasto_o_ing_per_capita!U88*100/Gasto_o_ing_per_capita!$D88</f>
        <v>99.999999999999986</v>
      </c>
      <c r="V88" s="332">
        <f>Gasto_o_ing_per_capita!V88*100/Gasto_o_ing_per_capita!$D88</f>
        <v>99.999999999999986</v>
      </c>
    </row>
    <row r="89" spans="1:22" s="102" customFormat="1">
      <c r="A89" s="351" t="str">
        <f>IF(B89="","",(IF(ISERROR(MATCH(B89,Tot_res!C:C,0)),"Eliminar!!!","")))</f>
        <v/>
      </c>
      <c r="B89" s="115" t="s">
        <v>190</v>
      </c>
      <c r="C89" s="329" t="str">
        <f>VLOOKUP(B89,Tot_res!C:D,2,FALSE)</f>
        <v>Investigación energética, medioambiental y tecnológica</v>
      </c>
      <c r="D89" s="332">
        <f>Gasto_o_ing_per_capita!D89*100/Gasto_o_ing_per_capita!$D89</f>
        <v>100</v>
      </c>
      <c r="E89" s="332">
        <f>Gasto_o_ing_per_capita!E89*100/Gasto_o_ing_per_capita!$D89</f>
        <v>99.999999999999986</v>
      </c>
      <c r="F89" s="332">
        <f>Gasto_o_ing_per_capita!F89*100/Gasto_o_ing_per_capita!$D89</f>
        <v>100</v>
      </c>
      <c r="G89" s="332">
        <f>Gasto_o_ing_per_capita!G89*100/Gasto_o_ing_per_capita!$D89</f>
        <v>100</v>
      </c>
      <c r="H89" s="332">
        <f>Gasto_o_ing_per_capita!H89*100/Gasto_o_ing_per_capita!$D89</f>
        <v>100</v>
      </c>
      <c r="I89" s="332">
        <f>Gasto_o_ing_per_capita!I89*100/Gasto_o_ing_per_capita!$D89</f>
        <v>100</v>
      </c>
      <c r="J89" s="332">
        <f>Gasto_o_ing_per_capita!J89*100/Gasto_o_ing_per_capita!$D89</f>
        <v>99.999999999999986</v>
      </c>
      <c r="K89" s="332">
        <f>Gasto_o_ing_per_capita!K89*100/Gasto_o_ing_per_capita!$D89</f>
        <v>99.999999999999986</v>
      </c>
      <c r="L89" s="332">
        <f>Gasto_o_ing_per_capita!L89*100/Gasto_o_ing_per_capita!$D89</f>
        <v>100</v>
      </c>
      <c r="M89" s="332">
        <f>Gasto_o_ing_per_capita!M89*100/Gasto_o_ing_per_capita!$D89</f>
        <v>100</v>
      </c>
      <c r="N89" s="332">
        <f>Gasto_o_ing_per_capita!N89*100/Gasto_o_ing_per_capita!$D89</f>
        <v>100</v>
      </c>
      <c r="O89" s="332">
        <f>Gasto_o_ing_per_capita!O89*100/Gasto_o_ing_per_capita!$D89</f>
        <v>99.999999999999986</v>
      </c>
      <c r="P89" s="332">
        <f>Gasto_o_ing_per_capita!P89*100/Gasto_o_ing_per_capita!$D89</f>
        <v>100</v>
      </c>
      <c r="Q89" s="332">
        <f>Gasto_o_ing_per_capita!Q89*100/Gasto_o_ing_per_capita!$D89</f>
        <v>100</v>
      </c>
      <c r="R89" s="332">
        <f>Gasto_o_ing_per_capita!R89*100/Gasto_o_ing_per_capita!$D89</f>
        <v>100</v>
      </c>
      <c r="S89" s="332">
        <f>Gasto_o_ing_per_capita!S89*100/Gasto_o_ing_per_capita!$D89</f>
        <v>99.999999999999986</v>
      </c>
      <c r="T89" s="332">
        <f>Gasto_o_ing_per_capita!T89*100/Gasto_o_ing_per_capita!$D89</f>
        <v>99.999999999999986</v>
      </c>
      <c r="U89" s="332">
        <f>Gasto_o_ing_per_capita!U89*100/Gasto_o_ing_per_capita!$D89</f>
        <v>100</v>
      </c>
      <c r="V89" s="332">
        <f>Gasto_o_ing_per_capita!V89*100/Gasto_o_ing_per_capita!$D89</f>
        <v>100</v>
      </c>
    </row>
    <row r="90" spans="1:22" s="102" customFormat="1">
      <c r="A90" s="351" t="str">
        <f>IF(B90="","",(IF(ISERROR(MATCH(B90,Tot_res!C:C,0)),"Eliminar!!!","")))</f>
        <v/>
      </c>
      <c r="B90" s="115" t="s">
        <v>191</v>
      </c>
      <c r="C90" s="329" t="str">
        <f>VLOOKUP(B90,Tot_res!C:D,2,FALSE)</f>
        <v>Desarrollo y aplicación de la información geográfica española</v>
      </c>
      <c r="D90" s="332">
        <f>Gasto_o_ing_per_capita!D90*100/Gasto_o_ing_per_capita!$D90</f>
        <v>100</v>
      </c>
      <c r="E90" s="332">
        <f>Gasto_o_ing_per_capita!E90*100/Gasto_o_ing_per_capita!$D90</f>
        <v>99.999999999999972</v>
      </c>
      <c r="F90" s="332">
        <f>Gasto_o_ing_per_capita!F90*100/Gasto_o_ing_per_capita!$D90</f>
        <v>100</v>
      </c>
      <c r="G90" s="332">
        <f>Gasto_o_ing_per_capita!G90*100/Gasto_o_ing_per_capita!$D90</f>
        <v>100</v>
      </c>
      <c r="H90" s="332">
        <f>Gasto_o_ing_per_capita!H90*100/Gasto_o_ing_per_capita!$D90</f>
        <v>100</v>
      </c>
      <c r="I90" s="332">
        <f>Gasto_o_ing_per_capita!I90*100/Gasto_o_ing_per_capita!$D90</f>
        <v>99.999999999999972</v>
      </c>
      <c r="J90" s="332">
        <f>Gasto_o_ing_per_capita!J90*100/Gasto_o_ing_per_capita!$D90</f>
        <v>100</v>
      </c>
      <c r="K90" s="332">
        <f>Gasto_o_ing_per_capita!K90*100/Gasto_o_ing_per_capita!$D90</f>
        <v>100</v>
      </c>
      <c r="L90" s="332">
        <f>Gasto_o_ing_per_capita!L90*100/Gasto_o_ing_per_capita!$D90</f>
        <v>100</v>
      </c>
      <c r="M90" s="332">
        <f>Gasto_o_ing_per_capita!M90*100/Gasto_o_ing_per_capita!$D90</f>
        <v>100</v>
      </c>
      <c r="N90" s="332">
        <f>Gasto_o_ing_per_capita!N90*100/Gasto_o_ing_per_capita!$D90</f>
        <v>100</v>
      </c>
      <c r="O90" s="332">
        <f>Gasto_o_ing_per_capita!O90*100/Gasto_o_ing_per_capita!$D90</f>
        <v>100</v>
      </c>
      <c r="P90" s="332">
        <f>Gasto_o_ing_per_capita!P90*100/Gasto_o_ing_per_capita!$D90</f>
        <v>100</v>
      </c>
      <c r="Q90" s="332">
        <f>Gasto_o_ing_per_capita!Q90*100/Gasto_o_ing_per_capita!$D90</f>
        <v>100</v>
      </c>
      <c r="R90" s="332">
        <f>Gasto_o_ing_per_capita!R90*100/Gasto_o_ing_per_capita!$D90</f>
        <v>100</v>
      </c>
      <c r="S90" s="332">
        <f>Gasto_o_ing_per_capita!S90*100/Gasto_o_ing_per_capita!$D90</f>
        <v>100</v>
      </c>
      <c r="T90" s="332">
        <f>Gasto_o_ing_per_capita!T90*100/Gasto_o_ing_per_capita!$D90</f>
        <v>99.999999999999972</v>
      </c>
      <c r="U90" s="332">
        <f>Gasto_o_ing_per_capita!U90*100/Gasto_o_ing_per_capita!$D90</f>
        <v>99.999999999999972</v>
      </c>
      <c r="V90" s="332">
        <f>Gasto_o_ing_per_capita!V90*100/Gasto_o_ing_per_capita!$D90</f>
        <v>99.999999999999972</v>
      </c>
    </row>
    <row r="91" spans="1:22" s="102" customFormat="1">
      <c r="A91" s="351" t="str">
        <f>IF(B91="","",(IF(ISERROR(MATCH(B91,Tot_res!C:C,0)),"Eliminar!!!","")))</f>
        <v/>
      </c>
      <c r="B91" s="115" t="s">
        <v>192</v>
      </c>
      <c r="C91" s="329" t="str">
        <f>VLOOKUP(B91,Tot_res!C:D,2,FALSE)</f>
        <v>Elaboración y difusión estadística</v>
      </c>
      <c r="D91" s="332">
        <f>Gasto_o_ing_per_capita!D91*100/Gasto_o_ing_per_capita!$D91</f>
        <v>100</v>
      </c>
      <c r="E91" s="332">
        <f>Gasto_o_ing_per_capita!E91*100/Gasto_o_ing_per_capita!$D91</f>
        <v>99.999999999999972</v>
      </c>
      <c r="F91" s="332">
        <f>Gasto_o_ing_per_capita!F91*100/Gasto_o_ing_per_capita!$D91</f>
        <v>99.999999999999986</v>
      </c>
      <c r="G91" s="332">
        <f>Gasto_o_ing_per_capita!G91*100/Gasto_o_ing_per_capita!$D91</f>
        <v>99.999999999999986</v>
      </c>
      <c r="H91" s="332">
        <f>Gasto_o_ing_per_capita!H91*100/Gasto_o_ing_per_capita!$D91</f>
        <v>99.999999999999972</v>
      </c>
      <c r="I91" s="332">
        <f>Gasto_o_ing_per_capita!I91*100/Gasto_o_ing_per_capita!$D91</f>
        <v>99.999999999999986</v>
      </c>
      <c r="J91" s="332">
        <f>Gasto_o_ing_per_capita!J91*100/Gasto_o_ing_per_capita!$D91</f>
        <v>99.999999999999986</v>
      </c>
      <c r="K91" s="332">
        <f>Gasto_o_ing_per_capita!K91*100/Gasto_o_ing_per_capita!$D91</f>
        <v>99.999999999999972</v>
      </c>
      <c r="L91" s="332">
        <f>Gasto_o_ing_per_capita!L91*100/Gasto_o_ing_per_capita!$D91</f>
        <v>100</v>
      </c>
      <c r="M91" s="332">
        <f>Gasto_o_ing_per_capita!M91*100/Gasto_o_ing_per_capita!$D91</f>
        <v>99.999999999999986</v>
      </c>
      <c r="N91" s="332">
        <f>Gasto_o_ing_per_capita!N91*100/Gasto_o_ing_per_capita!$D91</f>
        <v>99.999999999999986</v>
      </c>
      <c r="O91" s="332">
        <f>Gasto_o_ing_per_capita!O91*100/Gasto_o_ing_per_capita!$D91</f>
        <v>99.999999999999972</v>
      </c>
      <c r="P91" s="332">
        <f>Gasto_o_ing_per_capita!P91*100/Gasto_o_ing_per_capita!$D91</f>
        <v>99.999999999999986</v>
      </c>
      <c r="Q91" s="332">
        <f>Gasto_o_ing_per_capita!Q91*100/Gasto_o_ing_per_capita!$D91</f>
        <v>99.999999999999986</v>
      </c>
      <c r="R91" s="332">
        <f>Gasto_o_ing_per_capita!R91*100/Gasto_o_ing_per_capita!$D91</f>
        <v>99.999999999999986</v>
      </c>
      <c r="S91" s="332">
        <f>Gasto_o_ing_per_capita!S91*100/Gasto_o_ing_per_capita!$D91</f>
        <v>99.999999999999986</v>
      </c>
      <c r="T91" s="332">
        <f>Gasto_o_ing_per_capita!T91*100/Gasto_o_ing_per_capita!$D91</f>
        <v>99.999999999999972</v>
      </c>
      <c r="U91" s="332">
        <f>Gasto_o_ing_per_capita!U91*100/Gasto_o_ing_per_capita!$D91</f>
        <v>99.999999999999986</v>
      </c>
      <c r="V91" s="332">
        <f>Gasto_o_ing_per_capita!V91*100/Gasto_o_ing_per_capita!$D91</f>
        <v>99.999999999999986</v>
      </c>
    </row>
    <row r="92" spans="1:22"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row>
    <row r="93" spans="1:22" s="102" customFormat="1" ht="13.5">
      <c r="A93" s="352"/>
      <c r="B93" s="115"/>
      <c r="C93" s="128" t="s">
        <v>21</v>
      </c>
      <c r="D93" s="113">
        <f>Gasto_o_ing_per_capita!D93*100/Gasto_o_ing_per_capita!$D93</f>
        <v>100</v>
      </c>
      <c r="E93" s="113">
        <f>Gasto_o_ing_per_capita!E93*100/Gasto_o_ing_per_capita!$D93</f>
        <v>100.00000000000001</v>
      </c>
      <c r="F93" s="113">
        <f>Gasto_o_ing_per_capita!F93*100/Gasto_o_ing_per_capita!$D93</f>
        <v>100.00000000000003</v>
      </c>
      <c r="G93" s="113">
        <f>Gasto_o_ing_per_capita!G93*100/Gasto_o_ing_per_capita!$D93</f>
        <v>100.00000000000001</v>
      </c>
      <c r="H93" s="113">
        <f>Gasto_o_ing_per_capita!H93*100/Gasto_o_ing_per_capita!$D93</f>
        <v>100.00000000000001</v>
      </c>
      <c r="I93" s="113">
        <f>Gasto_o_ing_per_capita!I93*100/Gasto_o_ing_per_capita!$D93</f>
        <v>100.00000000000001</v>
      </c>
      <c r="J93" s="113">
        <f>Gasto_o_ing_per_capita!J93*100/Gasto_o_ing_per_capita!$D93</f>
        <v>100.00000000000001</v>
      </c>
      <c r="K93" s="113">
        <f>Gasto_o_ing_per_capita!K93*100/Gasto_o_ing_per_capita!$D93</f>
        <v>100</v>
      </c>
      <c r="L93" s="113">
        <f>Gasto_o_ing_per_capita!L93*100/Gasto_o_ing_per_capita!$D93</f>
        <v>100.00000000000001</v>
      </c>
      <c r="M93" s="113">
        <f>Gasto_o_ing_per_capita!M93*100/Gasto_o_ing_per_capita!$D93</f>
        <v>100.00000000000003</v>
      </c>
      <c r="N93" s="113">
        <f>Gasto_o_ing_per_capita!N93*100/Gasto_o_ing_per_capita!$D93</f>
        <v>100.00000000000003</v>
      </c>
      <c r="O93" s="113">
        <f>Gasto_o_ing_per_capita!O93*100/Gasto_o_ing_per_capita!$D93</f>
        <v>100.00000000000001</v>
      </c>
      <c r="P93" s="113">
        <f>Gasto_o_ing_per_capita!P93*100/Gasto_o_ing_per_capita!$D93</f>
        <v>100.00000000000003</v>
      </c>
      <c r="Q93" s="113">
        <f>Gasto_o_ing_per_capita!Q93*100/Gasto_o_ing_per_capita!$D93</f>
        <v>100.00000000000001</v>
      </c>
      <c r="R93" s="113">
        <f>Gasto_o_ing_per_capita!R93*100/Gasto_o_ing_per_capita!$D93</f>
        <v>100.00000000000003</v>
      </c>
      <c r="S93" s="113">
        <f>Gasto_o_ing_per_capita!S93*100/Gasto_o_ing_per_capita!$D93</f>
        <v>100.00000000000003</v>
      </c>
      <c r="T93" s="113">
        <f>Gasto_o_ing_per_capita!T93*100/Gasto_o_ing_per_capita!$D93</f>
        <v>100.00000000000001</v>
      </c>
      <c r="U93" s="113">
        <f>Gasto_o_ing_per_capita!U93*100/Gasto_o_ing_per_capita!$D93</f>
        <v>100.00000000000001</v>
      </c>
      <c r="V93" s="113">
        <f>Gasto_o_ing_per_capita!V93*100/Gasto_o_ing_per_capita!$D93</f>
        <v>100.00000000000001</v>
      </c>
    </row>
    <row r="94" spans="1:22" s="102" customFormat="1">
      <c r="A94" s="351" t="str">
        <f>IF(B94="","",(IF(ISERROR(MATCH(B94,Tot_res!C:C,0)),"Eliminar!!!","")))</f>
        <v/>
      </c>
      <c r="B94" s="115" t="s">
        <v>1188</v>
      </c>
      <c r="C94" s="329" t="str">
        <f>VLOOKUP(B94,Tot_res!C:D,2,FALSE)</f>
        <v>Defensa de la competencia en los mercados y regulación de sectores productivos </v>
      </c>
      <c r="D94" s="332">
        <f>Gasto_o_ing_per_capita!D94*100/Gasto_o_ing_per_capita!$D94</f>
        <v>100</v>
      </c>
      <c r="E94" s="332">
        <f>Gasto_o_ing_per_capita!E94*100/Gasto_o_ing_per_capita!$D94</f>
        <v>99.999999999999986</v>
      </c>
      <c r="F94" s="332">
        <f>Gasto_o_ing_per_capita!F94*100/Gasto_o_ing_per_capita!$D94</f>
        <v>100.00000000000001</v>
      </c>
      <c r="G94" s="332">
        <f>Gasto_o_ing_per_capita!G94*100/Gasto_o_ing_per_capita!$D94</f>
        <v>100.00000000000001</v>
      </c>
      <c r="H94" s="332">
        <f>Gasto_o_ing_per_capita!H94*100/Gasto_o_ing_per_capita!$D94</f>
        <v>100</v>
      </c>
      <c r="I94" s="332">
        <f>Gasto_o_ing_per_capita!I94*100/Gasto_o_ing_per_capita!$D94</f>
        <v>100.00000000000001</v>
      </c>
      <c r="J94" s="332">
        <f>Gasto_o_ing_per_capita!J94*100/Gasto_o_ing_per_capita!$D94</f>
        <v>100</v>
      </c>
      <c r="K94" s="332">
        <f>Gasto_o_ing_per_capita!K94*100/Gasto_o_ing_per_capita!$D94</f>
        <v>99.999999999999986</v>
      </c>
      <c r="L94" s="332">
        <f>Gasto_o_ing_per_capita!L94*100/Gasto_o_ing_per_capita!$D94</f>
        <v>100.00000000000001</v>
      </c>
      <c r="M94" s="332">
        <f>Gasto_o_ing_per_capita!M94*100/Gasto_o_ing_per_capita!$D94</f>
        <v>100.00000000000001</v>
      </c>
      <c r="N94" s="332">
        <f>Gasto_o_ing_per_capita!N94*100/Gasto_o_ing_per_capita!$D94</f>
        <v>100.00000000000001</v>
      </c>
      <c r="O94" s="332">
        <f>Gasto_o_ing_per_capita!O94*100/Gasto_o_ing_per_capita!$D94</f>
        <v>100</v>
      </c>
      <c r="P94" s="332">
        <f>Gasto_o_ing_per_capita!P94*100/Gasto_o_ing_per_capita!$D94</f>
        <v>99.999999999999986</v>
      </c>
      <c r="Q94" s="332">
        <f>Gasto_o_ing_per_capita!Q94*100/Gasto_o_ing_per_capita!$D94</f>
        <v>100</v>
      </c>
      <c r="R94" s="332">
        <f>Gasto_o_ing_per_capita!R94*100/Gasto_o_ing_per_capita!$D94</f>
        <v>100</v>
      </c>
      <c r="S94" s="332">
        <f>Gasto_o_ing_per_capita!S94*100/Gasto_o_ing_per_capita!$D94</f>
        <v>100</v>
      </c>
      <c r="T94" s="332">
        <f>Gasto_o_ing_per_capita!T94*100/Gasto_o_ing_per_capita!$D94</f>
        <v>100.00000000000001</v>
      </c>
      <c r="U94" s="332">
        <f>Gasto_o_ing_per_capita!U94*100/Gasto_o_ing_per_capita!$D94</f>
        <v>100</v>
      </c>
      <c r="V94" s="332">
        <f>Gasto_o_ing_per_capita!V94*100/Gasto_o_ing_per_capita!$D94</f>
        <v>100.00000000000003</v>
      </c>
    </row>
    <row r="95" spans="1:22" s="102" customFormat="1">
      <c r="A95" s="351" t="str">
        <f>IF(B95="","",(IF(ISERROR(MATCH(B95,Tot_res!C:C,0)),"Eliminar!!!","")))</f>
        <v/>
      </c>
      <c r="B95" s="115" t="s">
        <v>194</v>
      </c>
      <c r="C95" s="329" t="str">
        <f>VLOOKUP(B95,Tot_res!C:D,2,FALSE)</f>
        <v>Dirección, control y gestión de seguros</v>
      </c>
      <c r="D95" s="332">
        <f>Gasto_o_ing_per_capita!D95*100/Gasto_o_ing_per_capita!$D95</f>
        <v>100</v>
      </c>
      <c r="E95" s="332">
        <f>Gasto_o_ing_per_capita!E95*100/Gasto_o_ing_per_capita!$D95</f>
        <v>100</v>
      </c>
      <c r="F95" s="332">
        <f>Gasto_o_ing_per_capita!F95*100/Gasto_o_ing_per_capita!$D95</f>
        <v>99.999999999999986</v>
      </c>
      <c r="G95" s="332">
        <f>Gasto_o_ing_per_capita!G95*100/Gasto_o_ing_per_capita!$D95</f>
        <v>100</v>
      </c>
      <c r="H95" s="332">
        <f>Gasto_o_ing_per_capita!H95*100/Gasto_o_ing_per_capita!$D95</f>
        <v>99.999999999999986</v>
      </c>
      <c r="I95" s="332">
        <f>Gasto_o_ing_per_capita!I95*100/Gasto_o_ing_per_capita!$D95</f>
        <v>99.999999999999986</v>
      </c>
      <c r="J95" s="332">
        <f>Gasto_o_ing_per_capita!J95*100/Gasto_o_ing_per_capita!$D95</f>
        <v>100</v>
      </c>
      <c r="K95" s="332">
        <f>Gasto_o_ing_per_capita!K95*100/Gasto_o_ing_per_capita!$D95</f>
        <v>99.999999999999986</v>
      </c>
      <c r="L95" s="332">
        <f>Gasto_o_ing_per_capita!L95*100/Gasto_o_ing_per_capita!$D95</f>
        <v>100</v>
      </c>
      <c r="M95" s="332">
        <f>Gasto_o_ing_per_capita!M95*100/Gasto_o_ing_per_capita!$D95</f>
        <v>100</v>
      </c>
      <c r="N95" s="332">
        <f>Gasto_o_ing_per_capita!N95*100/Gasto_o_ing_per_capita!$D95</f>
        <v>99.999999999999986</v>
      </c>
      <c r="O95" s="332">
        <f>Gasto_o_ing_per_capita!O95*100/Gasto_o_ing_per_capita!$D95</f>
        <v>99.999999999999957</v>
      </c>
      <c r="P95" s="332">
        <f>Gasto_o_ing_per_capita!P95*100/Gasto_o_ing_per_capita!$D95</f>
        <v>99.999999999999986</v>
      </c>
      <c r="Q95" s="332">
        <f>Gasto_o_ing_per_capita!Q95*100/Gasto_o_ing_per_capita!$D95</f>
        <v>100</v>
      </c>
      <c r="R95" s="332">
        <f>Gasto_o_ing_per_capita!R95*100/Gasto_o_ing_per_capita!$D95</f>
        <v>100</v>
      </c>
      <c r="S95" s="332">
        <f>Gasto_o_ing_per_capita!S95*100/Gasto_o_ing_per_capita!$D95</f>
        <v>99.999999999999986</v>
      </c>
      <c r="T95" s="332">
        <f>Gasto_o_ing_per_capita!T95*100/Gasto_o_ing_per_capita!$D95</f>
        <v>100</v>
      </c>
      <c r="U95" s="332">
        <f>Gasto_o_ing_per_capita!U95*100/Gasto_o_ing_per_capita!$D95</f>
        <v>99.999999999999986</v>
      </c>
      <c r="V95" s="332">
        <f>Gasto_o_ing_per_capita!V95*100/Gasto_o_ing_per_capita!$D95</f>
        <v>99.999999999999986</v>
      </c>
    </row>
    <row r="96" spans="1:22" s="102" customFormat="1">
      <c r="A96" s="351" t="str">
        <f>IF(B96="","",(IF(ISERROR(MATCH(B96,Tot_res!C:C,0)),"Eliminar!!!","")))</f>
        <v/>
      </c>
      <c r="B96" s="115" t="s">
        <v>196</v>
      </c>
      <c r="C96" s="329" t="str">
        <f>VLOOKUP(B96,Tot_res!C:D,2,FALSE)</f>
        <v>Regulación contable y de auditorias</v>
      </c>
      <c r="D96" s="332">
        <f>Gasto_o_ing_per_capita!D96*100/Gasto_o_ing_per_capita!$D96</f>
        <v>100</v>
      </c>
      <c r="E96" s="332">
        <f>Gasto_o_ing_per_capita!E96*100/Gasto_o_ing_per_capita!$D96</f>
        <v>100.00000000000003</v>
      </c>
      <c r="F96" s="332">
        <f>Gasto_o_ing_per_capita!F96*100/Gasto_o_ing_per_capita!$D96</f>
        <v>100.00000000000006</v>
      </c>
      <c r="G96" s="332">
        <f>Gasto_o_ing_per_capita!G96*100/Gasto_o_ing_per_capita!$D96</f>
        <v>100.00000000000006</v>
      </c>
      <c r="H96" s="332">
        <f>Gasto_o_ing_per_capita!H96*100/Gasto_o_ing_per_capita!$D96</f>
        <v>100.00000000000003</v>
      </c>
      <c r="I96" s="332">
        <f>Gasto_o_ing_per_capita!I96*100/Gasto_o_ing_per_capita!$D96</f>
        <v>100.00000000000004</v>
      </c>
      <c r="J96" s="332">
        <f>Gasto_o_ing_per_capita!J96*100/Gasto_o_ing_per_capita!$D96</f>
        <v>100.00000000000003</v>
      </c>
      <c r="K96" s="332">
        <f>Gasto_o_ing_per_capita!K96*100/Gasto_o_ing_per_capita!$D96</f>
        <v>100.00000000000003</v>
      </c>
      <c r="L96" s="332">
        <f>Gasto_o_ing_per_capita!L96*100/Gasto_o_ing_per_capita!$D96</f>
        <v>100.00000000000004</v>
      </c>
      <c r="M96" s="332">
        <f>Gasto_o_ing_per_capita!M96*100/Gasto_o_ing_per_capita!$D96</f>
        <v>100.00000000000006</v>
      </c>
      <c r="N96" s="332">
        <f>Gasto_o_ing_per_capita!N96*100/Gasto_o_ing_per_capita!$D96</f>
        <v>100.00000000000003</v>
      </c>
      <c r="O96" s="332">
        <f>Gasto_o_ing_per_capita!O96*100/Gasto_o_ing_per_capita!$D96</f>
        <v>100.00000000000006</v>
      </c>
      <c r="P96" s="332">
        <f>Gasto_o_ing_per_capita!P96*100/Gasto_o_ing_per_capita!$D96</f>
        <v>100.00000000000003</v>
      </c>
      <c r="Q96" s="332">
        <f>Gasto_o_ing_per_capita!Q96*100/Gasto_o_ing_per_capita!$D96</f>
        <v>100.00000000000004</v>
      </c>
      <c r="R96" s="332">
        <f>Gasto_o_ing_per_capita!R96*100/Gasto_o_ing_per_capita!$D96</f>
        <v>100.00000000000006</v>
      </c>
      <c r="S96" s="332">
        <f>Gasto_o_ing_per_capita!S96*100/Gasto_o_ing_per_capita!$D96</f>
        <v>100.00000000000004</v>
      </c>
      <c r="T96" s="332">
        <f>Gasto_o_ing_per_capita!T96*100/Gasto_o_ing_per_capita!$D96</f>
        <v>100.00000000000003</v>
      </c>
      <c r="U96" s="332">
        <f>Gasto_o_ing_per_capita!U96*100/Gasto_o_ing_per_capita!$D96</f>
        <v>100.00000000000004</v>
      </c>
      <c r="V96" s="332">
        <f>Gasto_o_ing_per_capita!V96*100/Gasto_o_ing_per_capita!$D96</f>
        <v>100.00000000000004</v>
      </c>
    </row>
    <row r="97" spans="1:22" s="102" customFormat="1">
      <c r="A97" s="351" t="str">
        <f>IF(B97="","",(IF(ISERROR(MATCH(B97,Tot_res!C:C,0)),"Eliminar!!!","")))</f>
        <v/>
      </c>
      <c r="B97" s="115" t="s">
        <v>468</v>
      </c>
      <c r="C97" s="329" t="str">
        <f>VLOOKUP(B97,Tot_res!C:D,2,FALSE)</f>
        <v>Regulación del juego</v>
      </c>
      <c r="D97" s="332">
        <f>Gasto_o_ing_per_capita!D97*100/Gasto_o_ing_per_capita!$D97</f>
        <v>100</v>
      </c>
      <c r="E97" s="332">
        <f>Gasto_o_ing_per_capita!E97*100/Gasto_o_ing_per_capita!$D97</f>
        <v>100.00000000000001</v>
      </c>
      <c r="F97" s="332">
        <f>Gasto_o_ing_per_capita!F97*100/Gasto_o_ing_per_capita!$D97</f>
        <v>100.00000000000001</v>
      </c>
      <c r="G97" s="332">
        <f>Gasto_o_ing_per_capita!G97*100/Gasto_o_ing_per_capita!$D97</f>
        <v>100.00000000000004</v>
      </c>
      <c r="H97" s="332">
        <f>Gasto_o_ing_per_capita!H97*100/Gasto_o_ing_per_capita!$D97</f>
        <v>100.00000000000001</v>
      </c>
      <c r="I97" s="332">
        <f>Gasto_o_ing_per_capita!I97*100/Gasto_o_ing_per_capita!$D97</f>
        <v>100.00000000000001</v>
      </c>
      <c r="J97" s="332">
        <f>Gasto_o_ing_per_capita!J97*100/Gasto_o_ing_per_capita!$D97</f>
        <v>100.00000000000004</v>
      </c>
      <c r="K97" s="332">
        <f>Gasto_o_ing_per_capita!K97*100/Gasto_o_ing_per_capita!$D97</f>
        <v>100.00000000000001</v>
      </c>
      <c r="L97" s="332">
        <f>Gasto_o_ing_per_capita!L97*100/Gasto_o_ing_per_capita!$D97</f>
        <v>100.00000000000004</v>
      </c>
      <c r="M97" s="332">
        <f>Gasto_o_ing_per_capita!M97*100/Gasto_o_ing_per_capita!$D97</f>
        <v>100.00000000000001</v>
      </c>
      <c r="N97" s="332">
        <f>Gasto_o_ing_per_capita!N97*100/Gasto_o_ing_per_capita!$D97</f>
        <v>100.00000000000001</v>
      </c>
      <c r="O97" s="332">
        <f>Gasto_o_ing_per_capita!O97*100/Gasto_o_ing_per_capita!$D97</f>
        <v>100.00000000000001</v>
      </c>
      <c r="P97" s="332">
        <f>Gasto_o_ing_per_capita!P97*100/Gasto_o_ing_per_capita!$D97</f>
        <v>100</v>
      </c>
      <c r="Q97" s="332">
        <f>Gasto_o_ing_per_capita!Q97*100/Gasto_o_ing_per_capita!$D97</f>
        <v>100.00000000000004</v>
      </c>
      <c r="R97" s="332">
        <f>Gasto_o_ing_per_capita!R97*100/Gasto_o_ing_per_capita!$D97</f>
        <v>100.00000000000001</v>
      </c>
      <c r="S97" s="332">
        <f>Gasto_o_ing_per_capita!S97*100/Gasto_o_ing_per_capita!$D97</f>
        <v>100.00000000000001</v>
      </c>
      <c r="T97" s="332">
        <f>Gasto_o_ing_per_capita!T97*100/Gasto_o_ing_per_capita!$D97</f>
        <v>100.00000000000001</v>
      </c>
      <c r="U97" s="332">
        <f>Gasto_o_ing_per_capita!U97*100/Gasto_o_ing_per_capita!$D97</f>
        <v>100.00000000000001</v>
      </c>
      <c r="V97" s="332">
        <f>Gasto_o_ing_per_capita!V97*100/Gasto_o_ing_per_capita!$D97</f>
        <v>100.00000000000004</v>
      </c>
    </row>
    <row r="98" spans="1:22" s="102" customFormat="1">
      <c r="A98" s="351" t="str">
        <f>IF(B98="","",(IF(ISERROR(MATCH(B98,Tot_res!C:C,0)),"Eliminar!!!","")))</f>
        <v/>
      </c>
      <c r="B98" s="115" t="s">
        <v>197</v>
      </c>
      <c r="C98" s="329" t="str">
        <f>VLOOKUP(B98,Tot_res!C:D,2,FALSE)</f>
        <v>Comisión Nacional del Mercado de Valores, CNMV</v>
      </c>
      <c r="D98" s="332">
        <f>Gasto_o_ing_per_capita!D98*100/Gasto_o_ing_per_capita!$D98</f>
        <v>100</v>
      </c>
      <c r="E98" s="332">
        <f>Gasto_o_ing_per_capita!E98*100/Gasto_o_ing_per_capita!$D98</f>
        <v>99.999999999999986</v>
      </c>
      <c r="F98" s="332">
        <f>Gasto_o_ing_per_capita!F98*100/Gasto_o_ing_per_capita!$D98</f>
        <v>100</v>
      </c>
      <c r="G98" s="332">
        <f>Gasto_o_ing_per_capita!G98*100/Gasto_o_ing_per_capita!$D98</f>
        <v>100</v>
      </c>
      <c r="H98" s="332">
        <f>Gasto_o_ing_per_capita!H98*100/Gasto_o_ing_per_capita!$D98</f>
        <v>99.999999999999986</v>
      </c>
      <c r="I98" s="332">
        <f>Gasto_o_ing_per_capita!I98*100/Gasto_o_ing_per_capita!$D98</f>
        <v>99.999999999999986</v>
      </c>
      <c r="J98" s="332">
        <f>Gasto_o_ing_per_capita!J98*100/Gasto_o_ing_per_capita!$D98</f>
        <v>100</v>
      </c>
      <c r="K98" s="332">
        <f>Gasto_o_ing_per_capita!K98*100/Gasto_o_ing_per_capita!$D98</f>
        <v>99.999999999999986</v>
      </c>
      <c r="L98" s="332">
        <f>Gasto_o_ing_per_capita!L98*100/Gasto_o_ing_per_capita!$D98</f>
        <v>100</v>
      </c>
      <c r="M98" s="332">
        <f>Gasto_o_ing_per_capita!M98*100/Gasto_o_ing_per_capita!$D98</f>
        <v>100</v>
      </c>
      <c r="N98" s="332">
        <f>Gasto_o_ing_per_capita!N98*100/Gasto_o_ing_per_capita!$D98</f>
        <v>100</v>
      </c>
      <c r="O98" s="332">
        <f>Gasto_o_ing_per_capita!O98*100/Gasto_o_ing_per_capita!$D98</f>
        <v>99.999999999999986</v>
      </c>
      <c r="P98" s="332">
        <f>Gasto_o_ing_per_capita!P98*100/Gasto_o_ing_per_capita!$D98</f>
        <v>99.999999999999986</v>
      </c>
      <c r="Q98" s="332">
        <f>Gasto_o_ing_per_capita!Q98*100/Gasto_o_ing_per_capita!$D98</f>
        <v>99.999999999999986</v>
      </c>
      <c r="R98" s="332">
        <f>Gasto_o_ing_per_capita!R98*100/Gasto_o_ing_per_capita!$D98</f>
        <v>100</v>
      </c>
      <c r="S98" s="332">
        <f>Gasto_o_ing_per_capita!S98*100/Gasto_o_ing_per_capita!$D98</f>
        <v>100</v>
      </c>
      <c r="T98" s="332">
        <f>Gasto_o_ing_per_capita!T98*100/Gasto_o_ing_per_capita!$D98</f>
        <v>100</v>
      </c>
      <c r="U98" s="332">
        <f>Gasto_o_ing_per_capita!U98*100/Gasto_o_ing_per_capita!$D98</f>
        <v>100</v>
      </c>
      <c r="V98" s="332">
        <f>Gasto_o_ing_per_capita!V98*100/Gasto_o_ing_per_capita!$D98</f>
        <v>100</v>
      </c>
    </row>
    <row r="99" spans="1:22" s="102" customFormat="1">
      <c r="A99" s="351" t="str">
        <f>IF(B99="","",(IF(ISERROR(MATCH(B99,Tot_res!C:C,0)),"Eliminar!!!","")))</f>
        <v/>
      </c>
      <c r="B99" s="115" t="s">
        <v>198</v>
      </c>
      <c r="C99" s="329" t="str">
        <f>VLOOKUP(B99,Tot_res!C:D,2,FALSE)</f>
        <v>Banco de España</v>
      </c>
      <c r="D99" s="332">
        <f>Gasto_o_ing_per_capita!D99*100/Gasto_o_ing_per_capita!$D99</f>
        <v>100</v>
      </c>
      <c r="E99" s="332">
        <f>Gasto_o_ing_per_capita!E99*100/Gasto_o_ing_per_capita!$D99</f>
        <v>99.999999999999986</v>
      </c>
      <c r="F99" s="332">
        <f>Gasto_o_ing_per_capita!F99*100/Gasto_o_ing_per_capita!$D99</f>
        <v>100</v>
      </c>
      <c r="G99" s="332">
        <f>Gasto_o_ing_per_capita!G99*100/Gasto_o_ing_per_capita!$D99</f>
        <v>100</v>
      </c>
      <c r="H99" s="332">
        <f>Gasto_o_ing_per_capita!H99*100/Gasto_o_ing_per_capita!$D99</f>
        <v>100</v>
      </c>
      <c r="I99" s="332">
        <f>Gasto_o_ing_per_capita!I99*100/Gasto_o_ing_per_capita!$D99</f>
        <v>100</v>
      </c>
      <c r="J99" s="332">
        <f>Gasto_o_ing_per_capita!J99*100/Gasto_o_ing_per_capita!$D99</f>
        <v>100</v>
      </c>
      <c r="K99" s="332">
        <f>Gasto_o_ing_per_capita!K99*100/Gasto_o_ing_per_capita!$D99</f>
        <v>100</v>
      </c>
      <c r="L99" s="332">
        <f>Gasto_o_ing_per_capita!L99*100/Gasto_o_ing_per_capita!$D99</f>
        <v>100</v>
      </c>
      <c r="M99" s="332">
        <f>Gasto_o_ing_per_capita!M99*100/Gasto_o_ing_per_capita!$D99</f>
        <v>100.00000000000001</v>
      </c>
      <c r="N99" s="332">
        <f>Gasto_o_ing_per_capita!N99*100/Gasto_o_ing_per_capita!$D99</f>
        <v>100</v>
      </c>
      <c r="O99" s="332">
        <f>Gasto_o_ing_per_capita!O99*100/Gasto_o_ing_per_capita!$D99</f>
        <v>100</v>
      </c>
      <c r="P99" s="332">
        <f>Gasto_o_ing_per_capita!P99*100/Gasto_o_ing_per_capita!$D99</f>
        <v>100</v>
      </c>
      <c r="Q99" s="332">
        <f>Gasto_o_ing_per_capita!Q99*100/Gasto_o_ing_per_capita!$D99</f>
        <v>100</v>
      </c>
      <c r="R99" s="332">
        <f>Gasto_o_ing_per_capita!R99*100/Gasto_o_ing_per_capita!$D99</f>
        <v>100</v>
      </c>
      <c r="S99" s="332">
        <f>Gasto_o_ing_per_capita!S99*100/Gasto_o_ing_per_capita!$D99</f>
        <v>100</v>
      </c>
      <c r="T99" s="332">
        <f>Gasto_o_ing_per_capita!T99*100/Gasto_o_ing_per_capita!$D99</f>
        <v>100</v>
      </c>
      <c r="U99" s="332">
        <f>Gasto_o_ing_per_capita!U99*100/Gasto_o_ing_per_capita!$D99</f>
        <v>99.999999999999986</v>
      </c>
      <c r="V99" s="332">
        <f>Gasto_o_ing_per_capita!V99*100/Gasto_o_ing_per_capita!$D99</f>
        <v>100</v>
      </c>
    </row>
    <row r="100" spans="1:22" s="102" customFormat="1">
      <c r="A100" s="351" t="str">
        <f>IF(B100="","",(IF(ISERROR(MATCH(B100,Tot_res!C:C,0)),"Eliminar!!!","")))</f>
        <v/>
      </c>
      <c r="B100" s="115" t="s">
        <v>1191</v>
      </c>
      <c r="C100" s="329" t="str">
        <f>VLOOKUP(B100,Tot_res!C:D,2,FALSE)</f>
        <v>Control y supervisión de la política fiscal</v>
      </c>
      <c r="D100" s="332">
        <f>Gasto_o_ing_per_capita!D100*100/Gasto_o_ing_per_capita!$D100</f>
        <v>100</v>
      </c>
      <c r="E100" s="332">
        <f>Gasto_o_ing_per_capita!E100*100/Gasto_o_ing_per_capita!$D100</f>
        <v>99.999999999999972</v>
      </c>
      <c r="F100" s="332">
        <f>Gasto_o_ing_per_capita!F100*100/Gasto_o_ing_per_capita!$D100</f>
        <v>100.00000000000001</v>
      </c>
      <c r="G100" s="332">
        <f>Gasto_o_ing_per_capita!G100*100/Gasto_o_ing_per_capita!$D100</f>
        <v>100.00000000000001</v>
      </c>
      <c r="H100" s="332">
        <f>Gasto_o_ing_per_capita!H100*100/Gasto_o_ing_per_capita!$D100</f>
        <v>100</v>
      </c>
      <c r="I100" s="332">
        <f>Gasto_o_ing_per_capita!I100*100/Gasto_o_ing_per_capita!$D100</f>
        <v>100</v>
      </c>
      <c r="J100" s="332">
        <f>Gasto_o_ing_per_capita!J100*100/Gasto_o_ing_per_capita!$D100</f>
        <v>100</v>
      </c>
      <c r="K100" s="332">
        <f>Gasto_o_ing_per_capita!K100*100/Gasto_o_ing_per_capita!$D100</f>
        <v>99.999999999999972</v>
      </c>
      <c r="L100" s="332">
        <f>Gasto_o_ing_per_capita!L100*100/Gasto_o_ing_per_capita!$D100</f>
        <v>100</v>
      </c>
      <c r="M100" s="332">
        <f>Gasto_o_ing_per_capita!M100*100/Gasto_o_ing_per_capita!$D100</f>
        <v>100</v>
      </c>
      <c r="N100" s="332">
        <f>Gasto_o_ing_per_capita!N100*100/Gasto_o_ing_per_capita!$D100</f>
        <v>100</v>
      </c>
      <c r="O100" s="332">
        <f>Gasto_o_ing_per_capita!O100*100/Gasto_o_ing_per_capita!$D100</f>
        <v>100</v>
      </c>
      <c r="P100" s="332">
        <f>Gasto_o_ing_per_capita!P100*100/Gasto_o_ing_per_capita!$D100</f>
        <v>100</v>
      </c>
      <c r="Q100" s="332">
        <f>Gasto_o_ing_per_capita!Q100*100/Gasto_o_ing_per_capita!$D100</f>
        <v>100</v>
      </c>
      <c r="R100" s="332">
        <f>Gasto_o_ing_per_capita!R100*100/Gasto_o_ing_per_capita!$D100</f>
        <v>100</v>
      </c>
      <c r="S100" s="332">
        <f>Gasto_o_ing_per_capita!S100*100/Gasto_o_ing_per_capita!$D100</f>
        <v>100</v>
      </c>
      <c r="T100" s="332">
        <f>Gasto_o_ing_per_capita!T100*100/Gasto_o_ing_per_capita!$D100</f>
        <v>100</v>
      </c>
      <c r="U100" s="332">
        <f>Gasto_o_ing_per_capita!U100*100/Gasto_o_ing_per_capita!$D100</f>
        <v>100</v>
      </c>
      <c r="V100" s="332">
        <f>Gasto_o_ing_per_capita!V100*100/Gasto_o_ing_per_capita!$D100</f>
        <v>100.00000000000001</v>
      </c>
    </row>
    <row r="101" spans="1:22"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c r="A103" s="352"/>
      <c r="B103" s="115"/>
      <c r="C103" s="134" t="s">
        <v>77</v>
      </c>
      <c r="D103" s="110">
        <f>Gasto_o_ing_per_capita!D103*100/Gasto_o_ing_per_capita!$D103</f>
        <v>100</v>
      </c>
      <c r="E103" s="110">
        <f>Gasto_o_ing_per_capita!E103*100/Gasto_o_ing_per_capita!$D103</f>
        <v>90.908365762095812</v>
      </c>
      <c r="F103" s="110">
        <f>Gasto_o_ing_per_capita!F103*100/Gasto_o_ing_per_capita!$D103</f>
        <v>109.97370423214585</v>
      </c>
      <c r="G103" s="110">
        <f>Gasto_o_ing_per_capita!G103*100/Gasto_o_ing_per_capita!$D103</f>
        <v>104.64396094686879</v>
      </c>
      <c r="H103" s="110">
        <f>Gasto_o_ing_per_capita!H103*100/Gasto_o_ing_per_capita!$D103</f>
        <v>106.74373176953564</v>
      </c>
      <c r="I103" s="110">
        <f>Gasto_o_ing_per_capita!I103*100/Gasto_o_ing_per_capita!$D103</f>
        <v>117.96104764451444</v>
      </c>
      <c r="J103" s="110">
        <f>Gasto_o_ing_per_capita!J103*100/Gasto_o_ing_per_capita!$D103</f>
        <v>110.3434608395859</v>
      </c>
      <c r="K103" s="110">
        <f>Gasto_o_ing_per_capita!K103*100/Gasto_o_ing_per_capita!$D103</f>
        <v>110.83665740873776</v>
      </c>
      <c r="L103" s="110">
        <f>Gasto_o_ing_per_capita!L103*100/Gasto_o_ing_per_capita!$D103</f>
        <v>94.873399464437313</v>
      </c>
      <c r="M103" s="110">
        <f>Gasto_o_ing_per_capita!M103*100/Gasto_o_ing_per_capita!$D103</f>
        <v>96.709198159665334</v>
      </c>
      <c r="N103" s="110">
        <f>Gasto_o_ing_per_capita!N103*100/Gasto_o_ing_per_capita!$D103</f>
        <v>85.00645185558912</v>
      </c>
      <c r="O103" s="110">
        <f>Gasto_o_ing_per_capita!O103*100/Gasto_o_ing_per_capita!$D103</f>
        <v>109.46429402456462</v>
      </c>
      <c r="P103" s="110">
        <f>Gasto_o_ing_per_capita!P103*100/Gasto_o_ing_per_capita!$D103</f>
        <v>103.26376615899581</v>
      </c>
      <c r="Q103" s="110">
        <f>Gasto_o_ing_per_capita!Q103*100/Gasto_o_ing_per_capita!$D103</f>
        <v>90.887978824378791</v>
      </c>
      <c r="R103" s="110">
        <f>Gasto_o_ing_per_capita!R103*100/Gasto_o_ing_per_capita!$D103</f>
        <v>86.702028295253456</v>
      </c>
      <c r="S103" s="110">
        <f>Gasto_o_ing_per_capita!S103*100/Gasto_o_ing_per_capita!$D103</f>
        <v>122.91375216485891</v>
      </c>
      <c r="T103" s="110">
        <f>Gasto_o_ing_per_capita!T103*100/Gasto_o_ing_per_capita!$D103</f>
        <v>155.00545232619285</v>
      </c>
      <c r="U103" s="110">
        <f>Gasto_o_ing_per_capita!U103*100/Gasto_o_ing_per_capita!$D103</f>
        <v>107.54502225054641</v>
      </c>
      <c r="V103" s="110">
        <f>Gasto_o_ing_per_capita!V103*100/Gasto_o_ing_per_capita!$D103</f>
        <v>169.06319809272844</v>
      </c>
    </row>
    <row r="104" spans="1:22" s="102" customFormat="1">
      <c r="A104" s="352"/>
      <c r="B104" s="115"/>
      <c r="C104" s="134" t="s">
        <v>44</v>
      </c>
      <c r="D104" s="110">
        <f>Gasto_o_ing_per_capita!D104*100/Gasto_o_ing_per_capita!$D104</f>
        <v>100</v>
      </c>
      <c r="E104" s="110">
        <f>Gasto_o_ing_per_capita!E104*100/Gasto_o_ing_per_capita!$D104</f>
        <v>89.823228508361325</v>
      </c>
      <c r="F104" s="110">
        <f>Gasto_o_ing_per_capita!F104*100/Gasto_o_ing_per_capita!$D104</f>
        <v>108.39996816008203</v>
      </c>
      <c r="G104" s="110">
        <f>Gasto_o_ing_per_capita!G104*100/Gasto_o_ing_per_capita!$D104</f>
        <v>103.15278927501646</v>
      </c>
      <c r="H104" s="110">
        <f>Gasto_o_ing_per_capita!H104*100/Gasto_o_ing_per_capita!$D104</f>
        <v>102.95523110528889</v>
      </c>
      <c r="I104" s="110">
        <f>Gasto_o_ing_per_capita!I104*100/Gasto_o_ing_per_capita!$D104</f>
        <v>117.74145160821119</v>
      </c>
      <c r="J104" s="110">
        <f>Gasto_o_ing_per_capita!J104*100/Gasto_o_ing_per_capita!$D104</f>
        <v>109.57794587616678</v>
      </c>
      <c r="K104" s="110">
        <f>Gasto_o_ing_per_capita!K104*100/Gasto_o_ing_per_capita!$D104</f>
        <v>110.12326714533789</v>
      </c>
      <c r="L104" s="110">
        <f>Gasto_o_ing_per_capita!L104*100/Gasto_o_ing_per_capita!$D104</f>
        <v>95.453049673952947</v>
      </c>
      <c r="M104" s="110">
        <f>Gasto_o_ing_per_capita!M104*100/Gasto_o_ing_per_capita!$D104</f>
        <v>94.489982847234373</v>
      </c>
      <c r="N104" s="110">
        <f>Gasto_o_ing_per_capita!N104*100/Gasto_o_ing_per_capita!$D104</f>
        <v>82.908606224314326</v>
      </c>
      <c r="O104" s="110">
        <f>Gasto_o_ing_per_capita!O104*100/Gasto_o_ing_per_capita!$D104</f>
        <v>106.47702601632676</v>
      </c>
      <c r="P104" s="110">
        <f>Gasto_o_ing_per_capita!P104*100/Gasto_o_ing_per_capita!$D104</f>
        <v>101.68763536388155</v>
      </c>
      <c r="Q104" s="110">
        <f>Gasto_o_ing_per_capita!Q104*100/Gasto_o_ing_per_capita!$D104</f>
        <v>93.656135654269491</v>
      </c>
      <c r="R104" s="110">
        <f>Gasto_o_ing_per_capita!R104*100/Gasto_o_ing_per_capita!$D104</f>
        <v>84.374149967454443</v>
      </c>
      <c r="S104" s="110">
        <f>Gasto_o_ing_per_capita!S104*100/Gasto_o_ing_per_capita!$D104</f>
        <v>141.93974334401938</v>
      </c>
      <c r="T104" s="110">
        <f>Gasto_o_ing_per_capita!T104*100/Gasto_o_ing_per_capita!$D104</f>
        <v>167.12028166338823</v>
      </c>
      <c r="U104" s="110">
        <f>Gasto_o_ing_per_capita!U104*100/Gasto_o_ing_per_capita!$D104</f>
        <v>106.86947944983052</v>
      </c>
      <c r="V104" s="110">
        <f>Gasto_o_ing_per_capita!V104*100/Gasto_o_ing_per_capita!$D104</f>
        <v>170.57908405189721</v>
      </c>
    </row>
    <row r="105" spans="1:22"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5">
      <c r="A106" s="352"/>
      <c r="B106" s="115"/>
      <c r="C106" s="128" t="s">
        <v>43</v>
      </c>
      <c r="D106" s="113">
        <f>Gasto_o_ing_per_capita!D106*100/Gasto_o_ing_per_capita!$D106</f>
        <v>100</v>
      </c>
      <c r="E106" s="113">
        <f>Gasto_o_ing_per_capita!E106*100/Gasto_o_ing_per_capita!$D106</f>
        <v>90.135572843710591</v>
      </c>
      <c r="F106" s="113">
        <f>Gasto_o_ing_per_capita!F106*100/Gasto_o_ing_per_capita!$D106</f>
        <v>107.71448114739427</v>
      </c>
      <c r="G106" s="113">
        <f>Gasto_o_ing_per_capita!G106*100/Gasto_o_ing_per_capita!$D106</f>
        <v>106.17675402034541</v>
      </c>
      <c r="H106" s="113">
        <f>Gasto_o_ing_per_capita!H106*100/Gasto_o_ing_per_capita!$D106</f>
        <v>102.26408449347004</v>
      </c>
      <c r="I106" s="113">
        <f>Gasto_o_ing_per_capita!I106*100/Gasto_o_ing_per_capita!$D106</f>
        <v>104.00654924682257</v>
      </c>
      <c r="J106" s="113">
        <f>Gasto_o_ing_per_capita!J106*100/Gasto_o_ing_per_capita!$D106</f>
        <v>117.2272502682931</v>
      </c>
      <c r="K106" s="113">
        <f>Gasto_o_ing_per_capita!K106*100/Gasto_o_ing_per_capita!$D106</f>
        <v>109.0838325174133</v>
      </c>
      <c r="L106" s="113">
        <f>Gasto_o_ing_per_capita!L106*100/Gasto_o_ing_per_capita!$D106</f>
        <v>97.028721432615967</v>
      </c>
      <c r="M106" s="113">
        <f>Gasto_o_ing_per_capita!M106*100/Gasto_o_ing_per_capita!$D106</f>
        <v>92.501939916807189</v>
      </c>
      <c r="N106" s="113">
        <f>Gasto_o_ing_per_capita!N106*100/Gasto_o_ing_per_capita!$D106</f>
        <v>86.464756286984823</v>
      </c>
      <c r="O106" s="113">
        <f>Gasto_o_ing_per_capita!O106*100/Gasto_o_ing_per_capita!$D106</f>
        <v>115.85507547153874</v>
      </c>
      <c r="P106" s="113">
        <f>Gasto_o_ing_per_capita!P106*100/Gasto_o_ing_per_capita!$D106</f>
        <v>107.81495884657861</v>
      </c>
      <c r="Q106" s="113">
        <f>Gasto_o_ing_per_capita!Q106*100/Gasto_o_ing_per_capita!$D106</f>
        <v>82.055141992261881</v>
      </c>
      <c r="R106" s="113">
        <f>Gasto_o_ing_per_capita!R106*100/Gasto_o_ing_per_capita!$D106</f>
        <v>88.784355868551103</v>
      </c>
      <c r="S106" s="113">
        <f>Gasto_o_ing_per_capita!S106*100/Gasto_o_ing_per_capita!$D106</f>
        <v>138.5794653875561</v>
      </c>
      <c r="T106" s="113">
        <f>Gasto_o_ing_per_capita!T106*100/Gasto_o_ing_per_capita!$D106</f>
        <v>192.70121465239185</v>
      </c>
      <c r="U106" s="113">
        <f>Gasto_o_ing_per_capita!U106*100/Gasto_o_ing_per_capita!$D106</f>
        <v>112.55306404730968</v>
      </c>
      <c r="V106" s="113">
        <f>Gasto_o_ing_per_capita!V106*100/Gasto_o_ing_per_capita!$D106</f>
        <v>184.26283861581905</v>
      </c>
    </row>
    <row r="107" spans="1:22"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7">
      <c r="A108" s="352"/>
      <c r="B108" s="137"/>
      <c r="C108" s="128" t="s">
        <v>200</v>
      </c>
      <c r="D108" s="113">
        <f>Gasto_o_ing_per_capita!D108*100/Gasto_o_ing_per_capita!$D108</f>
        <v>100</v>
      </c>
      <c r="E108" s="113">
        <f>Gasto_o_ing_per_capita!E108*100/Gasto_o_ing_per_capita!$D108</f>
        <v>100.66793026852596</v>
      </c>
      <c r="F108" s="113">
        <f>Gasto_o_ing_per_capita!F108*100/Gasto_o_ing_per_capita!$D108</f>
        <v>117.21347328359874</v>
      </c>
      <c r="G108" s="113">
        <f>Gasto_o_ing_per_capita!G108*100/Gasto_o_ing_per_capita!$D108</f>
        <v>116.11387303772574</v>
      </c>
      <c r="H108" s="113">
        <f>Gasto_o_ing_per_capita!H108*100/Gasto_o_ing_per_capita!$D108</f>
        <v>106.36727017555505</v>
      </c>
      <c r="I108" s="113">
        <f>Gasto_o_ing_per_capita!I108*100/Gasto_o_ing_per_capita!$D108</f>
        <v>118.89894924968542</v>
      </c>
      <c r="J108" s="113">
        <f>Gasto_o_ing_per_capita!J108*100/Gasto_o_ing_per_capita!$D108</f>
        <v>137.38307406076353</v>
      </c>
      <c r="K108" s="113">
        <f>Gasto_o_ing_per_capita!K108*100/Gasto_o_ing_per_capita!$D108</f>
        <v>117.39960880378393</v>
      </c>
      <c r="L108" s="113">
        <f>Gasto_o_ing_per_capita!L108*100/Gasto_o_ing_per_capita!$D108</f>
        <v>106.78870530065117</v>
      </c>
      <c r="M108" s="113">
        <f>Gasto_o_ing_per_capita!M108*100/Gasto_o_ing_per_capita!$D108</f>
        <v>110.48056130853303</v>
      </c>
      <c r="N108" s="113">
        <f>Gasto_o_ing_per_capita!N108*100/Gasto_o_ing_per_capita!$D108</f>
        <v>92.107900116943483</v>
      </c>
      <c r="O108" s="113">
        <f>Gasto_o_ing_per_capita!O108*100/Gasto_o_ing_per_capita!$D108</f>
        <v>120.63028703273304</v>
      </c>
      <c r="P108" s="113">
        <f>Gasto_o_ing_per_capita!P108*100/Gasto_o_ing_per_capita!$D108</f>
        <v>118.34018598991878</v>
      </c>
      <c r="Q108" s="113">
        <f>Gasto_o_ing_per_capita!Q108*100/Gasto_o_ing_per_capita!$D108</f>
        <v>102.06649428948019</v>
      </c>
      <c r="R108" s="113">
        <f>Gasto_o_ing_per_capita!R108*100/Gasto_o_ing_per_capita!$D108</f>
        <v>92.670907696774137</v>
      </c>
      <c r="S108" s="113">
        <f>Gasto_o_ing_per_capita!S108*100/Gasto_o_ing_per_capita!$D108</f>
        <v>0</v>
      </c>
      <c r="T108" s="113">
        <f>Gasto_o_ing_per_capita!T108*100/Gasto_o_ing_per_capita!$D108</f>
        <v>0</v>
      </c>
      <c r="U108" s="113">
        <f>Gasto_o_ing_per_capita!U108*100/Gasto_o_ing_per_capita!$D108</f>
        <v>131.995481776595</v>
      </c>
      <c r="V108" s="113">
        <f>Gasto_o_ing_per_capita!V108*100/Gasto_o_ing_per_capita!$D108</f>
        <v>21.395851494085488</v>
      </c>
    </row>
    <row r="109" spans="1:22"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Gasto_o_ing_per_capita!D109*100/Gasto_o_ing_per_capita!$D109</f>
        <v>100</v>
      </c>
      <c r="E109" s="332">
        <f>Gasto_o_ing_per_capita!E109*100/Gasto_o_ing_per_capita!$D109</f>
        <v>171.54444903906241</v>
      </c>
      <c r="F109" s="332">
        <f>Gasto_o_ing_per_capita!F109*100/Gasto_o_ing_per_capita!$D109</f>
        <v>92.545458062480364</v>
      </c>
      <c r="G109" s="332">
        <f>Gasto_o_ing_per_capita!G109*100/Gasto_o_ing_per_capita!$D109</f>
        <v>102.58689007006249</v>
      </c>
      <c r="H109" s="332">
        <f>Gasto_o_ing_per_capita!H109*100/Gasto_o_ing_per_capita!$D109</f>
        <v>88.795951413081667</v>
      </c>
      <c r="I109" s="332">
        <f>Gasto_o_ing_per_capita!I109*100/Gasto_o_ing_per_capita!$D109</f>
        <v>378.08602417018062</v>
      </c>
      <c r="J109" s="332">
        <f>Gasto_o_ing_per_capita!J109*100/Gasto_o_ing_per_capita!$D109</f>
        <v>231.07234770473585</v>
      </c>
      <c r="K109" s="332">
        <f>Gasto_o_ing_per_capita!K109*100/Gasto_o_ing_per_capita!$D109</f>
        <v>157.85593948103823</v>
      </c>
      <c r="L109" s="332">
        <f>Gasto_o_ing_per_capita!L109*100/Gasto_o_ing_per_capita!$D109</f>
        <v>165.91794707007222</v>
      </c>
      <c r="M109" s="332">
        <f>Gasto_o_ing_per_capita!M109*100/Gasto_o_ing_per_capita!$D109</f>
        <v>18.782653394244232</v>
      </c>
      <c r="N109" s="332">
        <f>Gasto_o_ing_per_capita!N109*100/Gasto_o_ing_per_capita!$D109</f>
        <v>129.34143461837226</v>
      </c>
      <c r="O109" s="332">
        <f>Gasto_o_ing_per_capita!O109*100/Gasto_o_ing_per_capita!$D109</f>
        <v>309.82726382870896</v>
      </c>
      <c r="P109" s="332">
        <f>Gasto_o_ing_per_capita!P109*100/Gasto_o_ing_per_capita!$D109</f>
        <v>193.66991368961649</v>
      </c>
      <c r="Q109" s="332">
        <f>Gasto_o_ing_per_capita!Q109*100/Gasto_o_ing_per_capita!$D109</f>
        <v>-113.58527474654258</v>
      </c>
      <c r="R109" s="332">
        <f>Gasto_o_ing_per_capita!R109*100/Gasto_o_ing_per_capita!$D109</f>
        <v>146.30388243268615</v>
      </c>
      <c r="S109" s="332">
        <f>Gasto_o_ing_per_capita!S109*100/Gasto_o_ing_per_capita!$D109</f>
        <v>0</v>
      </c>
      <c r="T109" s="332">
        <f>Gasto_o_ing_per_capita!T109*100/Gasto_o_ing_per_capita!$D109</f>
        <v>0</v>
      </c>
      <c r="U109" s="332">
        <f>Gasto_o_ing_per_capita!U109*100/Gasto_o_ing_per_capita!$D109</f>
        <v>228.70772644937651</v>
      </c>
      <c r="V109" s="332">
        <f>Gasto_o_ing_per_capita!V109*100/Gasto_o_ing_per_capita!$D109</f>
        <v>127.11592133163812</v>
      </c>
    </row>
    <row r="110" spans="1:22" s="102" customFormat="1">
      <c r="A110" s="351" t="str">
        <f>IF(B110="","",(IF(ISERROR(MATCH(B110,Tot_res!C:C,0)),"Eliminar!!!","")))</f>
        <v/>
      </c>
      <c r="B110" s="115" t="s">
        <v>201</v>
      </c>
      <c r="C110" s="329" t="str">
        <f>VLOOKUP(B110,Tot_res!C:D,2,FALSE)</f>
        <v>Transferencias al Estado por Fondos de Suficiencia negativos</v>
      </c>
      <c r="D110" s="332">
        <f>Gasto_o_ing_per_capita!D110*100/Gasto_o_ing_per_capita!$D110</f>
        <v>100</v>
      </c>
      <c r="E110" s="332">
        <f>Gasto_o_ing_per_capita!E110*100/Gasto_o_ing_per_capita!$D110</f>
        <v>37.791639782730158</v>
      </c>
      <c r="F110" s="332">
        <f>Gasto_o_ing_per_capita!F110*100/Gasto_o_ing_per_capita!$D110</f>
        <v>39.374406089924904</v>
      </c>
      <c r="G110" s="332">
        <f>Gasto_o_ing_per_capita!G110*100/Gasto_o_ing_per_capita!$D110</f>
        <v>40.982800409494061</v>
      </c>
      <c r="H110" s="332">
        <f>Gasto_o_ing_per_capita!H110*100/Gasto_o_ing_per_capita!$D110</f>
        <v>672.61521260322399</v>
      </c>
      <c r="I110" s="332">
        <f>Gasto_o_ing_per_capita!I110*100/Gasto_o_ing_per_capita!$D110</f>
        <v>33.930279468326582</v>
      </c>
      <c r="J110" s="332">
        <f>Gasto_o_ing_per_capita!J110*100/Gasto_o_ing_per_capita!$D110</f>
        <v>22.875220255308129</v>
      </c>
      <c r="K110" s="332">
        <f>Gasto_o_ing_per_capita!K110*100/Gasto_o_ing_per_capita!$D110</f>
        <v>42.062904248991103</v>
      </c>
      <c r="L110" s="332">
        <f>Gasto_o_ing_per_capita!L110*100/Gasto_o_ing_per_capita!$D110</f>
        <v>41.28165619884615</v>
      </c>
      <c r="M110" s="332">
        <f>Gasto_o_ing_per_capita!M110*100/Gasto_o_ing_per_capita!$D110</f>
        <v>41.682380762561948</v>
      </c>
      <c r="N110" s="332">
        <f>Gasto_o_ing_per_capita!N110*100/Gasto_o_ing_per_capita!$D110</f>
        <v>322.14591245360964</v>
      </c>
      <c r="O110" s="332">
        <f>Gasto_o_ing_per_capita!O110*100/Gasto_o_ing_per_capita!$D110</f>
        <v>37.162659869890263</v>
      </c>
      <c r="P110" s="332">
        <f>Gasto_o_ing_per_capita!P110*100/Gasto_o_ing_per_capita!$D110</f>
        <v>40.966481115477769</v>
      </c>
      <c r="Q110" s="332">
        <f>Gasto_o_ing_per_capita!Q110*100/Gasto_o_ing_per_capita!$D110</f>
        <v>141.54390884572163</v>
      </c>
      <c r="R110" s="332">
        <f>Gasto_o_ing_per_capita!R110*100/Gasto_o_ing_per_capita!$D110</f>
        <v>165.75286184431144</v>
      </c>
      <c r="S110" s="332">
        <f>Gasto_o_ing_per_capita!S110*100/Gasto_o_ing_per_capita!$D110</f>
        <v>0</v>
      </c>
      <c r="T110" s="332">
        <f>Gasto_o_ing_per_capita!T110*100/Gasto_o_ing_per_capita!$D110</f>
        <v>0</v>
      </c>
      <c r="U110" s="332">
        <f>Gasto_o_ing_per_capita!U110*100/Gasto_o_ing_per_capita!$D110</f>
        <v>30.464740821260587</v>
      </c>
      <c r="V110" s="332">
        <f>Gasto_o_ing_per_capita!V110*100/Gasto_o_ing_per_capita!$D110</f>
        <v>0</v>
      </c>
    </row>
    <row r="111" spans="1:22" s="102" customFormat="1">
      <c r="A111" s="351" t="str">
        <f>IF(B111="","",(IF(ISERROR(MATCH(B111,Tot_res!C:C,0)),"Eliminar!!!","")))</f>
        <v/>
      </c>
      <c r="B111" s="115" t="s">
        <v>202</v>
      </c>
      <c r="C111" s="329" t="str">
        <f>VLOOKUP(B111,Tot_res!C:D,2,FALSE)</f>
        <v>Otros Flujos de financiación regional, en parte extrapresupuestarios</v>
      </c>
      <c r="D111" s="332">
        <f>Gasto_o_ing_per_capita!D111*100/Gasto_o_ing_per_capita!$D111</f>
        <v>100</v>
      </c>
      <c r="E111" s="332">
        <f>Gasto_o_ing_per_capita!E111*100/Gasto_o_ing_per_capita!$D111</f>
        <v>139.65068008413624</v>
      </c>
      <c r="F111" s="332">
        <f>Gasto_o_ing_per_capita!F111*100/Gasto_o_ing_per_capita!$D111</f>
        <v>131.07330148355064</v>
      </c>
      <c r="G111" s="332">
        <f>Gasto_o_ing_per_capita!G111*100/Gasto_o_ing_per_capita!$D111</f>
        <v>138.36802442445924</v>
      </c>
      <c r="H111" s="332">
        <f>Gasto_o_ing_per_capita!H111*100/Gasto_o_ing_per_capita!$D111</f>
        <v>56.258898721593866</v>
      </c>
      <c r="I111" s="332">
        <f>Gasto_o_ing_per_capita!I111*100/Gasto_o_ing_per_capita!$D111</f>
        <v>131.80390249379772</v>
      </c>
      <c r="J111" s="332">
        <f>Gasto_o_ing_per_capita!J111*100/Gasto_o_ing_per_capita!$D111</f>
        <v>159.49078479117978</v>
      </c>
      <c r="K111" s="332">
        <f>Gasto_o_ing_per_capita!K111*100/Gasto_o_ing_per_capita!$D111</f>
        <v>145.66500768442302</v>
      </c>
      <c r="L111" s="332">
        <f>Gasto_o_ing_per_capita!L111*100/Gasto_o_ing_per_capita!$D111</f>
        <v>121.41766511472402</v>
      </c>
      <c r="M111" s="332">
        <f>Gasto_o_ing_per_capita!M111*100/Gasto_o_ing_per_capita!$D111</f>
        <v>81.332611204123282</v>
      </c>
      <c r="N111" s="332">
        <f>Gasto_o_ing_per_capita!N111*100/Gasto_o_ing_per_capita!$D111</f>
        <v>89.484928208793136</v>
      </c>
      <c r="O111" s="332">
        <f>Gasto_o_ing_per_capita!O111*100/Gasto_o_ing_per_capita!$D111</f>
        <v>177.71541160274001</v>
      </c>
      <c r="P111" s="332">
        <f>Gasto_o_ing_per_capita!P111*100/Gasto_o_ing_per_capita!$D111</f>
        <v>151.53621210524076</v>
      </c>
      <c r="Q111" s="332">
        <f>Gasto_o_ing_per_capita!Q111*100/Gasto_o_ing_per_capita!$D111</f>
        <v>41.799858664048159</v>
      </c>
      <c r="R111" s="332">
        <f>Gasto_o_ing_per_capita!R111*100/Gasto_o_ing_per_capita!$D111</f>
        <v>97.637375678661869</v>
      </c>
      <c r="S111" s="332">
        <f>Gasto_o_ing_per_capita!S111*100/Gasto_o_ing_per_capita!$D111</f>
        <v>0</v>
      </c>
      <c r="T111" s="332">
        <f>Gasto_o_ing_per_capita!T111*100/Gasto_o_ing_per_capita!$D111</f>
        <v>0</v>
      </c>
      <c r="U111" s="332">
        <f>Gasto_o_ing_per_capita!U111*100/Gasto_o_ing_per_capita!$D111</f>
        <v>152.18130515448834</v>
      </c>
      <c r="V111" s="332">
        <f>Gasto_o_ing_per_capita!V111*100/Gasto_o_ing_per_capita!$D111</f>
        <v>13.942550360444972</v>
      </c>
    </row>
    <row r="112" spans="1:22"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Gasto_o_ing_per_capita!D112*100/Gasto_o_ing_per_capita!$D112</f>
        <v>100</v>
      </c>
      <c r="E112" s="332">
        <f>Gasto_o_ing_per_capita!E112*100/Gasto_o_ing_per_capita!$D112</f>
        <v>418.15360854992031</v>
      </c>
      <c r="F112" s="332">
        <f>Gasto_o_ing_per_capita!F112*100/Gasto_o_ing_per_capita!$D112</f>
        <v>0</v>
      </c>
      <c r="G112" s="332">
        <f>Gasto_o_ing_per_capita!G112*100/Gasto_o_ing_per_capita!$D112</f>
        <v>0</v>
      </c>
      <c r="H112" s="332">
        <f>Gasto_o_ing_per_capita!H112*100/Gasto_o_ing_per_capita!$D112</f>
        <v>0</v>
      </c>
      <c r="I112" s="332">
        <f>Gasto_o_ing_per_capita!I112*100/Gasto_o_ing_per_capita!$D112</f>
        <v>550.28809047278605</v>
      </c>
      <c r="J112" s="332">
        <f>Gasto_o_ing_per_capita!J112*100/Gasto_o_ing_per_capita!$D112</f>
        <v>0</v>
      </c>
      <c r="K112" s="332">
        <f>Gasto_o_ing_per_capita!K112*100/Gasto_o_ing_per_capita!$D112</f>
        <v>0</v>
      </c>
      <c r="L112" s="332">
        <f>Gasto_o_ing_per_capita!L112*100/Gasto_o_ing_per_capita!$D112</f>
        <v>0</v>
      </c>
      <c r="M112" s="332">
        <f>Gasto_o_ing_per_capita!M112*100/Gasto_o_ing_per_capita!$D112</f>
        <v>0</v>
      </c>
      <c r="N112" s="332">
        <f>Gasto_o_ing_per_capita!N112*100/Gasto_o_ing_per_capita!$D112</f>
        <v>0</v>
      </c>
      <c r="O112" s="332">
        <f>Gasto_o_ing_per_capita!O112*100/Gasto_o_ing_per_capita!$D112</f>
        <v>0</v>
      </c>
      <c r="P112" s="332">
        <f>Gasto_o_ing_per_capita!P112*100/Gasto_o_ing_per_capita!$D112</f>
        <v>0</v>
      </c>
      <c r="Q112" s="332">
        <f>Gasto_o_ing_per_capita!Q112*100/Gasto_o_ing_per_capita!$D112</f>
        <v>0</v>
      </c>
      <c r="R112" s="332">
        <f>Gasto_o_ing_per_capita!R112*100/Gasto_o_ing_per_capita!$D112</f>
        <v>0</v>
      </c>
      <c r="S112" s="332">
        <f>Gasto_o_ing_per_capita!S112*100/Gasto_o_ing_per_capita!$D112</f>
        <v>0</v>
      </c>
      <c r="T112" s="332">
        <f>Gasto_o_ing_per_capita!T112*100/Gasto_o_ing_per_capita!$D112</f>
        <v>0</v>
      </c>
      <c r="U112" s="332">
        <f>Gasto_o_ing_per_capita!U112*100/Gasto_o_ing_per_capita!$D112</f>
        <v>0</v>
      </c>
      <c r="V112" s="332">
        <f>Gasto_o_ing_per_capita!V112*100/Gasto_o_ing_per_capita!$D112</f>
        <v>0</v>
      </c>
    </row>
    <row r="113" spans="1:22" s="102" customFormat="1">
      <c r="A113" s="351" t="str">
        <f>IF(B113="","",(IF(ISERROR(MATCH(B113,Tot_res!C:C,0)),"Eliminar!!!","")))</f>
        <v/>
      </c>
      <c r="B113" s="115" t="s">
        <v>935</v>
      </c>
      <c r="C113" s="329" t="str">
        <f>VLOOKUP(B113,Tot_res!C:D,2,FALSE)</f>
        <v>Participación CCAARC en IRPF, sin ejercicio de la capacidad normativa</v>
      </c>
      <c r="D113" s="332">
        <f>Gasto_o_ing_per_capita!D113*100/Gasto_o_ing_per_capita!$D113</f>
        <v>100</v>
      </c>
      <c r="E113" s="332">
        <f>Gasto_o_ing_per_capita!E113*100/Gasto_o_ing_per_capita!$D113</f>
        <v>66.741168049257041</v>
      </c>
      <c r="F113" s="332">
        <f>Gasto_o_ing_per_capita!F113*100/Gasto_o_ing_per_capita!$D113</f>
        <v>115.2423013455096</v>
      </c>
      <c r="G113" s="332">
        <f>Gasto_o_ing_per_capita!G113*100/Gasto_o_ing_per_capita!$D113</f>
        <v>115.24126901114609</v>
      </c>
      <c r="H113" s="332">
        <f>Gasto_o_ing_per_capita!H113*100/Gasto_o_ing_per_capita!$D113</f>
        <v>100.21580636856305</v>
      </c>
      <c r="I113" s="332">
        <f>Gasto_o_ing_per_capita!I113*100/Gasto_o_ing_per_capita!$D113</f>
        <v>72.764769365388247</v>
      </c>
      <c r="J113" s="332">
        <f>Gasto_o_ing_per_capita!J113*100/Gasto_o_ing_per_capita!$D113</f>
        <v>110.14640649341128</v>
      </c>
      <c r="K113" s="332">
        <f>Gasto_o_ing_per_capita!K113*100/Gasto_o_ing_per_capita!$D113</f>
        <v>100.32278814836448</v>
      </c>
      <c r="L113" s="332">
        <f>Gasto_o_ing_per_capita!L113*100/Gasto_o_ing_per_capita!$D113</f>
        <v>74.563921827066153</v>
      </c>
      <c r="M113" s="332">
        <f>Gasto_o_ing_per_capita!M113*100/Gasto_o_ing_per_capita!$D113</f>
        <v>135.01229050104951</v>
      </c>
      <c r="N113" s="332">
        <f>Gasto_o_ing_per_capita!N113*100/Gasto_o_ing_per_capita!$D113</f>
        <v>82.392474566956139</v>
      </c>
      <c r="O113" s="332">
        <f>Gasto_o_ing_per_capita!O113*100/Gasto_o_ing_per_capita!$D113</f>
        <v>60.132430724799853</v>
      </c>
      <c r="P113" s="332">
        <f>Gasto_o_ing_per_capita!P113*100/Gasto_o_ing_per_capita!$D113</f>
        <v>91.238426809621416</v>
      </c>
      <c r="Q113" s="332">
        <f>Gasto_o_ing_per_capita!Q113*100/Gasto_o_ing_per_capita!$D113</f>
        <v>190.45720570622703</v>
      </c>
      <c r="R113" s="332">
        <f>Gasto_o_ing_per_capita!R113*100/Gasto_o_ing_per_capita!$D113</f>
        <v>68.23121409612493</v>
      </c>
      <c r="S113" s="332">
        <f>Gasto_o_ing_per_capita!S113*100/Gasto_o_ing_per_capita!$D113</f>
        <v>0</v>
      </c>
      <c r="T113" s="332">
        <f>Gasto_o_ing_per_capita!T113*100/Gasto_o_ing_per_capita!$D113</f>
        <v>0</v>
      </c>
      <c r="U113" s="332">
        <f>Gasto_o_ing_per_capita!U113*100/Gasto_o_ing_per_capita!$D113</f>
        <v>106.58265972253162</v>
      </c>
      <c r="V113" s="332">
        <f>Gasto_o_ing_per_capita!V113*100/Gasto_o_ing_per_capita!$D113</f>
        <v>0</v>
      </c>
    </row>
    <row r="114" spans="1:22" s="102" customFormat="1">
      <c r="A114" s="351" t="str">
        <f>IF(B114="","",(IF(ISERROR(MATCH(B114,Tot_res!C:C,0)),"Eliminar!!!","")))</f>
        <v/>
      </c>
      <c r="B114" s="115" t="s">
        <v>203</v>
      </c>
      <c r="C114" s="329" t="str">
        <f>VLOOKUP(B114,Tot_res!C:D,2,FALSE)</f>
        <v>Participación CCAARC en el IVA</v>
      </c>
      <c r="D114" s="332">
        <f>Gasto_o_ing_per_capita!D114*100/Gasto_o_ing_per_capita!$D114</f>
        <v>100</v>
      </c>
      <c r="E114" s="332">
        <f>Gasto_o_ing_per_capita!E114*100/Gasto_o_ing_per_capita!$D114</f>
        <v>97.212867689159111</v>
      </c>
      <c r="F114" s="332">
        <f>Gasto_o_ing_per_capita!F114*100/Gasto_o_ing_per_capita!$D114</f>
        <v>121.3299588146634</v>
      </c>
      <c r="G114" s="332">
        <f>Gasto_o_ing_per_capita!G114*100/Gasto_o_ing_per_capita!$D114</f>
        <v>122.22989922916527</v>
      </c>
      <c r="H114" s="332">
        <f>Gasto_o_ing_per_capita!H114*100/Gasto_o_ing_per_capita!$D114</f>
        <v>162.84420880662705</v>
      </c>
      <c r="I114" s="332">
        <f>Gasto_o_ing_per_capita!I114*100/Gasto_o_ing_per_capita!$D114</f>
        <v>0</v>
      </c>
      <c r="J114" s="332">
        <f>Gasto_o_ing_per_capita!J114*100/Gasto_o_ing_per_capita!$D114</f>
        <v>118.69079671945981</v>
      </c>
      <c r="K114" s="332">
        <f>Gasto_o_ing_per_capita!K114*100/Gasto_o_ing_per_capita!$D114</f>
        <v>115.58166526584158</v>
      </c>
      <c r="L114" s="332">
        <f>Gasto_o_ing_per_capita!L114*100/Gasto_o_ing_per_capita!$D114</f>
        <v>103.44639860090068</v>
      </c>
      <c r="M114" s="332">
        <f>Gasto_o_ing_per_capita!M114*100/Gasto_o_ing_per_capita!$D114</f>
        <v>122.20124233418612</v>
      </c>
      <c r="N114" s="332">
        <f>Gasto_o_ing_per_capita!N114*100/Gasto_o_ing_per_capita!$D114</f>
        <v>106.4152847291591</v>
      </c>
      <c r="O114" s="332">
        <f>Gasto_o_ing_per_capita!O114*100/Gasto_o_ing_per_capita!$D114</f>
        <v>98.068252671449926</v>
      </c>
      <c r="P114" s="332">
        <f>Gasto_o_ing_per_capita!P114*100/Gasto_o_ing_per_capita!$D114</f>
        <v>112.76770467019361</v>
      </c>
      <c r="Q114" s="332">
        <f>Gasto_o_ing_per_capita!Q114*100/Gasto_o_ing_per_capita!$D114</f>
        <v>119.87335606038988</v>
      </c>
      <c r="R114" s="332">
        <f>Gasto_o_ing_per_capita!R114*100/Gasto_o_ing_per_capita!$D114</f>
        <v>93.376751120560414</v>
      </c>
      <c r="S114" s="332">
        <f>Gasto_o_ing_per_capita!S114*100/Gasto_o_ing_per_capita!$D114</f>
        <v>0</v>
      </c>
      <c r="T114" s="332">
        <f>Gasto_o_ing_per_capita!T114*100/Gasto_o_ing_per_capita!$D114</f>
        <v>0</v>
      </c>
      <c r="U114" s="332">
        <f>Gasto_o_ing_per_capita!U114*100/Gasto_o_ing_per_capita!$D114</f>
        <v>117.82542829996532</v>
      </c>
      <c r="V114" s="332">
        <f>Gasto_o_ing_per_capita!V114*100/Gasto_o_ing_per_capita!$D114</f>
        <v>0</v>
      </c>
    </row>
    <row r="115" spans="1:22"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Gasto_o_ing_per_capita!D115*100/Gasto_o_ing_per_capita!$D115</f>
        <v>100</v>
      </c>
      <c r="E115" s="332">
        <f>Gasto_o_ing_per_capita!E115*100/Gasto_o_ing_per_capita!$D115</f>
        <v>92.607342829179672</v>
      </c>
      <c r="F115" s="332">
        <f>Gasto_o_ing_per_capita!F115*100/Gasto_o_ing_per_capita!$D115</f>
        <v>144.34119111790386</v>
      </c>
      <c r="G115" s="332">
        <f>Gasto_o_ing_per_capita!G115*100/Gasto_o_ing_per_capita!$D115</f>
        <v>117.64567221138309</v>
      </c>
      <c r="H115" s="332">
        <f>Gasto_o_ing_per_capita!H115*100/Gasto_o_ing_per_capita!$D115</f>
        <v>142.88697492969692</v>
      </c>
      <c r="I115" s="332">
        <f>Gasto_o_ing_per_capita!I115*100/Gasto_o_ing_per_capita!$D115</f>
        <v>5.6781809292438696</v>
      </c>
      <c r="J115" s="332">
        <f>Gasto_o_ing_per_capita!J115*100/Gasto_o_ing_per_capita!$D115</f>
        <v>123.66225467893382</v>
      </c>
      <c r="K115" s="332">
        <f>Gasto_o_ing_per_capita!K115*100/Gasto_o_ing_per_capita!$D115</f>
        <v>126.66420689517427</v>
      </c>
      <c r="L115" s="332">
        <f>Gasto_o_ing_per_capita!L115*100/Gasto_o_ing_per_capita!$D115</f>
        <v>125.62078561036839</v>
      </c>
      <c r="M115" s="332">
        <f>Gasto_o_ing_per_capita!M115*100/Gasto_o_ing_per_capita!$D115</f>
        <v>117.72078701684805</v>
      </c>
      <c r="N115" s="332">
        <f>Gasto_o_ing_per_capita!N115*100/Gasto_o_ing_per_capita!$D115</f>
        <v>110.33488797434842</v>
      </c>
      <c r="O115" s="332">
        <f>Gasto_o_ing_per_capita!O115*100/Gasto_o_ing_per_capita!$D115</f>
        <v>124.6289750303759</v>
      </c>
      <c r="P115" s="332">
        <f>Gasto_o_ing_per_capita!P115*100/Gasto_o_ing_per_capita!$D115</f>
        <v>119.21359003901914</v>
      </c>
      <c r="Q115" s="332">
        <f>Gasto_o_ing_per_capita!Q115*100/Gasto_o_ing_per_capita!$D115</f>
        <v>98.496030844159165</v>
      </c>
      <c r="R115" s="332">
        <f>Gasto_o_ing_per_capita!R115*100/Gasto_o_ing_per_capita!$D115</f>
        <v>128.97473996357243</v>
      </c>
      <c r="S115" s="332">
        <f>Gasto_o_ing_per_capita!S115*100/Gasto_o_ing_per_capita!$D115</f>
        <v>0</v>
      </c>
      <c r="T115" s="332">
        <f>Gasto_o_ing_per_capita!T115*100/Gasto_o_ing_per_capita!$D115</f>
        <v>0</v>
      </c>
      <c r="U115" s="332">
        <f>Gasto_o_ing_per_capita!U115*100/Gasto_o_ing_per_capita!$D115</f>
        <v>117.11875538304234</v>
      </c>
      <c r="V115" s="332">
        <f>Gasto_o_ing_per_capita!V115*100/Gasto_o_ing_per_capita!$D115</f>
        <v>0</v>
      </c>
    </row>
    <row r="116" spans="1:22" s="102" customFormat="1">
      <c r="A116" s="351" t="str">
        <f>IF(B116="","",(IF(ISERROR(MATCH(B116,Tot_res!C:C,0)),"Eliminar!!!","")))</f>
        <v/>
      </c>
      <c r="B116" s="115" t="s">
        <v>204</v>
      </c>
      <c r="C116" s="329" t="str">
        <f>VLOOKUP(B116,Tot_res!C:D,2,FALSE)</f>
        <v>Participación de las CCAARC en el impuesto sobre la electricidad</v>
      </c>
      <c r="D116" s="332">
        <f>Gasto_o_ing_per_capita!D116*100/Gasto_o_ing_per_capita!$D116</f>
        <v>100</v>
      </c>
      <c r="E116" s="332">
        <f>Gasto_o_ing_per_capita!E116*100/Gasto_o_ing_per_capita!$D116</f>
        <v>91.021206026834605</v>
      </c>
      <c r="F116" s="332">
        <f>Gasto_o_ing_per_capita!F116*100/Gasto_o_ing_per_capita!$D116</f>
        <v>160.03628557704306</v>
      </c>
      <c r="G116" s="332">
        <f>Gasto_o_ing_per_capita!G116*100/Gasto_o_ing_per_capita!$D116</f>
        <v>197.12860294098292</v>
      </c>
      <c r="H116" s="332">
        <f>Gasto_o_ing_per_capita!H116*100/Gasto_o_ing_per_capita!$D116</f>
        <v>99.636186003023866</v>
      </c>
      <c r="I116" s="332">
        <f>Gasto_o_ing_per_capita!I116*100/Gasto_o_ing_per_capita!$D116</f>
        <v>76.260125413832085</v>
      </c>
      <c r="J116" s="332">
        <f>Gasto_o_ing_per_capita!J116*100/Gasto_o_ing_per_capita!$D116</f>
        <v>166.06236672247101</v>
      </c>
      <c r="K116" s="332">
        <f>Gasto_o_ing_per_capita!K116*100/Gasto_o_ing_per_capita!$D116</f>
        <v>103.86184466942311</v>
      </c>
      <c r="L116" s="332">
        <f>Gasto_o_ing_per_capita!L116*100/Gasto_o_ing_per_capita!$D116</f>
        <v>114.01252734494145</v>
      </c>
      <c r="M116" s="332">
        <f>Gasto_o_ing_per_capita!M116*100/Gasto_o_ing_per_capita!$D116</f>
        <v>120.56969671400108</v>
      </c>
      <c r="N116" s="332">
        <f>Gasto_o_ing_per_capita!N116*100/Gasto_o_ing_per_capita!$D116</f>
        <v>95.85389968570162</v>
      </c>
      <c r="O116" s="332">
        <f>Gasto_o_ing_per_capita!O116*100/Gasto_o_ing_per_capita!$D116</f>
        <v>85.797348055281788</v>
      </c>
      <c r="P116" s="332">
        <f>Gasto_o_ing_per_capita!P116*100/Gasto_o_ing_per_capita!$D116</f>
        <v>141.77483819555891</v>
      </c>
      <c r="Q116" s="332">
        <f>Gasto_o_ing_per_capita!Q116*100/Gasto_o_ing_per_capita!$D116</f>
        <v>88.857739632387378</v>
      </c>
      <c r="R116" s="332">
        <f>Gasto_o_ing_per_capita!R116*100/Gasto_o_ing_per_capita!$D116</f>
        <v>104.34456432510551</v>
      </c>
      <c r="S116" s="332">
        <f>Gasto_o_ing_per_capita!S116*100/Gasto_o_ing_per_capita!$D116</f>
        <v>0</v>
      </c>
      <c r="T116" s="332">
        <f>Gasto_o_ing_per_capita!T116*100/Gasto_o_ing_per_capita!$D116</f>
        <v>0</v>
      </c>
      <c r="U116" s="332">
        <f>Gasto_o_ing_per_capita!U116*100/Gasto_o_ing_per_capita!$D116</f>
        <v>97.020737604533068</v>
      </c>
      <c r="V116" s="332">
        <f>Gasto_o_ing_per_capita!V116*100/Gasto_o_ing_per_capita!$D116</f>
        <v>0</v>
      </c>
    </row>
    <row r="117" spans="1:22" s="102" customFormat="1">
      <c r="A117" s="351" t="str">
        <f>IF(B117="","",(IF(ISERROR(MATCH(B117,Tot_res!C:C,0)),"Eliminar!!!","")))</f>
        <v/>
      </c>
      <c r="B117" s="115" t="s">
        <v>936</v>
      </c>
      <c r="C117" s="329" t="str">
        <f>VLOOKUP(B117,Tot_res!C:D,2,FALSE)</f>
        <v>Sucesiones y donaciones, ingresos homogeneizados de las CCAARC</v>
      </c>
      <c r="D117" s="332">
        <f>Gasto_o_ing_per_capita!D117*100/Gasto_o_ing_per_capita!$D117</f>
        <v>100</v>
      </c>
      <c r="E117" s="332">
        <f>Gasto_o_ing_per_capita!E117*100/Gasto_o_ing_per_capita!$D117</f>
        <v>82.125799789636034</v>
      </c>
      <c r="F117" s="332">
        <f>Gasto_o_ing_per_capita!F117*100/Gasto_o_ing_per_capita!$D117</f>
        <v>147.318178501006</v>
      </c>
      <c r="G117" s="332">
        <f>Gasto_o_ing_per_capita!G117*100/Gasto_o_ing_per_capita!$D117</f>
        <v>158.42204156131962</v>
      </c>
      <c r="H117" s="332">
        <f>Gasto_o_ing_per_capita!H117*100/Gasto_o_ing_per_capita!$D117</f>
        <v>89.431620847480119</v>
      </c>
      <c r="I117" s="332">
        <f>Gasto_o_ing_per_capita!I117*100/Gasto_o_ing_per_capita!$D117</f>
        <v>72.196413434109957</v>
      </c>
      <c r="J117" s="332">
        <f>Gasto_o_ing_per_capita!J117*100/Gasto_o_ing_per_capita!$D117</f>
        <v>148.43399717381089</v>
      </c>
      <c r="K117" s="332">
        <f>Gasto_o_ing_per_capita!K117*100/Gasto_o_ing_per_capita!$D117</f>
        <v>141.40564387190449</v>
      </c>
      <c r="L117" s="332">
        <f>Gasto_o_ing_per_capita!L117*100/Gasto_o_ing_per_capita!$D117</f>
        <v>93.341697537080591</v>
      </c>
      <c r="M117" s="332">
        <f>Gasto_o_ing_per_capita!M117*100/Gasto_o_ing_per_capita!$D117</f>
        <v>114.24316866970318</v>
      </c>
      <c r="N117" s="332">
        <f>Gasto_o_ing_per_capita!N117*100/Gasto_o_ing_per_capita!$D117</f>
        <v>100.44979151897283</v>
      </c>
      <c r="O117" s="332">
        <f>Gasto_o_ing_per_capita!O117*100/Gasto_o_ing_per_capita!$D117</f>
        <v>100.7235916715734</v>
      </c>
      <c r="P117" s="332">
        <f>Gasto_o_ing_per_capita!P117*100/Gasto_o_ing_per_capita!$D117</f>
        <v>141.91925940588629</v>
      </c>
      <c r="Q117" s="332">
        <f>Gasto_o_ing_per_capita!Q117*100/Gasto_o_ing_per_capita!$D117</f>
        <v>112.35124992665955</v>
      </c>
      <c r="R117" s="332">
        <f>Gasto_o_ing_per_capita!R117*100/Gasto_o_ing_per_capita!$D117</f>
        <v>75.2963053472388</v>
      </c>
      <c r="S117" s="332">
        <f>Gasto_o_ing_per_capita!S117*100/Gasto_o_ing_per_capita!$D117</f>
        <v>0</v>
      </c>
      <c r="T117" s="332">
        <f>Gasto_o_ing_per_capita!T117*100/Gasto_o_ing_per_capita!$D117</f>
        <v>0</v>
      </c>
      <c r="U117" s="332">
        <f>Gasto_o_ing_per_capita!U117*100/Gasto_o_ing_per_capita!$D117</f>
        <v>132.00280392574692</v>
      </c>
      <c r="V117" s="332">
        <f>Gasto_o_ing_per_capita!V117*100/Gasto_o_ing_per_capita!$D117</f>
        <v>0</v>
      </c>
    </row>
    <row r="118" spans="1:22" s="102" customFormat="1">
      <c r="A118" s="351" t="str">
        <f>IF(B118="","",(IF(ISERROR(MATCH(B118,Tot_res!C:C,0)),"Eliminar!!!","")))</f>
        <v/>
      </c>
      <c r="B118" s="115" t="s">
        <v>937</v>
      </c>
      <c r="C118" s="329" t="str">
        <f>VLOOKUP(B118,Tot_res!C:D,2,FALSE)</f>
        <v>ITP y AJD, ingresos homogeneizados de las CCAARC</v>
      </c>
      <c r="D118" s="332">
        <f>Gasto_o_ing_per_capita!D118*100/Gasto_o_ing_per_capita!$D118</f>
        <v>100</v>
      </c>
      <c r="E118" s="332">
        <f>Gasto_o_ing_per_capita!E118*100/Gasto_o_ing_per_capita!$D118</f>
        <v>107.81185935827803</v>
      </c>
      <c r="F118" s="332">
        <f>Gasto_o_ing_per_capita!F118*100/Gasto_o_ing_per_capita!$D118</f>
        <v>78.497024863820442</v>
      </c>
      <c r="G118" s="332">
        <f>Gasto_o_ing_per_capita!G118*100/Gasto_o_ing_per_capita!$D118</f>
        <v>66.803432470088396</v>
      </c>
      <c r="H118" s="332">
        <f>Gasto_o_ing_per_capita!H118*100/Gasto_o_ing_per_capita!$D118</f>
        <v>259.43599949638724</v>
      </c>
      <c r="I118" s="332">
        <f>Gasto_o_ing_per_capita!I118*100/Gasto_o_ing_per_capita!$D118</f>
        <v>93.734271568363965</v>
      </c>
      <c r="J118" s="332">
        <f>Gasto_o_ing_per_capita!J118*100/Gasto_o_ing_per_capita!$D118</f>
        <v>95.306701128476448</v>
      </c>
      <c r="K118" s="332">
        <f>Gasto_o_ing_per_capita!K118*100/Gasto_o_ing_per_capita!$D118</f>
        <v>69.76036550825313</v>
      </c>
      <c r="L118" s="332">
        <f>Gasto_o_ing_per_capita!L118*100/Gasto_o_ing_per_capita!$D118</f>
        <v>93.189351977112523</v>
      </c>
      <c r="M118" s="332">
        <f>Gasto_o_ing_per_capita!M118*100/Gasto_o_ing_per_capita!$D118</f>
        <v>118.48489714380509</v>
      </c>
      <c r="N118" s="332">
        <f>Gasto_o_ing_per_capita!N118*100/Gasto_o_ing_per_capita!$D118</f>
        <v>116.28948680892842</v>
      </c>
      <c r="O118" s="332">
        <f>Gasto_o_ing_per_capita!O118*100/Gasto_o_ing_per_capita!$D118</f>
        <v>55.833000062475669</v>
      </c>
      <c r="P118" s="332">
        <f>Gasto_o_ing_per_capita!P118*100/Gasto_o_ing_per_capita!$D118</f>
        <v>57.375036863221858</v>
      </c>
      <c r="Q118" s="332">
        <f>Gasto_o_ing_per_capita!Q118*100/Gasto_o_ing_per_capita!$D118</f>
        <v>128.44783428444234</v>
      </c>
      <c r="R118" s="332">
        <f>Gasto_o_ing_per_capita!R118*100/Gasto_o_ing_per_capita!$D118</f>
        <v>94.647172432710931</v>
      </c>
      <c r="S118" s="332">
        <f>Gasto_o_ing_per_capita!S118*100/Gasto_o_ing_per_capita!$D118</f>
        <v>0</v>
      </c>
      <c r="T118" s="332">
        <f>Gasto_o_ing_per_capita!T118*100/Gasto_o_ing_per_capita!$D118</f>
        <v>0</v>
      </c>
      <c r="U118" s="332">
        <f>Gasto_o_ing_per_capita!U118*100/Gasto_o_ing_per_capita!$D118</f>
        <v>88.739038716185419</v>
      </c>
      <c r="V118" s="332">
        <f>Gasto_o_ing_per_capita!V118*100/Gasto_o_ing_per_capita!$D118</f>
        <v>0</v>
      </c>
    </row>
    <row r="119" spans="1:22" s="102" customFormat="1">
      <c r="A119" s="351" t="str">
        <f>IF(B119="","",(IF(ISERROR(MATCH(B119,Tot_res!C:C,0)),"Eliminar!!!","")))</f>
        <v/>
      </c>
      <c r="B119" s="115" t="s">
        <v>938</v>
      </c>
      <c r="C119" s="329" t="str">
        <f>VLOOKUP(B119,Tot_res!C:D,2,FALSE)</f>
        <v>Tasas sobre el juego, ingresos homogeneizados de las CCAARC</v>
      </c>
      <c r="D119" s="332">
        <f>Gasto_o_ing_per_capita!D119*100/Gasto_o_ing_per_capita!$D119</f>
        <v>100</v>
      </c>
      <c r="E119" s="332">
        <f>Gasto_o_ing_per_capita!E119*100/Gasto_o_ing_per_capita!$D119</f>
        <v>79.377265060245918</v>
      </c>
      <c r="F119" s="332">
        <f>Gasto_o_ing_per_capita!F119*100/Gasto_o_ing_per_capita!$D119</f>
        <v>98.851294693633321</v>
      </c>
      <c r="G119" s="332">
        <f>Gasto_o_ing_per_capita!G119*100/Gasto_o_ing_per_capita!$D119</f>
        <v>89.644503657400151</v>
      </c>
      <c r="H119" s="332">
        <f>Gasto_o_ing_per_capita!H119*100/Gasto_o_ing_per_capita!$D119</f>
        <v>152.08023025055627</v>
      </c>
      <c r="I119" s="332">
        <f>Gasto_o_ing_per_capita!I119*100/Gasto_o_ing_per_capita!$D119</f>
        <v>83.142884050576839</v>
      </c>
      <c r="J119" s="332">
        <f>Gasto_o_ing_per_capita!J119*100/Gasto_o_ing_per_capita!$D119</f>
        <v>108.68478880489958</v>
      </c>
      <c r="K119" s="332">
        <f>Gasto_o_ing_per_capita!K119*100/Gasto_o_ing_per_capita!$D119</f>
        <v>110.4580183884478</v>
      </c>
      <c r="L119" s="332">
        <f>Gasto_o_ing_per_capita!L119*100/Gasto_o_ing_per_capita!$D119</f>
        <v>95.449832871843725</v>
      </c>
      <c r="M119" s="332">
        <f>Gasto_o_ing_per_capita!M119*100/Gasto_o_ing_per_capita!$D119</f>
        <v>86.108269110008962</v>
      </c>
      <c r="N119" s="332">
        <f>Gasto_o_ing_per_capita!N119*100/Gasto_o_ing_per_capita!$D119</f>
        <v>127.63474221296136</v>
      </c>
      <c r="O119" s="332">
        <f>Gasto_o_ing_per_capita!O119*100/Gasto_o_ing_per_capita!$D119</f>
        <v>73.025223184559493</v>
      </c>
      <c r="P119" s="332">
        <f>Gasto_o_ing_per_capita!P119*100/Gasto_o_ing_per_capita!$D119</f>
        <v>79.273169951803922</v>
      </c>
      <c r="Q119" s="332">
        <f>Gasto_o_ing_per_capita!Q119*100/Gasto_o_ing_per_capita!$D119</f>
        <v>185.80364404826594</v>
      </c>
      <c r="R119" s="332">
        <f>Gasto_o_ing_per_capita!R119*100/Gasto_o_ing_per_capita!$D119</f>
        <v>67.117640106265696</v>
      </c>
      <c r="S119" s="332">
        <f>Gasto_o_ing_per_capita!S119*100/Gasto_o_ing_per_capita!$D119</f>
        <v>0</v>
      </c>
      <c r="T119" s="332">
        <f>Gasto_o_ing_per_capita!T119*100/Gasto_o_ing_per_capita!$D119</f>
        <v>0</v>
      </c>
      <c r="U119" s="332">
        <f>Gasto_o_ing_per_capita!U119*100/Gasto_o_ing_per_capita!$D119</f>
        <v>68.208357301681175</v>
      </c>
      <c r="V119" s="332">
        <f>Gasto_o_ing_per_capita!V119*100/Gasto_o_ing_per_capita!$D119</f>
        <v>0</v>
      </c>
    </row>
    <row r="120" spans="1:22"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Gasto_o_ing_per_capita!D120*100/Gasto_o_ing_per_capita!$D120</f>
        <v>100</v>
      </c>
      <c r="E120" s="332">
        <f>Gasto_o_ing_per_capita!E120*100/Gasto_o_ing_per_capita!$D120</f>
        <v>145.10571602230277</v>
      </c>
      <c r="F120" s="332">
        <f>Gasto_o_ing_per_capita!F120*100/Gasto_o_ing_per_capita!$D120</f>
        <v>34.780114343110419</v>
      </c>
      <c r="G120" s="332">
        <f>Gasto_o_ing_per_capita!G120*100/Gasto_o_ing_per_capita!$D120</f>
        <v>71.683152876571597</v>
      </c>
      <c r="H120" s="332">
        <f>Gasto_o_ing_per_capita!H120*100/Gasto_o_ing_per_capita!$D120</f>
        <v>41.725237264751691</v>
      </c>
      <c r="I120" s="332">
        <f>Gasto_o_ing_per_capita!I120*100/Gasto_o_ing_per_capita!$D120</f>
        <v>0</v>
      </c>
      <c r="J120" s="332">
        <f>Gasto_o_ing_per_capita!J120*100/Gasto_o_ing_per_capita!$D120</f>
        <v>165.23579856950698</v>
      </c>
      <c r="K120" s="332">
        <f>Gasto_o_ing_per_capita!K120*100/Gasto_o_ing_per_capita!$D120</f>
        <v>144.56480064187878</v>
      </c>
      <c r="L120" s="332">
        <f>Gasto_o_ing_per_capita!L120*100/Gasto_o_ing_per_capita!$D120</f>
        <v>103.44880300610268</v>
      </c>
      <c r="M120" s="332">
        <f>Gasto_o_ing_per_capita!M120*100/Gasto_o_ing_per_capita!$D120</f>
        <v>49.013180469344185</v>
      </c>
      <c r="N120" s="332">
        <f>Gasto_o_ing_per_capita!N120*100/Gasto_o_ing_per_capita!$D120</f>
        <v>153.13634410674987</v>
      </c>
      <c r="O120" s="332">
        <f>Gasto_o_ing_per_capita!O120*100/Gasto_o_ing_per_capita!$D120</f>
        <v>230.18002660197925</v>
      </c>
      <c r="P120" s="332">
        <f>Gasto_o_ing_per_capita!P120*100/Gasto_o_ing_per_capita!$D120</f>
        <v>168.16616272395319</v>
      </c>
      <c r="Q120" s="332">
        <f>Gasto_o_ing_per_capita!Q120*100/Gasto_o_ing_per_capita!$D120</f>
        <v>71.12819530467921</v>
      </c>
      <c r="R120" s="332">
        <f>Gasto_o_ing_per_capita!R120*100/Gasto_o_ing_per_capita!$D120</f>
        <v>210.2845807293879</v>
      </c>
      <c r="S120" s="332">
        <f>Gasto_o_ing_per_capita!S120*100/Gasto_o_ing_per_capita!$D120</f>
        <v>0</v>
      </c>
      <c r="T120" s="332">
        <f>Gasto_o_ing_per_capita!T120*100/Gasto_o_ing_per_capita!$D120</f>
        <v>0</v>
      </c>
      <c r="U120" s="332">
        <f>Gasto_o_ing_per_capita!U120*100/Gasto_o_ing_per_capita!$D120</f>
        <v>0</v>
      </c>
      <c r="V120" s="332">
        <f>Gasto_o_ing_per_capita!V120*100/Gasto_o_ing_per_capita!$D120</f>
        <v>0</v>
      </c>
    </row>
    <row r="121" spans="1:22" s="102" customFormat="1">
      <c r="A121" s="351" t="str">
        <f>IF(B121="","",(IF(ISERROR(MATCH(B121,Tot_res!C:C,0)),"Eliminar!!!","")))</f>
        <v/>
      </c>
      <c r="B121" s="115" t="s">
        <v>940</v>
      </c>
      <c r="C121" s="329" t="str">
        <f>VLOOKUP(B121,Tot_res!C:D,2,FALSE)</f>
        <v>Impuesto de matriculación, ingresos de las CCAARC sin ej cap normativa</v>
      </c>
      <c r="D121" s="332">
        <f>Gasto_o_ing_per_capita!D121*100/Gasto_o_ing_per_capita!$D121</f>
        <v>100</v>
      </c>
      <c r="E121" s="332">
        <f>Gasto_o_ing_per_capita!E121*100/Gasto_o_ing_per_capita!$D121</f>
        <v>63.142132343176307</v>
      </c>
      <c r="F121" s="332">
        <f>Gasto_o_ing_per_capita!F121*100/Gasto_o_ing_per_capita!$D121</f>
        <v>71.02103976105856</v>
      </c>
      <c r="G121" s="332">
        <f>Gasto_o_ing_per_capita!G121*100/Gasto_o_ing_per_capita!$D121</f>
        <v>69.022290392423727</v>
      </c>
      <c r="H121" s="332">
        <f>Gasto_o_ing_per_capita!H121*100/Gasto_o_ing_per_capita!$D121</f>
        <v>267.36785841211423</v>
      </c>
      <c r="I121" s="332">
        <f>Gasto_o_ing_per_capita!I121*100/Gasto_o_ing_per_capita!$D121</f>
        <v>0</v>
      </c>
      <c r="J121" s="332">
        <f>Gasto_o_ing_per_capita!J121*100/Gasto_o_ing_per_capita!$D121</f>
        <v>123.28463395140921</v>
      </c>
      <c r="K121" s="332">
        <f>Gasto_o_ing_per_capita!K121*100/Gasto_o_ing_per_capita!$D121</f>
        <v>66.542118052930121</v>
      </c>
      <c r="L121" s="332">
        <f>Gasto_o_ing_per_capita!L121*100/Gasto_o_ing_per_capita!$D121</f>
        <v>58.649462097991041</v>
      </c>
      <c r="M121" s="332">
        <f>Gasto_o_ing_per_capita!M121*100/Gasto_o_ing_per_capita!$D121</f>
        <v>115.75992557575879</v>
      </c>
      <c r="N121" s="332">
        <f>Gasto_o_ing_per_capita!N121*100/Gasto_o_ing_per_capita!$D121</f>
        <v>94.914874393846731</v>
      </c>
      <c r="O121" s="332">
        <f>Gasto_o_ing_per_capita!O121*100/Gasto_o_ing_per_capita!$D121</f>
        <v>48.497085272172143</v>
      </c>
      <c r="P121" s="332">
        <f>Gasto_o_ing_per_capita!P121*100/Gasto_o_ing_per_capita!$D121</f>
        <v>96.354308317425946</v>
      </c>
      <c r="Q121" s="332">
        <f>Gasto_o_ing_per_capita!Q121*100/Gasto_o_ing_per_capita!$D121</f>
        <v>235.8852841536507</v>
      </c>
      <c r="R121" s="332">
        <f>Gasto_o_ing_per_capita!R121*100/Gasto_o_ing_per_capita!$D121</f>
        <v>72.842091557489908</v>
      </c>
      <c r="S121" s="332">
        <f>Gasto_o_ing_per_capita!S121*100/Gasto_o_ing_per_capita!$D121</f>
        <v>0</v>
      </c>
      <c r="T121" s="332">
        <f>Gasto_o_ing_per_capita!T121*100/Gasto_o_ing_per_capita!$D121</f>
        <v>0</v>
      </c>
      <c r="U121" s="332">
        <f>Gasto_o_ing_per_capita!U121*100/Gasto_o_ing_per_capita!$D121</f>
        <v>95.146793511760805</v>
      </c>
      <c r="V121" s="332">
        <f>Gasto_o_ing_per_capita!V121*100/Gasto_o_ing_per_capita!$D121</f>
        <v>0</v>
      </c>
    </row>
    <row r="122" spans="1:22"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Gasto_o_ing_per_capita!D122*100/Gasto_o_ing_per_capita!$D122</f>
        <v>100</v>
      </c>
      <c r="E122" s="332">
        <f>Gasto_o_ing_per_capita!E122*100/Gasto_o_ing_per_capita!$D122</f>
        <v>0</v>
      </c>
      <c r="F122" s="332">
        <f>Gasto_o_ing_per_capita!F122*100/Gasto_o_ing_per_capita!$D122</f>
        <v>0</v>
      </c>
      <c r="G122" s="332">
        <f>Gasto_o_ing_per_capita!G122*100/Gasto_o_ing_per_capita!$D122</f>
        <v>0</v>
      </c>
      <c r="H122" s="332">
        <f>Gasto_o_ing_per_capita!H122*100/Gasto_o_ing_per_capita!$D122</f>
        <v>0</v>
      </c>
      <c r="I122" s="332">
        <f>Gasto_o_ing_per_capita!I122*100/Gasto_o_ing_per_capita!$D122</f>
        <v>2220.999657322584</v>
      </c>
      <c r="J122" s="332">
        <f>Gasto_o_ing_per_capita!J122*100/Gasto_o_ing_per_capita!$D122</f>
        <v>0</v>
      </c>
      <c r="K122" s="332">
        <f>Gasto_o_ing_per_capita!K122*100/Gasto_o_ing_per_capita!$D122</f>
        <v>0</v>
      </c>
      <c r="L122" s="332">
        <f>Gasto_o_ing_per_capita!L122*100/Gasto_o_ing_per_capita!$D122</f>
        <v>0</v>
      </c>
      <c r="M122" s="332">
        <f>Gasto_o_ing_per_capita!M122*100/Gasto_o_ing_per_capita!$D122</f>
        <v>0</v>
      </c>
      <c r="N122" s="332">
        <f>Gasto_o_ing_per_capita!N122*100/Gasto_o_ing_per_capita!$D122</f>
        <v>0</v>
      </c>
      <c r="O122" s="332">
        <f>Gasto_o_ing_per_capita!O122*100/Gasto_o_ing_per_capita!$D122</f>
        <v>0</v>
      </c>
      <c r="P122" s="332">
        <f>Gasto_o_ing_per_capita!P122*100/Gasto_o_ing_per_capita!$D122</f>
        <v>0</v>
      </c>
      <c r="Q122" s="332">
        <f>Gasto_o_ing_per_capita!Q122*100/Gasto_o_ing_per_capita!$D122</f>
        <v>0</v>
      </c>
      <c r="R122" s="332">
        <f>Gasto_o_ing_per_capita!R122*100/Gasto_o_ing_per_capita!$D122</f>
        <v>0</v>
      </c>
      <c r="S122" s="332">
        <f>Gasto_o_ing_per_capita!S122*100/Gasto_o_ing_per_capita!$D122</f>
        <v>0</v>
      </c>
      <c r="T122" s="332">
        <f>Gasto_o_ing_per_capita!T122*100/Gasto_o_ing_per_capita!$D122</f>
        <v>0</v>
      </c>
      <c r="U122" s="332">
        <f>Gasto_o_ing_per_capita!U122*100/Gasto_o_ing_per_capita!$D122</f>
        <v>0</v>
      </c>
      <c r="V122" s="332">
        <f>Gasto_o_ing_per_capita!V122*100/Gasto_o_ing_per_capita!$D122</f>
        <v>0</v>
      </c>
    </row>
    <row r="123" spans="1:22"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Gasto_o_ing_per_capita!D123*100/Gasto_o_ing_per_capita!$D123</f>
        <v>100</v>
      </c>
      <c r="E123" s="332">
        <f>Gasto_o_ing_per_capita!E123*100/Gasto_o_ing_per_capita!$D123</f>
        <v>30.803792089248351</v>
      </c>
      <c r="F123" s="332">
        <f>Gasto_o_ing_per_capita!F123*100/Gasto_o_ing_per_capita!$D123</f>
        <v>120.15793952665636</v>
      </c>
      <c r="G123" s="332">
        <f>Gasto_o_ing_per_capita!G123*100/Gasto_o_ing_per_capita!$D123</f>
        <v>179.12382142358118</v>
      </c>
      <c r="H123" s="332">
        <f>Gasto_o_ing_per_capita!H123*100/Gasto_o_ing_per_capita!$D123</f>
        <v>126.84746382801465</v>
      </c>
      <c r="I123" s="332">
        <f>Gasto_o_ing_per_capita!I123*100/Gasto_o_ing_per_capita!$D123</f>
        <v>66.467882459372419</v>
      </c>
      <c r="J123" s="332">
        <f>Gasto_o_ing_per_capita!J123*100/Gasto_o_ing_per_capita!$D123</f>
        <v>147.44439231760418</v>
      </c>
      <c r="K123" s="332">
        <f>Gasto_o_ing_per_capita!K123*100/Gasto_o_ing_per_capita!$D123</f>
        <v>145.97569279684646</v>
      </c>
      <c r="L123" s="332">
        <f>Gasto_o_ing_per_capita!L123*100/Gasto_o_ing_per_capita!$D123</f>
        <v>62.594039403805972</v>
      </c>
      <c r="M123" s="332">
        <f>Gasto_o_ing_per_capita!M123*100/Gasto_o_ing_per_capita!$D123</f>
        <v>128.48724348837914</v>
      </c>
      <c r="N123" s="332">
        <f>Gasto_o_ing_per_capita!N123*100/Gasto_o_ing_per_capita!$D123</f>
        <v>94.053853577859002</v>
      </c>
      <c r="O123" s="332">
        <f>Gasto_o_ing_per_capita!O123*100/Gasto_o_ing_per_capita!$D123</f>
        <v>32.892013761064128</v>
      </c>
      <c r="P123" s="332">
        <f>Gasto_o_ing_per_capita!P123*100/Gasto_o_ing_per_capita!$D123</f>
        <v>125.83226845694603</v>
      </c>
      <c r="Q123" s="332">
        <f>Gasto_o_ing_per_capita!Q123*100/Gasto_o_ing_per_capita!$D123</f>
        <v>192.75612652595041</v>
      </c>
      <c r="R123" s="332">
        <f>Gasto_o_ing_per_capita!R123*100/Gasto_o_ing_per_capita!$D123</f>
        <v>51.863913241047307</v>
      </c>
      <c r="S123" s="332">
        <f>Gasto_o_ing_per_capita!S123*100/Gasto_o_ing_per_capita!$D123</f>
        <v>0</v>
      </c>
      <c r="T123" s="332">
        <f>Gasto_o_ing_per_capita!T123*100/Gasto_o_ing_per_capita!$D123</f>
        <v>0</v>
      </c>
      <c r="U123" s="332">
        <f>Gasto_o_ing_per_capita!U123*100/Gasto_o_ing_per_capita!$D123</f>
        <v>220.73495100829138</v>
      </c>
      <c r="V123" s="332">
        <f>Gasto_o_ing_per_capita!V123*100/Gasto_o_ing_per_capita!$D123</f>
        <v>0</v>
      </c>
    </row>
    <row r="124" spans="1:22" s="102" customFormat="1" ht="25.5">
      <c r="A124" s="351" t="str">
        <f>IF(B124="","",(IF(ISERROR(MATCH(B124,Tot_res!C:C,0)),"Eliminar!!!","")))</f>
        <v/>
      </c>
      <c r="B124" s="115" t="s">
        <v>1197</v>
      </c>
      <c r="C124" s="330" t="str">
        <f>VLOOKUP(B124,Tot_res!C:D,2,FALSE)</f>
        <v xml:space="preserve"> Impuesto sobre depósito de entidades de crédito. Ingresos homogeneizados de las CCAARC</v>
      </c>
      <c r="D124" s="332">
        <f>Gasto_o_ing_per_capita!D124*100/Gasto_o_ing_per_capita!$D124</f>
        <v>100</v>
      </c>
      <c r="E124" s="332">
        <f>Gasto_o_ing_per_capita!E124*100/Gasto_o_ing_per_capita!$D124</f>
        <v>53.450223046205757</v>
      </c>
      <c r="F124" s="332">
        <f>Gasto_o_ing_per_capita!F124*100/Gasto_o_ing_per_capita!$D124</f>
        <v>96.262256253629985</v>
      </c>
      <c r="G124" s="332">
        <f>Gasto_o_ing_per_capita!G124*100/Gasto_o_ing_per_capita!$D124</f>
        <v>106.25203185031167</v>
      </c>
      <c r="H124" s="332">
        <f>Gasto_o_ing_per_capita!H124*100/Gasto_o_ing_per_capita!$D124</f>
        <v>74.567838393720876</v>
      </c>
      <c r="I124" s="332">
        <f>Gasto_o_ing_per_capita!I124*100/Gasto_o_ing_per_capita!$D124</f>
        <v>45.084394753343048</v>
      </c>
      <c r="J124" s="332">
        <f>Gasto_o_ing_per_capita!J124*100/Gasto_o_ing_per_capita!$D124</f>
        <v>80.754678106195783</v>
      </c>
      <c r="K124" s="332">
        <f>Gasto_o_ing_per_capita!K124*100/Gasto_o_ing_per_capita!$D124</f>
        <v>109.48819523819117</v>
      </c>
      <c r="L124" s="332">
        <f>Gasto_o_ing_per_capita!L124*100/Gasto_o_ing_per_capita!$D124</f>
        <v>73.549762360000571</v>
      </c>
      <c r="M124" s="332">
        <f>Gasto_o_ing_per_capita!M124*100/Gasto_o_ing_per_capita!$D124</f>
        <v>107.23859610194998</v>
      </c>
      <c r="N124" s="332">
        <f>Gasto_o_ing_per_capita!N124*100/Gasto_o_ing_per_capita!$D124</f>
        <v>76.443633841617142</v>
      </c>
      <c r="O124" s="332">
        <f>Gasto_o_ing_per_capita!O124*100/Gasto_o_ing_per_capita!$D124</f>
        <v>61.435550524752919</v>
      </c>
      <c r="P124" s="332">
        <f>Gasto_o_ing_per_capita!P124*100/Gasto_o_ing_per_capita!$D124</f>
        <v>106.49859438223608</v>
      </c>
      <c r="Q124" s="332">
        <f>Gasto_o_ing_per_capita!Q124*100/Gasto_o_ing_per_capita!$D124</f>
        <v>258.1342792728218</v>
      </c>
      <c r="R124" s="332">
        <f>Gasto_o_ing_per_capita!R124*100/Gasto_o_ing_per_capita!$D124</f>
        <v>62.913966769598183</v>
      </c>
      <c r="S124" s="332">
        <f>Gasto_o_ing_per_capita!S124*100/Gasto_o_ing_per_capita!$D124</f>
        <v>0</v>
      </c>
      <c r="T124" s="332">
        <f>Gasto_o_ing_per_capita!T124*100/Gasto_o_ing_per_capita!$D124</f>
        <v>0</v>
      </c>
      <c r="U124" s="332">
        <f>Gasto_o_ing_per_capita!U124*100/Gasto_o_ing_per_capita!$D124</f>
        <v>94.125591662872253</v>
      </c>
      <c r="V124" s="332">
        <f>Gasto_o_ing_per_capita!V124*100/Gasto_o_ing_per_capita!$D124</f>
        <v>0</v>
      </c>
    </row>
    <row r="125" spans="1:22"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5">
      <c r="A126" s="352"/>
      <c r="B126" s="137"/>
      <c r="C126" s="128" t="s">
        <v>36</v>
      </c>
      <c r="D126" s="113">
        <f>Gasto_o_ing_per_capita!D126*100/Gasto_o_ing_per_capita!$D126</f>
        <v>100</v>
      </c>
      <c r="E126" s="113">
        <f>Gasto_o_ing_per_capita!E126*100/Gasto_o_ing_per_capita!$D126</f>
        <v>87.540578041112596</v>
      </c>
      <c r="F126" s="113">
        <f>Gasto_o_ing_per_capita!F126*100/Gasto_o_ing_per_capita!$D126</f>
        <v>58.756249151738665</v>
      </c>
      <c r="G126" s="113">
        <f>Gasto_o_ing_per_capita!G126*100/Gasto_o_ing_per_capita!$D126</f>
        <v>65.066617477075681</v>
      </c>
      <c r="H126" s="113">
        <f>Gasto_o_ing_per_capita!H126*100/Gasto_o_ing_per_capita!$D126</f>
        <v>46.249453888783258</v>
      </c>
      <c r="I126" s="113">
        <f>Gasto_o_ing_per_capita!I126*100/Gasto_o_ing_per_capita!$D126</f>
        <v>119.15127321967313</v>
      </c>
      <c r="J126" s="113">
        <f>Gasto_o_ing_per_capita!J126*100/Gasto_o_ing_per_capita!$D126</f>
        <v>205.93137075344222</v>
      </c>
      <c r="K126" s="113">
        <f>Gasto_o_ing_per_capita!K126*100/Gasto_o_ing_per_capita!$D126</f>
        <v>5.6807883664374232</v>
      </c>
      <c r="L126" s="113">
        <f>Gasto_o_ing_per_capita!L126*100/Gasto_o_ing_per_capita!$D126</f>
        <v>5.0426007222814677</v>
      </c>
      <c r="M126" s="113">
        <f>Gasto_o_ing_per_capita!M126*100/Gasto_o_ing_per_capita!$D126</f>
        <v>258.15137907332399</v>
      </c>
      <c r="N126" s="113">
        <f>Gasto_o_ing_per_capita!N126*100/Gasto_o_ing_per_capita!$D126</f>
        <v>38.929698268006</v>
      </c>
      <c r="O126" s="113">
        <f>Gasto_o_ing_per_capita!O126*100/Gasto_o_ing_per_capita!$D126</f>
        <v>6.5331634099445992</v>
      </c>
      <c r="P126" s="113">
        <f>Gasto_o_ing_per_capita!P126*100/Gasto_o_ing_per_capita!$D126</f>
        <v>75.121006347602659</v>
      </c>
      <c r="Q126" s="113">
        <f>Gasto_o_ing_per_capita!Q126*100/Gasto_o_ing_per_capita!$D126</f>
        <v>141.87870997714518</v>
      </c>
      <c r="R126" s="113">
        <f>Gasto_o_ing_per_capita!R126*100/Gasto_o_ing_per_capita!$D126</f>
        <v>11.291563200433341</v>
      </c>
      <c r="S126" s="113">
        <f>Gasto_o_ing_per_capita!S126*100/Gasto_o_ing_per_capita!$D126</f>
        <v>0</v>
      </c>
      <c r="T126" s="113">
        <f>Gasto_o_ing_per_capita!T126*100/Gasto_o_ing_per_capita!$D126</f>
        <v>0</v>
      </c>
      <c r="U126" s="113">
        <f>Gasto_o_ing_per_capita!U126*100/Gasto_o_ing_per_capita!$D126</f>
        <v>197.807414496099</v>
      </c>
      <c r="V126" s="113">
        <f>Gasto_o_ing_per_capita!V126*100/Gasto_o_ing_per_capita!$D126</f>
        <v>0</v>
      </c>
    </row>
    <row r="127" spans="1:22" s="102" customFormat="1" ht="25.5">
      <c r="A127" s="351" t="str">
        <f>IF(B127="","",(IF(ISERROR(MATCH(B127,Tot_res!C:C,0)),"Eliminar!!!","")))</f>
        <v/>
      </c>
      <c r="B127" s="115" t="s">
        <v>942</v>
      </c>
      <c r="C127" s="330" t="str">
        <f>VLOOKUP(B127,Tot_res!C:D,2,FALSE)</f>
        <v>Financiación para competencias no homogéneas de las comunidades de régimen común (caja)</v>
      </c>
      <c r="D127" s="333">
        <f>Gasto_o_ing_per_capita!D127*100/Gasto_o_ing_per_capita!$D127</f>
        <v>100</v>
      </c>
      <c r="E127" s="333">
        <f>Gasto_o_ing_per_capita!E127*100/Gasto_o_ing_per_capita!$D127</f>
        <v>87.540578041112596</v>
      </c>
      <c r="F127" s="333">
        <f>Gasto_o_ing_per_capita!F127*100/Gasto_o_ing_per_capita!$D127</f>
        <v>58.756249151738665</v>
      </c>
      <c r="G127" s="333">
        <f>Gasto_o_ing_per_capita!G127*100/Gasto_o_ing_per_capita!$D127</f>
        <v>65.066617477075681</v>
      </c>
      <c r="H127" s="333">
        <f>Gasto_o_ing_per_capita!H127*100/Gasto_o_ing_per_capita!$D127</f>
        <v>46.249453888783258</v>
      </c>
      <c r="I127" s="333">
        <f>Gasto_o_ing_per_capita!I127*100/Gasto_o_ing_per_capita!$D127</f>
        <v>119.15127321967313</v>
      </c>
      <c r="J127" s="333">
        <f>Gasto_o_ing_per_capita!J127*100/Gasto_o_ing_per_capita!$D127</f>
        <v>205.93137075344222</v>
      </c>
      <c r="K127" s="333">
        <f>Gasto_o_ing_per_capita!K127*100/Gasto_o_ing_per_capita!$D127</f>
        <v>5.6807883664374232</v>
      </c>
      <c r="L127" s="333">
        <f>Gasto_o_ing_per_capita!L127*100/Gasto_o_ing_per_capita!$D127</f>
        <v>5.0426007222814677</v>
      </c>
      <c r="M127" s="333">
        <f>Gasto_o_ing_per_capita!M127*100/Gasto_o_ing_per_capita!$D127</f>
        <v>258.15137907332399</v>
      </c>
      <c r="N127" s="333">
        <f>Gasto_o_ing_per_capita!N127*100/Gasto_o_ing_per_capita!$D127</f>
        <v>38.929698268006</v>
      </c>
      <c r="O127" s="333">
        <f>Gasto_o_ing_per_capita!O127*100/Gasto_o_ing_per_capita!$D127</f>
        <v>6.5331634099445992</v>
      </c>
      <c r="P127" s="333">
        <f>Gasto_o_ing_per_capita!P127*100/Gasto_o_ing_per_capita!$D127</f>
        <v>75.121006347602659</v>
      </c>
      <c r="Q127" s="333">
        <f>Gasto_o_ing_per_capita!Q127*100/Gasto_o_ing_per_capita!$D127</f>
        <v>141.87870997714518</v>
      </c>
      <c r="R127" s="333">
        <f>Gasto_o_ing_per_capita!R127*100/Gasto_o_ing_per_capita!$D127</f>
        <v>11.291563200433341</v>
      </c>
      <c r="S127" s="333">
        <f>Gasto_o_ing_per_capita!S127*100/Gasto_o_ing_per_capita!$D127</f>
        <v>0</v>
      </c>
      <c r="T127" s="333">
        <f>Gasto_o_ing_per_capita!T127*100/Gasto_o_ing_per_capita!$D127</f>
        <v>0</v>
      </c>
      <c r="U127" s="333">
        <f>Gasto_o_ing_per_capita!U127*100/Gasto_o_ing_per_capita!$D127</f>
        <v>197.807414496099</v>
      </c>
      <c r="V127" s="333">
        <f>Gasto_o_ing_per_capita!V127*100/Gasto_o_ing_per_capita!$D127</f>
        <v>0</v>
      </c>
    </row>
    <row r="128" spans="1:22"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row>
    <row r="129" spans="1:22" s="102" customFormat="1" ht="13.5">
      <c r="A129" s="352"/>
      <c r="B129" s="137"/>
      <c r="C129" s="128" t="s">
        <v>70</v>
      </c>
      <c r="D129" s="113">
        <f>Gasto_o_ing_per_capita!D129*100/Gasto_o_ing_per_capita!$D129</f>
        <v>100</v>
      </c>
      <c r="E129" s="113">
        <f>Gasto_o_ing_per_capita!E129*100/Gasto_o_ing_per_capita!$D129</f>
        <v>0</v>
      </c>
      <c r="F129" s="113">
        <f>Gasto_o_ing_per_capita!F129*100/Gasto_o_ing_per_capita!$D129</f>
        <v>0</v>
      </c>
      <c r="G129" s="113">
        <f>Gasto_o_ing_per_capita!G129*100/Gasto_o_ing_per_capita!$D129</f>
        <v>0</v>
      </c>
      <c r="H129" s="113">
        <f>Gasto_o_ing_per_capita!H129*100/Gasto_o_ing_per_capita!$D129</f>
        <v>0</v>
      </c>
      <c r="I129" s="113">
        <f>Gasto_o_ing_per_capita!I129*100/Gasto_o_ing_per_capita!$D129</f>
        <v>0</v>
      </c>
      <c r="J129" s="113">
        <f>Gasto_o_ing_per_capita!J129*100/Gasto_o_ing_per_capita!$D129</f>
        <v>0</v>
      </c>
      <c r="K129" s="113">
        <f>Gasto_o_ing_per_capita!K129*100/Gasto_o_ing_per_capita!$D129</f>
        <v>0</v>
      </c>
      <c r="L129" s="113">
        <f>Gasto_o_ing_per_capita!L129*100/Gasto_o_ing_per_capita!$D129</f>
        <v>0</v>
      </c>
      <c r="M129" s="113">
        <f>Gasto_o_ing_per_capita!M129*100/Gasto_o_ing_per_capita!$D129</f>
        <v>0</v>
      </c>
      <c r="N129" s="113">
        <f>Gasto_o_ing_per_capita!N129*100/Gasto_o_ing_per_capita!$D129</f>
        <v>0</v>
      </c>
      <c r="O129" s="113">
        <f>Gasto_o_ing_per_capita!O129*100/Gasto_o_ing_per_capita!$D129</f>
        <v>0</v>
      </c>
      <c r="P129" s="113">
        <f>Gasto_o_ing_per_capita!P129*100/Gasto_o_ing_per_capita!$D129</f>
        <v>0</v>
      </c>
      <c r="Q129" s="113">
        <f>Gasto_o_ing_per_capita!Q129*100/Gasto_o_ing_per_capita!$D129</f>
        <v>0</v>
      </c>
      <c r="R129" s="113">
        <f>Gasto_o_ing_per_capita!R129*100/Gasto_o_ing_per_capita!$D129</f>
        <v>0</v>
      </c>
      <c r="S129" s="113">
        <f>Gasto_o_ing_per_capita!S129*100/Gasto_o_ing_per_capita!$D129</f>
        <v>0</v>
      </c>
      <c r="T129" s="113">
        <f>Gasto_o_ing_per_capita!T129*100/Gasto_o_ing_per_capita!$D129</f>
        <v>0</v>
      </c>
      <c r="U129" s="113">
        <f>Gasto_o_ing_per_capita!U129*100/Gasto_o_ing_per_capita!$D129</f>
        <v>0</v>
      </c>
      <c r="V129" s="113">
        <f>Gasto_o_ing_per_capita!V129*100/Gasto_o_ing_per_capita!$D129</f>
        <v>27524.46016874976</v>
      </c>
    </row>
    <row r="130" spans="1:22" s="102" customFormat="1" ht="25.5">
      <c r="A130" s="351" t="str">
        <f>IF(B130="","",(IF(ISERROR(MATCH(B130,Tot_res!C:C,0)),"Eliminar!!!","")))</f>
        <v/>
      </c>
      <c r="B130" s="115" t="s">
        <v>943</v>
      </c>
      <c r="C130" s="330" t="str">
        <f>VLOOKUP(B130,Tot_res!C:D,2,FALSE)</f>
        <v>Dirección y Servicios Generales de la Educación, gasto directo en Ceuta y Melilla</v>
      </c>
      <c r="D130" s="332">
        <f>Gasto_o_ing_per_capita!D130*100/Gasto_o_ing_per_capita!$D130</f>
        <v>100</v>
      </c>
      <c r="E130" s="332">
        <f>Gasto_o_ing_per_capita!E130*100/Gasto_o_ing_per_capita!$D130</f>
        <v>0</v>
      </c>
      <c r="F130" s="332">
        <f>Gasto_o_ing_per_capita!F130*100/Gasto_o_ing_per_capita!$D130</f>
        <v>0</v>
      </c>
      <c r="G130" s="332">
        <f>Gasto_o_ing_per_capita!G130*100/Gasto_o_ing_per_capita!$D130</f>
        <v>0</v>
      </c>
      <c r="H130" s="332">
        <f>Gasto_o_ing_per_capita!H130*100/Gasto_o_ing_per_capita!$D130</f>
        <v>0</v>
      </c>
      <c r="I130" s="332">
        <f>Gasto_o_ing_per_capita!I130*100/Gasto_o_ing_per_capita!$D130</f>
        <v>0</v>
      </c>
      <c r="J130" s="332">
        <f>Gasto_o_ing_per_capita!J130*100/Gasto_o_ing_per_capita!$D130</f>
        <v>0</v>
      </c>
      <c r="K130" s="332">
        <f>Gasto_o_ing_per_capita!K130*100/Gasto_o_ing_per_capita!$D130</f>
        <v>0</v>
      </c>
      <c r="L130" s="332">
        <f>Gasto_o_ing_per_capita!L130*100/Gasto_o_ing_per_capita!$D130</f>
        <v>0</v>
      </c>
      <c r="M130" s="332">
        <f>Gasto_o_ing_per_capita!M130*100/Gasto_o_ing_per_capita!$D130</f>
        <v>0</v>
      </c>
      <c r="N130" s="332">
        <f>Gasto_o_ing_per_capita!N130*100/Gasto_o_ing_per_capita!$D130</f>
        <v>0</v>
      </c>
      <c r="O130" s="332">
        <f>Gasto_o_ing_per_capita!O130*100/Gasto_o_ing_per_capita!$D130</f>
        <v>0</v>
      </c>
      <c r="P130" s="332">
        <f>Gasto_o_ing_per_capita!P130*100/Gasto_o_ing_per_capita!$D130</f>
        <v>0</v>
      </c>
      <c r="Q130" s="332">
        <f>Gasto_o_ing_per_capita!Q130*100/Gasto_o_ing_per_capita!$D130</f>
        <v>0</v>
      </c>
      <c r="R130" s="332">
        <f>Gasto_o_ing_per_capita!R130*100/Gasto_o_ing_per_capita!$D130</f>
        <v>0</v>
      </c>
      <c r="S130" s="332">
        <f>Gasto_o_ing_per_capita!S130*100/Gasto_o_ing_per_capita!$D130</f>
        <v>0</v>
      </c>
      <c r="T130" s="332">
        <f>Gasto_o_ing_per_capita!T130*100/Gasto_o_ing_per_capita!$D130</f>
        <v>0</v>
      </c>
      <c r="U130" s="332">
        <f>Gasto_o_ing_per_capita!U130*100/Gasto_o_ing_per_capita!$D130</f>
        <v>0</v>
      </c>
      <c r="V130" s="332">
        <f>Gasto_o_ing_per_capita!V130*100/Gasto_o_ing_per_capita!$D130</f>
        <v>27524.46016874976</v>
      </c>
    </row>
    <row r="131" spans="1:22" s="102" customFormat="1" ht="25.5">
      <c r="A131" s="351" t="str">
        <f>IF(B131="","",(IF(ISERROR(MATCH(B131,Tot_res!C:C,0)),"Eliminar!!!","")))</f>
        <v/>
      </c>
      <c r="B131" s="115" t="s">
        <v>944</v>
      </c>
      <c r="C131" s="330" t="str">
        <f>VLOOKUP(B131,Tot_res!C:D,2,FALSE)</f>
        <v>Formación permanente del profesorado de Educación, gasto directo del Estado en Ceuta y Melilla</v>
      </c>
      <c r="D131" s="332">
        <f>Gasto_o_ing_per_capita!D131*100/Gasto_o_ing_per_capita!$D131</f>
        <v>100</v>
      </c>
      <c r="E131" s="332">
        <f>Gasto_o_ing_per_capita!E131*100/Gasto_o_ing_per_capita!$D131</f>
        <v>0</v>
      </c>
      <c r="F131" s="332">
        <f>Gasto_o_ing_per_capita!F131*100/Gasto_o_ing_per_capita!$D131</f>
        <v>0</v>
      </c>
      <c r="G131" s="332">
        <f>Gasto_o_ing_per_capita!G131*100/Gasto_o_ing_per_capita!$D131</f>
        <v>0</v>
      </c>
      <c r="H131" s="332">
        <f>Gasto_o_ing_per_capita!H131*100/Gasto_o_ing_per_capita!$D131</f>
        <v>0</v>
      </c>
      <c r="I131" s="332">
        <f>Gasto_o_ing_per_capita!I131*100/Gasto_o_ing_per_capita!$D131</f>
        <v>0</v>
      </c>
      <c r="J131" s="332">
        <f>Gasto_o_ing_per_capita!J131*100/Gasto_o_ing_per_capita!$D131</f>
        <v>0</v>
      </c>
      <c r="K131" s="332">
        <f>Gasto_o_ing_per_capita!K131*100/Gasto_o_ing_per_capita!$D131</f>
        <v>0</v>
      </c>
      <c r="L131" s="332">
        <f>Gasto_o_ing_per_capita!L131*100/Gasto_o_ing_per_capita!$D131</f>
        <v>0</v>
      </c>
      <c r="M131" s="332">
        <f>Gasto_o_ing_per_capita!M131*100/Gasto_o_ing_per_capita!$D131</f>
        <v>0</v>
      </c>
      <c r="N131" s="332">
        <f>Gasto_o_ing_per_capita!N131*100/Gasto_o_ing_per_capita!$D131</f>
        <v>0</v>
      </c>
      <c r="O131" s="332">
        <f>Gasto_o_ing_per_capita!O131*100/Gasto_o_ing_per_capita!$D131</f>
        <v>0</v>
      </c>
      <c r="P131" s="332">
        <f>Gasto_o_ing_per_capita!P131*100/Gasto_o_ing_per_capita!$D131</f>
        <v>0</v>
      </c>
      <c r="Q131" s="332">
        <f>Gasto_o_ing_per_capita!Q131*100/Gasto_o_ing_per_capita!$D131</f>
        <v>0</v>
      </c>
      <c r="R131" s="332">
        <f>Gasto_o_ing_per_capita!R131*100/Gasto_o_ing_per_capita!$D131</f>
        <v>0</v>
      </c>
      <c r="S131" s="332">
        <f>Gasto_o_ing_per_capita!S131*100/Gasto_o_ing_per_capita!$D131</f>
        <v>0</v>
      </c>
      <c r="T131" s="332">
        <f>Gasto_o_ing_per_capita!T131*100/Gasto_o_ing_per_capita!$D131</f>
        <v>0</v>
      </c>
      <c r="U131" s="332">
        <f>Gasto_o_ing_per_capita!U131*100/Gasto_o_ing_per_capita!$D131</f>
        <v>0</v>
      </c>
      <c r="V131" s="332">
        <f>Gasto_o_ing_per_capita!V131*100/Gasto_o_ing_per_capita!$D131</f>
        <v>27524.46016874976</v>
      </c>
    </row>
    <row r="132" spans="1:22" s="102" customFormat="1">
      <c r="A132" s="351" t="str">
        <f>IF(B132="","",(IF(ISERROR(MATCH(B132,Tot_res!C:C,0)),"Eliminar!!!","")))</f>
        <v/>
      </c>
      <c r="B132" s="115" t="s">
        <v>945</v>
      </c>
      <c r="C132" s="330" t="str">
        <f>VLOOKUP(B132,Tot_res!C:D,2,FALSE)</f>
        <v xml:space="preserve">Educación infantil y primaria, gasto directo del Estado en Ceuta y Melilla  </v>
      </c>
      <c r="D132" s="332">
        <f>Gasto_o_ing_per_capita!D132*100/Gasto_o_ing_per_capita!$D132</f>
        <v>100</v>
      </c>
      <c r="E132" s="332">
        <f>Gasto_o_ing_per_capita!E132*100/Gasto_o_ing_per_capita!$D132</f>
        <v>0</v>
      </c>
      <c r="F132" s="332">
        <f>Gasto_o_ing_per_capita!F132*100/Gasto_o_ing_per_capita!$D132</f>
        <v>0</v>
      </c>
      <c r="G132" s="332">
        <f>Gasto_o_ing_per_capita!G132*100/Gasto_o_ing_per_capita!$D132</f>
        <v>0</v>
      </c>
      <c r="H132" s="332">
        <f>Gasto_o_ing_per_capita!H132*100/Gasto_o_ing_per_capita!$D132</f>
        <v>0</v>
      </c>
      <c r="I132" s="332">
        <f>Gasto_o_ing_per_capita!I132*100/Gasto_o_ing_per_capita!$D132</f>
        <v>0</v>
      </c>
      <c r="J132" s="332">
        <f>Gasto_o_ing_per_capita!J132*100/Gasto_o_ing_per_capita!$D132</f>
        <v>0</v>
      </c>
      <c r="K132" s="332">
        <f>Gasto_o_ing_per_capita!K132*100/Gasto_o_ing_per_capita!$D132</f>
        <v>0</v>
      </c>
      <c r="L132" s="332">
        <f>Gasto_o_ing_per_capita!L132*100/Gasto_o_ing_per_capita!$D132</f>
        <v>0</v>
      </c>
      <c r="M132" s="332">
        <f>Gasto_o_ing_per_capita!M132*100/Gasto_o_ing_per_capita!$D132</f>
        <v>0</v>
      </c>
      <c r="N132" s="332">
        <f>Gasto_o_ing_per_capita!N132*100/Gasto_o_ing_per_capita!$D132</f>
        <v>0</v>
      </c>
      <c r="O132" s="332">
        <f>Gasto_o_ing_per_capita!O132*100/Gasto_o_ing_per_capita!$D132</f>
        <v>0</v>
      </c>
      <c r="P132" s="332">
        <f>Gasto_o_ing_per_capita!P132*100/Gasto_o_ing_per_capita!$D132</f>
        <v>0</v>
      </c>
      <c r="Q132" s="332">
        <f>Gasto_o_ing_per_capita!Q132*100/Gasto_o_ing_per_capita!$D132</f>
        <v>0</v>
      </c>
      <c r="R132" s="332">
        <f>Gasto_o_ing_per_capita!R132*100/Gasto_o_ing_per_capita!$D132</f>
        <v>0</v>
      </c>
      <c r="S132" s="332">
        <f>Gasto_o_ing_per_capita!S132*100/Gasto_o_ing_per_capita!$D132</f>
        <v>0</v>
      </c>
      <c r="T132" s="332">
        <f>Gasto_o_ing_per_capita!T132*100/Gasto_o_ing_per_capita!$D132</f>
        <v>0</v>
      </c>
      <c r="U132" s="332">
        <f>Gasto_o_ing_per_capita!U132*100/Gasto_o_ing_per_capita!$D132</f>
        <v>0</v>
      </c>
      <c r="V132" s="332">
        <f>Gasto_o_ing_per_capita!V132*100/Gasto_o_ing_per_capita!$D132</f>
        <v>27524.460168749763</v>
      </c>
    </row>
    <row r="133" spans="1:22" s="102" customFormat="1" ht="25.5">
      <c r="A133" s="351" t="str">
        <f>IF(B133="","",(IF(ISERROR(MATCH(B133,Tot_res!C:C,0)),"Eliminar!!!","")))</f>
        <v/>
      </c>
      <c r="B133" s="115" t="s">
        <v>946</v>
      </c>
      <c r="C133" s="330" t="str">
        <f>VLOOKUP(B133,Tot_res!C:D,2,FALSE)</f>
        <v>Educ. secundaria, formación profesional y EE.OO de Idiomas, gasto directo del Estado en Ceuta y Melilla</v>
      </c>
      <c r="D133" s="332">
        <f>Gasto_o_ing_per_capita!D133*100/Gasto_o_ing_per_capita!$D133</f>
        <v>99.999999999999986</v>
      </c>
      <c r="E133" s="332">
        <f>Gasto_o_ing_per_capita!E133*100/Gasto_o_ing_per_capita!$D133</f>
        <v>0</v>
      </c>
      <c r="F133" s="332">
        <f>Gasto_o_ing_per_capita!F133*100/Gasto_o_ing_per_capita!$D133</f>
        <v>0</v>
      </c>
      <c r="G133" s="332">
        <f>Gasto_o_ing_per_capita!G133*100/Gasto_o_ing_per_capita!$D133</f>
        <v>0</v>
      </c>
      <c r="H133" s="332">
        <f>Gasto_o_ing_per_capita!H133*100/Gasto_o_ing_per_capita!$D133</f>
        <v>0</v>
      </c>
      <c r="I133" s="332">
        <f>Gasto_o_ing_per_capita!I133*100/Gasto_o_ing_per_capita!$D133</f>
        <v>0</v>
      </c>
      <c r="J133" s="332">
        <f>Gasto_o_ing_per_capita!J133*100/Gasto_o_ing_per_capita!$D133</f>
        <v>0</v>
      </c>
      <c r="K133" s="332">
        <f>Gasto_o_ing_per_capita!K133*100/Gasto_o_ing_per_capita!$D133</f>
        <v>0</v>
      </c>
      <c r="L133" s="332">
        <f>Gasto_o_ing_per_capita!L133*100/Gasto_o_ing_per_capita!$D133</f>
        <v>0</v>
      </c>
      <c r="M133" s="332">
        <f>Gasto_o_ing_per_capita!M133*100/Gasto_o_ing_per_capita!$D133</f>
        <v>0</v>
      </c>
      <c r="N133" s="332">
        <f>Gasto_o_ing_per_capita!N133*100/Gasto_o_ing_per_capita!$D133</f>
        <v>0</v>
      </c>
      <c r="O133" s="332">
        <f>Gasto_o_ing_per_capita!O133*100/Gasto_o_ing_per_capita!$D133</f>
        <v>0</v>
      </c>
      <c r="P133" s="332">
        <f>Gasto_o_ing_per_capita!P133*100/Gasto_o_ing_per_capita!$D133</f>
        <v>0</v>
      </c>
      <c r="Q133" s="332">
        <f>Gasto_o_ing_per_capita!Q133*100/Gasto_o_ing_per_capita!$D133</f>
        <v>0</v>
      </c>
      <c r="R133" s="332">
        <f>Gasto_o_ing_per_capita!R133*100/Gasto_o_ing_per_capita!$D133</f>
        <v>0</v>
      </c>
      <c r="S133" s="332">
        <f>Gasto_o_ing_per_capita!S133*100/Gasto_o_ing_per_capita!$D133</f>
        <v>0</v>
      </c>
      <c r="T133" s="332">
        <f>Gasto_o_ing_per_capita!T133*100/Gasto_o_ing_per_capita!$D133</f>
        <v>0</v>
      </c>
      <c r="U133" s="332">
        <f>Gasto_o_ing_per_capita!U133*100/Gasto_o_ing_per_capita!$D133</f>
        <v>0</v>
      </c>
      <c r="V133" s="332">
        <f>Gasto_o_ing_per_capita!V133*100/Gasto_o_ing_per_capita!$D133</f>
        <v>27524.46016874976</v>
      </c>
    </row>
    <row r="134" spans="1:22" s="102" customFormat="1">
      <c r="A134" s="351" t="str">
        <f>IF(B134="","",(IF(ISERROR(MATCH(B134,Tot_res!C:C,0)),"Eliminar!!!","")))</f>
        <v/>
      </c>
      <c r="B134" s="115" t="s">
        <v>947</v>
      </c>
      <c r="C134" s="330" t="str">
        <f>VLOOKUP(B134,Tot_res!C:D,2,FALSE)</f>
        <v>Enseñanzas universitarias, gasto directo del Estado en Ceuta y Melilla</v>
      </c>
      <c r="D134" s="332">
        <f>Gasto_o_ing_per_capita!D134*100/Gasto_o_ing_per_capita!$D134</f>
        <v>100</v>
      </c>
      <c r="E134" s="332">
        <f>Gasto_o_ing_per_capita!E134*100/Gasto_o_ing_per_capita!$D134</f>
        <v>0</v>
      </c>
      <c r="F134" s="332">
        <f>Gasto_o_ing_per_capita!F134*100/Gasto_o_ing_per_capita!$D134</f>
        <v>0</v>
      </c>
      <c r="G134" s="332">
        <f>Gasto_o_ing_per_capita!G134*100/Gasto_o_ing_per_capita!$D134</f>
        <v>0</v>
      </c>
      <c r="H134" s="332">
        <f>Gasto_o_ing_per_capita!H134*100/Gasto_o_ing_per_capita!$D134</f>
        <v>0</v>
      </c>
      <c r="I134" s="332">
        <f>Gasto_o_ing_per_capita!I134*100/Gasto_o_ing_per_capita!$D134</f>
        <v>0</v>
      </c>
      <c r="J134" s="332">
        <f>Gasto_o_ing_per_capita!J134*100/Gasto_o_ing_per_capita!$D134</f>
        <v>0</v>
      </c>
      <c r="K134" s="332">
        <f>Gasto_o_ing_per_capita!K134*100/Gasto_o_ing_per_capita!$D134</f>
        <v>0</v>
      </c>
      <c r="L134" s="332">
        <f>Gasto_o_ing_per_capita!L134*100/Gasto_o_ing_per_capita!$D134</f>
        <v>0</v>
      </c>
      <c r="M134" s="332">
        <f>Gasto_o_ing_per_capita!M134*100/Gasto_o_ing_per_capita!$D134</f>
        <v>0</v>
      </c>
      <c r="N134" s="332">
        <f>Gasto_o_ing_per_capita!N134*100/Gasto_o_ing_per_capita!$D134</f>
        <v>0</v>
      </c>
      <c r="O134" s="332">
        <f>Gasto_o_ing_per_capita!O134*100/Gasto_o_ing_per_capita!$D134</f>
        <v>0</v>
      </c>
      <c r="P134" s="332">
        <f>Gasto_o_ing_per_capita!P134*100/Gasto_o_ing_per_capita!$D134</f>
        <v>0</v>
      </c>
      <c r="Q134" s="332">
        <f>Gasto_o_ing_per_capita!Q134*100/Gasto_o_ing_per_capita!$D134</f>
        <v>0</v>
      </c>
      <c r="R134" s="332">
        <f>Gasto_o_ing_per_capita!R134*100/Gasto_o_ing_per_capita!$D134</f>
        <v>0</v>
      </c>
      <c r="S134" s="332">
        <f>Gasto_o_ing_per_capita!S134*100/Gasto_o_ing_per_capita!$D134</f>
        <v>0</v>
      </c>
      <c r="T134" s="332">
        <f>Gasto_o_ing_per_capita!T134*100/Gasto_o_ing_per_capita!$D134</f>
        <v>0</v>
      </c>
      <c r="U134" s="332">
        <f>Gasto_o_ing_per_capita!U134*100/Gasto_o_ing_per_capita!$D134</f>
        <v>0</v>
      </c>
      <c r="V134" s="332">
        <f>Gasto_o_ing_per_capita!V134*100/Gasto_o_ing_per_capita!$D134</f>
        <v>27524.46016874976</v>
      </c>
    </row>
    <row r="135" spans="1:22" s="102" customFormat="1">
      <c r="A135" s="351" t="str">
        <f>IF(B135="","",(IF(ISERROR(MATCH(B135,Tot_res!C:C,0)),"Eliminar!!!","")))</f>
        <v/>
      </c>
      <c r="B135" s="115" t="s">
        <v>948</v>
      </c>
      <c r="C135" s="330" t="str">
        <f>VLOOKUP(B135,Tot_res!C:D,2,FALSE)</f>
        <v>Enseñanzas artísticas, gasto directo del Estado en Ceuta y Melilla</v>
      </c>
      <c r="D135" s="332">
        <f>Gasto_o_ing_per_capita!D135*100/Gasto_o_ing_per_capita!$D135</f>
        <v>100</v>
      </c>
      <c r="E135" s="332">
        <f>Gasto_o_ing_per_capita!E135*100/Gasto_o_ing_per_capita!$D135</f>
        <v>0</v>
      </c>
      <c r="F135" s="332">
        <f>Gasto_o_ing_per_capita!F135*100/Gasto_o_ing_per_capita!$D135</f>
        <v>0</v>
      </c>
      <c r="G135" s="332">
        <f>Gasto_o_ing_per_capita!G135*100/Gasto_o_ing_per_capita!$D135</f>
        <v>0</v>
      </c>
      <c r="H135" s="332">
        <f>Gasto_o_ing_per_capita!H135*100/Gasto_o_ing_per_capita!$D135</f>
        <v>0</v>
      </c>
      <c r="I135" s="332">
        <f>Gasto_o_ing_per_capita!I135*100/Gasto_o_ing_per_capita!$D135</f>
        <v>0</v>
      </c>
      <c r="J135" s="332">
        <f>Gasto_o_ing_per_capita!J135*100/Gasto_o_ing_per_capita!$D135</f>
        <v>0</v>
      </c>
      <c r="K135" s="332">
        <f>Gasto_o_ing_per_capita!K135*100/Gasto_o_ing_per_capita!$D135</f>
        <v>0</v>
      </c>
      <c r="L135" s="332">
        <f>Gasto_o_ing_per_capita!L135*100/Gasto_o_ing_per_capita!$D135</f>
        <v>0</v>
      </c>
      <c r="M135" s="332">
        <f>Gasto_o_ing_per_capita!M135*100/Gasto_o_ing_per_capita!$D135</f>
        <v>0</v>
      </c>
      <c r="N135" s="332">
        <f>Gasto_o_ing_per_capita!N135*100/Gasto_o_ing_per_capita!$D135</f>
        <v>0</v>
      </c>
      <c r="O135" s="332">
        <f>Gasto_o_ing_per_capita!O135*100/Gasto_o_ing_per_capita!$D135</f>
        <v>0</v>
      </c>
      <c r="P135" s="332">
        <f>Gasto_o_ing_per_capita!P135*100/Gasto_o_ing_per_capita!$D135</f>
        <v>0</v>
      </c>
      <c r="Q135" s="332">
        <f>Gasto_o_ing_per_capita!Q135*100/Gasto_o_ing_per_capita!$D135</f>
        <v>0</v>
      </c>
      <c r="R135" s="332">
        <f>Gasto_o_ing_per_capita!R135*100/Gasto_o_ing_per_capita!$D135</f>
        <v>0</v>
      </c>
      <c r="S135" s="332">
        <f>Gasto_o_ing_per_capita!S135*100/Gasto_o_ing_per_capita!$D135</f>
        <v>0</v>
      </c>
      <c r="T135" s="332">
        <f>Gasto_o_ing_per_capita!T135*100/Gasto_o_ing_per_capita!$D135</f>
        <v>0</v>
      </c>
      <c r="U135" s="332">
        <f>Gasto_o_ing_per_capita!U135*100/Gasto_o_ing_per_capita!$D135</f>
        <v>0</v>
      </c>
      <c r="V135" s="332">
        <f>Gasto_o_ing_per_capita!V135*100/Gasto_o_ing_per_capita!$D135</f>
        <v>27524.460168749763</v>
      </c>
    </row>
    <row r="136" spans="1:22" s="102" customFormat="1">
      <c r="A136" s="351" t="str">
        <f>IF(B136="","",(IF(ISERROR(MATCH(B136,Tot_res!C:C,0)),"Eliminar!!!","")))</f>
        <v/>
      </c>
      <c r="B136" s="115" t="s">
        <v>949</v>
      </c>
      <c r="C136" s="330" t="str">
        <f>VLOOKUP(B136,Tot_res!C:D,2,FALSE)</f>
        <v>Educación compensatoria, gasto directo del Estado en Ceuta y Melilla</v>
      </c>
      <c r="D136" s="332">
        <f>Gasto_o_ing_per_capita!D136*100/Gasto_o_ing_per_capita!$D136</f>
        <v>100</v>
      </c>
      <c r="E136" s="332">
        <f>Gasto_o_ing_per_capita!E136*100/Gasto_o_ing_per_capita!$D136</f>
        <v>0</v>
      </c>
      <c r="F136" s="332">
        <f>Gasto_o_ing_per_capita!F136*100/Gasto_o_ing_per_capita!$D136</f>
        <v>0</v>
      </c>
      <c r="G136" s="332">
        <f>Gasto_o_ing_per_capita!G136*100/Gasto_o_ing_per_capita!$D136</f>
        <v>0</v>
      </c>
      <c r="H136" s="332">
        <f>Gasto_o_ing_per_capita!H136*100/Gasto_o_ing_per_capita!$D136</f>
        <v>0</v>
      </c>
      <c r="I136" s="332">
        <f>Gasto_o_ing_per_capita!I136*100/Gasto_o_ing_per_capita!$D136</f>
        <v>0</v>
      </c>
      <c r="J136" s="332">
        <f>Gasto_o_ing_per_capita!J136*100/Gasto_o_ing_per_capita!$D136</f>
        <v>0</v>
      </c>
      <c r="K136" s="332">
        <f>Gasto_o_ing_per_capita!K136*100/Gasto_o_ing_per_capita!$D136</f>
        <v>0</v>
      </c>
      <c r="L136" s="332">
        <f>Gasto_o_ing_per_capita!L136*100/Gasto_o_ing_per_capita!$D136</f>
        <v>0</v>
      </c>
      <c r="M136" s="332">
        <f>Gasto_o_ing_per_capita!M136*100/Gasto_o_ing_per_capita!$D136</f>
        <v>0</v>
      </c>
      <c r="N136" s="332">
        <f>Gasto_o_ing_per_capita!N136*100/Gasto_o_ing_per_capita!$D136</f>
        <v>0</v>
      </c>
      <c r="O136" s="332">
        <f>Gasto_o_ing_per_capita!O136*100/Gasto_o_ing_per_capita!$D136</f>
        <v>0</v>
      </c>
      <c r="P136" s="332">
        <f>Gasto_o_ing_per_capita!P136*100/Gasto_o_ing_per_capita!$D136</f>
        <v>0</v>
      </c>
      <c r="Q136" s="332">
        <f>Gasto_o_ing_per_capita!Q136*100/Gasto_o_ing_per_capita!$D136</f>
        <v>0</v>
      </c>
      <c r="R136" s="332">
        <f>Gasto_o_ing_per_capita!R136*100/Gasto_o_ing_per_capita!$D136</f>
        <v>0</v>
      </c>
      <c r="S136" s="332">
        <f>Gasto_o_ing_per_capita!S136*100/Gasto_o_ing_per_capita!$D136</f>
        <v>0</v>
      </c>
      <c r="T136" s="332">
        <f>Gasto_o_ing_per_capita!T136*100/Gasto_o_ing_per_capita!$D136</f>
        <v>0</v>
      </c>
      <c r="U136" s="332">
        <f>Gasto_o_ing_per_capita!U136*100/Gasto_o_ing_per_capita!$D136</f>
        <v>0</v>
      </c>
      <c r="V136" s="332">
        <f>Gasto_o_ing_per_capita!V136*100/Gasto_o_ing_per_capita!$D136</f>
        <v>27524.46016874976</v>
      </c>
    </row>
    <row r="137" spans="1:22" s="102" customFormat="1">
      <c r="A137" s="351" t="str">
        <f>IF(B137="","",(IF(ISERROR(MATCH(B137,Tot_res!C:C,0)),"Eliminar!!!","")))</f>
        <v/>
      </c>
      <c r="B137" s="102" t="s">
        <v>950</v>
      </c>
      <c r="C137" s="330" t="str">
        <f>VLOOKUP(B137,Tot_res!C:D,2,FALSE)</f>
        <v>Otras enseñanzas y actividades educativas, gasto directo en Ceuta y Melilla</v>
      </c>
      <c r="D137" s="332">
        <f>Gasto_o_ing_per_capita!D137*100/Gasto_o_ing_per_capita!$D137</f>
        <v>100</v>
      </c>
      <c r="E137" s="332">
        <f>Gasto_o_ing_per_capita!E137*100/Gasto_o_ing_per_capita!$D137</f>
        <v>0</v>
      </c>
      <c r="F137" s="332">
        <f>Gasto_o_ing_per_capita!F137*100/Gasto_o_ing_per_capita!$D137</f>
        <v>0</v>
      </c>
      <c r="G137" s="332">
        <f>Gasto_o_ing_per_capita!G137*100/Gasto_o_ing_per_capita!$D137</f>
        <v>0</v>
      </c>
      <c r="H137" s="332">
        <f>Gasto_o_ing_per_capita!H137*100/Gasto_o_ing_per_capita!$D137</f>
        <v>0</v>
      </c>
      <c r="I137" s="332">
        <f>Gasto_o_ing_per_capita!I137*100/Gasto_o_ing_per_capita!$D137</f>
        <v>0</v>
      </c>
      <c r="J137" s="332">
        <f>Gasto_o_ing_per_capita!J137*100/Gasto_o_ing_per_capita!$D137</f>
        <v>0</v>
      </c>
      <c r="K137" s="332">
        <f>Gasto_o_ing_per_capita!K137*100/Gasto_o_ing_per_capita!$D137</f>
        <v>0</v>
      </c>
      <c r="L137" s="332">
        <f>Gasto_o_ing_per_capita!L137*100/Gasto_o_ing_per_capita!$D137</f>
        <v>0</v>
      </c>
      <c r="M137" s="332">
        <f>Gasto_o_ing_per_capita!M137*100/Gasto_o_ing_per_capita!$D137</f>
        <v>0</v>
      </c>
      <c r="N137" s="332">
        <f>Gasto_o_ing_per_capita!N137*100/Gasto_o_ing_per_capita!$D137</f>
        <v>0</v>
      </c>
      <c r="O137" s="332">
        <f>Gasto_o_ing_per_capita!O137*100/Gasto_o_ing_per_capita!$D137</f>
        <v>0</v>
      </c>
      <c r="P137" s="332">
        <f>Gasto_o_ing_per_capita!P137*100/Gasto_o_ing_per_capita!$D137</f>
        <v>0</v>
      </c>
      <c r="Q137" s="332">
        <f>Gasto_o_ing_per_capita!Q137*100/Gasto_o_ing_per_capita!$D137</f>
        <v>0</v>
      </c>
      <c r="R137" s="332">
        <f>Gasto_o_ing_per_capita!R137*100/Gasto_o_ing_per_capita!$D137</f>
        <v>0</v>
      </c>
      <c r="S137" s="332">
        <f>Gasto_o_ing_per_capita!S137*100/Gasto_o_ing_per_capita!$D137</f>
        <v>0</v>
      </c>
      <c r="T137" s="332">
        <f>Gasto_o_ing_per_capita!T137*100/Gasto_o_ing_per_capita!$D137</f>
        <v>0</v>
      </c>
      <c r="U137" s="332">
        <f>Gasto_o_ing_per_capita!U137*100/Gasto_o_ing_per_capita!$D137</f>
        <v>0</v>
      </c>
      <c r="V137" s="332">
        <f>Gasto_o_ing_per_capita!V137*100/Gasto_o_ing_per_capita!$D137</f>
        <v>27524.460168749763</v>
      </c>
    </row>
    <row r="138" spans="1:22" s="102" customFormat="1" ht="25.5">
      <c r="A138" s="351" t="str">
        <f>IF(B138="","",(IF(ISERROR(MATCH(B138,Tot_res!C:C,0)),"Eliminar!!!","")))</f>
        <v/>
      </c>
      <c r="B138" s="115" t="s">
        <v>951</v>
      </c>
      <c r="C138" s="330" t="str">
        <f>VLOOKUP(B138,Tot_res!C:D,2,FALSE)</f>
        <v>Servicios complementarios de la enseñanza, gasto directo del Estado en Ceuta y Melilla</v>
      </c>
      <c r="D138" s="332">
        <f>Gasto_o_ing_per_capita!D138*100/Gasto_o_ing_per_capita!$D138</f>
        <v>100</v>
      </c>
      <c r="E138" s="332">
        <f>Gasto_o_ing_per_capita!E138*100/Gasto_o_ing_per_capita!$D138</f>
        <v>0</v>
      </c>
      <c r="F138" s="332">
        <f>Gasto_o_ing_per_capita!F138*100/Gasto_o_ing_per_capita!$D138</f>
        <v>0</v>
      </c>
      <c r="G138" s="332">
        <f>Gasto_o_ing_per_capita!G138*100/Gasto_o_ing_per_capita!$D138</f>
        <v>0</v>
      </c>
      <c r="H138" s="332">
        <f>Gasto_o_ing_per_capita!H138*100/Gasto_o_ing_per_capita!$D138</f>
        <v>0</v>
      </c>
      <c r="I138" s="332">
        <f>Gasto_o_ing_per_capita!I138*100/Gasto_o_ing_per_capita!$D138</f>
        <v>0</v>
      </c>
      <c r="J138" s="332">
        <f>Gasto_o_ing_per_capita!J138*100/Gasto_o_ing_per_capita!$D138</f>
        <v>0</v>
      </c>
      <c r="K138" s="332">
        <f>Gasto_o_ing_per_capita!K138*100/Gasto_o_ing_per_capita!$D138</f>
        <v>0</v>
      </c>
      <c r="L138" s="332">
        <f>Gasto_o_ing_per_capita!L138*100/Gasto_o_ing_per_capita!$D138</f>
        <v>0</v>
      </c>
      <c r="M138" s="332">
        <f>Gasto_o_ing_per_capita!M138*100/Gasto_o_ing_per_capita!$D138</f>
        <v>0</v>
      </c>
      <c r="N138" s="332">
        <f>Gasto_o_ing_per_capita!N138*100/Gasto_o_ing_per_capita!$D138</f>
        <v>0</v>
      </c>
      <c r="O138" s="332">
        <f>Gasto_o_ing_per_capita!O138*100/Gasto_o_ing_per_capita!$D138</f>
        <v>0</v>
      </c>
      <c r="P138" s="332">
        <f>Gasto_o_ing_per_capita!P138*100/Gasto_o_ing_per_capita!$D138</f>
        <v>0</v>
      </c>
      <c r="Q138" s="332">
        <f>Gasto_o_ing_per_capita!Q138*100/Gasto_o_ing_per_capita!$D138</f>
        <v>0</v>
      </c>
      <c r="R138" s="332">
        <f>Gasto_o_ing_per_capita!R138*100/Gasto_o_ing_per_capita!$D138</f>
        <v>0</v>
      </c>
      <c r="S138" s="332">
        <f>Gasto_o_ing_per_capita!S138*100/Gasto_o_ing_per_capita!$D138</f>
        <v>0</v>
      </c>
      <c r="T138" s="332">
        <f>Gasto_o_ing_per_capita!T138*100/Gasto_o_ing_per_capita!$D138</f>
        <v>0</v>
      </c>
      <c r="U138" s="332">
        <f>Gasto_o_ing_per_capita!U138*100/Gasto_o_ing_per_capita!$D138</f>
        <v>0</v>
      </c>
      <c r="V138" s="332">
        <f>Gasto_o_ing_per_capita!V138*100/Gasto_o_ing_per_capita!$D138</f>
        <v>27524.460168749763</v>
      </c>
    </row>
    <row r="139" spans="1:22" s="102" customFormat="1">
      <c r="A139" s="351" t="str">
        <f>IF(B139="","",(IF(ISERROR(MATCH(B139,Tot_res!C:C,0)),"Eliminar!!!","")))</f>
        <v/>
      </c>
      <c r="B139" s="115" t="s">
        <v>982</v>
      </c>
      <c r="C139" s="330" t="str">
        <f>VLOOKUP(B139,Tot_res!C:D,2,FALSE)</f>
        <v xml:space="preserve">Atención Primaria de Salud, gasto directo del INGESA en Ceuta y Melilla </v>
      </c>
      <c r="D139" s="332">
        <f>Gasto_o_ing_per_capita!D139*100/Gasto_o_ing_per_capita!$D139</f>
        <v>100</v>
      </c>
      <c r="E139" s="332">
        <f>Gasto_o_ing_per_capita!E139*100/Gasto_o_ing_per_capita!$D139</f>
        <v>0</v>
      </c>
      <c r="F139" s="332">
        <f>Gasto_o_ing_per_capita!F139*100/Gasto_o_ing_per_capita!$D139</f>
        <v>0</v>
      </c>
      <c r="G139" s="332">
        <f>Gasto_o_ing_per_capita!G139*100/Gasto_o_ing_per_capita!$D139</f>
        <v>0</v>
      </c>
      <c r="H139" s="332">
        <f>Gasto_o_ing_per_capita!H139*100/Gasto_o_ing_per_capita!$D139</f>
        <v>0</v>
      </c>
      <c r="I139" s="332">
        <f>Gasto_o_ing_per_capita!I139*100/Gasto_o_ing_per_capita!$D139</f>
        <v>0</v>
      </c>
      <c r="J139" s="332">
        <f>Gasto_o_ing_per_capita!J139*100/Gasto_o_ing_per_capita!$D139</f>
        <v>0</v>
      </c>
      <c r="K139" s="332">
        <f>Gasto_o_ing_per_capita!K139*100/Gasto_o_ing_per_capita!$D139</f>
        <v>0</v>
      </c>
      <c r="L139" s="332">
        <f>Gasto_o_ing_per_capita!L139*100/Gasto_o_ing_per_capita!$D139</f>
        <v>0</v>
      </c>
      <c r="M139" s="332">
        <f>Gasto_o_ing_per_capita!M139*100/Gasto_o_ing_per_capita!$D139</f>
        <v>0</v>
      </c>
      <c r="N139" s="332">
        <f>Gasto_o_ing_per_capita!N139*100/Gasto_o_ing_per_capita!$D139</f>
        <v>0</v>
      </c>
      <c r="O139" s="332">
        <f>Gasto_o_ing_per_capita!O139*100/Gasto_o_ing_per_capita!$D139</f>
        <v>0</v>
      </c>
      <c r="P139" s="332">
        <f>Gasto_o_ing_per_capita!P139*100/Gasto_o_ing_per_capita!$D139</f>
        <v>0</v>
      </c>
      <c r="Q139" s="332">
        <f>Gasto_o_ing_per_capita!Q139*100/Gasto_o_ing_per_capita!$D139</f>
        <v>0</v>
      </c>
      <c r="R139" s="332">
        <f>Gasto_o_ing_per_capita!R139*100/Gasto_o_ing_per_capita!$D139</f>
        <v>0</v>
      </c>
      <c r="S139" s="332">
        <f>Gasto_o_ing_per_capita!S139*100/Gasto_o_ing_per_capita!$D139</f>
        <v>0</v>
      </c>
      <c r="T139" s="332">
        <f>Gasto_o_ing_per_capita!T139*100/Gasto_o_ing_per_capita!$D139</f>
        <v>0</v>
      </c>
      <c r="U139" s="332">
        <f>Gasto_o_ing_per_capita!U139*100/Gasto_o_ing_per_capita!$D139</f>
        <v>0</v>
      </c>
      <c r="V139" s="332">
        <f>Gasto_o_ing_per_capita!V139*100/Gasto_o_ing_per_capita!$D139</f>
        <v>27524.460168749763</v>
      </c>
    </row>
    <row r="140" spans="1:22" s="102" customFormat="1">
      <c r="A140" s="351" t="str">
        <f>IF(B140="","",(IF(ISERROR(MATCH(B140,Tot_res!C:C,0)),"Eliminar!!!","")))</f>
        <v/>
      </c>
      <c r="B140" s="115" t="s">
        <v>983</v>
      </c>
      <c r="C140" s="330" t="str">
        <f>VLOOKUP(B140,Tot_res!C:D,2,FALSE)</f>
        <v>Atención Especializada, gasto directo del INGESA en Ceuta y Melilla</v>
      </c>
      <c r="D140" s="332">
        <f>Gasto_o_ing_per_capita!D140*100/Gasto_o_ing_per_capita!$D140</f>
        <v>100</v>
      </c>
      <c r="E140" s="332">
        <f>Gasto_o_ing_per_capita!E140*100/Gasto_o_ing_per_capita!$D140</f>
        <v>0</v>
      </c>
      <c r="F140" s="332">
        <f>Gasto_o_ing_per_capita!F140*100/Gasto_o_ing_per_capita!$D140</f>
        <v>0</v>
      </c>
      <c r="G140" s="332">
        <f>Gasto_o_ing_per_capita!G140*100/Gasto_o_ing_per_capita!$D140</f>
        <v>0</v>
      </c>
      <c r="H140" s="332">
        <f>Gasto_o_ing_per_capita!H140*100/Gasto_o_ing_per_capita!$D140</f>
        <v>0</v>
      </c>
      <c r="I140" s="332">
        <f>Gasto_o_ing_per_capita!I140*100/Gasto_o_ing_per_capita!$D140</f>
        <v>0</v>
      </c>
      <c r="J140" s="332">
        <f>Gasto_o_ing_per_capita!J140*100/Gasto_o_ing_per_capita!$D140</f>
        <v>0</v>
      </c>
      <c r="K140" s="332">
        <f>Gasto_o_ing_per_capita!K140*100/Gasto_o_ing_per_capita!$D140</f>
        <v>0</v>
      </c>
      <c r="L140" s="332">
        <f>Gasto_o_ing_per_capita!L140*100/Gasto_o_ing_per_capita!$D140</f>
        <v>0</v>
      </c>
      <c r="M140" s="332">
        <f>Gasto_o_ing_per_capita!M140*100/Gasto_o_ing_per_capita!$D140</f>
        <v>0</v>
      </c>
      <c r="N140" s="332">
        <f>Gasto_o_ing_per_capita!N140*100/Gasto_o_ing_per_capita!$D140</f>
        <v>0</v>
      </c>
      <c r="O140" s="332">
        <f>Gasto_o_ing_per_capita!O140*100/Gasto_o_ing_per_capita!$D140</f>
        <v>0</v>
      </c>
      <c r="P140" s="332">
        <f>Gasto_o_ing_per_capita!P140*100/Gasto_o_ing_per_capita!$D140</f>
        <v>0</v>
      </c>
      <c r="Q140" s="332">
        <f>Gasto_o_ing_per_capita!Q140*100/Gasto_o_ing_per_capita!$D140</f>
        <v>0</v>
      </c>
      <c r="R140" s="332">
        <f>Gasto_o_ing_per_capita!R140*100/Gasto_o_ing_per_capita!$D140</f>
        <v>0</v>
      </c>
      <c r="S140" s="332">
        <f>Gasto_o_ing_per_capita!S140*100/Gasto_o_ing_per_capita!$D140</f>
        <v>0</v>
      </c>
      <c r="T140" s="332">
        <f>Gasto_o_ing_per_capita!T140*100/Gasto_o_ing_per_capita!$D140</f>
        <v>0</v>
      </c>
      <c r="U140" s="332">
        <f>Gasto_o_ing_per_capita!U140*100/Gasto_o_ing_per_capita!$D140</f>
        <v>0</v>
      </c>
      <c r="V140" s="332">
        <f>Gasto_o_ing_per_capita!V140*100/Gasto_o_ing_per_capita!$D140</f>
        <v>27524.460168749763</v>
      </c>
    </row>
    <row r="141" spans="1:22" s="102" customFormat="1" ht="25.5">
      <c r="A141" s="351" t="str">
        <f>IF(B141="","",(IF(ISERROR(MATCH(B141,Tot_res!C:C,0)),"Eliminar!!!","")))</f>
        <v/>
      </c>
      <c r="B141" s="115" t="s">
        <v>952</v>
      </c>
      <c r="C141" s="330" t="str">
        <f>VLOOKUP(B141,Tot_res!C:D,2,FALSE)</f>
        <v>Admón.,Ser.Grales.y Cont.Int.Asist.San, gasto directo del INGESA en Ceuta y Melila</v>
      </c>
      <c r="D141" s="332">
        <f>Gasto_o_ing_per_capita!D141*100/Gasto_o_ing_per_capita!$D141</f>
        <v>100</v>
      </c>
      <c r="E141" s="332">
        <f>Gasto_o_ing_per_capita!E141*100/Gasto_o_ing_per_capita!$D141</f>
        <v>0</v>
      </c>
      <c r="F141" s="332">
        <f>Gasto_o_ing_per_capita!F141*100/Gasto_o_ing_per_capita!$D141</f>
        <v>0</v>
      </c>
      <c r="G141" s="332">
        <f>Gasto_o_ing_per_capita!G141*100/Gasto_o_ing_per_capita!$D141</f>
        <v>0</v>
      </c>
      <c r="H141" s="332">
        <f>Gasto_o_ing_per_capita!H141*100/Gasto_o_ing_per_capita!$D141</f>
        <v>0</v>
      </c>
      <c r="I141" s="332">
        <f>Gasto_o_ing_per_capita!I141*100/Gasto_o_ing_per_capita!$D141</f>
        <v>0</v>
      </c>
      <c r="J141" s="332">
        <f>Gasto_o_ing_per_capita!J141*100/Gasto_o_ing_per_capita!$D141</f>
        <v>0</v>
      </c>
      <c r="K141" s="332">
        <f>Gasto_o_ing_per_capita!K141*100/Gasto_o_ing_per_capita!$D141</f>
        <v>0</v>
      </c>
      <c r="L141" s="332">
        <f>Gasto_o_ing_per_capita!L141*100/Gasto_o_ing_per_capita!$D141</f>
        <v>0</v>
      </c>
      <c r="M141" s="332">
        <f>Gasto_o_ing_per_capita!M141*100/Gasto_o_ing_per_capita!$D141</f>
        <v>0</v>
      </c>
      <c r="N141" s="332">
        <f>Gasto_o_ing_per_capita!N141*100/Gasto_o_ing_per_capita!$D141</f>
        <v>0</v>
      </c>
      <c r="O141" s="332">
        <f>Gasto_o_ing_per_capita!O141*100/Gasto_o_ing_per_capita!$D141</f>
        <v>0</v>
      </c>
      <c r="P141" s="332">
        <f>Gasto_o_ing_per_capita!P141*100/Gasto_o_ing_per_capita!$D141</f>
        <v>0</v>
      </c>
      <c r="Q141" s="332">
        <f>Gasto_o_ing_per_capita!Q141*100/Gasto_o_ing_per_capita!$D141</f>
        <v>0</v>
      </c>
      <c r="R141" s="332">
        <f>Gasto_o_ing_per_capita!R141*100/Gasto_o_ing_per_capita!$D141</f>
        <v>0</v>
      </c>
      <c r="S141" s="332">
        <f>Gasto_o_ing_per_capita!S141*100/Gasto_o_ing_per_capita!$D141</f>
        <v>0</v>
      </c>
      <c r="T141" s="332">
        <f>Gasto_o_ing_per_capita!T141*100/Gasto_o_ing_per_capita!$D141</f>
        <v>0</v>
      </c>
      <c r="U141" s="332">
        <f>Gasto_o_ing_per_capita!U141*100/Gasto_o_ing_per_capita!$D141</f>
        <v>0</v>
      </c>
      <c r="V141" s="332">
        <f>Gasto_o_ing_per_capita!V141*100/Gasto_o_ing_per_capita!$D141</f>
        <v>27524.46016874976</v>
      </c>
    </row>
    <row r="142" spans="1:22" s="102" customFormat="1" ht="25.5">
      <c r="A142" s="351" t="str">
        <f>IF(B142="","",(IF(ISERROR(MATCH(B142,Tot_res!C:C,0)),"Eliminar!!!","")))</f>
        <v/>
      </c>
      <c r="B142" s="115" t="s">
        <v>953</v>
      </c>
      <c r="C142" s="330" t="str">
        <f>VLOOKUP(B142,Tot_res!C:D,2,FALSE)</f>
        <v>Formación del Personal Sanitario, gasto directo del INGESA en Ceuta y Melilla</v>
      </c>
      <c r="D142" s="332">
        <f>Gasto_o_ing_per_capita!D142*100/Gasto_o_ing_per_capita!$D142</f>
        <v>99.999999999999986</v>
      </c>
      <c r="E142" s="332">
        <f>Gasto_o_ing_per_capita!E142*100/Gasto_o_ing_per_capita!$D142</f>
        <v>0</v>
      </c>
      <c r="F142" s="332">
        <f>Gasto_o_ing_per_capita!F142*100/Gasto_o_ing_per_capita!$D142</f>
        <v>0</v>
      </c>
      <c r="G142" s="332">
        <f>Gasto_o_ing_per_capita!G142*100/Gasto_o_ing_per_capita!$D142</f>
        <v>0</v>
      </c>
      <c r="H142" s="332">
        <f>Gasto_o_ing_per_capita!H142*100/Gasto_o_ing_per_capita!$D142</f>
        <v>0</v>
      </c>
      <c r="I142" s="332">
        <f>Gasto_o_ing_per_capita!I142*100/Gasto_o_ing_per_capita!$D142</f>
        <v>0</v>
      </c>
      <c r="J142" s="332">
        <f>Gasto_o_ing_per_capita!J142*100/Gasto_o_ing_per_capita!$D142</f>
        <v>0</v>
      </c>
      <c r="K142" s="332">
        <f>Gasto_o_ing_per_capita!K142*100/Gasto_o_ing_per_capita!$D142</f>
        <v>0</v>
      </c>
      <c r="L142" s="332">
        <f>Gasto_o_ing_per_capita!L142*100/Gasto_o_ing_per_capita!$D142</f>
        <v>0</v>
      </c>
      <c r="M142" s="332">
        <f>Gasto_o_ing_per_capita!M142*100/Gasto_o_ing_per_capita!$D142</f>
        <v>0</v>
      </c>
      <c r="N142" s="332">
        <f>Gasto_o_ing_per_capita!N142*100/Gasto_o_ing_per_capita!$D142</f>
        <v>0</v>
      </c>
      <c r="O142" s="332">
        <f>Gasto_o_ing_per_capita!O142*100/Gasto_o_ing_per_capita!$D142</f>
        <v>0</v>
      </c>
      <c r="P142" s="332">
        <f>Gasto_o_ing_per_capita!P142*100/Gasto_o_ing_per_capita!$D142</f>
        <v>0</v>
      </c>
      <c r="Q142" s="332">
        <f>Gasto_o_ing_per_capita!Q142*100/Gasto_o_ing_per_capita!$D142</f>
        <v>0</v>
      </c>
      <c r="R142" s="332">
        <f>Gasto_o_ing_per_capita!R142*100/Gasto_o_ing_per_capita!$D142</f>
        <v>0</v>
      </c>
      <c r="S142" s="332">
        <f>Gasto_o_ing_per_capita!S142*100/Gasto_o_ing_per_capita!$D142</f>
        <v>0</v>
      </c>
      <c r="T142" s="332">
        <f>Gasto_o_ing_per_capita!T142*100/Gasto_o_ing_per_capita!$D142</f>
        <v>0</v>
      </c>
      <c r="U142" s="332">
        <f>Gasto_o_ing_per_capita!U142*100/Gasto_o_ing_per_capita!$D142</f>
        <v>0</v>
      </c>
      <c r="V142" s="332">
        <f>Gasto_o_ing_per_capita!V142*100/Gasto_o_ing_per_capita!$D142</f>
        <v>27524.460168749763</v>
      </c>
    </row>
    <row r="143" spans="1:22" s="102" customFormat="1">
      <c r="A143" s="351" t="str">
        <f>IF(B143="","",(IF(ISERROR(MATCH(B143,Tot_res!C:C,0)),"Eliminar!!!","")))</f>
        <v/>
      </c>
      <c r="B143" s="115" t="s">
        <v>954</v>
      </c>
      <c r="C143" s="330" t="str">
        <f>VLOOKUP(B143,Tot_res!C:D,2,FALSE)</f>
        <v>Servicios Sociales Generales, gasto directo del IMSERSO en Ceuta y Melilla</v>
      </c>
      <c r="D143" s="332">
        <f>Gasto_o_ing_per_capita!D143*100/Gasto_o_ing_per_capita!$D143</f>
        <v>100</v>
      </c>
      <c r="E143" s="332">
        <f>Gasto_o_ing_per_capita!E143*100/Gasto_o_ing_per_capita!$D143</f>
        <v>0</v>
      </c>
      <c r="F143" s="332">
        <f>Gasto_o_ing_per_capita!F143*100/Gasto_o_ing_per_capita!$D143</f>
        <v>0</v>
      </c>
      <c r="G143" s="332">
        <f>Gasto_o_ing_per_capita!G143*100/Gasto_o_ing_per_capita!$D143</f>
        <v>0</v>
      </c>
      <c r="H143" s="332">
        <f>Gasto_o_ing_per_capita!H143*100/Gasto_o_ing_per_capita!$D143</f>
        <v>0</v>
      </c>
      <c r="I143" s="332">
        <f>Gasto_o_ing_per_capita!I143*100/Gasto_o_ing_per_capita!$D143</f>
        <v>0</v>
      </c>
      <c r="J143" s="332">
        <f>Gasto_o_ing_per_capita!J143*100/Gasto_o_ing_per_capita!$D143</f>
        <v>0</v>
      </c>
      <c r="K143" s="332">
        <f>Gasto_o_ing_per_capita!K143*100/Gasto_o_ing_per_capita!$D143</f>
        <v>0</v>
      </c>
      <c r="L143" s="332">
        <f>Gasto_o_ing_per_capita!L143*100/Gasto_o_ing_per_capita!$D143</f>
        <v>0</v>
      </c>
      <c r="M143" s="332">
        <f>Gasto_o_ing_per_capita!M143*100/Gasto_o_ing_per_capita!$D143</f>
        <v>0</v>
      </c>
      <c r="N143" s="332">
        <f>Gasto_o_ing_per_capita!N143*100/Gasto_o_ing_per_capita!$D143</f>
        <v>0</v>
      </c>
      <c r="O143" s="332">
        <f>Gasto_o_ing_per_capita!O143*100/Gasto_o_ing_per_capita!$D143</f>
        <v>0</v>
      </c>
      <c r="P143" s="332">
        <f>Gasto_o_ing_per_capita!P143*100/Gasto_o_ing_per_capita!$D143</f>
        <v>0</v>
      </c>
      <c r="Q143" s="332">
        <f>Gasto_o_ing_per_capita!Q143*100/Gasto_o_ing_per_capita!$D143</f>
        <v>0</v>
      </c>
      <c r="R143" s="332">
        <f>Gasto_o_ing_per_capita!R143*100/Gasto_o_ing_per_capita!$D143</f>
        <v>0</v>
      </c>
      <c r="S143" s="332">
        <f>Gasto_o_ing_per_capita!S143*100/Gasto_o_ing_per_capita!$D143</f>
        <v>0</v>
      </c>
      <c r="T143" s="332">
        <f>Gasto_o_ing_per_capita!T143*100/Gasto_o_ing_per_capita!$D143</f>
        <v>0</v>
      </c>
      <c r="U143" s="332">
        <f>Gasto_o_ing_per_capita!U143*100/Gasto_o_ing_per_capita!$D143</f>
        <v>0</v>
      </c>
      <c r="V143" s="332">
        <f>Gasto_o_ing_per_capita!V143*100/Gasto_o_ing_per_capita!$D143</f>
        <v>27524.460168749763</v>
      </c>
    </row>
    <row r="144" spans="1:22" s="102" customFormat="1" ht="25.5">
      <c r="A144" s="351" t="str">
        <f>IF(B144="","",(IF(ISERROR(MATCH(B144,Tot_res!C:C,0)),"Eliminar!!!","")))</f>
        <v/>
      </c>
      <c r="B144" s="115" t="s">
        <v>955</v>
      </c>
      <c r="C144" s="330" t="str">
        <f>VLOOKUP(B144,Tot_res!C:D,2,FALSE)</f>
        <v>Administración y Servicios Generales de Servicios Sociales, gasto directo del IMSERSO en Ceuta y Melilla</v>
      </c>
      <c r="D144" s="332">
        <f>Gasto_o_ing_per_capita!D144*100/Gasto_o_ing_per_capita!$D144</f>
        <v>100</v>
      </c>
      <c r="E144" s="332">
        <f>Gasto_o_ing_per_capita!E144*100/Gasto_o_ing_per_capita!$D144</f>
        <v>0</v>
      </c>
      <c r="F144" s="332">
        <f>Gasto_o_ing_per_capita!F144*100/Gasto_o_ing_per_capita!$D144</f>
        <v>0</v>
      </c>
      <c r="G144" s="332">
        <f>Gasto_o_ing_per_capita!G144*100/Gasto_o_ing_per_capita!$D144</f>
        <v>0</v>
      </c>
      <c r="H144" s="332">
        <f>Gasto_o_ing_per_capita!H144*100/Gasto_o_ing_per_capita!$D144</f>
        <v>0</v>
      </c>
      <c r="I144" s="332">
        <f>Gasto_o_ing_per_capita!I144*100/Gasto_o_ing_per_capita!$D144</f>
        <v>0</v>
      </c>
      <c r="J144" s="332">
        <f>Gasto_o_ing_per_capita!J144*100/Gasto_o_ing_per_capita!$D144</f>
        <v>0</v>
      </c>
      <c r="K144" s="332">
        <f>Gasto_o_ing_per_capita!K144*100/Gasto_o_ing_per_capita!$D144</f>
        <v>0</v>
      </c>
      <c r="L144" s="332">
        <f>Gasto_o_ing_per_capita!L144*100/Gasto_o_ing_per_capita!$D144</f>
        <v>0</v>
      </c>
      <c r="M144" s="332">
        <f>Gasto_o_ing_per_capita!M144*100/Gasto_o_ing_per_capita!$D144</f>
        <v>0</v>
      </c>
      <c r="N144" s="332">
        <f>Gasto_o_ing_per_capita!N144*100/Gasto_o_ing_per_capita!$D144</f>
        <v>0</v>
      </c>
      <c r="O144" s="332">
        <f>Gasto_o_ing_per_capita!O144*100/Gasto_o_ing_per_capita!$D144</f>
        <v>0</v>
      </c>
      <c r="P144" s="332">
        <f>Gasto_o_ing_per_capita!P144*100/Gasto_o_ing_per_capita!$D144</f>
        <v>0</v>
      </c>
      <c r="Q144" s="332">
        <f>Gasto_o_ing_per_capita!Q144*100/Gasto_o_ing_per_capita!$D144</f>
        <v>0</v>
      </c>
      <c r="R144" s="332">
        <f>Gasto_o_ing_per_capita!R144*100/Gasto_o_ing_per_capita!$D144</f>
        <v>0</v>
      </c>
      <c r="S144" s="332">
        <f>Gasto_o_ing_per_capita!S144*100/Gasto_o_ing_per_capita!$D144</f>
        <v>0</v>
      </c>
      <c r="T144" s="332">
        <f>Gasto_o_ing_per_capita!T144*100/Gasto_o_ing_per_capita!$D144</f>
        <v>0</v>
      </c>
      <c r="U144" s="332">
        <f>Gasto_o_ing_per_capita!U144*100/Gasto_o_ing_per_capita!$D144</f>
        <v>0</v>
      </c>
      <c r="V144" s="332">
        <f>Gasto_o_ing_per_capita!V144*100/Gasto_o_ing_per_capita!$D144</f>
        <v>27524.460168749763</v>
      </c>
    </row>
    <row r="145" spans="1:22" s="102" customFormat="1">
      <c r="A145" s="351" t="str">
        <f>IF(B145="","",(IF(ISERROR(MATCH(B145,Tot_res!C:C,0)),"Eliminar!!!","")))</f>
        <v/>
      </c>
      <c r="B145" s="115" t="s">
        <v>212</v>
      </c>
      <c r="C145" s="330" t="str">
        <f>VLOOKUP(B145,Tot_res!C:D,2,FALSE)</f>
        <v>Recaudación IPSI</v>
      </c>
      <c r="D145" s="332">
        <f>Gasto_o_ing_per_capita!D145*100/Gasto_o_ing_per_capita!$D145</f>
        <v>100</v>
      </c>
      <c r="E145" s="332">
        <f>Gasto_o_ing_per_capita!E145*100/Gasto_o_ing_per_capita!$D145</f>
        <v>0</v>
      </c>
      <c r="F145" s="332">
        <f>Gasto_o_ing_per_capita!F145*100/Gasto_o_ing_per_capita!$D145</f>
        <v>0</v>
      </c>
      <c r="G145" s="332">
        <f>Gasto_o_ing_per_capita!G145*100/Gasto_o_ing_per_capita!$D145</f>
        <v>0</v>
      </c>
      <c r="H145" s="332">
        <f>Gasto_o_ing_per_capita!H145*100/Gasto_o_ing_per_capita!$D145</f>
        <v>0</v>
      </c>
      <c r="I145" s="332">
        <f>Gasto_o_ing_per_capita!I145*100/Gasto_o_ing_per_capita!$D145</f>
        <v>0</v>
      </c>
      <c r="J145" s="332">
        <f>Gasto_o_ing_per_capita!J145*100/Gasto_o_ing_per_capita!$D145</f>
        <v>0</v>
      </c>
      <c r="K145" s="332">
        <f>Gasto_o_ing_per_capita!K145*100/Gasto_o_ing_per_capita!$D145</f>
        <v>0</v>
      </c>
      <c r="L145" s="332">
        <f>Gasto_o_ing_per_capita!L145*100/Gasto_o_ing_per_capita!$D145</f>
        <v>0</v>
      </c>
      <c r="M145" s="332">
        <f>Gasto_o_ing_per_capita!M145*100/Gasto_o_ing_per_capita!$D145</f>
        <v>0</v>
      </c>
      <c r="N145" s="332">
        <f>Gasto_o_ing_per_capita!N145*100/Gasto_o_ing_per_capita!$D145</f>
        <v>0</v>
      </c>
      <c r="O145" s="332">
        <f>Gasto_o_ing_per_capita!O145*100/Gasto_o_ing_per_capita!$D145</f>
        <v>0</v>
      </c>
      <c r="P145" s="332">
        <f>Gasto_o_ing_per_capita!P145*100/Gasto_o_ing_per_capita!$D145</f>
        <v>0</v>
      </c>
      <c r="Q145" s="332">
        <f>Gasto_o_ing_per_capita!Q145*100/Gasto_o_ing_per_capita!$D145</f>
        <v>0</v>
      </c>
      <c r="R145" s="332">
        <f>Gasto_o_ing_per_capita!R145*100/Gasto_o_ing_per_capita!$D145</f>
        <v>0</v>
      </c>
      <c r="S145" s="332">
        <f>Gasto_o_ing_per_capita!S145*100/Gasto_o_ing_per_capita!$D145</f>
        <v>0</v>
      </c>
      <c r="T145" s="332">
        <f>Gasto_o_ing_per_capita!T145*100/Gasto_o_ing_per_capita!$D145</f>
        <v>0</v>
      </c>
      <c r="U145" s="332">
        <f>Gasto_o_ing_per_capita!U145*100/Gasto_o_ing_per_capita!$D145</f>
        <v>0</v>
      </c>
      <c r="V145" s="332">
        <f>Gasto_o_ing_per_capita!V145*100/Gasto_o_ing_per_capita!$D145</f>
        <v>27524.46016874976</v>
      </c>
    </row>
    <row r="146" spans="1:22" s="102" customFormat="1" ht="25.5">
      <c r="A146" s="351" t="str">
        <f>IF(B146="","",(IF(ISERROR(MATCH(B146,Tot_res!C:C,0)),"Eliminar!!!","")))</f>
        <v/>
      </c>
      <c r="B146" s="115" t="s">
        <v>956</v>
      </c>
      <c r="C146" s="330" t="str">
        <f>VLOOKUP(B146,Tot_res!C:D,2,FALSE)</f>
        <v xml:space="preserve">Otras aportaciones a Corporaciones Locales, compensaciones IPSI Ceuta y Melilla </v>
      </c>
      <c r="D146" s="332">
        <f>Gasto_o_ing_per_capita!D146*100/Gasto_o_ing_per_capita!$D146</f>
        <v>100</v>
      </c>
      <c r="E146" s="332">
        <f>Gasto_o_ing_per_capita!E146*100/Gasto_o_ing_per_capita!$D146</f>
        <v>0</v>
      </c>
      <c r="F146" s="332">
        <f>Gasto_o_ing_per_capita!F146*100/Gasto_o_ing_per_capita!$D146</f>
        <v>0</v>
      </c>
      <c r="G146" s="332">
        <f>Gasto_o_ing_per_capita!G146*100/Gasto_o_ing_per_capita!$D146</f>
        <v>0</v>
      </c>
      <c r="H146" s="332">
        <f>Gasto_o_ing_per_capita!H146*100/Gasto_o_ing_per_capita!$D146</f>
        <v>0</v>
      </c>
      <c r="I146" s="332">
        <f>Gasto_o_ing_per_capita!I146*100/Gasto_o_ing_per_capita!$D146</f>
        <v>0</v>
      </c>
      <c r="J146" s="332">
        <f>Gasto_o_ing_per_capita!J146*100/Gasto_o_ing_per_capita!$D146</f>
        <v>0</v>
      </c>
      <c r="K146" s="332">
        <f>Gasto_o_ing_per_capita!K146*100/Gasto_o_ing_per_capita!$D146</f>
        <v>0</v>
      </c>
      <c r="L146" s="332">
        <f>Gasto_o_ing_per_capita!L146*100/Gasto_o_ing_per_capita!$D146</f>
        <v>0</v>
      </c>
      <c r="M146" s="332">
        <f>Gasto_o_ing_per_capita!M146*100/Gasto_o_ing_per_capita!$D146</f>
        <v>0</v>
      </c>
      <c r="N146" s="332">
        <f>Gasto_o_ing_per_capita!N146*100/Gasto_o_ing_per_capita!$D146</f>
        <v>0</v>
      </c>
      <c r="O146" s="332">
        <f>Gasto_o_ing_per_capita!O146*100/Gasto_o_ing_per_capita!$D146</f>
        <v>0</v>
      </c>
      <c r="P146" s="332">
        <f>Gasto_o_ing_per_capita!P146*100/Gasto_o_ing_per_capita!$D146</f>
        <v>0</v>
      </c>
      <c r="Q146" s="332">
        <f>Gasto_o_ing_per_capita!Q146*100/Gasto_o_ing_per_capita!$D146</f>
        <v>0</v>
      </c>
      <c r="R146" s="332">
        <f>Gasto_o_ing_per_capita!R146*100/Gasto_o_ing_per_capita!$D146</f>
        <v>0</v>
      </c>
      <c r="S146" s="332">
        <f>Gasto_o_ing_per_capita!S146*100/Gasto_o_ing_per_capita!$D146</f>
        <v>0</v>
      </c>
      <c r="T146" s="332">
        <f>Gasto_o_ing_per_capita!T146*100/Gasto_o_ing_per_capita!$D146</f>
        <v>0</v>
      </c>
      <c r="U146" s="332">
        <f>Gasto_o_ing_per_capita!U146*100/Gasto_o_ing_per_capita!$D146</f>
        <v>0</v>
      </c>
      <c r="V146" s="332">
        <f>Gasto_o_ing_per_capita!V146*100/Gasto_o_ing_per_capita!$D146</f>
        <v>27524.46016874976</v>
      </c>
    </row>
    <row r="147" spans="1:22"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row>
    <row r="148" spans="1:22" s="102" customFormat="1" ht="27">
      <c r="A148" s="352"/>
      <c r="B148" s="137"/>
      <c r="C148" s="117" t="s">
        <v>213</v>
      </c>
      <c r="D148" s="113">
        <f>Gasto_o_ing_per_capita!D148*100/Gasto_o_ing_per_capita!$D148</f>
        <v>100</v>
      </c>
      <c r="E148" s="113">
        <f>Gasto_o_ing_per_capita!E148*100/Gasto_o_ing_per_capita!$D148</f>
        <v>0</v>
      </c>
      <c r="F148" s="113">
        <f>Gasto_o_ing_per_capita!F148*100/Gasto_o_ing_per_capita!$D148</f>
        <v>0</v>
      </c>
      <c r="G148" s="113">
        <f>Gasto_o_ing_per_capita!G148*100/Gasto_o_ing_per_capita!$D148</f>
        <v>0</v>
      </c>
      <c r="H148" s="113">
        <f>Gasto_o_ing_per_capita!H148*100/Gasto_o_ing_per_capita!$D148</f>
        <v>0</v>
      </c>
      <c r="I148" s="113">
        <f>Gasto_o_ing_per_capita!I148*100/Gasto_o_ing_per_capita!$D148</f>
        <v>0</v>
      </c>
      <c r="J148" s="113">
        <f>Gasto_o_ing_per_capita!J148*100/Gasto_o_ing_per_capita!$D148</f>
        <v>0</v>
      </c>
      <c r="K148" s="113">
        <f>Gasto_o_ing_per_capita!K148*100/Gasto_o_ing_per_capita!$D148</f>
        <v>0</v>
      </c>
      <c r="L148" s="113">
        <f>Gasto_o_ing_per_capita!L148*100/Gasto_o_ing_per_capita!$D148</f>
        <v>0</v>
      </c>
      <c r="M148" s="113">
        <f>Gasto_o_ing_per_capita!M148*100/Gasto_o_ing_per_capita!$D148</f>
        <v>0</v>
      </c>
      <c r="N148" s="113">
        <f>Gasto_o_ing_per_capita!N148*100/Gasto_o_ing_per_capita!$D148</f>
        <v>0</v>
      </c>
      <c r="O148" s="113">
        <f>Gasto_o_ing_per_capita!O148*100/Gasto_o_ing_per_capita!$D148</f>
        <v>0</v>
      </c>
      <c r="P148" s="113">
        <f>Gasto_o_ing_per_capita!P148*100/Gasto_o_ing_per_capita!$D148</f>
        <v>0</v>
      </c>
      <c r="Q148" s="113">
        <f>Gasto_o_ing_per_capita!Q148*100/Gasto_o_ing_per_capita!$D148</f>
        <v>0</v>
      </c>
      <c r="R148" s="113">
        <f>Gasto_o_ing_per_capita!R148*100/Gasto_o_ing_per_capita!$D148</f>
        <v>0</v>
      </c>
      <c r="S148" s="113">
        <f>Gasto_o_ing_per_capita!S148*100/Gasto_o_ing_per_capita!$D148</f>
        <v>1496.8259578608447</v>
      </c>
      <c r="T148" s="113">
        <f>Gasto_o_ing_per_capita!T148*100/Gasto_o_ing_per_capita!$D148</f>
        <v>1695.1415870286446</v>
      </c>
      <c r="U148" s="113">
        <f>Gasto_o_ing_per_capita!U148*100/Gasto_o_ing_per_capita!$D148</f>
        <v>0</v>
      </c>
      <c r="V148" s="113">
        <f>Gasto_o_ing_per_capita!V148*100/Gasto_o_ing_per_capita!$D148</f>
        <v>0</v>
      </c>
    </row>
    <row r="149" spans="1:22" s="102" customFormat="1">
      <c r="A149" s="351" t="str">
        <f>IF(B149="","",(IF(ISERROR(MATCH(B149,Tot_res!C:C,0)),"Eliminar!!!","")))</f>
        <v/>
      </c>
      <c r="B149" s="115" t="s">
        <v>957</v>
      </c>
      <c r="C149" s="330" t="str">
        <f>VLOOKUP(B149,Tot_res!C:D,2,FALSE)</f>
        <v>IRPF, ingresos homogeneizados de las comunidades forales</v>
      </c>
      <c r="D149" s="332">
        <f>Gasto_o_ing_per_capita!D149*100/Gasto_o_ing_per_capita!$D149</f>
        <v>100</v>
      </c>
      <c r="E149" s="332">
        <f>Gasto_o_ing_per_capita!E149*100/Gasto_o_ing_per_capita!$D149</f>
        <v>0</v>
      </c>
      <c r="F149" s="332">
        <f>Gasto_o_ing_per_capita!F149*100/Gasto_o_ing_per_capita!$D149</f>
        <v>0</v>
      </c>
      <c r="G149" s="332">
        <f>Gasto_o_ing_per_capita!G149*100/Gasto_o_ing_per_capita!$D149</f>
        <v>0</v>
      </c>
      <c r="H149" s="332">
        <f>Gasto_o_ing_per_capita!H149*100/Gasto_o_ing_per_capita!$D149</f>
        <v>0</v>
      </c>
      <c r="I149" s="332">
        <f>Gasto_o_ing_per_capita!I149*100/Gasto_o_ing_per_capita!$D149</f>
        <v>0</v>
      </c>
      <c r="J149" s="332">
        <f>Gasto_o_ing_per_capita!J149*100/Gasto_o_ing_per_capita!$D149</f>
        <v>0</v>
      </c>
      <c r="K149" s="332">
        <f>Gasto_o_ing_per_capita!K149*100/Gasto_o_ing_per_capita!$D149</f>
        <v>0</v>
      </c>
      <c r="L149" s="332">
        <f>Gasto_o_ing_per_capita!L149*100/Gasto_o_ing_per_capita!$D149</f>
        <v>0</v>
      </c>
      <c r="M149" s="332">
        <f>Gasto_o_ing_per_capita!M149*100/Gasto_o_ing_per_capita!$D149</f>
        <v>0</v>
      </c>
      <c r="N149" s="332">
        <f>Gasto_o_ing_per_capita!N149*100/Gasto_o_ing_per_capita!$D149</f>
        <v>0</v>
      </c>
      <c r="O149" s="332">
        <f>Gasto_o_ing_per_capita!O149*100/Gasto_o_ing_per_capita!$D149</f>
        <v>0</v>
      </c>
      <c r="P149" s="332">
        <f>Gasto_o_ing_per_capita!P149*100/Gasto_o_ing_per_capita!$D149</f>
        <v>0</v>
      </c>
      <c r="Q149" s="332">
        <f>Gasto_o_ing_per_capita!Q149*100/Gasto_o_ing_per_capita!$D149</f>
        <v>0</v>
      </c>
      <c r="R149" s="332">
        <f>Gasto_o_ing_per_capita!R149*100/Gasto_o_ing_per_capita!$D149</f>
        <v>0</v>
      </c>
      <c r="S149" s="332">
        <f>Gasto_o_ing_per_capita!S149*100/Gasto_o_ing_per_capita!$D149</f>
        <v>1537.8362239245068</v>
      </c>
      <c r="T149" s="332">
        <f>Gasto_o_ing_per_capita!T149*100/Gasto_o_ing_per_capita!$D149</f>
        <v>1683.1401810857285</v>
      </c>
      <c r="U149" s="332">
        <f>Gasto_o_ing_per_capita!U149*100/Gasto_o_ing_per_capita!$D149</f>
        <v>0</v>
      </c>
      <c r="V149" s="332">
        <f>Gasto_o_ing_per_capita!V149*100/Gasto_o_ing_per_capita!$D149</f>
        <v>0</v>
      </c>
    </row>
    <row r="150" spans="1:22" s="102" customFormat="1">
      <c r="A150" s="351" t="str">
        <f>IF(B150="","",(IF(ISERROR(MATCH(B150,Tot_res!C:C,0)),"Eliminar!!!","")))</f>
        <v/>
      </c>
      <c r="B150" s="115" t="s">
        <v>958</v>
      </c>
      <c r="C150" s="330" t="str">
        <f>VLOOKUP(B150,Tot_res!C:D,2,FALSE)</f>
        <v>Sociedades, ingresos homogeneizados de las comunidades forales</v>
      </c>
      <c r="D150" s="332">
        <f>Gasto_o_ing_per_capita!D150*100/Gasto_o_ing_per_capita!$D150</f>
        <v>100</v>
      </c>
      <c r="E150" s="332">
        <f>Gasto_o_ing_per_capita!E150*100/Gasto_o_ing_per_capita!$D150</f>
        <v>0</v>
      </c>
      <c r="F150" s="332">
        <f>Gasto_o_ing_per_capita!F150*100/Gasto_o_ing_per_capita!$D150</f>
        <v>0</v>
      </c>
      <c r="G150" s="332">
        <f>Gasto_o_ing_per_capita!G150*100/Gasto_o_ing_per_capita!$D150</f>
        <v>0</v>
      </c>
      <c r="H150" s="332">
        <f>Gasto_o_ing_per_capita!H150*100/Gasto_o_ing_per_capita!$D150</f>
        <v>0</v>
      </c>
      <c r="I150" s="332">
        <f>Gasto_o_ing_per_capita!I150*100/Gasto_o_ing_per_capita!$D150</f>
        <v>0</v>
      </c>
      <c r="J150" s="332">
        <f>Gasto_o_ing_per_capita!J150*100/Gasto_o_ing_per_capita!$D150</f>
        <v>0</v>
      </c>
      <c r="K150" s="332">
        <f>Gasto_o_ing_per_capita!K150*100/Gasto_o_ing_per_capita!$D150</f>
        <v>0</v>
      </c>
      <c r="L150" s="332">
        <f>Gasto_o_ing_per_capita!L150*100/Gasto_o_ing_per_capita!$D150</f>
        <v>0</v>
      </c>
      <c r="M150" s="332">
        <f>Gasto_o_ing_per_capita!M150*100/Gasto_o_ing_per_capita!$D150</f>
        <v>0</v>
      </c>
      <c r="N150" s="332">
        <f>Gasto_o_ing_per_capita!N150*100/Gasto_o_ing_per_capita!$D150</f>
        <v>0</v>
      </c>
      <c r="O150" s="332">
        <f>Gasto_o_ing_per_capita!O150*100/Gasto_o_ing_per_capita!$D150</f>
        <v>0</v>
      </c>
      <c r="P150" s="332">
        <f>Gasto_o_ing_per_capita!P150*100/Gasto_o_ing_per_capita!$D150</f>
        <v>0</v>
      </c>
      <c r="Q150" s="332">
        <f>Gasto_o_ing_per_capita!Q150*100/Gasto_o_ing_per_capita!$D150</f>
        <v>0</v>
      </c>
      <c r="R150" s="332">
        <f>Gasto_o_ing_per_capita!R150*100/Gasto_o_ing_per_capita!$D150</f>
        <v>0</v>
      </c>
      <c r="S150" s="332">
        <f>Gasto_o_ing_per_capita!S150*100/Gasto_o_ing_per_capita!$D150</f>
        <v>1627.6514489288033</v>
      </c>
      <c r="T150" s="332">
        <f>Gasto_o_ing_per_capita!T150*100/Gasto_o_ing_per_capita!$D150</f>
        <v>1656.8562995459793</v>
      </c>
      <c r="U150" s="332">
        <f>Gasto_o_ing_per_capita!U150*100/Gasto_o_ing_per_capita!$D150</f>
        <v>0</v>
      </c>
      <c r="V150" s="332">
        <f>Gasto_o_ing_per_capita!V150*100/Gasto_o_ing_per_capita!$D150</f>
        <v>0</v>
      </c>
    </row>
    <row r="151" spans="1:22" s="102" customFormat="1">
      <c r="A151" s="351" t="str">
        <f>IF(B151="","",(IF(ISERROR(MATCH(B151,Tot_res!C:C,0)),"Eliminar!!!","")))</f>
        <v/>
      </c>
      <c r="B151" s="115" t="s">
        <v>214</v>
      </c>
      <c r="C151" s="330" t="str">
        <f>VLOOKUP(B151,Tot_res!C:D,2,FALSE)</f>
        <v>No residentes, ingresos comunidades forales</v>
      </c>
      <c r="D151" s="332">
        <f>Gasto_o_ing_per_capita!D151*100/Gasto_o_ing_per_capita!$D151</f>
        <v>100</v>
      </c>
      <c r="E151" s="332">
        <f>Gasto_o_ing_per_capita!E151*100/Gasto_o_ing_per_capita!$D151</f>
        <v>0</v>
      </c>
      <c r="F151" s="332">
        <f>Gasto_o_ing_per_capita!F151*100/Gasto_o_ing_per_capita!$D151</f>
        <v>0</v>
      </c>
      <c r="G151" s="332">
        <f>Gasto_o_ing_per_capita!G151*100/Gasto_o_ing_per_capita!$D151</f>
        <v>0</v>
      </c>
      <c r="H151" s="332">
        <f>Gasto_o_ing_per_capita!H151*100/Gasto_o_ing_per_capita!$D151</f>
        <v>0</v>
      </c>
      <c r="I151" s="332">
        <f>Gasto_o_ing_per_capita!I151*100/Gasto_o_ing_per_capita!$D151</f>
        <v>0</v>
      </c>
      <c r="J151" s="332">
        <f>Gasto_o_ing_per_capita!J151*100/Gasto_o_ing_per_capita!$D151</f>
        <v>0</v>
      </c>
      <c r="K151" s="332">
        <f>Gasto_o_ing_per_capita!K151*100/Gasto_o_ing_per_capita!$D151</f>
        <v>0</v>
      </c>
      <c r="L151" s="332">
        <f>Gasto_o_ing_per_capita!L151*100/Gasto_o_ing_per_capita!$D151</f>
        <v>0</v>
      </c>
      <c r="M151" s="332">
        <f>Gasto_o_ing_per_capita!M151*100/Gasto_o_ing_per_capita!$D151</f>
        <v>0</v>
      </c>
      <c r="N151" s="332">
        <f>Gasto_o_ing_per_capita!N151*100/Gasto_o_ing_per_capita!$D151</f>
        <v>0</v>
      </c>
      <c r="O151" s="332">
        <f>Gasto_o_ing_per_capita!O151*100/Gasto_o_ing_per_capita!$D151</f>
        <v>0</v>
      </c>
      <c r="P151" s="332">
        <f>Gasto_o_ing_per_capita!P151*100/Gasto_o_ing_per_capita!$D151</f>
        <v>0</v>
      </c>
      <c r="Q151" s="332">
        <f>Gasto_o_ing_per_capita!Q151*100/Gasto_o_ing_per_capita!$D151</f>
        <v>0</v>
      </c>
      <c r="R151" s="332">
        <f>Gasto_o_ing_per_capita!R151*100/Gasto_o_ing_per_capita!$D151</f>
        <v>0</v>
      </c>
      <c r="S151" s="332">
        <f>Gasto_o_ing_per_capita!S151*100/Gasto_o_ing_per_capita!$D151</f>
        <v>2728.5071793295356</v>
      </c>
      <c r="T151" s="332">
        <f>Gasto_o_ing_per_capita!T151*100/Gasto_o_ing_per_capita!$D151</f>
        <v>1334.6975385027054</v>
      </c>
      <c r="U151" s="332">
        <f>Gasto_o_ing_per_capita!U151*100/Gasto_o_ing_per_capita!$D151</f>
        <v>0</v>
      </c>
      <c r="V151" s="332">
        <f>Gasto_o_ing_per_capita!V151*100/Gasto_o_ing_per_capita!$D151</f>
        <v>0</v>
      </c>
    </row>
    <row r="152" spans="1:22" s="102" customFormat="1">
      <c r="A152" s="351" t="str">
        <f>IF(B152="","",(IF(ISERROR(MATCH(B152,Tot_res!C:C,0)),"Eliminar!!!","")))</f>
        <v/>
      </c>
      <c r="B152" s="115" t="s">
        <v>215</v>
      </c>
      <c r="C152" s="330" t="str">
        <f>VLOOKUP(B152,Tot_res!C:D,2,FALSE)</f>
        <v xml:space="preserve"> IVA, ingresos comunidades forales</v>
      </c>
      <c r="D152" s="332">
        <f>Gasto_o_ing_per_capita!D152*100/Gasto_o_ing_per_capita!$D152</f>
        <v>100</v>
      </c>
      <c r="E152" s="332">
        <f>Gasto_o_ing_per_capita!E152*100/Gasto_o_ing_per_capita!$D152</f>
        <v>0</v>
      </c>
      <c r="F152" s="332">
        <f>Gasto_o_ing_per_capita!F152*100/Gasto_o_ing_per_capita!$D152</f>
        <v>0</v>
      </c>
      <c r="G152" s="332">
        <f>Gasto_o_ing_per_capita!G152*100/Gasto_o_ing_per_capita!$D152</f>
        <v>0</v>
      </c>
      <c r="H152" s="332">
        <f>Gasto_o_ing_per_capita!H152*100/Gasto_o_ing_per_capita!$D152</f>
        <v>0</v>
      </c>
      <c r="I152" s="332">
        <f>Gasto_o_ing_per_capita!I152*100/Gasto_o_ing_per_capita!$D152</f>
        <v>0</v>
      </c>
      <c r="J152" s="332">
        <f>Gasto_o_ing_per_capita!J152*100/Gasto_o_ing_per_capita!$D152</f>
        <v>0</v>
      </c>
      <c r="K152" s="332">
        <f>Gasto_o_ing_per_capita!K152*100/Gasto_o_ing_per_capita!$D152</f>
        <v>0</v>
      </c>
      <c r="L152" s="332">
        <f>Gasto_o_ing_per_capita!L152*100/Gasto_o_ing_per_capita!$D152</f>
        <v>0</v>
      </c>
      <c r="M152" s="332">
        <f>Gasto_o_ing_per_capita!M152*100/Gasto_o_ing_per_capita!$D152</f>
        <v>0</v>
      </c>
      <c r="N152" s="332">
        <f>Gasto_o_ing_per_capita!N152*100/Gasto_o_ing_per_capita!$D152</f>
        <v>0</v>
      </c>
      <c r="O152" s="332">
        <f>Gasto_o_ing_per_capita!O152*100/Gasto_o_ing_per_capita!$D152</f>
        <v>0</v>
      </c>
      <c r="P152" s="332">
        <f>Gasto_o_ing_per_capita!P152*100/Gasto_o_ing_per_capita!$D152</f>
        <v>0</v>
      </c>
      <c r="Q152" s="332">
        <f>Gasto_o_ing_per_capita!Q152*100/Gasto_o_ing_per_capita!$D152</f>
        <v>0</v>
      </c>
      <c r="R152" s="332">
        <f>Gasto_o_ing_per_capita!R152*100/Gasto_o_ing_per_capita!$D152</f>
        <v>0</v>
      </c>
      <c r="S152" s="332">
        <f>Gasto_o_ing_per_capita!S152*100/Gasto_o_ing_per_capita!$D152</f>
        <v>1357.2065842265342</v>
      </c>
      <c r="T152" s="332">
        <f>Gasto_o_ing_per_capita!T152*100/Gasto_o_ing_per_capita!$D152</f>
        <v>1736.00035097521</v>
      </c>
      <c r="U152" s="332">
        <f>Gasto_o_ing_per_capita!U152*100/Gasto_o_ing_per_capita!$D152</f>
        <v>0</v>
      </c>
      <c r="V152" s="332">
        <f>Gasto_o_ing_per_capita!V152*100/Gasto_o_ing_per_capita!$D152</f>
        <v>0</v>
      </c>
    </row>
    <row r="153" spans="1:22" s="102" customFormat="1" ht="25.5">
      <c r="A153" s="351" t="str">
        <f>IF(B153="","",(IF(ISERROR(MATCH(B153,Tot_res!C:C,0)),"Eliminar!!!","")))</f>
        <v/>
      </c>
      <c r="B153" s="115" t="s">
        <v>1091</v>
      </c>
      <c r="C153" s="330" t="str">
        <f>VLOOKUP(B153,Tot_res!C:D,2,FALSE)</f>
        <v>Imp. Especiales (incl. Matriculación y electricidad),  sin ejercicio de la capacidad normativa en el IH</v>
      </c>
      <c r="D153" s="332">
        <f>Gasto_o_ing_per_capita!D153*100/Gasto_o_ing_per_capita!$D153</f>
        <v>100</v>
      </c>
      <c r="E153" s="332">
        <f>Gasto_o_ing_per_capita!E153*100/Gasto_o_ing_per_capita!$D153</f>
        <v>0</v>
      </c>
      <c r="F153" s="332">
        <f>Gasto_o_ing_per_capita!F153*100/Gasto_o_ing_per_capita!$D153</f>
        <v>0</v>
      </c>
      <c r="G153" s="332">
        <f>Gasto_o_ing_per_capita!G153*100/Gasto_o_ing_per_capita!$D153</f>
        <v>0</v>
      </c>
      <c r="H153" s="332">
        <f>Gasto_o_ing_per_capita!H153*100/Gasto_o_ing_per_capita!$D153</f>
        <v>0</v>
      </c>
      <c r="I153" s="332">
        <f>Gasto_o_ing_per_capita!I153*100/Gasto_o_ing_per_capita!$D153</f>
        <v>0</v>
      </c>
      <c r="J153" s="332">
        <f>Gasto_o_ing_per_capita!J153*100/Gasto_o_ing_per_capita!$D153</f>
        <v>0</v>
      </c>
      <c r="K153" s="332">
        <f>Gasto_o_ing_per_capita!K153*100/Gasto_o_ing_per_capita!$D153</f>
        <v>0</v>
      </c>
      <c r="L153" s="332">
        <f>Gasto_o_ing_per_capita!L153*100/Gasto_o_ing_per_capita!$D153</f>
        <v>0</v>
      </c>
      <c r="M153" s="332">
        <f>Gasto_o_ing_per_capita!M153*100/Gasto_o_ing_per_capita!$D153</f>
        <v>0</v>
      </c>
      <c r="N153" s="332">
        <f>Gasto_o_ing_per_capita!N153*100/Gasto_o_ing_per_capita!$D153</f>
        <v>0</v>
      </c>
      <c r="O153" s="332">
        <f>Gasto_o_ing_per_capita!O153*100/Gasto_o_ing_per_capita!$D153</f>
        <v>0</v>
      </c>
      <c r="P153" s="332">
        <f>Gasto_o_ing_per_capita!P153*100/Gasto_o_ing_per_capita!$D153</f>
        <v>0</v>
      </c>
      <c r="Q153" s="332">
        <f>Gasto_o_ing_per_capita!Q153*100/Gasto_o_ing_per_capita!$D153</f>
        <v>0</v>
      </c>
      <c r="R153" s="332">
        <f>Gasto_o_ing_per_capita!R153*100/Gasto_o_ing_per_capita!$D153</f>
        <v>0</v>
      </c>
      <c r="S153" s="332">
        <f>Gasto_o_ing_per_capita!S153*100/Gasto_o_ing_per_capita!$D153</f>
        <v>1649.3290806551236</v>
      </c>
      <c r="T153" s="332">
        <f>Gasto_o_ing_per_capita!T153*100/Gasto_o_ing_per_capita!$D153</f>
        <v>1650.5124719340165</v>
      </c>
      <c r="U153" s="332">
        <f>Gasto_o_ing_per_capita!U153*100/Gasto_o_ing_per_capita!$D153</f>
        <v>0</v>
      </c>
      <c r="V153" s="332">
        <f>Gasto_o_ing_per_capita!V153*100/Gasto_o_ing_per_capita!$D153</f>
        <v>0</v>
      </c>
    </row>
    <row r="154" spans="1:22" s="102" customFormat="1">
      <c r="A154" s="351" t="str">
        <f>IF(B154="","",(IF(ISERROR(MATCH(B154,Tot_res!C:C,0)),"Eliminar!!!","")))</f>
        <v/>
      </c>
      <c r="B154" s="115" t="s">
        <v>216</v>
      </c>
      <c r="C154" s="330" t="str">
        <f>VLOOKUP(B154,Tot_res!C:D,2,FALSE)</f>
        <v>Primas de seguross, ingresos comunidades forales</v>
      </c>
      <c r="D154" s="332">
        <f>Gasto_o_ing_per_capita!D154*100/Gasto_o_ing_per_capita!$D154</f>
        <v>100</v>
      </c>
      <c r="E154" s="332">
        <f>Gasto_o_ing_per_capita!E154*100/Gasto_o_ing_per_capita!$D154</f>
        <v>0</v>
      </c>
      <c r="F154" s="332">
        <f>Gasto_o_ing_per_capita!F154*100/Gasto_o_ing_per_capita!$D154</f>
        <v>0</v>
      </c>
      <c r="G154" s="332">
        <f>Gasto_o_ing_per_capita!G154*100/Gasto_o_ing_per_capita!$D154</f>
        <v>0</v>
      </c>
      <c r="H154" s="332">
        <f>Gasto_o_ing_per_capita!H154*100/Gasto_o_ing_per_capita!$D154</f>
        <v>0</v>
      </c>
      <c r="I154" s="332">
        <f>Gasto_o_ing_per_capita!I154*100/Gasto_o_ing_per_capita!$D154</f>
        <v>0</v>
      </c>
      <c r="J154" s="332">
        <f>Gasto_o_ing_per_capita!J154*100/Gasto_o_ing_per_capita!$D154</f>
        <v>0</v>
      </c>
      <c r="K154" s="332">
        <f>Gasto_o_ing_per_capita!K154*100/Gasto_o_ing_per_capita!$D154</f>
        <v>0</v>
      </c>
      <c r="L154" s="332">
        <f>Gasto_o_ing_per_capita!L154*100/Gasto_o_ing_per_capita!$D154</f>
        <v>0</v>
      </c>
      <c r="M154" s="332">
        <f>Gasto_o_ing_per_capita!M154*100/Gasto_o_ing_per_capita!$D154</f>
        <v>0</v>
      </c>
      <c r="N154" s="332">
        <f>Gasto_o_ing_per_capita!N154*100/Gasto_o_ing_per_capita!$D154</f>
        <v>0</v>
      </c>
      <c r="O154" s="332">
        <f>Gasto_o_ing_per_capita!O154*100/Gasto_o_ing_per_capita!$D154</f>
        <v>0</v>
      </c>
      <c r="P154" s="332">
        <f>Gasto_o_ing_per_capita!P154*100/Gasto_o_ing_per_capita!$D154</f>
        <v>0</v>
      </c>
      <c r="Q154" s="332">
        <f>Gasto_o_ing_per_capita!Q154*100/Gasto_o_ing_per_capita!$D154</f>
        <v>0</v>
      </c>
      <c r="R154" s="332">
        <f>Gasto_o_ing_per_capita!R154*100/Gasto_o_ing_per_capita!$D154</f>
        <v>0</v>
      </c>
      <c r="S154" s="332">
        <f>Gasto_o_ing_per_capita!S154*100/Gasto_o_ing_per_capita!$D154</f>
        <v>1596.8087153077336</v>
      </c>
      <c r="T154" s="332">
        <f>Gasto_o_ing_per_capita!T154*100/Gasto_o_ing_per_capita!$D154</f>
        <v>1665.8822387096288</v>
      </c>
      <c r="U154" s="332">
        <f>Gasto_o_ing_per_capita!U154*100/Gasto_o_ing_per_capita!$D154</f>
        <v>0</v>
      </c>
      <c r="V154" s="332">
        <f>Gasto_o_ing_per_capita!V154*100/Gasto_o_ing_per_capita!$D154</f>
        <v>0</v>
      </c>
    </row>
    <row r="155" spans="1:22" s="102" customFormat="1" ht="25.5">
      <c r="A155" s="351" t="str">
        <f>IF(B155="","",(IF(ISERROR(MATCH(B155,Tot_res!C:C,0)),"Eliminar!!!","")))</f>
        <v/>
      </c>
      <c r="B155" s="115" t="s">
        <v>959</v>
      </c>
      <c r="C155" s="330" t="str">
        <f>VLOOKUP(B155,Tot_res!C:D,2,FALSE)</f>
        <v>Sucesiones y donaciones, ingresos homogeneizados de las comunidades forales</v>
      </c>
      <c r="D155" s="332">
        <f>Gasto_o_ing_per_capita!D155*100/Gasto_o_ing_per_capita!$D155</f>
        <v>100</v>
      </c>
      <c r="E155" s="332">
        <f>Gasto_o_ing_per_capita!E155*100/Gasto_o_ing_per_capita!$D155</f>
        <v>0</v>
      </c>
      <c r="F155" s="332">
        <f>Gasto_o_ing_per_capita!F155*100/Gasto_o_ing_per_capita!$D155</f>
        <v>0</v>
      </c>
      <c r="G155" s="332">
        <f>Gasto_o_ing_per_capita!G155*100/Gasto_o_ing_per_capita!$D155</f>
        <v>0</v>
      </c>
      <c r="H155" s="332">
        <f>Gasto_o_ing_per_capita!H155*100/Gasto_o_ing_per_capita!$D155</f>
        <v>0</v>
      </c>
      <c r="I155" s="332">
        <f>Gasto_o_ing_per_capita!I155*100/Gasto_o_ing_per_capita!$D155</f>
        <v>0</v>
      </c>
      <c r="J155" s="332">
        <f>Gasto_o_ing_per_capita!J155*100/Gasto_o_ing_per_capita!$D155</f>
        <v>0</v>
      </c>
      <c r="K155" s="332">
        <f>Gasto_o_ing_per_capita!K155*100/Gasto_o_ing_per_capita!$D155</f>
        <v>0</v>
      </c>
      <c r="L155" s="332">
        <f>Gasto_o_ing_per_capita!L155*100/Gasto_o_ing_per_capita!$D155</f>
        <v>0</v>
      </c>
      <c r="M155" s="332">
        <f>Gasto_o_ing_per_capita!M155*100/Gasto_o_ing_per_capita!$D155</f>
        <v>0</v>
      </c>
      <c r="N155" s="332">
        <f>Gasto_o_ing_per_capita!N155*100/Gasto_o_ing_per_capita!$D155</f>
        <v>0</v>
      </c>
      <c r="O155" s="332">
        <f>Gasto_o_ing_per_capita!O155*100/Gasto_o_ing_per_capita!$D155</f>
        <v>0</v>
      </c>
      <c r="P155" s="332">
        <f>Gasto_o_ing_per_capita!P155*100/Gasto_o_ing_per_capita!$D155</f>
        <v>0</v>
      </c>
      <c r="Q155" s="332">
        <f>Gasto_o_ing_per_capita!Q155*100/Gasto_o_ing_per_capita!$D155</f>
        <v>0</v>
      </c>
      <c r="R155" s="332">
        <f>Gasto_o_ing_per_capita!R155*100/Gasto_o_ing_per_capita!$D155</f>
        <v>0</v>
      </c>
      <c r="S155" s="332">
        <f>Gasto_o_ing_per_capita!S155*100/Gasto_o_ing_per_capita!$D155</f>
        <v>1493.989382839743</v>
      </c>
      <c r="T155" s="332">
        <f>Gasto_o_ing_per_capita!T155*100/Gasto_o_ing_per_capita!$D155</f>
        <v>1695.9716935259528</v>
      </c>
      <c r="U155" s="332">
        <f>Gasto_o_ing_per_capita!U155*100/Gasto_o_ing_per_capita!$D155</f>
        <v>0</v>
      </c>
      <c r="V155" s="332">
        <f>Gasto_o_ing_per_capita!V155*100/Gasto_o_ing_per_capita!$D155</f>
        <v>0</v>
      </c>
    </row>
    <row r="156" spans="1:22" s="102" customFormat="1" ht="25.5">
      <c r="A156" s="351" t="str">
        <f>IF(B156="","",(IF(ISERROR(MATCH(B156,Tot_res!C:C,0)),"Eliminar!!!","")))</f>
        <v/>
      </c>
      <c r="B156" s="115" t="s">
        <v>1081</v>
      </c>
      <c r="C156" s="330" t="str">
        <f>VLOOKUP(B156,Tot_res!C:D,2,FALSE)</f>
        <v>Venta minorista de hidrocarburos (IVMH), ingresos de las comunidades forales</v>
      </c>
      <c r="D156" s="332">
        <f>Gasto_o_ing_per_capita!D156*100/Gasto_o_ing_per_capita!$D156</f>
        <v>100</v>
      </c>
      <c r="E156" s="332">
        <f>Gasto_o_ing_per_capita!E156*100/Gasto_o_ing_per_capita!$D156</f>
        <v>0</v>
      </c>
      <c r="F156" s="332">
        <f>Gasto_o_ing_per_capita!F156*100/Gasto_o_ing_per_capita!$D156</f>
        <v>0</v>
      </c>
      <c r="G156" s="332">
        <f>Gasto_o_ing_per_capita!G156*100/Gasto_o_ing_per_capita!$D156</f>
        <v>0</v>
      </c>
      <c r="H156" s="332">
        <f>Gasto_o_ing_per_capita!H156*100/Gasto_o_ing_per_capita!$D156</f>
        <v>0</v>
      </c>
      <c r="I156" s="332">
        <f>Gasto_o_ing_per_capita!I156*100/Gasto_o_ing_per_capita!$D156</f>
        <v>0</v>
      </c>
      <c r="J156" s="332">
        <f>Gasto_o_ing_per_capita!J156*100/Gasto_o_ing_per_capita!$D156</f>
        <v>0</v>
      </c>
      <c r="K156" s="332">
        <f>Gasto_o_ing_per_capita!K156*100/Gasto_o_ing_per_capita!$D156</f>
        <v>0</v>
      </c>
      <c r="L156" s="332">
        <f>Gasto_o_ing_per_capita!L156*100/Gasto_o_ing_per_capita!$D156</f>
        <v>0</v>
      </c>
      <c r="M156" s="332">
        <f>Gasto_o_ing_per_capita!M156*100/Gasto_o_ing_per_capita!$D156</f>
        <v>0</v>
      </c>
      <c r="N156" s="332">
        <f>Gasto_o_ing_per_capita!N156*100/Gasto_o_ing_per_capita!$D156</f>
        <v>0</v>
      </c>
      <c r="O156" s="332">
        <f>Gasto_o_ing_per_capita!O156*100/Gasto_o_ing_per_capita!$D156</f>
        <v>0</v>
      </c>
      <c r="P156" s="332">
        <f>Gasto_o_ing_per_capita!P156*100/Gasto_o_ing_per_capita!$D156</f>
        <v>0</v>
      </c>
      <c r="Q156" s="332">
        <f>Gasto_o_ing_per_capita!Q156*100/Gasto_o_ing_per_capita!$D156</f>
        <v>0</v>
      </c>
      <c r="R156" s="332">
        <f>Gasto_o_ing_per_capita!R156*100/Gasto_o_ing_per_capita!$D156</f>
        <v>0</v>
      </c>
      <c r="S156" s="332">
        <f>Gasto_o_ing_per_capita!S156*100/Gasto_o_ing_per_capita!$D156</f>
        <v>9299.5736161743425</v>
      </c>
      <c r="T156" s="332">
        <f>Gasto_o_ing_per_capita!T156*100/Gasto_o_ing_per_capita!$D156</f>
        <v>-588.28524985627473</v>
      </c>
      <c r="U156" s="332">
        <f>Gasto_o_ing_per_capita!U156*100/Gasto_o_ing_per_capita!$D156</f>
        <v>0</v>
      </c>
      <c r="V156" s="332">
        <f>Gasto_o_ing_per_capita!V156*100/Gasto_o_ing_per_capita!$D156</f>
        <v>0</v>
      </c>
    </row>
    <row r="157" spans="1:22" s="102" customFormat="1">
      <c r="A157" s="351" t="str">
        <f>IF(B157="","",(IF(ISERROR(MATCH(B157,Tot_res!C:C,0)),"Eliminar!!!","")))</f>
        <v/>
      </c>
      <c r="B157" s="115" t="s">
        <v>960</v>
      </c>
      <c r="C157" s="330" t="str">
        <f>VLOOKUP(B157,Tot_res!C:D,2,FALSE)</f>
        <v>ITP y AJD, ingresos homogeneizados de las comunidades forales</v>
      </c>
      <c r="D157" s="332">
        <f>Gasto_o_ing_per_capita!D157*100/Gasto_o_ing_per_capita!$D157</f>
        <v>100.00000000000001</v>
      </c>
      <c r="E157" s="332">
        <f>Gasto_o_ing_per_capita!E157*100/Gasto_o_ing_per_capita!$D157</f>
        <v>0</v>
      </c>
      <c r="F157" s="332">
        <f>Gasto_o_ing_per_capita!F157*100/Gasto_o_ing_per_capita!$D157</f>
        <v>0</v>
      </c>
      <c r="G157" s="332">
        <f>Gasto_o_ing_per_capita!G157*100/Gasto_o_ing_per_capita!$D157</f>
        <v>0</v>
      </c>
      <c r="H157" s="332">
        <f>Gasto_o_ing_per_capita!H157*100/Gasto_o_ing_per_capita!$D157</f>
        <v>0</v>
      </c>
      <c r="I157" s="332">
        <f>Gasto_o_ing_per_capita!I157*100/Gasto_o_ing_per_capita!$D157</f>
        <v>0</v>
      </c>
      <c r="J157" s="332">
        <f>Gasto_o_ing_per_capita!J157*100/Gasto_o_ing_per_capita!$D157</f>
        <v>0</v>
      </c>
      <c r="K157" s="332">
        <f>Gasto_o_ing_per_capita!K157*100/Gasto_o_ing_per_capita!$D157</f>
        <v>0</v>
      </c>
      <c r="L157" s="332">
        <f>Gasto_o_ing_per_capita!L157*100/Gasto_o_ing_per_capita!$D157</f>
        <v>0</v>
      </c>
      <c r="M157" s="332">
        <f>Gasto_o_ing_per_capita!M157*100/Gasto_o_ing_per_capita!$D157</f>
        <v>0</v>
      </c>
      <c r="N157" s="332">
        <f>Gasto_o_ing_per_capita!N157*100/Gasto_o_ing_per_capita!$D157</f>
        <v>0</v>
      </c>
      <c r="O157" s="332">
        <f>Gasto_o_ing_per_capita!O157*100/Gasto_o_ing_per_capita!$D157</f>
        <v>0</v>
      </c>
      <c r="P157" s="332">
        <f>Gasto_o_ing_per_capita!P157*100/Gasto_o_ing_per_capita!$D157</f>
        <v>0</v>
      </c>
      <c r="Q157" s="332">
        <f>Gasto_o_ing_per_capita!Q157*100/Gasto_o_ing_per_capita!$D157</f>
        <v>0</v>
      </c>
      <c r="R157" s="332">
        <f>Gasto_o_ing_per_capita!R157*100/Gasto_o_ing_per_capita!$D157</f>
        <v>0</v>
      </c>
      <c r="S157" s="332">
        <f>Gasto_o_ing_per_capita!S157*100/Gasto_o_ing_per_capita!$D157</f>
        <v>1595.8873819449759</v>
      </c>
      <c r="T157" s="332">
        <f>Gasto_o_ing_per_capita!T157*100/Gasto_o_ing_per_capita!$D157</f>
        <v>1666.1518613372421</v>
      </c>
      <c r="U157" s="332">
        <f>Gasto_o_ing_per_capita!U157*100/Gasto_o_ing_per_capita!$D157</f>
        <v>0</v>
      </c>
      <c r="V157" s="332">
        <f>Gasto_o_ing_per_capita!V157*100/Gasto_o_ing_per_capita!$D157</f>
        <v>0</v>
      </c>
    </row>
    <row r="158" spans="1:22" s="102" customFormat="1">
      <c r="A158" s="351" t="str">
        <f>IF(B158="","",(IF(ISERROR(MATCH(B158,Tot_res!C:C,0)),"Eliminar!!!","")))</f>
        <v/>
      </c>
      <c r="B158" s="115" t="s">
        <v>961</v>
      </c>
      <c r="C158" s="330" t="str">
        <f>VLOOKUP(B158,Tot_res!C:D,2,FALSE)</f>
        <v>Tasas juego, ingresos homogeneizados de las comunidades forales</v>
      </c>
      <c r="D158" s="332">
        <f>Gasto_o_ing_per_capita!D158*100/Gasto_o_ing_per_capita!$D158</f>
        <v>100</v>
      </c>
      <c r="E158" s="332">
        <f>Gasto_o_ing_per_capita!E158*100/Gasto_o_ing_per_capita!$D158</f>
        <v>0</v>
      </c>
      <c r="F158" s="332">
        <f>Gasto_o_ing_per_capita!F158*100/Gasto_o_ing_per_capita!$D158</f>
        <v>0</v>
      </c>
      <c r="G158" s="332">
        <f>Gasto_o_ing_per_capita!G158*100/Gasto_o_ing_per_capita!$D158</f>
        <v>0</v>
      </c>
      <c r="H158" s="332">
        <f>Gasto_o_ing_per_capita!H158*100/Gasto_o_ing_per_capita!$D158</f>
        <v>0</v>
      </c>
      <c r="I158" s="332">
        <f>Gasto_o_ing_per_capita!I158*100/Gasto_o_ing_per_capita!$D158</f>
        <v>0</v>
      </c>
      <c r="J158" s="332">
        <f>Gasto_o_ing_per_capita!J158*100/Gasto_o_ing_per_capita!$D158</f>
        <v>0</v>
      </c>
      <c r="K158" s="332">
        <f>Gasto_o_ing_per_capita!K158*100/Gasto_o_ing_per_capita!$D158</f>
        <v>0</v>
      </c>
      <c r="L158" s="332">
        <f>Gasto_o_ing_per_capita!L158*100/Gasto_o_ing_per_capita!$D158</f>
        <v>0</v>
      </c>
      <c r="M158" s="332">
        <f>Gasto_o_ing_per_capita!M158*100/Gasto_o_ing_per_capita!$D158</f>
        <v>0</v>
      </c>
      <c r="N158" s="332">
        <f>Gasto_o_ing_per_capita!N158*100/Gasto_o_ing_per_capita!$D158</f>
        <v>0</v>
      </c>
      <c r="O158" s="332">
        <f>Gasto_o_ing_per_capita!O158*100/Gasto_o_ing_per_capita!$D158</f>
        <v>0</v>
      </c>
      <c r="P158" s="332">
        <f>Gasto_o_ing_per_capita!P158*100/Gasto_o_ing_per_capita!$D158</f>
        <v>0</v>
      </c>
      <c r="Q158" s="332">
        <f>Gasto_o_ing_per_capita!Q158*100/Gasto_o_ing_per_capita!$D158</f>
        <v>0</v>
      </c>
      <c r="R158" s="332">
        <f>Gasto_o_ing_per_capita!R158*100/Gasto_o_ing_per_capita!$D158</f>
        <v>0</v>
      </c>
      <c r="S158" s="332">
        <f>Gasto_o_ing_per_capita!S158*100/Gasto_o_ing_per_capita!$D158</f>
        <v>1935.4029507583157</v>
      </c>
      <c r="T158" s="332">
        <f>Gasto_o_ing_per_capita!T158*100/Gasto_o_ing_per_capita!$D158</f>
        <v>1566.7946867472597</v>
      </c>
      <c r="U158" s="332">
        <f>Gasto_o_ing_per_capita!U158*100/Gasto_o_ing_per_capita!$D158</f>
        <v>0</v>
      </c>
      <c r="V158" s="332">
        <f>Gasto_o_ing_per_capita!V158*100/Gasto_o_ing_per_capita!$D158</f>
        <v>0</v>
      </c>
    </row>
    <row r="159" spans="1:22" s="102" customFormat="1" ht="25.5">
      <c r="A159" s="351" t="str">
        <f>IF(B159="","",(IF(ISERROR(MATCH(B159,Tot_res!C:C,0)),"Eliminar!!!","")))</f>
        <v/>
      </c>
      <c r="B159" s="115" t="s">
        <v>1201</v>
      </c>
      <c r="C159" s="330" t="str">
        <f>VLOOKUP(B159,Tot_res!C:D,2,FALSE)</f>
        <v xml:space="preserve"> Impuesto sobre la actividad de juego. Ingresos homogeneizados. Régimen foral</v>
      </c>
      <c r="D159" s="332">
        <f>Gasto_o_ing_per_capita!D159*100/Gasto_o_ing_per_capita!$D159</f>
        <v>100</v>
      </c>
      <c r="E159" s="332">
        <f>Gasto_o_ing_per_capita!E159*100/Gasto_o_ing_per_capita!$D159</f>
        <v>0</v>
      </c>
      <c r="F159" s="332">
        <f>Gasto_o_ing_per_capita!F159*100/Gasto_o_ing_per_capita!$D159</f>
        <v>0</v>
      </c>
      <c r="G159" s="332">
        <f>Gasto_o_ing_per_capita!G159*100/Gasto_o_ing_per_capita!$D159</f>
        <v>0</v>
      </c>
      <c r="H159" s="332">
        <f>Gasto_o_ing_per_capita!H159*100/Gasto_o_ing_per_capita!$D159</f>
        <v>0</v>
      </c>
      <c r="I159" s="332">
        <f>Gasto_o_ing_per_capita!I159*100/Gasto_o_ing_per_capita!$D159</f>
        <v>0</v>
      </c>
      <c r="J159" s="332">
        <f>Gasto_o_ing_per_capita!J159*100/Gasto_o_ing_per_capita!$D159</f>
        <v>0</v>
      </c>
      <c r="K159" s="332">
        <f>Gasto_o_ing_per_capita!K159*100/Gasto_o_ing_per_capita!$D159</f>
        <v>0</v>
      </c>
      <c r="L159" s="332">
        <f>Gasto_o_ing_per_capita!L159*100/Gasto_o_ing_per_capita!$D159</f>
        <v>0</v>
      </c>
      <c r="M159" s="332">
        <f>Gasto_o_ing_per_capita!M159*100/Gasto_o_ing_per_capita!$D159</f>
        <v>0</v>
      </c>
      <c r="N159" s="332">
        <f>Gasto_o_ing_per_capita!N159*100/Gasto_o_ing_per_capita!$D159</f>
        <v>0</v>
      </c>
      <c r="O159" s="332">
        <f>Gasto_o_ing_per_capita!O159*100/Gasto_o_ing_per_capita!$D159</f>
        <v>0</v>
      </c>
      <c r="P159" s="332">
        <f>Gasto_o_ing_per_capita!P159*100/Gasto_o_ing_per_capita!$D159</f>
        <v>0</v>
      </c>
      <c r="Q159" s="332">
        <f>Gasto_o_ing_per_capita!Q159*100/Gasto_o_ing_per_capita!$D159</f>
        <v>0</v>
      </c>
      <c r="R159" s="332">
        <f>Gasto_o_ing_per_capita!R159*100/Gasto_o_ing_per_capita!$D159</f>
        <v>0</v>
      </c>
      <c r="S159" s="332">
        <f>Gasto_o_ing_per_capita!S159*100/Gasto_o_ing_per_capita!$D159</f>
        <v>1256.3609549924004</v>
      </c>
      <c r="T159" s="332">
        <f>Gasto_o_ing_per_capita!T159*100/Gasto_o_ing_per_capita!$D159</f>
        <v>1765.5122134958981</v>
      </c>
      <c r="U159" s="332">
        <f>Gasto_o_ing_per_capita!U159*100/Gasto_o_ing_per_capita!$D159</f>
        <v>0</v>
      </c>
      <c r="V159" s="332">
        <f>Gasto_o_ing_per_capita!V159*100/Gasto_o_ing_per_capita!$D159</f>
        <v>0</v>
      </c>
    </row>
    <row r="160" spans="1:22" s="102" customFormat="1">
      <c r="A160" s="351" t="str">
        <f>IF(B160="","",(IF(ISERROR(MATCH(B160,Tot_res!C:C,0)),"Eliminar!!!","")))</f>
        <v/>
      </c>
      <c r="B160" s="115" t="s">
        <v>1203</v>
      </c>
      <c r="C160" s="330" t="str">
        <f>VLOOKUP(B160,Tot_res!C:D,2,FALSE)</f>
        <v>Impuestos medioambientales. Ingresos homogeneizados. Régimen foral</v>
      </c>
      <c r="D160" s="332">
        <f>Gasto_o_ing_per_capita!D160*100/Gasto_o_ing_per_capita!$D160</f>
        <v>100</v>
      </c>
      <c r="E160" s="332">
        <f>Gasto_o_ing_per_capita!E160*100/Gasto_o_ing_per_capita!$D160</f>
        <v>0</v>
      </c>
      <c r="F160" s="332">
        <f>Gasto_o_ing_per_capita!F160*100/Gasto_o_ing_per_capita!$D160</f>
        <v>0</v>
      </c>
      <c r="G160" s="332">
        <f>Gasto_o_ing_per_capita!G160*100/Gasto_o_ing_per_capita!$D160</f>
        <v>0</v>
      </c>
      <c r="H160" s="332">
        <f>Gasto_o_ing_per_capita!H160*100/Gasto_o_ing_per_capita!$D160</f>
        <v>0</v>
      </c>
      <c r="I160" s="332">
        <f>Gasto_o_ing_per_capita!I160*100/Gasto_o_ing_per_capita!$D160</f>
        <v>0</v>
      </c>
      <c r="J160" s="332">
        <f>Gasto_o_ing_per_capita!J160*100/Gasto_o_ing_per_capita!$D160</f>
        <v>0</v>
      </c>
      <c r="K160" s="332">
        <f>Gasto_o_ing_per_capita!K160*100/Gasto_o_ing_per_capita!$D160</f>
        <v>0</v>
      </c>
      <c r="L160" s="332">
        <f>Gasto_o_ing_per_capita!L160*100/Gasto_o_ing_per_capita!$D160</f>
        <v>0</v>
      </c>
      <c r="M160" s="332">
        <f>Gasto_o_ing_per_capita!M160*100/Gasto_o_ing_per_capita!$D160</f>
        <v>0</v>
      </c>
      <c r="N160" s="332">
        <f>Gasto_o_ing_per_capita!N160*100/Gasto_o_ing_per_capita!$D160</f>
        <v>0</v>
      </c>
      <c r="O160" s="332">
        <f>Gasto_o_ing_per_capita!O160*100/Gasto_o_ing_per_capita!$D160</f>
        <v>0</v>
      </c>
      <c r="P160" s="332">
        <f>Gasto_o_ing_per_capita!P160*100/Gasto_o_ing_per_capita!$D160</f>
        <v>0</v>
      </c>
      <c r="Q160" s="332">
        <f>Gasto_o_ing_per_capita!Q160*100/Gasto_o_ing_per_capita!$D160</f>
        <v>0</v>
      </c>
      <c r="R160" s="332">
        <f>Gasto_o_ing_per_capita!R160*100/Gasto_o_ing_per_capita!$D160</f>
        <v>0</v>
      </c>
      <c r="S160" s="332">
        <f>Gasto_o_ing_per_capita!S160*100/Gasto_o_ing_per_capita!$D160</f>
        <v>2291.9295343138601</v>
      </c>
      <c r="T160" s="332">
        <f>Gasto_o_ing_per_capita!T160*100/Gasto_o_ing_per_capita!$D160</f>
        <v>1462.4593417375781</v>
      </c>
      <c r="U160" s="332">
        <f>Gasto_o_ing_per_capita!U160*100/Gasto_o_ing_per_capita!$D160</f>
        <v>0</v>
      </c>
      <c r="V160" s="332">
        <f>Gasto_o_ing_per_capita!V160*100/Gasto_o_ing_per_capita!$D160</f>
        <v>0</v>
      </c>
    </row>
    <row r="161" spans="1:22" s="102" customFormat="1">
      <c r="A161" s="351" t="str">
        <f>IF(B161="","",(IF(ISERROR(MATCH(B161,Tot_res!C:C,0)),"Eliminar!!!","")))</f>
        <v/>
      </c>
      <c r="B161" s="115" t="s">
        <v>1205</v>
      </c>
      <c r="C161" s="330" t="str">
        <f>VLOOKUP(B161,Tot_res!C:D,2,FALSE)</f>
        <v>Impuestos sobre gases fluorados. Ingresos homogeneizados. Régimen foral</v>
      </c>
      <c r="D161" s="332">
        <f>Gasto_o_ing_per_capita!D161*100/Gasto_o_ing_per_capita!$D161</f>
        <v>100</v>
      </c>
      <c r="E161" s="332">
        <f>Gasto_o_ing_per_capita!E161*100/Gasto_o_ing_per_capita!$D161</f>
        <v>0</v>
      </c>
      <c r="F161" s="332">
        <f>Gasto_o_ing_per_capita!F161*100/Gasto_o_ing_per_capita!$D161</f>
        <v>0</v>
      </c>
      <c r="G161" s="332">
        <f>Gasto_o_ing_per_capita!G161*100/Gasto_o_ing_per_capita!$D161</f>
        <v>0</v>
      </c>
      <c r="H161" s="332">
        <f>Gasto_o_ing_per_capita!H161*100/Gasto_o_ing_per_capita!$D161</f>
        <v>0</v>
      </c>
      <c r="I161" s="332">
        <f>Gasto_o_ing_per_capita!I161*100/Gasto_o_ing_per_capita!$D161</f>
        <v>0</v>
      </c>
      <c r="J161" s="332">
        <f>Gasto_o_ing_per_capita!J161*100/Gasto_o_ing_per_capita!$D161</f>
        <v>0</v>
      </c>
      <c r="K161" s="332">
        <f>Gasto_o_ing_per_capita!K161*100/Gasto_o_ing_per_capita!$D161</f>
        <v>0</v>
      </c>
      <c r="L161" s="332">
        <f>Gasto_o_ing_per_capita!L161*100/Gasto_o_ing_per_capita!$D161</f>
        <v>0</v>
      </c>
      <c r="M161" s="332">
        <f>Gasto_o_ing_per_capita!M161*100/Gasto_o_ing_per_capita!$D161</f>
        <v>0</v>
      </c>
      <c r="N161" s="332">
        <f>Gasto_o_ing_per_capita!N161*100/Gasto_o_ing_per_capita!$D161</f>
        <v>0</v>
      </c>
      <c r="O161" s="332">
        <f>Gasto_o_ing_per_capita!O161*100/Gasto_o_ing_per_capita!$D161</f>
        <v>0</v>
      </c>
      <c r="P161" s="332">
        <f>Gasto_o_ing_per_capita!P161*100/Gasto_o_ing_per_capita!$D161</f>
        <v>0</v>
      </c>
      <c r="Q161" s="332">
        <f>Gasto_o_ing_per_capita!Q161*100/Gasto_o_ing_per_capita!$D161</f>
        <v>0</v>
      </c>
      <c r="R161" s="332">
        <f>Gasto_o_ing_per_capita!R161*100/Gasto_o_ing_per_capita!$D161</f>
        <v>0</v>
      </c>
      <c r="S161" s="332">
        <f>Gasto_o_ing_per_capita!S161*100/Gasto_o_ing_per_capita!$D161</f>
        <v>0</v>
      </c>
      <c r="T161" s="332">
        <f>Gasto_o_ing_per_capita!T161*100/Gasto_o_ing_per_capita!$D161</f>
        <v>2133.1786365395064</v>
      </c>
      <c r="U161" s="332">
        <f>Gasto_o_ing_per_capita!U161*100/Gasto_o_ing_per_capita!$D161</f>
        <v>0</v>
      </c>
      <c r="V161" s="332">
        <f>Gasto_o_ing_per_capita!V161*100/Gasto_o_ing_per_capita!$D161</f>
        <v>0</v>
      </c>
    </row>
    <row r="162" spans="1:22" s="102" customFormat="1">
      <c r="A162" s="351" t="str">
        <f>IF(B162="","",(IF(ISERROR(MATCH(B162,Tot_res!C:C,0)),"Eliminar!!!","")))</f>
        <v/>
      </c>
      <c r="B162" s="115" t="s">
        <v>1207</v>
      </c>
      <c r="C162" s="330" t="str">
        <f>VLOOKUP(B162,Tot_res!C:D,2,FALSE)</f>
        <v>Impuesto sobre depósitos de entidades de crédito. Régimen foral</v>
      </c>
      <c r="D162" s="332">
        <f>Gasto_o_ing_per_capita!D162*100/Gasto_o_ing_per_capita!$D162</f>
        <v>100</v>
      </c>
      <c r="E162" s="332">
        <f>Gasto_o_ing_per_capita!E162*100/Gasto_o_ing_per_capita!$D162</f>
        <v>0</v>
      </c>
      <c r="F162" s="332">
        <f>Gasto_o_ing_per_capita!F162*100/Gasto_o_ing_per_capita!$D162</f>
        <v>0</v>
      </c>
      <c r="G162" s="332">
        <f>Gasto_o_ing_per_capita!G162*100/Gasto_o_ing_per_capita!$D162</f>
        <v>0</v>
      </c>
      <c r="H162" s="332">
        <f>Gasto_o_ing_per_capita!H162*100/Gasto_o_ing_per_capita!$D162</f>
        <v>0</v>
      </c>
      <c r="I162" s="332">
        <f>Gasto_o_ing_per_capita!I162*100/Gasto_o_ing_per_capita!$D162</f>
        <v>0</v>
      </c>
      <c r="J162" s="332">
        <f>Gasto_o_ing_per_capita!J162*100/Gasto_o_ing_per_capita!$D162</f>
        <v>0</v>
      </c>
      <c r="K162" s="332">
        <f>Gasto_o_ing_per_capita!K162*100/Gasto_o_ing_per_capita!$D162</f>
        <v>0</v>
      </c>
      <c r="L162" s="332">
        <f>Gasto_o_ing_per_capita!L162*100/Gasto_o_ing_per_capita!$D162</f>
        <v>0</v>
      </c>
      <c r="M162" s="332">
        <f>Gasto_o_ing_per_capita!M162*100/Gasto_o_ing_per_capita!$D162</f>
        <v>0</v>
      </c>
      <c r="N162" s="332">
        <f>Gasto_o_ing_per_capita!N162*100/Gasto_o_ing_per_capita!$D162</f>
        <v>0</v>
      </c>
      <c r="O162" s="332">
        <f>Gasto_o_ing_per_capita!O162*100/Gasto_o_ing_per_capita!$D162</f>
        <v>0</v>
      </c>
      <c r="P162" s="332">
        <f>Gasto_o_ing_per_capita!P162*100/Gasto_o_ing_per_capita!$D162</f>
        <v>0</v>
      </c>
      <c r="Q162" s="332">
        <f>Gasto_o_ing_per_capita!Q162*100/Gasto_o_ing_per_capita!$D162</f>
        <v>0</v>
      </c>
      <c r="R162" s="332">
        <f>Gasto_o_ing_per_capita!R162*100/Gasto_o_ing_per_capita!$D162</f>
        <v>0</v>
      </c>
      <c r="S162" s="332">
        <f>Gasto_o_ing_per_capita!S162*100/Gasto_o_ing_per_capita!$D162</f>
        <v>0</v>
      </c>
      <c r="T162" s="332">
        <f>Gasto_o_ing_per_capita!T162*100/Gasto_o_ing_per_capita!$D162</f>
        <v>2133.178636539506</v>
      </c>
      <c r="U162" s="332">
        <f>Gasto_o_ing_per_capita!U162*100/Gasto_o_ing_per_capita!$D162</f>
        <v>0</v>
      </c>
      <c r="V162" s="332">
        <f>Gasto_o_ing_per_capita!V162*100/Gasto_o_ing_per_capita!$D162</f>
        <v>0</v>
      </c>
    </row>
    <row r="163" spans="1:22"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row>
    <row r="164" spans="1:22" s="102" customFormat="1" ht="13.5">
      <c r="A164" s="352"/>
      <c r="B164" s="137"/>
      <c r="C164" s="117" t="s">
        <v>5</v>
      </c>
      <c r="D164" s="113">
        <f>Gasto_o_ing_per_capita!D164*100/Gasto_o_ing_per_capita!$D164</f>
        <v>100</v>
      </c>
      <c r="E164" s="113">
        <f>Gasto_o_ing_per_capita!E164*100/Gasto_o_ing_per_capita!$D164</f>
        <v>0</v>
      </c>
      <c r="F164" s="113">
        <f>Gasto_o_ing_per_capita!F164*100/Gasto_o_ing_per_capita!$D164</f>
        <v>0</v>
      </c>
      <c r="G164" s="113">
        <f>Gasto_o_ing_per_capita!G164*100/Gasto_o_ing_per_capita!$D164</f>
        <v>0</v>
      </c>
      <c r="H164" s="113">
        <f>Gasto_o_ing_per_capita!H164*100/Gasto_o_ing_per_capita!$D164</f>
        <v>0</v>
      </c>
      <c r="I164" s="113">
        <f>Gasto_o_ing_per_capita!I164*100/Gasto_o_ing_per_capita!$D164</f>
        <v>0</v>
      </c>
      <c r="J164" s="113">
        <f>Gasto_o_ing_per_capita!J164*100/Gasto_o_ing_per_capita!$D164</f>
        <v>0</v>
      </c>
      <c r="K164" s="113">
        <f>Gasto_o_ing_per_capita!K164*100/Gasto_o_ing_per_capita!$D164</f>
        <v>0</v>
      </c>
      <c r="L164" s="113">
        <f>Gasto_o_ing_per_capita!L164*100/Gasto_o_ing_per_capita!$D164</f>
        <v>0</v>
      </c>
      <c r="M164" s="113">
        <f>Gasto_o_ing_per_capita!M164*100/Gasto_o_ing_per_capita!$D164</f>
        <v>0</v>
      </c>
      <c r="N164" s="113">
        <f>Gasto_o_ing_per_capita!N164*100/Gasto_o_ing_per_capita!$D164</f>
        <v>0</v>
      </c>
      <c r="O164" s="113">
        <f>Gasto_o_ing_per_capita!O164*100/Gasto_o_ing_per_capita!$D164</f>
        <v>0</v>
      </c>
      <c r="P164" s="113">
        <f>Gasto_o_ing_per_capita!P164*100/Gasto_o_ing_per_capita!$D164</f>
        <v>0</v>
      </c>
      <c r="Q164" s="113">
        <f>Gasto_o_ing_per_capita!Q164*100/Gasto_o_ing_per_capita!$D164</f>
        <v>0</v>
      </c>
      <c r="R164" s="113">
        <f>Gasto_o_ing_per_capita!R164*100/Gasto_o_ing_per_capita!$D164</f>
        <v>0</v>
      </c>
      <c r="S164" s="113">
        <f>Gasto_o_ing_per_capita!S164*100/Gasto_o_ing_per_capita!$D164</f>
        <v>2630.7535996049751</v>
      </c>
      <c r="T164" s="113">
        <f>Gasto_o_ing_per_capita!T164*100/Gasto_o_ing_per_capita!$D164</f>
        <v>1363.3045314645769</v>
      </c>
      <c r="U164" s="113">
        <f>Gasto_o_ing_per_capita!U164*100/Gasto_o_ing_per_capita!$D164</f>
        <v>0</v>
      </c>
      <c r="V164" s="113">
        <f>Gasto_o_ing_per_capita!V164*100/Gasto_o_ing_per_capita!$D164</f>
        <v>0</v>
      </c>
    </row>
    <row r="165" spans="1:22" s="102" customFormat="1">
      <c r="A165" s="351" t="str">
        <f>IF(B165="","",(IF(ISERROR(MATCH(B165,Tot_res!C:C,0)),"Eliminar!!!","")))</f>
        <v/>
      </c>
      <c r="B165" s="115" t="s">
        <v>984</v>
      </c>
      <c r="C165" s="330" t="str">
        <f>VLOOKUP(B165,Tot_res!C:D,2,FALSE)</f>
        <v xml:space="preserve"> Cupo y aportación, antes descuento por Y vasca</v>
      </c>
      <c r="D165" s="332">
        <f>Gasto_o_ing_per_capita!D165*100/Gasto_o_ing_per_capita!$D165</f>
        <v>100</v>
      </c>
      <c r="E165" s="332">
        <f>Gasto_o_ing_per_capita!E165*100/Gasto_o_ing_per_capita!$D165</f>
        <v>0</v>
      </c>
      <c r="F165" s="332">
        <f>Gasto_o_ing_per_capita!F165*100/Gasto_o_ing_per_capita!$D165</f>
        <v>0</v>
      </c>
      <c r="G165" s="332">
        <f>Gasto_o_ing_per_capita!G165*100/Gasto_o_ing_per_capita!$D165</f>
        <v>0</v>
      </c>
      <c r="H165" s="332">
        <f>Gasto_o_ing_per_capita!H165*100/Gasto_o_ing_per_capita!$D165</f>
        <v>0</v>
      </c>
      <c r="I165" s="332">
        <f>Gasto_o_ing_per_capita!I165*100/Gasto_o_ing_per_capita!$D165</f>
        <v>0</v>
      </c>
      <c r="J165" s="332">
        <f>Gasto_o_ing_per_capita!J165*100/Gasto_o_ing_per_capita!$D165</f>
        <v>0</v>
      </c>
      <c r="K165" s="332">
        <f>Gasto_o_ing_per_capita!K165*100/Gasto_o_ing_per_capita!$D165</f>
        <v>0</v>
      </c>
      <c r="L165" s="332">
        <f>Gasto_o_ing_per_capita!L165*100/Gasto_o_ing_per_capita!$D165</f>
        <v>0</v>
      </c>
      <c r="M165" s="332">
        <f>Gasto_o_ing_per_capita!M165*100/Gasto_o_ing_per_capita!$D165</f>
        <v>0</v>
      </c>
      <c r="N165" s="332">
        <f>Gasto_o_ing_per_capita!N165*100/Gasto_o_ing_per_capita!$D165</f>
        <v>0</v>
      </c>
      <c r="O165" s="332">
        <f>Gasto_o_ing_per_capita!O165*100/Gasto_o_ing_per_capita!$D165</f>
        <v>0</v>
      </c>
      <c r="P165" s="332">
        <f>Gasto_o_ing_per_capita!P165*100/Gasto_o_ing_per_capita!$D165</f>
        <v>0</v>
      </c>
      <c r="Q165" s="332">
        <f>Gasto_o_ing_per_capita!Q165*100/Gasto_o_ing_per_capita!$D165</f>
        <v>0</v>
      </c>
      <c r="R165" s="332">
        <f>Gasto_o_ing_per_capita!R165*100/Gasto_o_ing_per_capita!$D165</f>
        <v>0</v>
      </c>
      <c r="S165" s="332">
        <f>Gasto_o_ing_per_capita!S165*100/Gasto_o_ing_per_capita!$D165</f>
        <v>2504.2654485115745</v>
      </c>
      <c r="T165" s="332">
        <f>Gasto_o_ing_per_capita!T165*100/Gasto_o_ing_per_capita!$D165</f>
        <v>1400.3205226772225</v>
      </c>
      <c r="U165" s="332">
        <f>Gasto_o_ing_per_capita!U165*100/Gasto_o_ing_per_capita!$D165</f>
        <v>0</v>
      </c>
      <c r="V165" s="332">
        <f>Gasto_o_ing_per_capita!V165*100/Gasto_o_ing_per_capita!$D165</f>
        <v>0</v>
      </c>
    </row>
    <row r="166" spans="1:22" s="102" customFormat="1" ht="25.5">
      <c r="A166" s="351" t="str">
        <f>IF(B166="","",(IF(ISERROR(MATCH(B166,Tot_res!C:C,0)),"Eliminar!!!","")))</f>
        <v/>
      </c>
      <c r="B166" s="115" t="s">
        <v>962</v>
      </c>
      <c r="C166" s="330" t="str">
        <f>VLOOKUP(B166,Tot_res!C:D,2,FALSE)</f>
        <v>Otras transferencias a CCAA: Compensaciones financieras al País Vasco por IE sobre las labores de tabaco</v>
      </c>
      <c r="D166" s="332">
        <f>Gasto_o_ing_per_capita!D166*100/Gasto_o_ing_per_capita!$D166</f>
        <v>100</v>
      </c>
      <c r="E166" s="332">
        <f>Gasto_o_ing_per_capita!E166*100/Gasto_o_ing_per_capita!$D166</f>
        <v>0</v>
      </c>
      <c r="F166" s="332">
        <f>Gasto_o_ing_per_capita!F166*100/Gasto_o_ing_per_capita!$D166</f>
        <v>0</v>
      </c>
      <c r="G166" s="332">
        <f>Gasto_o_ing_per_capita!G166*100/Gasto_o_ing_per_capita!$D166</f>
        <v>0</v>
      </c>
      <c r="H166" s="332">
        <f>Gasto_o_ing_per_capita!H166*100/Gasto_o_ing_per_capita!$D166</f>
        <v>0</v>
      </c>
      <c r="I166" s="332">
        <f>Gasto_o_ing_per_capita!I166*100/Gasto_o_ing_per_capita!$D166</f>
        <v>0</v>
      </c>
      <c r="J166" s="332">
        <f>Gasto_o_ing_per_capita!J166*100/Gasto_o_ing_per_capita!$D166</f>
        <v>0</v>
      </c>
      <c r="K166" s="332">
        <f>Gasto_o_ing_per_capita!K166*100/Gasto_o_ing_per_capita!$D166</f>
        <v>0</v>
      </c>
      <c r="L166" s="332">
        <f>Gasto_o_ing_per_capita!L166*100/Gasto_o_ing_per_capita!$D166</f>
        <v>0</v>
      </c>
      <c r="M166" s="332">
        <f>Gasto_o_ing_per_capita!M166*100/Gasto_o_ing_per_capita!$D166</f>
        <v>0</v>
      </c>
      <c r="N166" s="332">
        <f>Gasto_o_ing_per_capita!N166*100/Gasto_o_ing_per_capita!$D166</f>
        <v>0</v>
      </c>
      <c r="O166" s="332">
        <f>Gasto_o_ing_per_capita!O166*100/Gasto_o_ing_per_capita!$D166</f>
        <v>0</v>
      </c>
      <c r="P166" s="332">
        <f>Gasto_o_ing_per_capita!P166*100/Gasto_o_ing_per_capita!$D166</f>
        <v>0</v>
      </c>
      <c r="Q166" s="332">
        <f>Gasto_o_ing_per_capita!Q166*100/Gasto_o_ing_per_capita!$D166</f>
        <v>0</v>
      </c>
      <c r="R166" s="332">
        <f>Gasto_o_ing_per_capita!R166*100/Gasto_o_ing_per_capita!$D166</f>
        <v>0</v>
      </c>
      <c r="S166" s="332">
        <f>Gasto_o_ing_per_capita!S166*100/Gasto_o_ing_per_capita!$D166</f>
        <v>0</v>
      </c>
      <c r="T166" s="332">
        <f>Gasto_o_ing_per_capita!T166*100/Gasto_o_ing_per_capita!$D166</f>
        <v>2133.178636539506</v>
      </c>
      <c r="U166" s="332">
        <f>Gasto_o_ing_per_capita!U166*100/Gasto_o_ing_per_capita!$D166</f>
        <v>0</v>
      </c>
      <c r="V166" s="332">
        <f>Gasto_o_ing_per_capita!V166*100/Gasto_o_ing_per_capita!$D166</f>
        <v>0</v>
      </c>
    </row>
    <row r="167" spans="1:22" s="102" customFormat="1">
      <c r="A167" s="351" t="str">
        <f>IF(B167="","",(IF(ISERROR(MATCH(B167,Tot_res!C:C,0)),"Eliminar!!!","")))</f>
        <v/>
      </c>
      <c r="B167" s="115" t="s">
        <v>218</v>
      </c>
      <c r="C167" s="330" t="str">
        <f>VLOOKUP(B167,Tot_res!C:D,2,FALSE)</f>
        <v>compensaciones financieras IE bebidas alcohólicas e hidrocarburos</v>
      </c>
      <c r="D167" s="332">
        <f>Gasto_o_ing_per_capita!D167*100/Gasto_o_ing_per_capita!$D167</f>
        <v>100</v>
      </c>
      <c r="E167" s="332">
        <f>Gasto_o_ing_per_capita!E167*100/Gasto_o_ing_per_capita!$D167</f>
        <v>0</v>
      </c>
      <c r="F167" s="332">
        <f>Gasto_o_ing_per_capita!F167*100/Gasto_o_ing_per_capita!$D167</f>
        <v>0</v>
      </c>
      <c r="G167" s="332">
        <f>Gasto_o_ing_per_capita!G167*100/Gasto_o_ing_per_capita!$D167</f>
        <v>0</v>
      </c>
      <c r="H167" s="332">
        <f>Gasto_o_ing_per_capita!H167*100/Gasto_o_ing_per_capita!$D167</f>
        <v>0</v>
      </c>
      <c r="I167" s="332">
        <f>Gasto_o_ing_per_capita!I167*100/Gasto_o_ing_per_capita!$D167</f>
        <v>0</v>
      </c>
      <c r="J167" s="332">
        <f>Gasto_o_ing_per_capita!J167*100/Gasto_o_ing_per_capita!$D167</f>
        <v>0</v>
      </c>
      <c r="K167" s="332">
        <f>Gasto_o_ing_per_capita!K167*100/Gasto_o_ing_per_capita!$D167</f>
        <v>0</v>
      </c>
      <c r="L167" s="332">
        <f>Gasto_o_ing_per_capita!L167*100/Gasto_o_ing_per_capita!$D167</f>
        <v>0</v>
      </c>
      <c r="M167" s="332">
        <f>Gasto_o_ing_per_capita!M167*100/Gasto_o_ing_per_capita!$D167</f>
        <v>0</v>
      </c>
      <c r="N167" s="332">
        <f>Gasto_o_ing_per_capita!N167*100/Gasto_o_ing_per_capita!$D167</f>
        <v>0</v>
      </c>
      <c r="O167" s="332">
        <f>Gasto_o_ing_per_capita!O167*100/Gasto_o_ing_per_capita!$D167</f>
        <v>0</v>
      </c>
      <c r="P167" s="332">
        <f>Gasto_o_ing_per_capita!P167*100/Gasto_o_ing_per_capita!$D167</f>
        <v>0</v>
      </c>
      <c r="Q167" s="332">
        <f>Gasto_o_ing_per_capita!Q167*100/Gasto_o_ing_per_capita!$D167</f>
        <v>0</v>
      </c>
      <c r="R167" s="332">
        <f>Gasto_o_ing_per_capita!R167*100/Gasto_o_ing_per_capita!$D167</f>
        <v>0</v>
      </c>
      <c r="S167" s="332">
        <f>Gasto_o_ing_per_capita!S167*100/Gasto_o_ing_per_capita!$D167</f>
        <v>0</v>
      </c>
      <c r="T167" s="332">
        <f>Gasto_o_ing_per_capita!T167*100/Gasto_o_ing_per_capita!$D167</f>
        <v>2133.178636539506</v>
      </c>
      <c r="U167" s="332">
        <f>Gasto_o_ing_per_capita!U167*100/Gasto_o_ing_per_capita!$D167</f>
        <v>0</v>
      </c>
      <c r="V167" s="332">
        <f>Gasto_o_ing_per_capita!V167*100/Gasto_o_ing_per_capita!$D167</f>
        <v>0</v>
      </c>
    </row>
    <row r="168" spans="1:22" s="102" customFormat="1">
      <c r="A168" s="352"/>
      <c r="B168" s="115"/>
      <c r="C168" s="140"/>
      <c r="D168" s="110"/>
      <c r="E168" s="110"/>
      <c r="F168" s="110"/>
      <c r="G168" s="110"/>
      <c r="H168" s="110"/>
      <c r="I168" s="110"/>
      <c r="J168" s="110"/>
      <c r="K168" s="110"/>
      <c r="L168" s="110"/>
      <c r="M168" s="110"/>
      <c r="N168" s="110"/>
      <c r="O168" s="110"/>
      <c r="P168" s="110"/>
      <c r="Q168" s="110"/>
      <c r="R168" s="110"/>
      <c r="S168" s="110"/>
      <c r="T168" s="110"/>
      <c r="U168" s="110"/>
      <c r="V168" s="110"/>
    </row>
    <row r="169" spans="1:22" s="102" customFormat="1" ht="13.5">
      <c r="A169" s="352"/>
      <c r="B169" s="137"/>
      <c r="C169" s="117" t="s">
        <v>52</v>
      </c>
      <c r="D169" s="113">
        <f>Gasto_o_ing_per_capita!D169*100/Gasto_o_ing_per_capita!$D169</f>
        <v>100</v>
      </c>
      <c r="E169" s="113">
        <f>Gasto_o_ing_per_capita!E169*100/Gasto_o_ing_per_capita!$D169</f>
        <v>0</v>
      </c>
      <c r="F169" s="113">
        <f>Gasto_o_ing_per_capita!F169*100/Gasto_o_ing_per_capita!$D169</f>
        <v>0</v>
      </c>
      <c r="G169" s="113">
        <f>Gasto_o_ing_per_capita!G169*100/Gasto_o_ing_per_capita!$D169</f>
        <v>0</v>
      </c>
      <c r="H169" s="113">
        <f>Gasto_o_ing_per_capita!H169*100/Gasto_o_ing_per_capita!$D169</f>
        <v>0</v>
      </c>
      <c r="I169" s="113">
        <f>Gasto_o_ing_per_capita!I169*100/Gasto_o_ing_per_capita!$D169</f>
        <v>0</v>
      </c>
      <c r="J169" s="113">
        <f>Gasto_o_ing_per_capita!J169*100/Gasto_o_ing_per_capita!$D169</f>
        <v>0</v>
      </c>
      <c r="K169" s="113">
        <f>Gasto_o_ing_per_capita!K169*100/Gasto_o_ing_per_capita!$D169</f>
        <v>0</v>
      </c>
      <c r="L169" s="113">
        <f>Gasto_o_ing_per_capita!L169*100/Gasto_o_ing_per_capita!$D169</f>
        <v>0</v>
      </c>
      <c r="M169" s="113">
        <f>Gasto_o_ing_per_capita!M169*100/Gasto_o_ing_per_capita!$D169</f>
        <v>0</v>
      </c>
      <c r="N169" s="113">
        <f>Gasto_o_ing_per_capita!N169*100/Gasto_o_ing_per_capita!$D169</f>
        <v>0</v>
      </c>
      <c r="O169" s="113">
        <f>Gasto_o_ing_per_capita!O169*100/Gasto_o_ing_per_capita!$D169</f>
        <v>0</v>
      </c>
      <c r="P169" s="113">
        <f>Gasto_o_ing_per_capita!P169*100/Gasto_o_ing_per_capita!$D169</f>
        <v>0</v>
      </c>
      <c r="Q169" s="113">
        <f>Gasto_o_ing_per_capita!Q169*100/Gasto_o_ing_per_capita!$D169</f>
        <v>0</v>
      </c>
      <c r="R169" s="113">
        <f>Gasto_o_ing_per_capita!R169*100/Gasto_o_ing_per_capita!$D169</f>
        <v>0</v>
      </c>
      <c r="S169" s="113">
        <f>Gasto_o_ing_per_capita!S169*100/Gasto_o_ing_per_capita!$D169</f>
        <v>1378.5666018053676</v>
      </c>
      <c r="T169" s="113">
        <f>Gasto_o_ing_per_capita!T169*100/Gasto_o_ing_per_capita!$D169</f>
        <v>1729.7494712195544</v>
      </c>
      <c r="U169" s="113">
        <f>Gasto_o_ing_per_capita!U169*100/Gasto_o_ing_per_capita!$D169</f>
        <v>0</v>
      </c>
      <c r="V169" s="113">
        <f>Gasto_o_ing_per_capita!V169*100/Gasto_o_ing_per_capita!$D169</f>
        <v>0</v>
      </c>
    </row>
    <row r="170" spans="1:22" s="102" customFormat="1">
      <c r="A170" s="352"/>
      <c r="B170" s="115" t="s">
        <v>1097</v>
      </c>
      <c r="C170" s="335" t="str">
        <f>VLOOKUP(B170,Tot_res!C:D,2,FALSE)</f>
        <v>gestión tributaria (prog. 932A)</v>
      </c>
      <c r="D170" s="334">
        <f>Gasto_o_ing_per_capita!D170*100/Gasto_o_ing_per_capita!$D170</f>
        <v>100</v>
      </c>
      <c r="E170" s="334">
        <f>Gasto_o_ing_per_capita!E170*100/Gasto_o_ing_per_capita!$D170</f>
        <v>0</v>
      </c>
      <c r="F170" s="334">
        <f>Gasto_o_ing_per_capita!F170*100/Gasto_o_ing_per_capita!$D170</f>
        <v>0</v>
      </c>
      <c r="G170" s="334">
        <f>Gasto_o_ing_per_capita!G170*100/Gasto_o_ing_per_capita!$D170</f>
        <v>0</v>
      </c>
      <c r="H170" s="334">
        <f>Gasto_o_ing_per_capita!H170*100/Gasto_o_ing_per_capita!$D170</f>
        <v>0</v>
      </c>
      <c r="I170" s="334">
        <f>Gasto_o_ing_per_capita!I170*100/Gasto_o_ing_per_capita!$D170</f>
        <v>0</v>
      </c>
      <c r="J170" s="334">
        <f>Gasto_o_ing_per_capita!J170*100/Gasto_o_ing_per_capita!$D170</f>
        <v>0</v>
      </c>
      <c r="K170" s="334">
        <f>Gasto_o_ing_per_capita!K170*100/Gasto_o_ing_per_capita!$D170</f>
        <v>0</v>
      </c>
      <c r="L170" s="334">
        <f>Gasto_o_ing_per_capita!L170*100/Gasto_o_ing_per_capita!$D170</f>
        <v>0</v>
      </c>
      <c r="M170" s="334">
        <f>Gasto_o_ing_per_capita!M170*100/Gasto_o_ing_per_capita!$D170</f>
        <v>0</v>
      </c>
      <c r="N170" s="334">
        <f>Gasto_o_ing_per_capita!N170*100/Gasto_o_ing_per_capita!$D170</f>
        <v>0</v>
      </c>
      <c r="O170" s="334">
        <f>Gasto_o_ing_per_capita!O170*100/Gasto_o_ing_per_capita!$D170</f>
        <v>0</v>
      </c>
      <c r="P170" s="334">
        <f>Gasto_o_ing_per_capita!P170*100/Gasto_o_ing_per_capita!$D170</f>
        <v>0</v>
      </c>
      <c r="Q170" s="334">
        <f>Gasto_o_ing_per_capita!Q170*100/Gasto_o_ing_per_capita!$D170</f>
        <v>0</v>
      </c>
      <c r="R170" s="334">
        <f>Gasto_o_ing_per_capita!R170*100/Gasto_o_ing_per_capita!$D170</f>
        <v>0</v>
      </c>
      <c r="S170" s="334">
        <f>Gasto_o_ing_per_capita!S170*100/Gasto_o_ing_per_capita!$D170</f>
        <v>1650.2445618947793</v>
      </c>
      <c r="T170" s="334">
        <f>Gasto_o_ing_per_capita!T170*100/Gasto_o_ing_per_capita!$D170</f>
        <v>1650.2445618947795</v>
      </c>
      <c r="U170" s="334">
        <f>Gasto_o_ing_per_capita!U170*100/Gasto_o_ing_per_capita!$D170</f>
        <v>0</v>
      </c>
      <c r="V170" s="334">
        <f>Gasto_o_ing_per_capita!V170*100/Gasto_o_ing_per_capita!$D170</f>
        <v>0</v>
      </c>
    </row>
    <row r="171" spans="1:22" s="102" customFormat="1">
      <c r="A171" s="352"/>
      <c r="B171" s="115" t="s">
        <v>1098</v>
      </c>
      <c r="C171" s="335" t="str">
        <f>VLOOKUP(B171,Tot_res!C:D,2,FALSE)</f>
        <v>Gestión del catastro inmobiliario (programa 932M)</v>
      </c>
      <c r="D171" s="334">
        <f>Gasto_o_ing_per_capita!D171*100/Gasto_o_ing_per_capita!$D171</f>
        <v>100.00000000000001</v>
      </c>
      <c r="E171" s="334">
        <f>Gasto_o_ing_per_capita!E171*100/Gasto_o_ing_per_capita!$D171</f>
        <v>0</v>
      </c>
      <c r="F171" s="334">
        <f>Gasto_o_ing_per_capita!F171*100/Gasto_o_ing_per_capita!$D171</f>
        <v>0</v>
      </c>
      <c r="G171" s="334">
        <f>Gasto_o_ing_per_capita!G171*100/Gasto_o_ing_per_capita!$D171</f>
        <v>0</v>
      </c>
      <c r="H171" s="334">
        <f>Gasto_o_ing_per_capita!H171*100/Gasto_o_ing_per_capita!$D171</f>
        <v>0</v>
      </c>
      <c r="I171" s="334">
        <f>Gasto_o_ing_per_capita!I171*100/Gasto_o_ing_per_capita!$D171</f>
        <v>0</v>
      </c>
      <c r="J171" s="334">
        <f>Gasto_o_ing_per_capita!J171*100/Gasto_o_ing_per_capita!$D171</f>
        <v>0</v>
      </c>
      <c r="K171" s="334">
        <f>Gasto_o_ing_per_capita!K171*100/Gasto_o_ing_per_capita!$D171</f>
        <v>0</v>
      </c>
      <c r="L171" s="334">
        <f>Gasto_o_ing_per_capita!L171*100/Gasto_o_ing_per_capita!$D171</f>
        <v>0</v>
      </c>
      <c r="M171" s="334">
        <f>Gasto_o_ing_per_capita!M171*100/Gasto_o_ing_per_capita!$D171</f>
        <v>0</v>
      </c>
      <c r="N171" s="334">
        <f>Gasto_o_ing_per_capita!N171*100/Gasto_o_ing_per_capita!$D171</f>
        <v>0</v>
      </c>
      <c r="O171" s="334">
        <f>Gasto_o_ing_per_capita!O171*100/Gasto_o_ing_per_capita!$D171</f>
        <v>0</v>
      </c>
      <c r="P171" s="334">
        <f>Gasto_o_ing_per_capita!P171*100/Gasto_o_ing_per_capita!$D171</f>
        <v>0</v>
      </c>
      <c r="Q171" s="334">
        <f>Gasto_o_ing_per_capita!Q171*100/Gasto_o_ing_per_capita!$D171</f>
        <v>0</v>
      </c>
      <c r="R171" s="334">
        <f>Gasto_o_ing_per_capita!R171*100/Gasto_o_ing_per_capita!$D171</f>
        <v>0</v>
      </c>
      <c r="S171" s="334">
        <f>Gasto_o_ing_per_capita!S171*100/Gasto_o_ing_per_capita!$D171</f>
        <v>1650.2445618947797</v>
      </c>
      <c r="T171" s="334">
        <f>Gasto_o_ing_per_capita!T171*100/Gasto_o_ing_per_capita!$D171</f>
        <v>1650.2445618947797</v>
      </c>
      <c r="U171" s="334">
        <f>Gasto_o_ing_per_capita!U171*100/Gasto_o_ing_per_capita!$D171</f>
        <v>0</v>
      </c>
      <c r="V171" s="334">
        <f>Gasto_o_ing_per_capita!V171*100/Gasto_o_ing_per_capita!$D171</f>
        <v>0</v>
      </c>
    </row>
    <row r="172" spans="1:22" s="102" customFormat="1">
      <c r="A172" s="352"/>
      <c r="B172" s="115" t="s">
        <v>1099</v>
      </c>
      <c r="C172" s="335" t="str">
        <f>VLOOKUP(B172,Tot_res!C:D,2,FALSE)</f>
        <v>Pensiones no contributivas y otras prestaciones económicas (sección 3.1)</v>
      </c>
      <c r="D172" s="334">
        <f>Gasto_o_ing_per_capita!D172*100/Gasto_o_ing_per_capita!$D172</f>
        <v>100</v>
      </c>
      <c r="E172" s="334">
        <f>Gasto_o_ing_per_capita!E172*100/Gasto_o_ing_per_capita!$D172</f>
        <v>0</v>
      </c>
      <c r="F172" s="334">
        <f>Gasto_o_ing_per_capita!F172*100/Gasto_o_ing_per_capita!$D172</f>
        <v>0</v>
      </c>
      <c r="G172" s="334">
        <f>Gasto_o_ing_per_capita!G172*100/Gasto_o_ing_per_capita!$D172</f>
        <v>0</v>
      </c>
      <c r="H172" s="334">
        <f>Gasto_o_ing_per_capita!H172*100/Gasto_o_ing_per_capita!$D172</f>
        <v>0</v>
      </c>
      <c r="I172" s="334">
        <f>Gasto_o_ing_per_capita!I172*100/Gasto_o_ing_per_capita!$D172</f>
        <v>0</v>
      </c>
      <c r="J172" s="334">
        <f>Gasto_o_ing_per_capita!J172*100/Gasto_o_ing_per_capita!$D172</f>
        <v>0</v>
      </c>
      <c r="K172" s="334">
        <f>Gasto_o_ing_per_capita!K172*100/Gasto_o_ing_per_capita!$D172</f>
        <v>0</v>
      </c>
      <c r="L172" s="334">
        <f>Gasto_o_ing_per_capita!L172*100/Gasto_o_ing_per_capita!$D172</f>
        <v>0</v>
      </c>
      <c r="M172" s="334">
        <f>Gasto_o_ing_per_capita!M172*100/Gasto_o_ing_per_capita!$D172</f>
        <v>0</v>
      </c>
      <c r="N172" s="334">
        <f>Gasto_o_ing_per_capita!N172*100/Gasto_o_ing_per_capita!$D172</f>
        <v>0</v>
      </c>
      <c r="O172" s="334">
        <f>Gasto_o_ing_per_capita!O172*100/Gasto_o_ing_per_capita!$D172</f>
        <v>0</v>
      </c>
      <c r="P172" s="334">
        <f>Gasto_o_ing_per_capita!P172*100/Gasto_o_ing_per_capita!$D172</f>
        <v>0</v>
      </c>
      <c r="Q172" s="334">
        <f>Gasto_o_ing_per_capita!Q172*100/Gasto_o_ing_per_capita!$D172</f>
        <v>0</v>
      </c>
      <c r="R172" s="334">
        <f>Gasto_o_ing_per_capita!R172*100/Gasto_o_ing_per_capita!$D172</f>
        <v>0</v>
      </c>
      <c r="S172" s="334">
        <f>Gasto_o_ing_per_capita!S172*100/Gasto_o_ing_per_capita!$D172</f>
        <v>1250.7447373125367</v>
      </c>
      <c r="T172" s="334">
        <f>Gasto_o_ing_per_capita!T172*100/Gasto_o_ing_per_capita!$D172</f>
        <v>1767.1557655795443</v>
      </c>
      <c r="U172" s="334">
        <f>Gasto_o_ing_per_capita!U172*100/Gasto_o_ing_per_capita!$D172</f>
        <v>0</v>
      </c>
      <c r="V172" s="334">
        <f>Gasto_o_ing_per_capita!V172*100/Gasto_o_ing_per_capita!$D172</f>
        <v>0</v>
      </c>
    </row>
    <row r="173" spans="1:22" s="102" customFormat="1">
      <c r="A173" s="352"/>
      <c r="B173" s="115" t="s">
        <v>1100</v>
      </c>
      <c r="C173" s="335" t="str">
        <f>VLOOKUP(B173,Tot_res!C:D,2,FALSE)</f>
        <v>Financiación provincias</v>
      </c>
      <c r="D173" s="334">
        <f>Gasto_o_ing_per_capita!D173*100/Gasto_o_ing_per_capita!$D173</f>
        <v>100</v>
      </c>
      <c r="E173" s="334">
        <f>Gasto_o_ing_per_capita!E173*100/Gasto_o_ing_per_capita!$D173</f>
        <v>0</v>
      </c>
      <c r="F173" s="334">
        <f>Gasto_o_ing_per_capita!F173*100/Gasto_o_ing_per_capita!$D173</f>
        <v>0</v>
      </c>
      <c r="G173" s="334">
        <f>Gasto_o_ing_per_capita!G173*100/Gasto_o_ing_per_capita!$D173</f>
        <v>0</v>
      </c>
      <c r="H173" s="334">
        <f>Gasto_o_ing_per_capita!H173*100/Gasto_o_ing_per_capita!$D173</f>
        <v>0</v>
      </c>
      <c r="I173" s="334">
        <f>Gasto_o_ing_per_capita!I173*100/Gasto_o_ing_per_capita!$D173</f>
        <v>0</v>
      </c>
      <c r="J173" s="334">
        <f>Gasto_o_ing_per_capita!J173*100/Gasto_o_ing_per_capita!$D173</f>
        <v>0</v>
      </c>
      <c r="K173" s="334">
        <f>Gasto_o_ing_per_capita!K173*100/Gasto_o_ing_per_capita!$D173</f>
        <v>0</v>
      </c>
      <c r="L173" s="334">
        <f>Gasto_o_ing_per_capita!L173*100/Gasto_o_ing_per_capita!$D173</f>
        <v>0</v>
      </c>
      <c r="M173" s="334">
        <f>Gasto_o_ing_per_capita!M173*100/Gasto_o_ing_per_capita!$D173</f>
        <v>0</v>
      </c>
      <c r="N173" s="334">
        <f>Gasto_o_ing_per_capita!N173*100/Gasto_o_ing_per_capita!$D173</f>
        <v>0</v>
      </c>
      <c r="O173" s="334">
        <f>Gasto_o_ing_per_capita!O173*100/Gasto_o_ing_per_capita!$D173</f>
        <v>0</v>
      </c>
      <c r="P173" s="334">
        <f>Gasto_o_ing_per_capita!P173*100/Gasto_o_ing_per_capita!$D173</f>
        <v>0</v>
      </c>
      <c r="Q173" s="334">
        <f>Gasto_o_ing_per_capita!Q173*100/Gasto_o_ing_per_capita!$D173</f>
        <v>0</v>
      </c>
      <c r="R173" s="334">
        <f>Gasto_o_ing_per_capita!R173*100/Gasto_o_ing_per_capita!$D173</f>
        <v>0</v>
      </c>
      <c r="S173" s="334">
        <f>Gasto_o_ing_per_capita!S173*100/Gasto_o_ing_per_capita!$D173</f>
        <v>1650.1082669794023</v>
      </c>
      <c r="T173" s="334">
        <f>Gasto_o_ing_per_capita!T173*100/Gasto_o_ing_per_capita!$D173</f>
        <v>1650.2844477761553</v>
      </c>
      <c r="U173" s="334">
        <f>Gasto_o_ing_per_capita!U173*100/Gasto_o_ing_per_capita!$D173</f>
        <v>0</v>
      </c>
      <c r="V173" s="334">
        <f>Gasto_o_ing_per_capita!V173*100/Gasto_o_ing_per_capita!$D173</f>
        <v>0</v>
      </c>
    </row>
    <row r="174" spans="1:22" s="102" customFormat="1">
      <c r="A174" s="352"/>
      <c r="B174" s="115" t="s">
        <v>1101</v>
      </c>
      <c r="C174" s="335" t="str">
        <f>VLOOKUP(B174,Tot_res!C:D,2,FALSE)</f>
        <v>Financiación municipios</v>
      </c>
      <c r="D174" s="334">
        <f>Gasto_o_ing_per_capita!D174*100/Gasto_o_ing_per_capita!$D174</f>
        <v>100</v>
      </c>
      <c r="E174" s="334">
        <f>Gasto_o_ing_per_capita!E174*100/Gasto_o_ing_per_capita!$D174</f>
        <v>0</v>
      </c>
      <c r="F174" s="334">
        <f>Gasto_o_ing_per_capita!F174*100/Gasto_o_ing_per_capita!$D174</f>
        <v>0</v>
      </c>
      <c r="G174" s="334">
        <f>Gasto_o_ing_per_capita!G174*100/Gasto_o_ing_per_capita!$D174</f>
        <v>0</v>
      </c>
      <c r="H174" s="334">
        <f>Gasto_o_ing_per_capita!H174*100/Gasto_o_ing_per_capita!$D174</f>
        <v>0</v>
      </c>
      <c r="I174" s="334">
        <f>Gasto_o_ing_per_capita!I174*100/Gasto_o_ing_per_capita!$D174</f>
        <v>0</v>
      </c>
      <c r="J174" s="334">
        <f>Gasto_o_ing_per_capita!J174*100/Gasto_o_ing_per_capita!$D174</f>
        <v>0</v>
      </c>
      <c r="K174" s="334">
        <f>Gasto_o_ing_per_capita!K174*100/Gasto_o_ing_per_capita!$D174</f>
        <v>0</v>
      </c>
      <c r="L174" s="334">
        <f>Gasto_o_ing_per_capita!L174*100/Gasto_o_ing_per_capita!$D174</f>
        <v>0</v>
      </c>
      <c r="M174" s="334">
        <f>Gasto_o_ing_per_capita!M174*100/Gasto_o_ing_per_capita!$D174</f>
        <v>0</v>
      </c>
      <c r="N174" s="334">
        <f>Gasto_o_ing_per_capita!N174*100/Gasto_o_ing_per_capita!$D174</f>
        <v>0</v>
      </c>
      <c r="O174" s="334">
        <f>Gasto_o_ing_per_capita!O174*100/Gasto_o_ing_per_capita!$D174</f>
        <v>0</v>
      </c>
      <c r="P174" s="334">
        <f>Gasto_o_ing_per_capita!P174*100/Gasto_o_ing_per_capita!$D174</f>
        <v>0</v>
      </c>
      <c r="Q174" s="334">
        <f>Gasto_o_ing_per_capita!Q174*100/Gasto_o_ing_per_capita!$D174</f>
        <v>0</v>
      </c>
      <c r="R174" s="334">
        <f>Gasto_o_ing_per_capita!R174*100/Gasto_o_ing_per_capita!$D174</f>
        <v>0</v>
      </c>
      <c r="S174" s="334">
        <f>Gasto_o_ing_per_capita!S174*100/Gasto_o_ing_per_capita!$D174</f>
        <v>1645.1933464147937</v>
      </c>
      <c r="T174" s="334">
        <f>Gasto_o_ing_per_capita!T174*100/Gasto_o_ing_per_capita!$D174</f>
        <v>1651.7227695071454</v>
      </c>
      <c r="U174" s="334">
        <f>Gasto_o_ing_per_capita!U174*100/Gasto_o_ing_per_capita!$D174</f>
        <v>0</v>
      </c>
      <c r="V174" s="334">
        <f>Gasto_o_ing_per_capita!V174*100/Gasto_o_ing_per_capita!$D174</f>
        <v>0</v>
      </c>
    </row>
    <row r="175" spans="1:22" s="102" customFormat="1">
      <c r="A175" s="352"/>
      <c r="B175" s="115" t="s">
        <v>1102</v>
      </c>
      <c r="C175" s="335" t="str">
        <f>VLOOKUP(B175,Tot_res!C:D,2,FALSE)</f>
        <v xml:space="preserve">construcción de carreteras </v>
      </c>
      <c r="D175" s="334">
        <f>Gasto_o_ing_per_capita!D175*100/Gasto_o_ing_per_capita!$D175</f>
        <v>100</v>
      </c>
      <c r="E175" s="334">
        <f>Gasto_o_ing_per_capita!E175*100/Gasto_o_ing_per_capita!$D175</f>
        <v>0</v>
      </c>
      <c r="F175" s="334">
        <f>Gasto_o_ing_per_capita!F175*100/Gasto_o_ing_per_capita!$D175</f>
        <v>0</v>
      </c>
      <c r="G175" s="334">
        <f>Gasto_o_ing_per_capita!G175*100/Gasto_o_ing_per_capita!$D175</f>
        <v>0</v>
      </c>
      <c r="H175" s="334">
        <f>Gasto_o_ing_per_capita!H175*100/Gasto_o_ing_per_capita!$D175</f>
        <v>0</v>
      </c>
      <c r="I175" s="334">
        <f>Gasto_o_ing_per_capita!I175*100/Gasto_o_ing_per_capita!$D175</f>
        <v>0</v>
      </c>
      <c r="J175" s="334">
        <f>Gasto_o_ing_per_capita!J175*100/Gasto_o_ing_per_capita!$D175</f>
        <v>0</v>
      </c>
      <c r="K175" s="334">
        <f>Gasto_o_ing_per_capita!K175*100/Gasto_o_ing_per_capita!$D175</f>
        <v>0</v>
      </c>
      <c r="L175" s="334">
        <f>Gasto_o_ing_per_capita!L175*100/Gasto_o_ing_per_capita!$D175</f>
        <v>0</v>
      </c>
      <c r="M175" s="334">
        <f>Gasto_o_ing_per_capita!M175*100/Gasto_o_ing_per_capita!$D175</f>
        <v>0</v>
      </c>
      <c r="N175" s="334">
        <f>Gasto_o_ing_per_capita!N175*100/Gasto_o_ing_per_capita!$D175</f>
        <v>0</v>
      </c>
      <c r="O175" s="334">
        <f>Gasto_o_ing_per_capita!O175*100/Gasto_o_ing_per_capita!$D175</f>
        <v>0</v>
      </c>
      <c r="P175" s="334">
        <f>Gasto_o_ing_per_capita!P175*100/Gasto_o_ing_per_capita!$D175</f>
        <v>0</v>
      </c>
      <c r="Q175" s="334">
        <f>Gasto_o_ing_per_capita!Q175*100/Gasto_o_ing_per_capita!$D175</f>
        <v>0</v>
      </c>
      <c r="R175" s="334">
        <f>Gasto_o_ing_per_capita!R175*100/Gasto_o_ing_per_capita!$D175</f>
        <v>0</v>
      </c>
      <c r="S175" s="334">
        <f>Gasto_o_ing_per_capita!S175*100/Gasto_o_ing_per_capita!$D175</f>
        <v>1650.2445618947795</v>
      </c>
      <c r="T175" s="334">
        <f>Gasto_o_ing_per_capita!T175*100/Gasto_o_ing_per_capita!$D175</f>
        <v>1650.2445618947795</v>
      </c>
      <c r="U175" s="334">
        <f>Gasto_o_ing_per_capita!U175*100/Gasto_o_ing_per_capita!$D175</f>
        <v>0</v>
      </c>
      <c r="V175" s="334">
        <f>Gasto_o_ing_per_capita!V175*100/Gasto_o_ing_per_capita!$D175</f>
        <v>0</v>
      </c>
    </row>
    <row r="176" spans="1:22" s="102" customFormat="1">
      <c r="A176" s="352"/>
      <c r="B176" s="115" t="s">
        <v>1103</v>
      </c>
      <c r="C176" s="335" t="str">
        <f>VLOOKUP(B176,Tot_res!C:D,2,FALSE)</f>
        <v>conservación de carreteras (programa 453C)</v>
      </c>
      <c r="D176" s="334">
        <f>Gasto_o_ing_per_capita!D176*100/Gasto_o_ing_per_capita!$D176</f>
        <v>100</v>
      </c>
      <c r="E176" s="334">
        <f>Gasto_o_ing_per_capita!E176*100/Gasto_o_ing_per_capita!$D176</f>
        <v>0</v>
      </c>
      <c r="F176" s="334">
        <f>Gasto_o_ing_per_capita!F176*100/Gasto_o_ing_per_capita!$D176</f>
        <v>0</v>
      </c>
      <c r="G176" s="334">
        <f>Gasto_o_ing_per_capita!G176*100/Gasto_o_ing_per_capita!$D176</f>
        <v>0</v>
      </c>
      <c r="H176" s="334">
        <f>Gasto_o_ing_per_capita!H176*100/Gasto_o_ing_per_capita!$D176</f>
        <v>0</v>
      </c>
      <c r="I176" s="334">
        <f>Gasto_o_ing_per_capita!I176*100/Gasto_o_ing_per_capita!$D176</f>
        <v>0</v>
      </c>
      <c r="J176" s="334">
        <f>Gasto_o_ing_per_capita!J176*100/Gasto_o_ing_per_capita!$D176</f>
        <v>0</v>
      </c>
      <c r="K176" s="334">
        <f>Gasto_o_ing_per_capita!K176*100/Gasto_o_ing_per_capita!$D176</f>
        <v>0</v>
      </c>
      <c r="L176" s="334">
        <f>Gasto_o_ing_per_capita!L176*100/Gasto_o_ing_per_capita!$D176</f>
        <v>0</v>
      </c>
      <c r="M176" s="334">
        <f>Gasto_o_ing_per_capita!M176*100/Gasto_o_ing_per_capita!$D176</f>
        <v>0</v>
      </c>
      <c r="N176" s="334">
        <f>Gasto_o_ing_per_capita!N176*100/Gasto_o_ing_per_capita!$D176</f>
        <v>0</v>
      </c>
      <c r="O176" s="334">
        <f>Gasto_o_ing_per_capita!O176*100/Gasto_o_ing_per_capita!$D176</f>
        <v>0</v>
      </c>
      <c r="P176" s="334">
        <f>Gasto_o_ing_per_capita!P176*100/Gasto_o_ing_per_capita!$D176</f>
        <v>0</v>
      </c>
      <c r="Q176" s="334">
        <f>Gasto_o_ing_per_capita!Q176*100/Gasto_o_ing_per_capita!$D176</f>
        <v>0</v>
      </c>
      <c r="R176" s="334">
        <f>Gasto_o_ing_per_capita!R176*100/Gasto_o_ing_per_capita!$D176</f>
        <v>0</v>
      </c>
      <c r="S176" s="334">
        <f>Gasto_o_ing_per_capita!S176*100/Gasto_o_ing_per_capita!$D176</f>
        <v>1650.2445618947793</v>
      </c>
      <c r="T176" s="334">
        <f>Gasto_o_ing_per_capita!T176*100/Gasto_o_ing_per_capita!$D176</f>
        <v>1650.2445618947793</v>
      </c>
      <c r="U176" s="334">
        <f>Gasto_o_ing_per_capita!U176*100/Gasto_o_ing_per_capita!$D176</f>
        <v>0</v>
      </c>
      <c r="V176" s="334">
        <f>Gasto_o_ing_per_capita!V176*100/Gasto_o_ing_per_capita!$D176</f>
        <v>0</v>
      </c>
    </row>
    <row r="177" spans="1:22" s="102" customFormat="1">
      <c r="A177" s="352"/>
      <c r="B177" s="115" t="s">
        <v>1104</v>
      </c>
      <c r="C177" s="335" t="str">
        <f>VLOOKUP(B177,Tot_res!C:D,2,FALSE)</f>
        <v>"Normalización" lingüística (programa CS06)</v>
      </c>
      <c r="D177" s="334">
        <f>Gasto_o_ing_per_capita!D177*100/Gasto_o_ing_per_capita!$D177</f>
        <v>100</v>
      </c>
      <c r="E177" s="334">
        <f>Gasto_o_ing_per_capita!E177*100/Gasto_o_ing_per_capita!$D177</f>
        <v>0</v>
      </c>
      <c r="F177" s="334">
        <f>Gasto_o_ing_per_capita!F177*100/Gasto_o_ing_per_capita!$D177</f>
        <v>0</v>
      </c>
      <c r="G177" s="334">
        <f>Gasto_o_ing_per_capita!G177*100/Gasto_o_ing_per_capita!$D177</f>
        <v>0</v>
      </c>
      <c r="H177" s="334">
        <f>Gasto_o_ing_per_capita!H177*100/Gasto_o_ing_per_capita!$D177</f>
        <v>0</v>
      </c>
      <c r="I177" s="334">
        <f>Gasto_o_ing_per_capita!I177*100/Gasto_o_ing_per_capita!$D177</f>
        <v>0</v>
      </c>
      <c r="J177" s="334">
        <f>Gasto_o_ing_per_capita!J177*100/Gasto_o_ing_per_capita!$D177</f>
        <v>0</v>
      </c>
      <c r="K177" s="334">
        <f>Gasto_o_ing_per_capita!K177*100/Gasto_o_ing_per_capita!$D177</f>
        <v>0</v>
      </c>
      <c r="L177" s="334">
        <f>Gasto_o_ing_per_capita!L177*100/Gasto_o_ing_per_capita!$D177</f>
        <v>0</v>
      </c>
      <c r="M177" s="334">
        <f>Gasto_o_ing_per_capita!M177*100/Gasto_o_ing_per_capita!$D177</f>
        <v>0</v>
      </c>
      <c r="N177" s="334">
        <f>Gasto_o_ing_per_capita!N177*100/Gasto_o_ing_per_capita!$D177</f>
        <v>0</v>
      </c>
      <c r="O177" s="334">
        <f>Gasto_o_ing_per_capita!O177*100/Gasto_o_ing_per_capita!$D177</f>
        <v>0</v>
      </c>
      <c r="P177" s="334">
        <f>Gasto_o_ing_per_capita!P177*100/Gasto_o_ing_per_capita!$D177</f>
        <v>0</v>
      </c>
      <c r="Q177" s="334">
        <f>Gasto_o_ing_per_capita!Q177*100/Gasto_o_ing_per_capita!$D177</f>
        <v>0</v>
      </c>
      <c r="R177" s="334">
        <f>Gasto_o_ing_per_capita!R177*100/Gasto_o_ing_per_capita!$D177</f>
        <v>0</v>
      </c>
      <c r="S177" s="334">
        <f>Gasto_o_ing_per_capita!S177*100/Gasto_o_ing_per_capita!$D177</f>
        <v>1650.2445618947793</v>
      </c>
      <c r="T177" s="334">
        <f>Gasto_o_ing_per_capita!T177*100/Gasto_o_ing_per_capita!$D177</f>
        <v>1650.2445618947793</v>
      </c>
      <c r="U177" s="334">
        <f>Gasto_o_ing_per_capita!U177*100/Gasto_o_ing_per_capita!$D177</f>
        <v>0</v>
      </c>
      <c r="V177" s="334">
        <f>Gasto_o_ing_per_capita!V177*100/Gasto_o_ing_per_capita!$D177</f>
        <v>0</v>
      </c>
    </row>
    <row r="178" spans="1:22" s="102" customFormat="1">
      <c r="A178" s="352"/>
      <c r="B178" s="115" t="s">
        <v>1105</v>
      </c>
      <c r="C178" s="335" t="str">
        <f>VLOOKUP(B178,Tot_res!C:D,2,FALSE)</f>
        <v>medio ambiente</v>
      </c>
      <c r="D178" s="334">
        <f>Gasto_o_ing_per_capita!D178*100/Gasto_o_ing_per_capita!$D178</f>
        <v>100</v>
      </c>
      <c r="E178" s="334">
        <f>Gasto_o_ing_per_capita!E178*100/Gasto_o_ing_per_capita!$D178</f>
        <v>0</v>
      </c>
      <c r="F178" s="334">
        <f>Gasto_o_ing_per_capita!F178*100/Gasto_o_ing_per_capita!$D178</f>
        <v>0</v>
      </c>
      <c r="G178" s="334">
        <f>Gasto_o_ing_per_capita!G178*100/Gasto_o_ing_per_capita!$D178</f>
        <v>0</v>
      </c>
      <c r="H178" s="334">
        <f>Gasto_o_ing_per_capita!H178*100/Gasto_o_ing_per_capita!$D178</f>
        <v>0</v>
      </c>
      <c r="I178" s="334">
        <f>Gasto_o_ing_per_capita!I178*100/Gasto_o_ing_per_capita!$D178</f>
        <v>0</v>
      </c>
      <c r="J178" s="334">
        <f>Gasto_o_ing_per_capita!J178*100/Gasto_o_ing_per_capita!$D178</f>
        <v>0</v>
      </c>
      <c r="K178" s="334">
        <f>Gasto_o_ing_per_capita!K178*100/Gasto_o_ing_per_capita!$D178</f>
        <v>0</v>
      </c>
      <c r="L178" s="334">
        <f>Gasto_o_ing_per_capita!L178*100/Gasto_o_ing_per_capita!$D178</f>
        <v>0</v>
      </c>
      <c r="M178" s="334">
        <f>Gasto_o_ing_per_capita!M178*100/Gasto_o_ing_per_capita!$D178</f>
        <v>0</v>
      </c>
      <c r="N178" s="334">
        <f>Gasto_o_ing_per_capita!N178*100/Gasto_o_ing_per_capita!$D178</f>
        <v>0</v>
      </c>
      <c r="O178" s="334">
        <f>Gasto_o_ing_per_capita!O178*100/Gasto_o_ing_per_capita!$D178</f>
        <v>0</v>
      </c>
      <c r="P178" s="334">
        <f>Gasto_o_ing_per_capita!P178*100/Gasto_o_ing_per_capita!$D178</f>
        <v>0</v>
      </c>
      <c r="Q178" s="334">
        <f>Gasto_o_ing_per_capita!Q178*100/Gasto_o_ing_per_capita!$D178</f>
        <v>0</v>
      </c>
      <c r="R178" s="334">
        <f>Gasto_o_ing_per_capita!R178*100/Gasto_o_ing_per_capita!$D178</f>
        <v>0</v>
      </c>
      <c r="S178" s="334">
        <f>Gasto_o_ing_per_capita!S178*100/Gasto_o_ing_per_capita!$D178</f>
        <v>680.23980737909665</v>
      </c>
      <c r="T178" s="334">
        <f>Gasto_o_ing_per_capita!T178*100/Gasto_o_ing_per_capita!$D178</f>
        <v>1934.1105774780413</v>
      </c>
      <c r="U178" s="334">
        <f>Gasto_o_ing_per_capita!U178*100/Gasto_o_ing_per_capita!$D178</f>
        <v>0</v>
      </c>
      <c r="V178" s="334">
        <f>Gasto_o_ing_per_capita!V178*100/Gasto_o_ing_per_capita!$D178</f>
        <v>0</v>
      </c>
    </row>
    <row r="179" spans="1:22" s="102" customFormat="1">
      <c r="A179" s="352"/>
      <c r="B179" s="115" t="s">
        <v>1117</v>
      </c>
      <c r="C179" s="335" t="e">
        <f>VLOOKUP(B179,Tot_res!C:D,2,FALSE)</f>
        <v>#N/A</v>
      </c>
      <c r="D179" s="334" t="e">
        <f>Gasto_o_ing_per_capita!D179*100/Gasto_o_ing_per_capita!$D179</f>
        <v>#DIV/0!</v>
      </c>
      <c r="E179" s="334" t="e">
        <f>Gasto_o_ing_per_capita!E179*100/Gasto_o_ing_per_capita!$D179</f>
        <v>#VALUE!</v>
      </c>
      <c r="F179" s="334" t="e">
        <f>Gasto_o_ing_per_capita!F179*100/Gasto_o_ing_per_capita!$D179</f>
        <v>#VALUE!</v>
      </c>
      <c r="G179" s="334" t="e">
        <f>Gasto_o_ing_per_capita!G179*100/Gasto_o_ing_per_capita!$D179</f>
        <v>#VALUE!</v>
      </c>
      <c r="H179" s="334" t="e">
        <f>Gasto_o_ing_per_capita!H179*100/Gasto_o_ing_per_capita!$D179</f>
        <v>#VALUE!</v>
      </c>
      <c r="I179" s="334" t="e">
        <f>Gasto_o_ing_per_capita!I179*100/Gasto_o_ing_per_capita!$D179</f>
        <v>#VALUE!</v>
      </c>
      <c r="J179" s="334" t="e">
        <f>Gasto_o_ing_per_capita!J179*100/Gasto_o_ing_per_capita!$D179</f>
        <v>#VALUE!</v>
      </c>
      <c r="K179" s="334" t="e">
        <f>Gasto_o_ing_per_capita!K179*100/Gasto_o_ing_per_capita!$D179</f>
        <v>#VALUE!</v>
      </c>
      <c r="L179" s="334" t="e">
        <f>Gasto_o_ing_per_capita!L179*100/Gasto_o_ing_per_capita!$D179</f>
        <v>#VALUE!</v>
      </c>
      <c r="M179" s="334" t="e">
        <f>Gasto_o_ing_per_capita!M179*100/Gasto_o_ing_per_capita!$D179</f>
        <v>#VALUE!</v>
      </c>
      <c r="N179" s="334" t="e">
        <f>Gasto_o_ing_per_capita!N179*100/Gasto_o_ing_per_capita!$D179</f>
        <v>#VALUE!</v>
      </c>
      <c r="O179" s="334" t="e">
        <f>Gasto_o_ing_per_capita!O179*100/Gasto_o_ing_per_capita!$D179</f>
        <v>#VALUE!</v>
      </c>
      <c r="P179" s="334" t="e">
        <f>Gasto_o_ing_per_capita!P179*100/Gasto_o_ing_per_capita!$D179</f>
        <v>#VALUE!</v>
      </c>
      <c r="Q179" s="334" t="e">
        <f>Gasto_o_ing_per_capita!Q179*100/Gasto_o_ing_per_capita!$D179</f>
        <v>#VALUE!</v>
      </c>
      <c r="R179" s="334" t="e">
        <f>Gasto_o_ing_per_capita!R179*100/Gasto_o_ing_per_capita!$D179</f>
        <v>#VALUE!</v>
      </c>
      <c r="S179" s="334" t="e">
        <f>Gasto_o_ing_per_capita!S179*100/Gasto_o_ing_per_capita!$D179</f>
        <v>#VALUE!</v>
      </c>
      <c r="T179" s="334" t="e">
        <f>Gasto_o_ing_per_capita!T179*100/Gasto_o_ing_per_capita!$D179</f>
        <v>#VALUE!</v>
      </c>
      <c r="U179" s="334" t="e">
        <f>Gasto_o_ing_per_capita!U179*100/Gasto_o_ing_per_capita!$D179</f>
        <v>#VALUE!</v>
      </c>
      <c r="V179" s="334" t="e">
        <f>Gasto_o_ing_per_capita!V179*100/Gasto_o_ing_per_capita!$D179</f>
        <v>#VALUE!</v>
      </c>
    </row>
    <row r="180" spans="1:22" s="102" customFormat="1">
      <c r="A180" s="352"/>
      <c r="B180" s="115" t="s">
        <v>1106</v>
      </c>
      <c r="C180" s="335" t="str">
        <f>VLOOKUP(B180,Tot_res!C:D,2,FALSE)</f>
        <v>sanidad y consumo</v>
      </c>
      <c r="D180" s="334">
        <f>Gasto_o_ing_per_capita!D180*100/Gasto_o_ing_per_capita!$D180</f>
        <v>100</v>
      </c>
      <c r="E180" s="334">
        <f>Gasto_o_ing_per_capita!E180*100/Gasto_o_ing_per_capita!$D180</f>
        <v>0</v>
      </c>
      <c r="F180" s="334">
        <f>Gasto_o_ing_per_capita!F180*100/Gasto_o_ing_per_capita!$D180</f>
        <v>0</v>
      </c>
      <c r="G180" s="334">
        <f>Gasto_o_ing_per_capita!G180*100/Gasto_o_ing_per_capita!$D180</f>
        <v>0</v>
      </c>
      <c r="H180" s="334">
        <f>Gasto_o_ing_per_capita!H180*100/Gasto_o_ing_per_capita!$D180</f>
        <v>0</v>
      </c>
      <c r="I180" s="334">
        <f>Gasto_o_ing_per_capita!I180*100/Gasto_o_ing_per_capita!$D180</f>
        <v>0</v>
      </c>
      <c r="J180" s="334">
        <f>Gasto_o_ing_per_capita!J180*100/Gasto_o_ing_per_capita!$D180</f>
        <v>0</v>
      </c>
      <c r="K180" s="334">
        <f>Gasto_o_ing_per_capita!K180*100/Gasto_o_ing_per_capita!$D180</f>
        <v>0</v>
      </c>
      <c r="L180" s="334">
        <f>Gasto_o_ing_per_capita!L180*100/Gasto_o_ing_per_capita!$D180</f>
        <v>0</v>
      </c>
      <c r="M180" s="334">
        <f>Gasto_o_ing_per_capita!M180*100/Gasto_o_ing_per_capita!$D180</f>
        <v>0</v>
      </c>
      <c r="N180" s="334">
        <f>Gasto_o_ing_per_capita!N180*100/Gasto_o_ing_per_capita!$D180</f>
        <v>0</v>
      </c>
      <c r="O180" s="334">
        <f>Gasto_o_ing_per_capita!O180*100/Gasto_o_ing_per_capita!$D180</f>
        <v>0</v>
      </c>
      <c r="P180" s="334">
        <f>Gasto_o_ing_per_capita!P180*100/Gasto_o_ing_per_capita!$D180</f>
        <v>0</v>
      </c>
      <c r="Q180" s="334">
        <f>Gasto_o_ing_per_capita!Q180*100/Gasto_o_ing_per_capita!$D180</f>
        <v>0</v>
      </c>
      <c r="R180" s="334">
        <f>Gasto_o_ing_per_capita!R180*100/Gasto_o_ing_per_capita!$D180</f>
        <v>0</v>
      </c>
      <c r="S180" s="334">
        <f>Gasto_o_ing_per_capita!S180*100/Gasto_o_ing_per_capita!$D180</f>
        <v>1685.3311352158128</v>
      </c>
      <c r="T180" s="334">
        <f>Gasto_o_ing_per_capita!T180*100/Gasto_o_ing_per_capita!$D180</f>
        <v>1639.9766887500909</v>
      </c>
      <c r="U180" s="334">
        <f>Gasto_o_ing_per_capita!U180*100/Gasto_o_ing_per_capita!$D180</f>
        <v>0</v>
      </c>
      <c r="V180" s="334">
        <f>Gasto_o_ing_per_capita!V180*100/Gasto_o_ing_per_capita!$D180</f>
        <v>0</v>
      </c>
    </row>
    <row r="181" spans="1:22" s="102" customFormat="1">
      <c r="A181" s="352"/>
      <c r="B181" s="115" t="s">
        <v>1107</v>
      </c>
      <c r="C181" s="335" t="str">
        <f>VLOOKUP(B181,Tot_res!C:D,2,FALSE)</f>
        <v>Educación y formación</v>
      </c>
      <c r="D181" s="334">
        <f>Gasto_o_ing_per_capita!D181*100/Gasto_o_ing_per_capita!$D181</f>
        <v>100.00000000000001</v>
      </c>
      <c r="E181" s="334">
        <f>Gasto_o_ing_per_capita!E181*100/Gasto_o_ing_per_capita!$D181</f>
        <v>0</v>
      </c>
      <c r="F181" s="334">
        <f>Gasto_o_ing_per_capita!F181*100/Gasto_o_ing_per_capita!$D181</f>
        <v>0</v>
      </c>
      <c r="G181" s="334">
        <f>Gasto_o_ing_per_capita!G181*100/Gasto_o_ing_per_capita!$D181</f>
        <v>0</v>
      </c>
      <c r="H181" s="334">
        <f>Gasto_o_ing_per_capita!H181*100/Gasto_o_ing_per_capita!$D181</f>
        <v>0</v>
      </c>
      <c r="I181" s="334">
        <f>Gasto_o_ing_per_capita!I181*100/Gasto_o_ing_per_capita!$D181</f>
        <v>0</v>
      </c>
      <c r="J181" s="334">
        <f>Gasto_o_ing_per_capita!J181*100/Gasto_o_ing_per_capita!$D181</f>
        <v>0</v>
      </c>
      <c r="K181" s="334">
        <f>Gasto_o_ing_per_capita!K181*100/Gasto_o_ing_per_capita!$D181</f>
        <v>0</v>
      </c>
      <c r="L181" s="334">
        <f>Gasto_o_ing_per_capita!L181*100/Gasto_o_ing_per_capita!$D181</f>
        <v>0</v>
      </c>
      <c r="M181" s="334">
        <f>Gasto_o_ing_per_capita!M181*100/Gasto_o_ing_per_capita!$D181</f>
        <v>0</v>
      </c>
      <c r="N181" s="334">
        <f>Gasto_o_ing_per_capita!N181*100/Gasto_o_ing_per_capita!$D181</f>
        <v>0</v>
      </c>
      <c r="O181" s="334">
        <f>Gasto_o_ing_per_capita!O181*100/Gasto_o_ing_per_capita!$D181</f>
        <v>0</v>
      </c>
      <c r="P181" s="334">
        <f>Gasto_o_ing_per_capita!P181*100/Gasto_o_ing_per_capita!$D181</f>
        <v>0</v>
      </c>
      <c r="Q181" s="334">
        <f>Gasto_o_ing_per_capita!Q181*100/Gasto_o_ing_per_capita!$D181</f>
        <v>0</v>
      </c>
      <c r="R181" s="334">
        <f>Gasto_o_ing_per_capita!R181*100/Gasto_o_ing_per_capita!$D181</f>
        <v>0</v>
      </c>
      <c r="S181" s="334">
        <f>Gasto_o_ing_per_capita!S181*100/Gasto_o_ing_per_capita!$D181</f>
        <v>1487.205386129677</v>
      </c>
      <c r="T181" s="334">
        <f>Gasto_o_ing_per_capita!T181*100/Gasto_o_ing_per_capita!$D181</f>
        <v>1697.9569890689399</v>
      </c>
      <c r="U181" s="334">
        <f>Gasto_o_ing_per_capita!U181*100/Gasto_o_ing_per_capita!$D181</f>
        <v>0</v>
      </c>
      <c r="V181" s="334">
        <f>Gasto_o_ing_per_capita!V181*100/Gasto_o_ing_per_capita!$D181</f>
        <v>0</v>
      </c>
    </row>
    <row r="182" spans="1:22" s="102" customFormat="1">
      <c r="A182" s="352"/>
      <c r="B182" s="115" t="s">
        <v>1108</v>
      </c>
      <c r="C182" s="335" t="str">
        <f>VLOOKUP(B182,Tot_res!C:D,2,FALSE)</f>
        <v>Administración de Justicia</v>
      </c>
      <c r="D182" s="334">
        <f>Gasto_o_ing_per_capita!D182*100/Gasto_o_ing_per_capita!$D182</f>
        <v>100</v>
      </c>
      <c r="E182" s="334">
        <f>Gasto_o_ing_per_capita!E182*100/Gasto_o_ing_per_capita!$D182</f>
        <v>0</v>
      </c>
      <c r="F182" s="334">
        <f>Gasto_o_ing_per_capita!F182*100/Gasto_o_ing_per_capita!$D182</f>
        <v>0</v>
      </c>
      <c r="G182" s="334">
        <f>Gasto_o_ing_per_capita!G182*100/Gasto_o_ing_per_capita!$D182</f>
        <v>0</v>
      </c>
      <c r="H182" s="334">
        <f>Gasto_o_ing_per_capita!H182*100/Gasto_o_ing_per_capita!$D182</f>
        <v>0</v>
      </c>
      <c r="I182" s="334">
        <f>Gasto_o_ing_per_capita!I182*100/Gasto_o_ing_per_capita!$D182</f>
        <v>0</v>
      </c>
      <c r="J182" s="334">
        <f>Gasto_o_ing_per_capita!J182*100/Gasto_o_ing_per_capita!$D182</f>
        <v>0</v>
      </c>
      <c r="K182" s="334">
        <f>Gasto_o_ing_per_capita!K182*100/Gasto_o_ing_per_capita!$D182</f>
        <v>0</v>
      </c>
      <c r="L182" s="334">
        <f>Gasto_o_ing_per_capita!L182*100/Gasto_o_ing_per_capita!$D182</f>
        <v>0</v>
      </c>
      <c r="M182" s="334">
        <f>Gasto_o_ing_per_capita!M182*100/Gasto_o_ing_per_capita!$D182</f>
        <v>0</v>
      </c>
      <c r="N182" s="334">
        <f>Gasto_o_ing_per_capita!N182*100/Gasto_o_ing_per_capita!$D182</f>
        <v>0</v>
      </c>
      <c r="O182" s="334">
        <f>Gasto_o_ing_per_capita!O182*100/Gasto_o_ing_per_capita!$D182</f>
        <v>0</v>
      </c>
      <c r="P182" s="334">
        <f>Gasto_o_ing_per_capita!P182*100/Gasto_o_ing_per_capita!$D182</f>
        <v>0</v>
      </c>
      <c r="Q182" s="334">
        <f>Gasto_o_ing_per_capita!Q182*100/Gasto_o_ing_per_capita!$D182</f>
        <v>0</v>
      </c>
      <c r="R182" s="334">
        <f>Gasto_o_ing_per_capita!R182*100/Gasto_o_ing_per_capita!$D182</f>
        <v>0</v>
      </c>
      <c r="S182" s="334">
        <f>Gasto_o_ing_per_capita!S182*100/Gasto_o_ing_per_capita!$D182</f>
        <v>1656.0738164621314</v>
      </c>
      <c r="T182" s="334">
        <f>Gasto_o_ing_per_capita!T182*100/Gasto_o_ing_per_capita!$D182</f>
        <v>1648.5386658564853</v>
      </c>
      <c r="U182" s="334">
        <f>Gasto_o_ing_per_capita!U182*100/Gasto_o_ing_per_capita!$D182</f>
        <v>0</v>
      </c>
      <c r="V182" s="334">
        <f>Gasto_o_ing_per_capita!V182*100/Gasto_o_ing_per_capita!$D182</f>
        <v>0</v>
      </c>
    </row>
    <row r="183" spans="1:22" s="102" customFormat="1">
      <c r="A183" s="352"/>
      <c r="B183" s="115" t="s">
        <v>1109</v>
      </c>
      <c r="C183" s="335" t="str">
        <f>VLOOKUP(B183,Tot_res!C:D,2,FALSE)</f>
        <v>Seguridad Ciudadana y Vial</v>
      </c>
      <c r="D183" s="334">
        <f>Gasto_o_ing_per_capita!D183*100/Gasto_o_ing_per_capita!$D183</f>
        <v>100</v>
      </c>
      <c r="E183" s="334">
        <f>Gasto_o_ing_per_capita!E183*100/Gasto_o_ing_per_capita!$D183</f>
        <v>0</v>
      </c>
      <c r="F183" s="334">
        <f>Gasto_o_ing_per_capita!F183*100/Gasto_o_ing_per_capita!$D183</f>
        <v>0</v>
      </c>
      <c r="G183" s="334">
        <f>Gasto_o_ing_per_capita!G183*100/Gasto_o_ing_per_capita!$D183</f>
        <v>0</v>
      </c>
      <c r="H183" s="334">
        <f>Gasto_o_ing_per_capita!H183*100/Gasto_o_ing_per_capita!$D183</f>
        <v>0</v>
      </c>
      <c r="I183" s="334">
        <f>Gasto_o_ing_per_capita!I183*100/Gasto_o_ing_per_capita!$D183</f>
        <v>0</v>
      </c>
      <c r="J183" s="334">
        <f>Gasto_o_ing_per_capita!J183*100/Gasto_o_ing_per_capita!$D183</f>
        <v>0</v>
      </c>
      <c r="K183" s="334">
        <f>Gasto_o_ing_per_capita!K183*100/Gasto_o_ing_per_capita!$D183</f>
        <v>0</v>
      </c>
      <c r="L183" s="334">
        <f>Gasto_o_ing_per_capita!L183*100/Gasto_o_ing_per_capita!$D183</f>
        <v>0</v>
      </c>
      <c r="M183" s="334">
        <f>Gasto_o_ing_per_capita!M183*100/Gasto_o_ing_per_capita!$D183</f>
        <v>0</v>
      </c>
      <c r="N183" s="334">
        <f>Gasto_o_ing_per_capita!N183*100/Gasto_o_ing_per_capita!$D183</f>
        <v>0</v>
      </c>
      <c r="O183" s="334">
        <f>Gasto_o_ing_per_capita!O183*100/Gasto_o_ing_per_capita!$D183</f>
        <v>0</v>
      </c>
      <c r="P183" s="334">
        <f>Gasto_o_ing_per_capita!P183*100/Gasto_o_ing_per_capita!$D183</f>
        <v>0</v>
      </c>
      <c r="Q183" s="334">
        <f>Gasto_o_ing_per_capita!Q183*100/Gasto_o_ing_per_capita!$D183</f>
        <v>0</v>
      </c>
      <c r="R183" s="334">
        <f>Gasto_o_ing_per_capita!R183*100/Gasto_o_ing_per_capita!$D183</f>
        <v>0</v>
      </c>
      <c r="S183" s="334">
        <f>Gasto_o_ing_per_capita!S183*100/Gasto_o_ing_per_capita!$D183</f>
        <v>878.5081127435185</v>
      </c>
      <c r="T183" s="334">
        <f>Gasto_o_ing_per_capita!T183*100/Gasto_o_ing_per_capita!$D183</f>
        <v>1876.0885589278896</v>
      </c>
      <c r="U183" s="334">
        <f>Gasto_o_ing_per_capita!U183*100/Gasto_o_ing_per_capita!$D183</f>
        <v>0</v>
      </c>
      <c r="V183" s="334">
        <f>Gasto_o_ing_per_capita!V183*100/Gasto_o_ing_per_capita!$D183</f>
        <v>0</v>
      </c>
    </row>
    <row r="184" spans="1:22" s="102" customFormat="1">
      <c r="A184" s="352"/>
      <c r="B184" s="115" t="s">
        <v>1110</v>
      </c>
      <c r="C184" s="335" t="str">
        <f>VLOOKUP(B184,Tot_res!C:D,2,FALSE)</f>
        <v>Ayudas a la vivienda</v>
      </c>
      <c r="D184" s="334">
        <f>Gasto_o_ing_per_capita!D184*100/Gasto_o_ing_per_capita!$D184</f>
        <v>100</v>
      </c>
      <c r="E184" s="334">
        <f>Gasto_o_ing_per_capita!E184*100/Gasto_o_ing_per_capita!$D184</f>
        <v>0</v>
      </c>
      <c r="F184" s="334">
        <f>Gasto_o_ing_per_capita!F184*100/Gasto_o_ing_per_capita!$D184</f>
        <v>0</v>
      </c>
      <c r="G184" s="334">
        <f>Gasto_o_ing_per_capita!G184*100/Gasto_o_ing_per_capita!$D184</f>
        <v>0</v>
      </c>
      <c r="H184" s="334">
        <f>Gasto_o_ing_per_capita!H184*100/Gasto_o_ing_per_capita!$D184</f>
        <v>0</v>
      </c>
      <c r="I184" s="334">
        <f>Gasto_o_ing_per_capita!I184*100/Gasto_o_ing_per_capita!$D184</f>
        <v>0</v>
      </c>
      <c r="J184" s="334">
        <f>Gasto_o_ing_per_capita!J184*100/Gasto_o_ing_per_capita!$D184</f>
        <v>0</v>
      </c>
      <c r="K184" s="334">
        <f>Gasto_o_ing_per_capita!K184*100/Gasto_o_ing_per_capita!$D184</f>
        <v>0</v>
      </c>
      <c r="L184" s="334">
        <f>Gasto_o_ing_per_capita!L184*100/Gasto_o_ing_per_capita!$D184</f>
        <v>0</v>
      </c>
      <c r="M184" s="334">
        <f>Gasto_o_ing_per_capita!M184*100/Gasto_o_ing_per_capita!$D184</f>
        <v>0</v>
      </c>
      <c r="N184" s="334">
        <f>Gasto_o_ing_per_capita!N184*100/Gasto_o_ing_per_capita!$D184</f>
        <v>0</v>
      </c>
      <c r="O184" s="334">
        <f>Gasto_o_ing_per_capita!O184*100/Gasto_o_ing_per_capita!$D184</f>
        <v>0</v>
      </c>
      <c r="P184" s="334">
        <f>Gasto_o_ing_per_capita!P184*100/Gasto_o_ing_per_capita!$D184</f>
        <v>0</v>
      </c>
      <c r="Q184" s="334">
        <f>Gasto_o_ing_per_capita!Q184*100/Gasto_o_ing_per_capita!$D184</f>
        <v>0</v>
      </c>
      <c r="R184" s="334">
        <f>Gasto_o_ing_per_capita!R184*100/Gasto_o_ing_per_capita!$D184</f>
        <v>0</v>
      </c>
      <c r="S184" s="334">
        <f>Gasto_o_ing_per_capita!S184*100/Gasto_o_ing_per_capita!$D184</f>
        <v>1594.7991128475842</v>
      </c>
      <c r="T184" s="334">
        <f>Gasto_o_ing_per_capita!T184*100/Gasto_o_ing_per_capita!$D184</f>
        <v>1666.470336696379</v>
      </c>
      <c r="U184" s="334">
        <f>Gasto_o_ing_per_capita!U184*100/Gasto_o_ing_per_capita!$D184</f>
        <v>0</v>
      </c>
      <c r="V184" s="334">
        <f>Gasto_o_ing_per_capita!V184*100/Gasto_o_ing_per_capita!$D184</f>
        <v>0</v>
      </c>
    </row>
    <row r="185" spans="1:22" s="102" customFormat="1">
      <c r="A185" s="352"/>
      <c r="B185" s="115" t="s">
        <v>1111</v>
      </c>
      <c r="C185" s="335" t="str">
        <f>VLOOKUP(B185,Tot_res!C:D,2,FALSE)</f>
        <v>ajuste forales, ayudas al transporte colectivo urbano</v>
      </c>
      <c r="D185" s="334">
        <f>Gasto_o_ing_per_capita!D185*100/Gasto_o_ing_per_capita!$D185</f>
        <v>100</v>
      </c>
      <c r="E185" s="334">
        <f>Gasto_o_ing_per_capita!E185*100/Gasto_o_ing_per_capita!$D185</f>
        <v>0</v>
      </c>
      <c r="F185" s="334">
        <f>Gasto_o_ing_per_capita!F185*100/Gasto_o_ing_per_capita!$D185</f>
        <v>0</v>
      </c>
      <c r="G185" s="334">
        <f>Gasto_o_ing_per_capita!G185*100/Gasto_o_ing_per_capita!$D185</f>
        <v>0</v>
      </c>
      <c r="H185" s="334">
        <f>Gasto_o_ing_per_capita!H185*100/Gasto_o_ing_per_capita!$D185</f>
        <v>0</v>
      </c>
      <c r="I185" s="334">
        <f>Gasto_o_ing_per_capita!I185*100/Gasto_o_ing_per_capita!$D185</f>
        <v>0</v>
      </c>
      <c r="J185" s="334">
        <f>Gasto_o_ing_per_capita!J185*100/Gasto_o_ing_per_capita!$D185</f>
        <v>0</v>
      </c>
      <c r="K185" s="334">
        <f>Gasto_o_ing_per_capita!K185*100/Gasto_o_ing_per_capita!$D185</f>
        <v>0</v>
      </c>
      <c r="L185" s="334">
        <f>Gasto_o_ing_per_capita!L185*100/Gasto_o_ing_per_capita!$D185</f>
        <v>0</v>
      </c>
      <c r="M185" s="334">
        <f>Gasto_o_ing_per_capita!M185*100/Gasto_o_ing_per_capita!$D185</f>
        <v>0</v>
      </c>
      <c r="N185" s="334">
        <f>Gasto_o_ing_per_capita!N185*100/Gasto_o_ing_per_capita!$D185</f>
        <v>0</v>
      </c>
      <c r="O185" s="334">
        <f>Gasto_o_ing_per_capita!O185*100/Gasto_o_ing_per_capita!$D185</f>
        <v>0</v>
      </c>
      <c r="P185" s="334">
        <f>Gasto_o_ing_per_capita!P185*100/Gasto_o_ing_per_capita!$D185</f>
        <v>0</v>
      </c>
      <c r="Q185" s="334">
        <f>Gasto_o_ing_per_capita!Q185*100/Gasto_o_ing_per_capita!$D185</f>
        <v>0</v>
      </c>
      <c r="R185" s="334">
        <f>Gasto_o_ing_per_capita!R185*100/Gasto_o_ing_per_capita!$D185</f>
        <v>0</v>
      </c>
      <c r="S185" s="334">
        <f>Gasto_o_ing_per_capita!S185*100/Gasto_o_ing_per_capita!$D185</f>
        <v>1651.2107674316958</v>
      </c>
      <c r="T185" s="334">
        <f>Gasto_o_ing_per_capita!T185*100/Gasto_o_ing_per_capita!$D185</f>
        <v>1649.9618076972129</v>
      </c>
      <c r="U185" s="334">
        <f>Gasto_o_ing_per_capita!U185*100/Gasto_o_ing_per_capita!$D185</f>
        <v>0</v>
      </c>
      <c r="V185" s="334">
        <f>Gasto_o_ing_per_capita!V185*100/Gasto_o_ing_per_capita!$D185</f>
        <v>0</v>
      </c>
    </row>
    <row r="186" spans="1:22" s="102" customFormat="1">
      <c r="A186" s="352"/>
      <c r="B186" s="115" t="s">
        <v>1112</v>
      </c>
      <c r="C186" s="335" t="str">
        <f>VLOOKUP(B186,Tot_res!C:D,2,FALSE)</f>
        <v>Conservación patrimonio artístico y cultural</v>
      </c>
      <c r="D186" s="334">
        <f>Gasto_o_ing_per_capita!D186*100/Gasto_o_ing_per_capita!$D186</f>
        <v>100</v>
      </c>
      <c r="E186" s="334">
        <f>Gasto_o_ing_per_capita!E186*100/Gasto_o_ing_per_capita!$D186</f>
        <v>0</v>
      </c>
      <c r="F186" s="334">
        <f>Gasto_o_ing_per_capita!F186*100/Gasto_o_ing_per_capita!$D186</f>
        <v>0</v>
      </c>
      <c r="G186" s="334">
        <f>Gasto_o_ing_per_capita!G186*100/Gasto_o_ing_per_capita!$D186</f>
        <v>0</v>
      </c>
      <c r="H186" s="334">
        <f>Gasto_o_ing_per_capita!H186*100/Gasto_o_ing_per_capita!$D186</f>
        <v>0</v>
      </c>
      <c r="I186" s="334">
        <f>Gasto_o_ing_per_capita!I186*100/Gasto_o_ing_per_capita!$D186</f>
        <v>0</v>
      </c>
      <c r="J186" s="334">
        <f>Gasto_o_ing_per_capita!J186*100/Gasto_o_ing_per_capita!$D186</f>
        <v>0</v>
      </c>
      <c r="K186" s="334">
        <f>Gasto_o_ing_per_capita!K186*100/Gasto_o_ing_per_capita!$D186</f>
        <v>0</v>
      </c>
      <c r="L186" s="334">
        <f>Gasto_o_ing_per_capita!L186*100/Gasto_o_ing_per_capita!$D186</f>
        <v>0</v>
      </c>
      <c r="M186" s="334">
        <f>Gasto_o_ing_per_capita!M186*100/Gasto_o_ing_per_capita!$D186</f>
        <v>0</v>
      </c>
      <c r="N186" s="334">
        <f>Gasto_o_ing_per_capita!N186*100/Gasto_o_ing_per_capita!$D186</f>
        <v>0</v>
      </c>
      <c r="O186" s="334">
        <f>Gasto_o_ing_per_capita!O186*100/Gasto_o_ing_per_capita!$D186</f>
        <v>0</v>
      </c>
      <c r="P186" s="334">
        <f>Gasto_o_ing_per_capita!P186*100/Gasto_o_ing_per_capita!$D186</f>
        <v>0</v>
      </c>
      <c r="Q186" s="334">
        <f>Gasto_o_ing_per_capita!Q186*100/Gasto_o_ing_per_capita!$D186</f>
        <v>0</v>
      </c>
      <c r="R186" s="334">
        <f>Gasto_o_ing_per_capita!R186*100/Gasto_o_ing_per_capita!$D186</f>
        <v>0</v>
      </c>
      <c r="S186" s="334">
        <f>Gasto_o_ing_per_capita!S186*100/Gasto_o_ing_per_capita!$D186</f>
        <v>3933.8220990815839</v>
      </c>
      <c r="T186" s="334">
        <f>Gasto_o_ing_per_capita!T186*100/Gasto_o_ing_per_capita!$D186</f>
        <v>981.96942845967328</v>
      </c>
      <c r="U186" s="334">
        <f>Gasto_o_ing_per_capita!U186*100/Gasto_o_ing_per_capita!$D186</f>
        <v>0</v>
      </c>
      <c r="V186" s="334">
        <f>Gasto_o_ing_per_capita!V186*100/Gasto_o_ing_per_capita!$D186</f>
        <v>0</v>
      </c>
    </row>
    <row r="187" spans="1:22" s="102" customFormat="1">
      <c r="A187" s="352"/>
      <c r="B187" s="115" t="s">
        <v>1118</v>
      </c>
      <c r="C187" s="335" t="str">
        <f>VLOOKUP(B187,Tot_res!C:D,2,FALSE)</f>
        <v>Economía Social</v>
      </c>
      <c r="D187" s="334">
        <f>Gasto_o_ing_per_capita!D187*100/Gasto_o_ing_per_capita!$D187</f>
        <v>100</v>
      </c>
      <c r="E187" s="334">
        <f>Gasto_o_ing_per_capita!E187*100/Gasto_o_ing_per_capita!$D187</f>
        <v>0</v>
      </c>
      <c r="F187" s="334">
        <f>Gasto_o_ing_per_capita!F187*100/Gasto_o_ing_per_capita!$D187</f>
        <v>0</v>
      </c>
      <c r="G187" s="334">
        <f>Gasto_o_ing_per_capita!G187*100/Gasto_o_ing_per_capita!$D187</f>
        <v>0</v>
      </c>
      <c r="H187" s="334">
        <f>Gasto_o_ing_per_capita!H187*100/Gasto_o_ing_per_capita!$D187</f>
        <v>0</v>
      </c>
      <c r="I187" s="334">
        <f>Gasto_o_ing_per_capita!I187*100/Gasto_o_ing_per_capita!$D187</f>
        <v>0</v>
      </c>
      <c r="J187" s="334">
        <f>Gasto_o_ing_per_capita!J187*100/Gasto_o_ing_per_capita!$D187</f>
        <v>0</v>
      </c>
      <c r="K187" s="334">
        <f>Gasto_o_ing_per_capita!K187*100/Gasto_o_ing_per_capita!$D187</f>
        <v>0</v>
      </c>
      <c r="L187" s="334">
        <f>Gasto_o_ing_per_capita!L187*100/Gasto_o_ing_per_capita!$D187</f>
        <v>0</v>
      </c>
      <c r="M187" s="334">
        <f>Gasto_o_ing_per_capita!M187*100/Gasto_o_ing_per_capita!$D187</f>
        <v>0</v>
      </c>
      <c r="N187" s="334">
        <f>Gasto_o_ing_per_capita!N187*100/Gasto_o_ing_per_capita!$D187</f>
        <v>0</v>
      </c>
      <c r="O187" s="334">
        <f>Gasto_o_ing_per_capita!O187*100/Gasto_o_ing_per_capita!$D187</f>
        <v>0</v>
      </c>
      <c r="P187" s="334">
        <f>Gasto_o_ing_per_capita!P187*100/Gasto_o_ing_per_capita!$D187</f>
        <v>0</v>
      </c>
      <c r="Q187" s="334">
        <f>Gasto_o_ing_per_capita!Q187*100/Gasto_o_ing_per_capita!$D187</f>
        <v>0</v>
      </c>
      <c r="R187" s="334">
        <f>Gasto_o_ing_per_capita!R187*100/Gasto_o_ing_per_capita!$D187</f>
        <v>0</v>
      </c>
      <c r="S187" s="334">
        <f>Gasto_o_ing_per_capita!S187*100/Gasto_o_ing_per_capita!$D187</f>
        <v>1650.2445618947797</v>
      </c>
      <c r="T187" s="334">
        <f>Gasto_o_ing_per_capita!T187*100/Gasto_o_ing_per_capita!$D187</f>
        <v>1650.2445618947797</v>
      </c>
      <c r="U187" s="334">
        <f>Gasto_o_ing_per_capita!U187*100/Gasto_o_ing_per_capita!$D187</f>
        <v>0</v>
      </c>
      <c r="V187" s="334">
        <f>Gasto_o_ing_per_capita!V187*100/Gasto_o_ing_per_capita!$D187</f>
        <v>0</v>
      </c>
    </row>
    <row r="188" spans="1:22" s="102" customFormat="1">
      <c r="A188" s="352"/>
      <c r="B188" s="115" t="s">
        <v>1113</v>
      </c>
      <c r="C188" s="335" t="str">
        <f>VLOOKUP(B188,Tot_res!C:D,2,FALSE)</f>
        <v>Servicios Sociales</v>
      </c>
      <c r="D188" s="334">
        <f>Gasto_o_ing_per_capita!D188*100/Gasto_o_ing_per_capita!$D188</f>
        <v>100</v>
      </c>
      <c r="E188" s="334">
        <f>Gasto_o_ing_per_capita!E188*100/Gasto_o_ing_per_capita!$D188</f>
        <v>0</v>
      </c>
      <c r="F188" s="334">
        <f>Gasto_o_ing_per_capita!F188*100/Gasto_o_ing_per_capita!$D188</f>
        <v>0</v>
      </c>
      <c r="G188" s="334">
        <f>Gasto_o_ing_per_capita!G188*100/Gasto_o_ing_per_capita!$D188</f>
        <v>0</v>
      </c>
      <c r="H188" s="334">
        <f>Gasto_o_ing_per_capita!H188*100/Gasto_o_ing_per_capita!$D188</f>
        <v>0</v>
      </c>
      <c r="I188" s="334">
        <f>Gasto_o_ing_per_capita!I188*100/Gasto_o_ing_per_capita!$D188</f>
        <v>0</v>
      </c>
      <c r="J188" s="334">
        <f>Gasto_o_ing_per_capita!J188*100/Gasto_o_ing_per_capita!$D188</f>
        <v>0</v>
      </c>
      <c r="K188" s="334">
        <f>Gasto_o_ing_per_capita!K188*100/Gasto_o_ing_per_capita!$D188</f>
        <v>0</v>
      </c>
      <c r="L188" s="334">
        <f>Gasto_o_ing_per_capita!L188*100/Gasto_o_ing_per_capita!$D188</f>
        <v>0</v>
      </c>
      <c r="M188" s="334">
        <f>Gasto_o_ing_per_capita!M188*100/Gasto_o_ing_per_capita!$D188</f>
        <v>0</v>
      </c>
      <c r="N188" s="334">
        <f>Gasto_o_ing_per_capita!N188*100/Gasto_o_ing_per_capita!$D188</f>
        <v>0</v>
      </c>
      <c r="O188" s="334">
        <f>Gasto_o_ing_per_capita!O188*100/Gasto_o_ing_per_capita!$D188</f>
        <v>0</v>
      </c>
      <c r="P188" s="334">
        <f>Gasto_o_ing_per_capita!P188*100/Gasto_o_ing_per_capita!$D188</f>
        <v>0</v>
      </c>
      <c r="Q188" s="334">
        <f>Gasto_o_ing_per_capita!Q188*100/Gasto_o_ing_per_capita!$D188</f>
        <v>0</v>
      </c>
      <c r="R188" s="334">
        <f>Gasto_o_ing_per_capita!R188*100/Gasto_o_ing_per_capita!$D188</f>
        <v>0</v>
      </c>
      <c r="S188" s="334">
        <f>Gasto_o_ing_per_capita!S188*100/Gasto_o_ing_per_capita!$D188</f>
        <v>1890.5256154077958</v>
      </c>
      <c r="T188" s="334">
        <f>Gasto_o_ing_per_capita!T188*100/Gasto_o_ing_per_capita!$D188</f>
        <v>1579.9277670921147</v>
      </c>
      <c r="U188" s="334">
        <f>Gasto_o_ing_per_capita!U188*100/Gasto_o_ing_per_capita!$D188</f>
        <v>0</v>
      </c>
      <c r="V188" s="334">
        <f>Gasto_o_ing_per_capita!V188*100/Gasto_o_ing_per_capita!$D188</f>
        <v>0</v>
      </c>
    </row>
    <row r="189" spans="1:22" s="102" customFormat="1">
      <c r="A189" s="352"/>
      <c r="B189" s="115" t="s">
        <v>1114</v>
      </c>
      <c r="C189" s="335" t="str">
        <f>VLOOKUP(B189,Tot_res!C:D,2,FALSE)</f>
        <v>Fomento y gestiòn del empleo, incluyendo ISM</v>
      </c>
      <c r="D189" s="334">
        <f>Gasto_o_ing_per_capita!D189*100/Gasto_o_ing_per_capita!$D189</f>
        <v>100</v>
      </c>
      <c r="E189" s="334">
        <f>Gasto_o_ing_per_capita!E189*100/Gasto_o_ing_per_capita!$D189</f>
        <v>0</v>
      </c>
      <c r="F189" s="334">
        <f>Gasto_o_ing_per_capita!F189*100/Gasto_o_ing_per_capita!$D189</f>
        <v>0</v>
      </c>
      <c r="G189" s="334">
        <f>Gasto_o_ing_per_capita!G189*100/Gasto_o_ing_per_capita!$D189</f>
        <v>0</v>
      </c>
      <c r="H189" s="334">
        <f>Gasto_o_ing_per_capita!H189*100/Gasto_o_ing_per_capita!$D189</f>
        <v>0</v>
      </c>
      <c r="I189" s="334">
        <f>Gasto_o_ing_per_capita!I189*100/Gasto_o_ing_per_capita!$D189</f>
        <v>0</v>
      </c>
      <c r="J189" s="334">
        <f>Gasto_o_ing_per_capita!J189*100/Gasto_o_ing_per_capita!$D189</f>
        <v>0</v>
      </c>
      <c r="K189" s="334">
        <f>Gasto_o_ing_per_capita!K189*100/Gasto_o_ing_per_capita!$D189</f>
        <v>0</v>
      </c>
      <c r="L189" s="334">
        <f>Gasto_o_ing_per_capita!L189*100/Gasto_o_ing_per_capita!$D189</f>
        <v>0</v>
      </c>
      <c r="M189" s="334">
        <f>Gasto_o_ing_per_capita!M189*100/Gasto_o_ing_per_capita!$D189</f>
        <v>0</v>
      </c>
      <c r="N189" s="334">
        <f>Gasto_o_ing_per_capita!N189*100/Gasto_o_ing_per_capita!$D189</f>
        <v>0</v>
      </c>
      <c r="O189" s="334">
        <f>Gasto_o_ing_per_capita!O189*100/Gasto_o_ing_per_capita!$D189</f>
        <v>0</v>
      </c>
      <c r="P189" s="334">
        <f>Gasto_o_ing_per_capita!P189*100/Gasto_o_ing_per_capita!$D189</f>
        <v>0</v>
      </c>
      <c r="Q189" s="334">
        <f>Gasto_o_ing_per_capita!Q189*100/Gasto_o_ing_per_capita!$D189</f>
        <v>0</v>
      </c>
      <c r="R189" s="334">
        <f>Gasto_o_ing_per_capita!R189*100/Gasto_o_ing_per_capita!$D189</f>
        <v>0</v>
      </c>
      <c r="S189" s="334">
        <f>Gasto_o_ing_per_capita!S189*100/Gasto_o_ing_per_capita!$D189</f>
        <v>0</v>
      </c>
      <c r="T189" s="334">
        <f>Gasto_o_ing_per_capita!T189*100/Gasto_o_ing_per_capita!$D189</f>
        <v>2133.178636539506</v>
      </c>
      <c r="U189" s="334">
        <f>Gasto_o_ing_per_capita!U189*100/Gasto_o_ing_per_capita!$D189</f>
        <v>0</v>
      </c>
      <c r="V189" s="334">
        <f>Gasto_o_ing_per_capita!V189*100/Gasto_o_ing_per_capita!$D189</f>
        <v>0</v>
      </c>
    </row>
    <row r="190" spans="1:22" s="102" customFormat="1">
      <c r="A190" s="352"/>
      <c r="B190" s="115" t="s">
        <v>1119</v>
      </c>
      <c r="C190" s="335" t="e">
        <f>VLOOKUP(B190,Tot_res!C:D,2,FALSE)</f>
        <v>#N/A</v>
      </c>
      <c r="D190" s="334" t="e">
        <f>Gasto_o_ing_per_capita!D190*100/Gasto_o_ing_per_capita!$D190</f>
        <v>#DIV/0!</v>
      </c>
      <c r="E190" s="334" t="e">
        <f>Gasto_o_ing_per_capita!E190*100/Gasto_o_ing_per_capita!$D190</f>
        <v>#VALUE!</v>
      </c>
      <c r="F190" s="334" t="e">
        <f>Gasto_o_ing_per_capita!F190*100/Gasto_o_ing_per_capita!$D190</f>
        <v>#VALUE!</v>
      </c>
      <c r="G190" s="334" t="e">
        <f>Gasto_o_ing_per_capita!G190*100/Gasto_o_ing_per_capita!$D190</f>
        <v>#VALUE!</v>
      </c>
      <c r="H190" s="334" t="e">
        <f>Gasto_o_ing_per_capita!H190*100/Gasto_o_ing_per_capita!$D190</f>
        <v>#VALUE!</v>
      </c>
      <c r="I190" s="334" t="e">
        <f>Gasto_o_ing_per_capita!I190*100/Gasto_o_ing_per_capita!$D190</f>
        <v>#VALUE!</v>
      </c>
      <c r="J190" s="334" t="e">
        <f>Gasto_o_ing_per_capita!J190*100/Gasto_o_ing_per_capita!$D190</f>
        <v>#VALUE!</v>
      </c>
      <c r="K190" s="334" t="e">
        <f>Gasto_o_ing_per_capita!K190*100/Gasto_o_ing_per_capita!$D190</f>
        <v>#VALUE!</v>
      </c>
      <c r="L190" s="334" t="e">
        <f>Gasto_o_ing_per_capita!L190*100/Gasto_o_ing_per_capita!$D190</f>
        <v>#VALUE!</v>
      </c>
      <c r="M190" s="334" t="e">
        <f>Gasto_o_ing_per_capita!M190*100/Gasto_o_ing_per_capita!$D190</f>
        <v>#VALUE!</v>
      </c>
      <c r="N190" s="334" t="e">
        <f>Gasto_o_ing_per_capita!N190*100/Gasto_o_ing_per_capita!$D190</f>
        <v>#VALUE!</v>
      </c>
      <c r="O190" s="334" t="e">
        <f>Gasto_o_ing_per_capita!O190*100/Gasto_o_ing_per_capita!$D190</f>
        <v>#VALUE!</v>
      </c>
      <c r="P190" s="334" t="e">
        <f>Gasto_o_ing_per_capita!P190*100/Gasto_o_ing_per_capita!$D190</f>
        <v>#VALUE!</v>
      </c>
      <c r="Q190" s="334" t="e">
        <f>Gasto_o_ing_per_capita!Q190*100/Gasto_o_ing_per_capita!$D190</f>
        <v>#VALUE!</v>
      </c>
      <c r="R190" s="334" t="e">
        <f>Gasto_o_ing_per_capita!R190*100/Gasto_o_ing_per_capita!$D190</f>
        <v>#VALUE!</v>
      </c>
      <c r="S190" s="334" t="e">
        <f>Gasto_o_ing_per_capita!S190*100/Gasto_o_ing_per_capita!$D190</f>
        <v>#VALUE!</v>
      </c>
      <c r="T190" s="334" t="e">
        <f>Gasto_o_ing_per_capita!T190*100/Gasto_o_ing_per_capita!$D190</f>
        <v>#VALUE!</v>
      </c>
      <c r="U190" s="334" t="e">
        <f>Gasto_o_ing_per_capita!U190*100/Gasto_o_ing_per_capita!$D190</f>
        <v>#VALUE!</v>
      </c>
      <c r="V190" s="334" t="e">
        <f>Gasto_o_ing_per_capita!V190*100/Gasto_o_ing_per_capita!$D190</f>
        <v>#VALUE!</v>
      </c>
    </row>
    <row r="191" spans="1:22" s="102" customFormat="1">
      <c r="A191" s="352"/>
      <c r="B191" s="115" t="s">
        <v>1115</v>
      </c>
      <c r="C191" s="335" t="str">
        <f>VLOOKUP(B191,Tot_res!C:D,2,FALSE)</f>
        <v>Agricultura</v>
      </c>
      <c r="D191" s="334">
        <f>Gasto_o_ing_per_capita!D191*100/Gasto_o_ing_per_capita!$D191</f>
        <v>100</v>
      </c>
      <c r="E191" s="334">
        <f>Gasto_o_ing_per_capita!E191*100/Gasto_o_ing_per_capita!$D191</f>
        <v>0</v>
      </c>
      <c r="F191" s="334">
        <f>Gasto_o_ing_per_capita!F191*100/Gasto_o_ing_per_capita!$D191</f>
        <v>0</v>
      </c>
      <c r="G191" s="334">
        <f>Gasto_o_ing_per_capita!G191*100/Gasto_o_ing_per_capita!$D191</f>
        <v>0</v>
      </c>
      <c r="H191" s="334">
        <f>Gasto_o_ing_per_capita!H191*100/Gasto_o_ing_per_capita!$D191</f>
        <v>0</v>
      </c>
      <c r="I191" s="334">
        <f>Gasto_o_ing_per_capita!I191*100/Gasto_o_ing_per_capita!$D191</f>
        <v>0</v>
      </c>
      <c r="J191" s="334">
        <f>Gasto_o_ing_per_capita!J191*100/Gasto_o_ing_per_capita!$D191</f>
        <v>0</v>
      </c>
      <c r="K191" s="334">
        <f>Gasto_o_ing_per_capita!K191*100/Gasto_o_ing_per_capita!$D191</f>
        <v>0</v>
      </c>
      <c r="L191" s="334">
        <f>Gasto_o_ing_per_capita!L191*100/Gasto_o_ing_per_capita!$D191</f>
        <v>0</v>
      </c>
      <c r="M191" s="334">
        <f>Gasto_o_ing_per_capita!M191*100/Gasto_o_ing_per_capita!$D191</f>
        <v>0</v>
      </c>
      <c r="N191" s="334">
        <f>Gasto_o_ing_per_capita!N191*100/Gasto_o_ing_per_capita!$D191</f>
        <v>0</v>
      </c>
      <c r="O191" s="334">
        <f>Gasto_o_ing_per_capita!O191*100/Gasto_o_ing_per_capita!$D191</f>
        <v>0</v>
      </c>
      <c r="P191" s="334">
        <f>Gasto_o_ing_per_capita!P191*100/Gasto_o_ing_per_capita!$D191</f>
        <v>0</v>
      </c>
      <c r="Q191" s="334">
        <f>Gasto_o_ing_per_capita!Q191*100/Gasto_o_ing_per_capita!$D191</f>
        <v>0</v>
      </c>
      <c r="R191" s="334">
        <f>Gasto_o_ing_per_capita!R191*100/Gasto_o_ing_per_capita!$D191</f>
        <v>0</v>
      </c>
      <c r="S191" s="334">
        <f>Gasto_o_ing_per_capita!S191*100/Gasto_o_ing_per_capita!$D191</f>
        <v>965.68106626882491</v>
      </c>
      <c r="T191" s="334">
        <f>Gasto_o_ing_per_capita!T191*100/Gasto_o_ing_per_capita!$D191</f>
        <v>1850.5779221308483</v>
      </c>
      <c r="U191" s="334">
        <f>Gasto_o_ing_per_capita!U191*100/Gasto_o_ing_per_capita!$D191</f>
        <v>0</v>
      </c>
      <c r="V191" s="334">
        <f>Gasto_o_ing_per_capita!V191*100/Gasto_o_ing_per_capita!$D191</f>
        <v>0</v>
      </c>
    </row>
    <row r="192" spans="1:22" s="102" customFormat="1">
      <c r="A192" s="352"/>
      <c r="B192" s="115" t="s">
        <v>1120</v>
      </c>
      <c r="C192" s="335" t="e">
        <f>VLOOKUP(B192,Tot_res!C:D,2,FALSE)</f>
        <v>#N/A</v>
      </c>
      <c r="D192" s="334" t="e">
        <f>Gasto_o_ing_per_capita!D192*100/Gasto_o_ing_per_capita!$D192</f>
        <v>#DIV/0!</v>
      </c>
      <c r="E192" s="334" t="e">
        <f>Gasto_o_ing_per_capita!E192*100/Gasto_o_ing_per_capita!$D192</f>
        <v>#VALUE!</v>
      </c>
      <c r="F192" s="334" t="e">
        <f>Gasto_o_ing_per_capita!F192*100/Gasto_o_ing_per_capita!$D192</f>
        <v>#VALUE!</v>
      </c>
      <c r="G192" s="334" t="e">
        <f>Gasto_o_ing_per_capita!G192*100/Gasto_o_ing_per_capita!$D192</f>
        <v>#VALUE!</v>
      </c>
      <c r="H192" s="334" t="e">
        <f>Gasto_o_ing_per_capita!H192*100/Gasto_o_ing_per_capita!$D192</f>
        <v>#VALUE!</v>
      </c>
      <c r="I192" s="334" t="e">
        <f>Gasto_o_ing_per_capita!I192*100/Gasto_o_ing_per_capita!$D192</f>
        <v>#VALUE!</v>
      </c>
      <c r="J192" s="334" t="e">
        <f>Gasto_o_ing_per_capita!J192*100/Gasto_o_ing_per_capita!$D192</f>
        <v>#VALUE!</v>
      </c>
      <c r="K192" s="334" t="e">
        <f>Gasto_o_ing_per_capita!K192*100/Gasto_o_ing_per_capita!$D192</f>
        <v>#VALUE!</v>
      </c>
      <c r="L192" s="334" t="e">
        <f>Gasto_o_ing_per_capita!L192*100/Gasto_o_ing_per_capita!$D192</f>
        <v>#VALUE!</v>
      </c>
      <c r="M192" s="334" t="e">
        <f>Gasto_o_ing_per_capita!M192*100/Gasto_o_ing_per_capita!$D192</f>
        <v>#VALUE!</v>
      </c>
      <c r="N192" s="334" t="e">
        <f>Gasto_o_ing_per_capita!N192*100/Gasto_o_ing_per_capita!$D192</f>
        <v>#VALUE!</v>
      </c>
      <c r="O192" s="334" t="e">
        <f>Gasto_o_ing_per_capita!O192*100/Gasto_o_ing_per_capita!$D192</f>
        <v>#VALUE!</v>
      </c>
      <c r="P192" s="334" t="e">
        <f>Gasto_o_ing_per_capita!P192*100/Gasto_o_ing_per_capita!$D192</f>
        <v>#VALUE!</v>
      </c>
      <c r="Q192" s="334" t="e">
        <f>Gasto_o_ing_per_capita!Q192*100/Gasto_o_ing_per_capita!$D192</f>
        <v>#VALUE!</v>
      </c>
      <c r="R192" s="334" t="e">
        <f>Gasto_o_ing_per_capita!R192*100/Gasto_o_ing_per_capita!$D192</f>
        <v>#VALUE!</v>
      </c>
      <c r="S192" s="334" t="e">
        <f>Gasto_o_ing_per_capita!S192*100/Gasto_o_ing_per_capita!$D192</f>
        <v>#VALUE!</v>
      </c>
      <c r="T192" s="334" t="e">
        <f>Gasto_o_ing_per_capita!T192*100/Gasto_o_ing_per_capita!$D192</f>
        <v>#VALUE!</v>
      </c>
      <c r="U192" s="334" t="e">
        <f>Gasto_o_ing_per_capita!U192*100/Gasto_o_ing_per_capita!$D192</f>
        <v>#VALUE!</v>
      </c>
      <c r="V192" s="334" t="e">
        <f>Gasto_o_ing_per_capita!V192*100/Gasto_o_ing_per_capita!$D192</f>
        <v>#VALUE!</v>
      </c>
    </row>
    <row r="193" spans="1:22" s="102" customFormat="1">
      <c r="A193" s="352"/>
      <c r="B193" s="115" t="s">
        <v>1116</v>
      </c>
      <c r="C193" s="335" t="str">
        <f>VLOOKUP(B193,Tot_res!C:D,2,FALSE)</f>
        <v>Turismo</v>
      </c>
      <c r="D193" s="334">
        <f>Gasto_o_ing_per_capita!D193*100/Gasto_o_ing_per_capita!$D193</f>
        <v>100</v>
      </c>
      <c r="E193" s="334">
        <f>Gasto_o_ing_per_capita!E193*100/Gasto_o_ing_per_capita!$D193</f>
        <v>0</v>
      </c>
      <c r="F193" s="334">
        <f>Gasto_o_ing_per_capita!F193*100/Gasto_o_ing_per_capita!$D193</f>
        <v>0</v>
      </c>
      <c r="G193" s="334">
        <f>Gasto_o_ing_per_capita!G193*100/Gasto_o_ing_per_capita!$D193</f>
        <v>0</v>
      </c>
      <c r="H193" s="334">
        <f>Gasto_o_ing_per_capita!H193*100/Gasto_o_ing_per_capita!$D193</f>
        <v>0</v>
      </c>
      <c r="I193" s="334">
        <f>Gasto_o_ing_per_capita!I193*100/Gasto_o_ing_per_capita!$D193</f>
        <v>0</v>
      </c>
      <c r="J193" s="334">
        <f>Gasto_o_ing_per_capita!J193*100/Gasto_o_ing_per_capita!$D193</f>
        <v>0</v>
      </c>
      <c r="K193" s="334">
        <f>Gasto_o_ing_per_capita!K193*100/Gasto_o_ing_per_capita!$D193</f>
        <v>0</v>
      </c>
      <c r="L193" s="334">
        <f>Gasto_o_ing_per_capita!L193*100/Gasto_o_ing_per_capita!$D193</f>
        <v>0</v>
      </c>
      <c r="M193" s="334">
        <f>Gasto_o_ing_per_capita!M193*100/Gasto_o_ing_per_capita!$D193</f>
        <v>0</v>
      </c>
      <c r="N193" s="334">
        <f>Gasto_o_ing_per_capita!N193*100/Gasto_o_ing_per_capita!$D193</f>
        <v>0</v>
      </c>
      <c r="O193" s="334">
        <f>Gasto_o_ing_per_capita!O193*100/Gasto_o_ing_per_capita!$D193</f>
        <v>0</v>
      </c>
      <c r="P193" s="334">
        <f>Gasto_o_ing_per_capita!P193*100/Gasto_o_ing_per_capita!$D193</f>
        <v>0</v>
      </c>
      <c r="Q193" s="334">
        <f>Gasto_o_ing_per_capita!Q193*100/Gasto_o_ing_per_capita!$D193</f>
        <v>0</v>
      </c>
      <c r="R193" s="334">
        <f>Gasto_o_ing_per_capita!R193*100/Gasto_o_ing_per_capita!$D193</f>
        <v>0</v>
      </c>
      <c r="S193" s="334">
        <f>Gasto_o_ing_per_capita!S193*100/Gasto_o_ing_per_capita!$D193</f>
        <v>1650.2445618947797</v>
      </c>
      <c r="T193" s="334">
        <f>Gasto_o_ing_per_capita!T193*100/Gasto_o_ing_per_capita!$D193</f>
        <v>1650.24456189478</v>
      </c>
      <c r="U193" s="334">
        <f>Gasto_o_ing_per_capita!U193*100/Gasto_o_ing_per_capita!$D193</f>
        <v>0</v>
      </c>
      <c r="V193" s="334">
        <f>Gasto_o_ing_per_capita!V193*100/Gasto_o_ing_per_capita!$D193</f>
        <v>0</v>
      </c>
    </row>
    <row r="194" spans="1:22"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row>
    <row r="195" spans="1:22" s="102" customFormat="1" ht="27">
      <c r="A195" s="352"/>
      <c r="B195" s="115"/>
      <c r="C195" s="117" t="s">
        <v>57</v>
      </c>
      <c r="D195" s="113">
        <f>Gasto_o_ing_per_capita!D195*100/Gasto_o_ing_per_capita!$D195</f>
        <v>100</v>
      </c>
      <c r="E195" s="113">
        <f>Gasto_o_ing_per_capita!E195*100/Gasto_o_ing_per_capita!$D195</f>
        <v>88.230209321602089</v>
      </c>
      <c r="F195" s="113">
        <f>Gasto_o_ing_per_capita!F195*100/Gasto_o_ing_per_capita!$D195</f>
        <v>104.93338986579712</v>
      </c>
      <c r="G195" s="113">
        <f>Gasto_o_ing_per_capita!G195*100/Gasto_o_ing_per_capita!$D195</f>
        <v>103.59903760037851</v>
      </c>
      <c r="H195" s="113">
        <f>Gasto_o_ing_per_capita!H195*100/Gasto_o_ing_per_capita!$D195</f>
        <v>95.584085747515942</v>
      </c>
      <c r="I195" s="113">
        <f>Gasto_o_ing_per_capita!I195*100/Gasto_o_ing_per_capita!$D195</f>
        <v>103.40510956588149</v>
      </c>
      <c r="J195" s="113">
        <f>Gasto_o_ing_per_capita!J195*100/Gasto_o_ing_per_capita!$D195</f>
        <v>115.99932121667194</v>
      </c>
      <c r="K195" s="113">
        <f>Gasto_o_ing_per_capita!K195*100/Gasto_o_ing_per_capita!$D195</f>
        <v>107.81173640369171</v>
      </c>
      <c r="L195" s="113">
        <f>Gasto_o_ing_per_capita!L195*100/Gasto_o_ing_per_capita!$D195</f>
        <v>98.073773599037665</v>
      </c>
      <c r="M195" s="113">
        <f>Gasto_o_ing_per_capita!M195*100/Gasto_o_ing_per_capita!$D195</f>
        <v>88.564185217001551</v>
      </c>
      <c r="N195" s="113">
        <f>Gasto_o_ing_per_capita!N195*100/Gasto_o_ing_per_capita!$D195</f>
        <v>82.827390931383221</v>
      </c>
      <c r="O195" s="113">
        <f>Gasto_o_ing_per_capita!O195*100/Gasto_o_ing_per_capita!$D195</f>
        <v>110.74306957870917</v>
      </c>
      <c r="P195" s="113">
        <f>Gasto_o_ing_per_capita!P195*100/Gasto_o_ing_per_capita!$D195</f>
        <v>105.13623117572536</v>
      </c>
      <c r="Q195" s="113">
        <f>Gasto_o_ing_per_capita!Q195*100/Gasto_o_ing_per_capita!$D195</f>
        <v>86.746654162544843</v>
      </c>
      <c r="R195" s="113">
        <f>Gasto_o_ing_per_capita!R195*100/Gasto_o_ing_per_capita!$D195</f>
        <v>84.755407225160994</v>
      </c>
      <c r="S195" s="113">
        <f>Gasto_o_ing_per_capita!S195*100/Gasto_o_ing_per_capita!$D195</f>
        <v>172.01979986424675</v>
      </c>
      <c r="T195" s="113">
        <f>Gasto_o_ing_per_capita!T195*100/Gasto_o_ing_per_capita!$D195</f>
        <v>214.42805883100979</v>
      </c>
      <c r="U195" s="113">
        <f>Gasto_o_ing_per_capita!U195*100/Gasto_o_ing_per_capita!$D195</f>
        <v>111.45276824165133</v>
      </c>
      <c r="V195" s="113">
        <f>Gasto_o_ing_per_capita!V195*100/Gasto_o_ing_per_capita!$D195</f>
        <v>187.14543610081631</v>
      </c>
    </row>
    <row r="196" spans="1:22"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row>
    <row r="197" spans="1:22" s="102" customFormat="1" ht="13.5">
      <c r="A197" s="352"/>
      <c r="B197" s="137"/>
      <c r="C197" s="117" t="s">
        <v>29</v>
      </c>
      <c r="D197" s="113">
        <f>Gasto_o_ing_per_capita!D197*100/Gasto_o_ing_per_capita!$D197</f>
        <v>100</v>
      </c>
      <c r="E197" s="113">
        <f>Gasto_o_ing_per_capita!E197*100/Gasto_o_ing_per_capita!$D197</f>
        <v>211.93117316807451</v>
      </c>
      <c r="F197" s="113">
        <f>Gasto_o_ing_per_capita!F197*100/Gasto_o_ing_per_capita!$D197</f>
        <v>285.48878944534101</v>
      </c>
      <c r="G197" s="113">
        <f>Gasto_o_ing_per_capita!G197*100/Gasto_o_ing_per_capita!$D197</f>
        <v>270.95083266356966</v>
      </c>
      <c r="H197" s="113">
        <f>Gasto_o_ing_per_capita!H197*100/Gasto_o_ing_per_capita!$D197</f>
        <v>529.26630637349251</v>
      </c>
      <c r="I197" s="113">
        <f>Gasto_o_ing_per_capita!I197*100/Gasto_o_ing_per_capita!$D197</f>
        <v>142.45207743561122</v>
      </c>
      <c r="J197" s="113">
        <f>Gasto_o_ing_per_capita!J197*100/Gasto_o_ing_per_capita!$D197</f>
        <v>195.71954544586958</v>
      </c>
      <c r="K197" s="113">
        <f>Gasto_o_ing_per_capita!K197*100/Gasto_o_ing_per_capita!$D197</f>
        <v>190.39939673560167</v>
      </c>
      <c r="L197" s="113">
        <f>Gasto_o_ing_per_capita!L197*100/Gasto_o_ing_per_capita!$D197</f>
        <v>30.226374005101075</v>
      </c>
      <c r="M197" s="113">
        <f>Gasto_o_ing_per_capita!M197*100/Gasto_o_ing_per_capita!$D197</f>
        <v>344.21306591872673</v>
      </c>
      <c r="N197" s="113">
        <f>Gasto_o_ing_per_capita!N197*100/Gasto_o_ing_per_capita!$D197</f>
        <v>318.97424434220375</v>
      </c>
      <c r="O197" s="113">
        <f>Gasto_o_ing_per_capita!O197*100/Gasto_o_ing_per_capita!$D197</f>
        <v>442.62727371844494</v>
      </c>
      <c r="P197" s="113">
        <f>Gasto_o_ing_per_capita!P197*100/Gasto_o_ing_per_capita!$D197</f>
        <v>279.04592920546014</v>
      </c>
      <c r="Q197" s="113">
        <f>Gasto_o_ing_per_capita!Q197*100/Gasto_o_ing_per_capita!$D197</f>
        <v>-217.83804614663475</v>
      </c>
      <c r="R197" s="113">
        <f>Gasto_o_ing_per_capita!R197*100/Gasto_o_ing_per_capita!$D197</f>
        <v>346.32482675712185</v>
      </c>
      <c r="S197" s="113">
        <f>Gasto_o_ing_per_capita!S197*100/Gasto_o_ing_per_capita!$D197</f>
        <v>-1999.0103254198984</v>
      </c>
      <c r="T197" s="113">
        <f>Gasto_o_ing_per_capita!T197*100/Gasto_o_ing_per_capita!$D197</f>
        <v>-1196.1329889962301</v>
      </c>
      <c r="U197" s="113">
        <f>Gasto_o_ing_per_capita!U197*100/Gasto_o_ing_per_capita!$D197</f>
        <v>182.88672302081397</v>
      </c>
      <c r="V197" s="113">
        <f>Gasto_o_ing_per_capita!V197*100/Gasto_o_ing_per_capita!$D197</f>
        <v>0</v>
      </c>
    </row>
    <row r="198" spans="1:22" s="102" customFormat="1">
      <c r="A198" s="351" t="str">
        <f>IF(B198="","",(IF(ISERROR(MATCH(B198,Tot_res!C:C,0)),"Eliminar!!!","")))</f>
        <v/>
      </c>
      <c r="B198" s="115" t="s">
        <v>963</v>
      </c>
      <c r="C198" s="330" t="str">
        <f>VLOOKUP(B198,Tot_res!C:D,2,FALSE)</f>
        <v>Participación CCAARC en IRPF, sobreesfuerzo fiscal regional</v>
      </c>
      <c r="D198" s="332">
        <f>Gasto_o_ing_per_capita!D198*100/Gasto_o_ing_per_capita!$D198</f>
        <v>100</v>
      </c>
      <c r="E198" s="332">
        <f>Gasto_o_ing_per_capita!E198*100/Gasto_o_ing_per_capita!$D198</f>
        <v>-10.801948568924095</v>
      </c>
      <c r="F198" s="332">
        <f>Gasto_o_ing_per_capita!F198*100/Gasto_o_ing_per_capita!$D198</f>
        <v>29.613707146966682</v>
      </c>
      <c r="G198" s="332">
        <f>Gasto_o_ing_per_capita!G198*100/Gasto_o_ing_per_capita!$D198</f>
        <v>5.0341046428090843</v>
      </c>
      <c r="H198" s="332">
        <f>Gasto_o_ing_per_capita!H198*100/Gasto_o_ing_per_capita!$D198</f>
        <v>32.979686968397338</v>
      </c>
      <c r="I198" s="332">
        <f>Gasto_o_ing_per_capita!I198*100/Gasto_o_ing_per_capita!$D198</f>
        <v>108.21120718225777</v>
      </c>
      <c r="J198" s="332">
        <f>Gasto_o_ing_per_capita!J198*100/Gasto_o_ing_per_capita!$D198</f>
        <v>250.82809438616945</v>
      </c>
      <c r="K198" s="332">
        <f>Gasto_o_ing_per_capita!K198*100/Gasto_o_ing_per_capita!$D198</f>
        <v>95.97118114040272</v>
      </c>
      <c r="L198" s="332">
        <f>Gasto_o_ing_per_capita!L198*100/Gasto_o_ing_per_capita!$D198</f>
        <v>193.70574651511953</v>
      </c>
      <c r="M198" s="332">
        <f>Gasto_o_ing_per_capita!M198*100/Gasto_o_ing_per_capita!$D198</f>
        <v>4.7230457602409821</v>
      </c>
      <c r="N198" s="332">
        <f>Gasto_o_ing_per_capita!N198*100/Gasto_o_ing_per_capita!$D198</f>
        <v>61.174506591597826</v>
      </c>
      <c r="O198" s="332">
        <f>Gasto_o_ing_per_capita!O198*100/Gasto_o_ing_per_capita!$D198</f>
        <v>20.04444134408725</v>
      </c>
      <c r="P198" s="332">
        <f>Gasto_o_ing_per_capita!P198*100/Gasto_o_ing_per_capita!$D198</f>
        <v>63.706862982676384</v>
      </c>
      <c r="Q198" s="332">
        <f>Gasto_o_ing_per_capita!Q198*100/Gasto_o_ing_per_capita!$D198</f>
        <v>477.34646591087426</v>
      </c>
      <c r="R198" s="332">
        <f>Gasto_o_ing_per_capita!R198*100/Gasto_o_ing_per_capita!$D198</f>
        <v>5.0514154209964159</v>
      </c>
      <c r="S198" s="332">
        <f>Gasto_o_ing_per_capita!S198*100/Gasto_o_ing_per_capita!$D198</f>
        <v>0</v>
      </c>
      <c r="T198" s="332">
        <f>Gasto_o_ing_per_capita!T198*100/Gasto_o_ing_per_capita!$D198</f>
        <v>0</v>
      </c>
      <c r="U198" s="332">
        <f>Gasto_o_ing_per_capita!U198*100/Gasto_o_ing_per_capita!$D198</f>
        <v>138.67088391953027</v>
      </c>
      <c r="V198" s="332">
        <f>Gasto_o_ing_per_capita!V198*100/Gasto_o_ing_per_capita!$D198</f>
        <v>0</v>
      </c>
    </row>
    <row r="199" spans="1:22" s="102" customFormat="1">
      <c r="A199" s="351" t="str">
        <f>IF(B199="","",(IF(ISERROR(MATCH(B199,Tot_res!C:C,0)),"Eliminar!!!","")))</f>
        <v/>
      </c>
      <c r="B199" s="115" t="s">
        <v>1092</v>
      </c>
      <c r="C199" s="330" t="str">
        <f>VLOOKUP(B199,Tot_res!C:D,2,FALSE)</f>
        <v>Participación CCAARC en IH, sobreesfuerzo fiscal regional</v>
      </c>
      <c r="D199" s="332">
        <f>Gasto_o_ing_per_capita!D199*100/Gasto_o_ing_per_capita!$D199</f>
        <v>100</v>
      </c>
      <c r="E199" s="332">
        <f>Gasto_o_ing_per_capita!E199*100/Gasto_o_ing_per_capita!$D199</f>
        <v>124.33491419032336</v>
      </c>
      <c r="F199" s="332">
        <f>Gasto_o_ing_per_capita!F199*100/Gasto_o_ing_per_capita!$D199</f>
        <v>4.0134768748842703E-3</v>
      </c>
      <c r="G199" s="332">
        <f>Gasto_o_ing_per_capita!G199*100/Gasto_o_ing_per_capita!$D199</f>
        <v>107.25615609036079</v>
      </c>
      <c r="H199" s="332">
        <f>Gasto_o_ing_per_capita!H199*100/Gasto_o_ing_per_capita!$D199</f>
        <v>141.31013817136463</v>
      </c>
      <c r="I199" s="332">
        <f>Gasto_o_ing_per_capita!I199*100/Gasto_o_ing_per_capita!$D199</f>
        <v>0</v>
      </c>
      <c r="J199" s="332">
        <f>Gasto_o_ing_per_capita!J199*100/Gasto_o_ing_per_capita!$D199</f>
        <v>171.11472254053027</v>
      </c>
      <c r="K199" s="332">
        <f>Gasto_o_ing_per_capita!K199*100/Gasto_o_ing_per_capita!$D199</f>
        <v>163.37509182582514</v>
      </c>
      <c r="L199" s="332">
        <f>Gasto_o_ing_per_capita!L199*100/Gasto_o_ing_per_capita!$D199</f>
        <v>156.1540461543899</v>
      </c>
      <c r="M199" s="332">
        <f>Gasto_o_ing_per_capita!M199*100/Gasto_o_ing_per_capita!$D199</f>
        <v>134.9799357690172</v>
      </c>
      <c r="N199" s="332">
        <f>Gasto_o_ing_per_capita!N199*100/Gasto_o_ing_per_capita!$D199</f>
        <v>115.36496395183312</v>
      </c>
      <c r="O199" s="332">
        <f>Gasto_o_ing_per_capita!O199*100/Gasto_o_ing_per_capita!$D199</f>
        <v>123.92237328052181</v>
      </c>
      <c r="P199" s="332">
        <f>Gasto_o_ing_per_capita!P199*100/Gasto_o_ing_per_capita!$D199</f>
        <v>122.12933809934736</v>
      </c>
      <c r="Q199" s="332">
        <f>Gasto_o_ing_per_capita!Q199*100/Gasto_o_ing_per_capita!$D199</f>
        <v>39.360941269100351</v>
      </c>
      <c r="R199" s="332">
        <f>Gasto_o_ing_per_capita!R199*100/Gasto_o_ing_per_capita!$D199</f>
        <v>144.72293019313503</v>
      </c>
      <c r="S199" s="332">
        <f>Gasto_o_ing_per_capita!S199*100/Gasto_o_ing_per_capita!$D199</f>
        <v>0</v>
      </c>
      <c r="T199" s="332">
        <f>Gasto_o_ing_per_capita!T199*100/Gasto_o_ing_per_capita!$D199</f>
        <v>0</v>
      </c>
      <c r="U199" s="332">
        <f>Gasto_o_ing_per_capita!U199*100/Gasto_o_ing_per_capita!$D199</f>
        <v>-1.0442296813964271E-2</v>
      </c>
      <c r="V199" s="332">
        <f>Gasto_o_ing_per_capita!V199*100/Gasto_o_ing_per_capita!$D199</f>
        <v>0</v>
      </c>
    </row>
    <row r="200" spans="1:22" s="102" customFormat="1">
      <c r="A200" s="351" t="str">
        <f>IF(B200="","",(IF(ISERROR(MATCH(B200,Tot_res!C:C,0)),"Eliminar!!!","")))</f>
        <v/>
      </c>
      <c r="B200" s="115" t="s">
        <v>964</v>
      </c>
      <c r="C200" s="330" t="str">
        <f>VLOOKUP(B200,Tot_res!C:D,2,FALSE)</f>
        <v>Impuesto sucesiones y donac, sobreesfuerzo fiscal de las CCAARC</v>
      </c>
      <c r="D200" s="332">
        <f>Gasto_o_ing_per_capita!D200*100/Gasto_o_ing_per_capita!$D200</f>
        <v>100</v>
      </c>
      <c r="E200" s="332">
        <f>Gasto_o_ing_per_capita!E200*100/Gasto_o_ing_per_capita!$D200</f>
        <v>1.8212388866623664E+17</v>
      </c>
      <c r="F200" s="332">
        <f>Gasto_o_ing_per_capita!F200*100/Gasto_o_ing_per_capita!$D200</f>
        <v>2.646996022995648E+18</v>
      </c>
      <c r="G200" s="332">
        <f>Gasto_o_ing_per_capita!G200*100/Gasto_o_ing_per_capita!$D200</f>
        <v>1.7929490631442061E+18</v>
      </c>
      <c r="H200" s="332">
        <f>Gasto_o_ing_per_capita!H200*100/Gasto_o_ing_per_capita!$D200</f>
        <v>2.5606461470288963E+18</v>
      </c>
      <c r="I200" s="332">
        <f>Gasto_o_ing_per_capita!I200*100/Gasto_o_ing_per_capita!$D200</f>
        <v>-4.0671779927257158E+17</v>
      </c>
      <c r="J200" s="332">
        <f>Gasto_o_ing_per_capita!J200*100/Gasto_o_ing_per_capita!$D200</f>
        <v>-1.2286571490107684E+18</v>
      </c>
      <c r="K200" s="332">
        <f>Gasto_o_ing_per_capita!K200*100/Gasto_o_ing_per_capita!$D200</f>
        <v>-3.857478283648263E+17</v>
      </c>
      <c r="L200" s="332">
        <f>Gasto_o_ing_per_capita!L200*100/Gasto_o_ing_per_capita!$D200</f>
        <v>-1.1135799406855713E+18</v>
      </c>
      <c r="M200" s="332">
        <f>Gasto_o_ing_per_capita!M200*100/Gasto_o_ing_per_capita!$D200</f>
        <v>-1.3644351849758039E+18</v>
      </c>
      <c r="N200" s="332">
        <f>Gasto_o_ing_per_capita!N200*100/Gasto_o_ing_per_capita!$D200</f>
        <v>-1.2261447512020657E+18</v>
      </c>
      <c r="O200" s="332">
        <f>Gasto_o_ing_per_capita!O200*100/Gasto_o_ing_per_capita!$D200</f>
        <v>-5.3302686118611635E+17</v>
      </c>
      <c r="P200" s="332">
        <f>Gasto_o_ing_per_capita!P200*100/Gasto_o_ing_per_capita!$D200</f>
        <v>1.1993408676187722E+18</v>
      </c>
      <c r="Q200" s="332">
        <f>Gasto_o_ing_per_capita!Q200*100/Gasto_o_ing_per_capita!$D200</f>
        <v>8.8212094033750822E+17</v>
      </c>
      <c r="R200" s="332">
        <f>Gasto_o_ing_per_capita!R200*100/Gasto_o_ing_per_capita!$D200</f>
        <v>2.362680538591895E+18</v>
      </c>
      <c r="S200" s="332">
        <f>Gasto_o_ing_per_capita!S200*100/Gasto_o_ing_per_capita!$D200</f>
        <v>0</v>
      </c>
      <c r="T200" s="332">
        <f>Gasto_o_ing_per_capita!T200*100/Gasto_o_ing_per_capita!$D200</f>
        <v>0</v>
      </c>
      <c r="U200" s="332">
        <f>Gasto_o_ing_per_capita!U200*100/Gasto_o_ing_per_capita!$D200</f>
        <v>-1.2333049540061681E+18</v>
      </c>
      <c r="V200" s="332">
        <f>Gasto_o_ing_per_capita!V200*100/Gasto_o_ing_per_capita!$D200</f>
        <v>0</v>
      </c>
    </row>
    <row r="201" spans="1:22" s="102" customFormat="1">
      <c r="A201" s="351" t="str">
        <f>IF(B201="","",(IF(ISERROR(MATCH(B201,Tot_res!C:C,0)),"Eliminar!!!","")))</f>
        <v/>
      </c>
      <c r="B201" s="115" t="s">
        <v>965</v>
      </c>
      <c r="C201" s="330" t="str">
        <f>VLOOKUP(B201,Tot_res!C:D,2,FALSE)</f>
        <v>ITP y AJD, sobreesfuerzo fiscal de las CCAARC</v>
      </c>
      <c r="D201" s="332">
        <f>Gasto_o_ing_per_capita!D201*100/Gasto_o_ing_per_capita!$D201</f>
        <v>100</v>
      </c>
      <c r="E201" s="332">
        <f>Gasto_o_ing_per_capita!E201*100/Gasto_o_ing_per_capita!$D201</f>
        <v>92.492509369840946</v>
      </c>
      <c r="F201" s="332">
        <f>Gasto_o_ing_per_capita!F201*100/Gasto_o_ing_per_capita!$D201</f>
        <v>0</v>
      </c>
      <c r="G201" s="332">
        <f>Gasto_o_ing_per_capita!G201*100/Gasto_o_ing_per_capita!$D201</f>
        <v>54.721641215838517</v>
      </c>
      <c r="H201" s="332">
        <f>Gasto_o_ing_per_capita!H201*100/Gasto_o_ing_per_capita!$D201</f>
        <v>158.79011917235997</v>
      </c>
      <c r="I201" s="332">
        <f>Gasto_o_ing_per_capita!I201*100/Gasto_o_ing_per_capita!$D201</f>
        <v>-41.957906712569894</v>
      </c>
      <c r="J201" s="332">
        <f>Gasto_o_ing_per_capita!J201*100/Gasto_o_ing_per_capita!$D201</f>
        <v>86.177914450646867</v>
      </c>
      <c r="K201" s="332">
        <f>Gasto_o_ing_per_capita!K201*100/Gasto_o_ing_per_capita!$D201</f>
        <v>67.004472685005382</v>
      </c>
      <c r="L201" s="332">
        <f>Gasto_o_ing_per_capita!L201*100/Gasto_o_ing_per_capita!$D201</f>
        <v>48.259090153362706</v>
      </c>
      <c r="M201" s="332">
        <f>Gasto_o_ing_per_capita!M201*100/Gasto_o_ing_per_capita!$D201</f>
        <v>298.85296522303906</v>
      </c>
      <c r="N201" s="332">
        <f>Gasto_o_ing_per_capita!N201*100/Gasto_o_ing_per_capita!$D201</f>
        <v>310.50884901173299</v>
      </c>
      <c r="O201" s="332">
        <f>Gasto_o_ing_per_capita!O201*100/Gasto_o_ing_per_capita!$D201</f>
        <v>40.38216252303441</v>
      </c>
      <c r="P201" s="332">
        <f>Gasto_o_ing_per_capita!P201*100/Gasto_o_ing_per_capita!$D201</f>
        <v>132.97123568283197</v>
      </c>
      <c r="Q201" s="332">
        <f>Gasto_o_ing_per_capita!Q201*100/Gasto_o_ing_per_capita!$D201</f>
        <v>-134.50076221013208</v>
      </c>
      <c r="R201" s="332">
        <f>Gasto_o_ing_per_capita!R201*100/Gasto_o_ing_per_capita!$D201</f>
        <v>63.809907875439137</v>
      </c>
      <c r="S201" s="332">
        <f>Gasto_o_ing_per_capita!S201*100/Gasto_o_ing_per_capita!$D201</f>
        <v>0</v>
      </c>
      <c r="T201" s="332">
        <f>Gasto_o_ing_per_capita!T201*100/Gasto_o_ing_per_capita!$D201</f>
        <v>0</v>
      </c>
      <c r="U201" s="332">
        <f>Gasto_o_ing_per_capita!U201*100/Gasto_o_ing_per_capita!$D201</f>
        <v>0</v>
      </c>
      <c r="V201" s="332">
        <f>Gasto_o_ing_per_capita!V201*100/Gasto_o_ing_per_capita!$D201</f>
        <v>0</v>
      </c>
    </row>
    <row r="202" spans="1:22" s="102" customFormat="1">
      <c r="A202" s="351" t="str">
        <f>IF(B202="","",(IF(ISERROR(MATCH(B202,Tot_res!C:C,0)),"Eliminar!!!","")))</f>
        <v/>
      </c>
      <c r="B202" s="115" t="s">
        <v>966</v>
      </c>
      <c r="C202" s="330" t="str">
        <f>VLOOKUP(B202,Tot_res!C:D,2,FALSE)</f>
        <v>Tasas sobre el juego, sobreesfuerzo fiscal de las CCAARC</v>
      </c>
      <c r="D202" s="332">
        <f>Gasto_o_ing_per_capita!D202*100/Gasto_o_ing_per_capita!$D202</f>
        <v>100</v>
      </c>
      <c r="E202" s="332">
        <f>Gasto_o_ing_per_capita!E202*100/Gasto_o_ing_per_capita!$D202</f>
        <v>-1.6701196000494138E+17</v>
      </c>
      <c r="F202" s="332">
        <f>Gasto_o_ing_per_capita!F202*100/Gasto_o_ing_per_capita!$D202</f>
        <v>-6.716128688376727E+17</v>
      </c>
      <c r="G202" s="332">
        <f>Gasto_o_ing_per_capita!G202*100/Gasto_o_ing_per_capita!$D202</f>
        <v>-5.109743845533161E+17</v>
      </c>
      <c r="H202" s="332">
        <f>Gasto_o_ing_per_capita!H202*100/Gasto_o_ing_per_capita!$D202</f>
        <v>5.574675985484288E+17</v>
      </c>
      <c r="I202" s="332">
        <f>Gasto_o_ing_per_capita!I202*100/Gasto_o_ing_per_capita!$D202</f>
        <v>-9.2327750231050765E+17</v>
      </c>
      <c r="J202" s="332">
        <f>Gasto_o_ing_per_capita!J202*100/Gasto_o_ing_per_capita!$D202</f>
        <v>-2.7013818297751462E+17</v>
      </c>
      <c r="K202" s="332">
        <f>Gasto_o_ing_per_capita!K202*100/Gasto_o_ing_per_capita!$D202</f>
        <v>-1.1226336751604186E+17</v>
      </c>
      <c r="L202" s="332">
        <f>Gasto_o_ing_per_capita!L202*100/Gasto_o_ing_per_capita!$D202</f>
        <v>2.3698558529381098E+17</v>
      </c>
      <c r="M202" s="332">
        <f>Gasto_o_ing_per_capita!M202*100/Gasto_o_ing_per_capita!$D202</f>
        <v>-6.7066498205729421E+17</v>
      </c>
      <c r="N202" s="332">
        <f>Gasto_o_ing_per_capita!N202*100/Gasto_o_ing_per_capita!$D202</f>
        <v>1.1836302947299429E+17</v>
      </c>
      <c r="O202" s="332">
        <f>Gasto_o_ing_per_capita!O202*100/Gasto_o_ing_per_capita!$D202</f>
        <v>-3.6517792288566016E+17</v>
      </c>
      <c r="P202" s="332">
        <f>Gasto_o_ing_per_capita!P202*100/Gasto_o_ing_per_capita!$D202</f>
        <v>2.5980655524540643E+17</v>
      </c>
      <c r="Q202" s="332">
        <f>Gasto_o_ing_per_capita!Q202*100/Gasto_o_ing_per_capita!$D202</f>
        <v>1.418277257471007E+18</v>
      </c>
      <c r="R202" s="332">
        <f>Gasto_o_ing_per_capita!R202*100/Gasto_o_ing_per_capita!$D202</f>
        <v>-3.7731894366416474E+17</v>
      </c>
      <c r="S202" s="332">
        <f>Gasto_o_ing_per_capita!S202*100/Gasto_o_ing_per_capita!$D202</f>
        <v>0</v>
      </c>
      <c r="T202" s="332">
        <f>Gasto_o_ing_per_capita!T202*100/Gasto_o_ing_per_capita!$D202</f>
        <v>0</v>
      </c>
      <c r="U202" s="332">
        <f>Gasto_o_ing_per_capita!U202*100/Gasto_o_ing_per_capita!$D202</f>
        <v>-1.0958158402577281E+18</v>
      </c>
      <c r="V202" s="332">
        <f>Gasto_o_ing_per_capita!V202*100/Gasto_o_ing_per_capita!$D202</f>
        <v>0</v>
      </c>
    </row>
    <row r="203" spans="1:22" s="102" customFormat="1">
      <c r="A203" s="351" t="str">
        <f>IF(B203="","",(IF(ISERROR(MATCH(B203,Tot_res!C:C,0)),"Eliminar!!!","")))</f>
        <v/>
      </c>
      <c r="B203" s="115" t="s">
        <v>967</v>
      </c>
      <c r="C203" s="330" t="str">
        <f>VLOOKUP(B203,Tot_res!C:D,2,FALSE)</f>
        <v>IVMH, sobreesfuerzo fiscal de las CCAARC</v>
      </c>
      <c r="D203" s="332">
        <f>Gasto_o_ing_per_capita!D203*100/Gasto_o_ing_per_capita!$D203</f>
        <v>100</v>
      </c>
      <c r="E203" s="332">
        <f>Gasto_o_ing_per_capita!E203*100/Gasto_o_ing_per_capita!$D203</f>
        <v>183.34457644076858</v>
      </c>
      <c r="F203" s="332">
        <f>Gasto_o_ing_per_capita!F203*100/Gasto_o_ing_per_capita!$D203</f>
        <v>0</v>
      </c>
      <c r="G203" s="332">
        <f>Gasto_o_ing_per_capita!G203*100/Gasto_o_ing_per_capita!$D203</f>
        <v>42.391838245991458</v>
      </c>
      <c r="H203" s="332">
        <f>Gasto_o_ing_per_capita!H203*100/Gasto_o_ing_per_capita!$D203</f>
        <v>51.810735647621044</v>
      </c>
      <c r="I203" s="332">
        <f>Gasto_o_ing_per_capita!I203*100/Gasto_o_ing_per_capita!$D203</f>
        <v>0</v>
      </c>
      <c r="J203" s="332">
        <f>Gasto_o_ing_per_capita!J203*100/Gasto_o_ing_per_capita!$D203</f>
        <v>174.81356233360356</v>
      </c>
      <c r="K203" s="332">
        <f>Gasto_o_ing_per_capita!K203*100/Gasto_o_ing_per_capita!$D203</f>
        <v>152.45918610786941</v>
      </c>
      <c r="L203" s="332">
        <f>Gasto_o_ing_per_capita!L203*100/Gasto_o_ing_per_capita!$D203</f>
        <v>116.11557868066041</v>
      </c>
      <c r="M203" s="332">
        <f>Gasto_o_ing_per_capita!M203*100/Gasto_o_ing_per_capita!$D203</f>
        <v>64.11580830997876</v>
      </c>
      <c r="N203" s="332">
        <f>Gasto_o_ing_per_capita!N203*100/Gasto_o_ing_per_capita!$D203</f>
        <v>175.36832446080177</v>
      </c>
      <c r="O203" s="332">
        <f>Gasto_o_ing_per_capita!O203*100/Gasto_o_ing_per_capita!$D203</f>
        <v>259.40007963915184</v>
      </c>
      <c r="P203" s="332">
        <f>Gasto_o_ing_per_capita!P203*100/Gasto_o_ing_per_capita!$D203</f>
        <v>61.18609816184469</v>
      </c>
      <c r="Q203" s="332">
        <f>Gasto_o_ing_per_capita!Q203*100/Gasto_o_ing_per_capita!$D203</f>
        <v>34.061538625466618</v>
      </c>
      <c r="R203" s="332">
        <f>Gasto_o_ing_per_capita!R203*100/Gasto_o_ing_per_capita!$D203</f>
        <v>188.95493937075133</v>
      </c>
      <c r="S203" s="332">
        <f>Gasto_o_ing_per_capita!S203*100/Gasto_o_ing_per_capita!$D203</f>
        <v>0</v>
      </c>
      <c r="T203" s="332">
        <f>Gasto_o_ing_per_capita!T203*100/Gasto_o_ing_per_capita!$D203</f>
        <v>0</v>
      </c>
      <c r="U203" s="332">
        <f>Gasto_o_ing_per_capita!U203*100/Gasto_o_ing_per_capita!$D203</f>
        <v>0</v>
      </c>
      <c r="V203" s="332">
        <f>Gasto_o_ing_per_capita!V203*100/Gasto_o_ing_per_capita!$D203</f>
        <v>0</v>
      </c>
    </row>
    <row r="204" spans="1:22" s="102" customFormat="1">
      <c r="A204" s="351" t="str">
        <f>IF(B204="","",(IF(ISERROR(MATCH(B204,Tot_res!C:C,0)),"Eliminar!!!","")))</f>
        <v/>
      </c>
      <c r="B204" s="115" t="s">
        <v>968</v>
      </c>
      <c r="C204" s="330" t="str">
        <f>VLOOKUP(B204,Tot_res!C:D,2,FALSE)</f>
        <v>Impuesto de matriculación, sobreesfuerzo fiscal de las CCAARC</v>
      </c>
      <c r="D204" s="332">
        <f>Gasto_o_ing_per_capita!D204*100/Gasto_o_ing_per_capita!$D204</f>
        <v>100</v>
      </c>
      <c r="E204" s="332">
        <f>Gasto_o_ing_per_capita!E204*100/Gasto_o_ing_per_capita!$D204</f>
        <v>219.15943851423515</v>
      </c>
      <c r="F204" s="332">
        <f>Gasto_o_ing_per_capita!F204*100/Gasto_o_ing_per_capita!$D204</f>
        <v>0</v>
      </c>
      <c r="G204" s="332">
        <f>Gasto_o_ing_per_capita!G204*100/Gasto_o_ing_per_capita!$D204</f>
        <v>105.93204920322846</v>
      </c>
      <c r="H204" s="332">
        <f>Gasto_o_ing_per_capita!H204*100/Gasto_o_ing_per_capita!$D204</f>
        <v>280.6936644857924</v>
      </c>
      <c r="I204" s="332">
        <f>Gasto_o_ing_per_capita!I204*100/Gasto_o_ing_per_capita!$D204</f>
        <v>0</v>
      </c>
      <c r="J204" s="332">
        <f>Gasto_o_ing_per_capita!J204*100/Gasto_o_ing_per_capita!$D204</f>
        <v>315.55142192641136</v>
      </c>
      <c r="K204" s="332">
        <f>Gasto_o_ing_per_capita!K204*100/Gasto_o_ing_per_capita!$D204</f>
        <v>0</v>
      </c>
      <c r="L204" s="332">
        <f>Gasto_o_ing_per_capita!L204*100/Gasto_o_ing_per_capita!$D204</f>
        <v>0</v>
      </c>
      <c r="M204" s="332">
        <f>Gasto_o_ing_per_capita!M204*100/Gasto_o_ing_per_capita!$D204</f>
        <v>205.89903200364193</v>
      </c>
      <c r="N204" s="332">
        <f>Gasto_o_ing_per_capita!N204*100/Gasto_o_ing_per_capita!$D204</f>
        <v>0</v>
      </c>
      <c r="O204" s="332">
        <f>Gasto_o_ing_per_capita!O204*100/Gasto_o_ing_per_capita!$D204</f>
        <v>586.66271947070129</v>
      </c>
      <c r="P204" s="332">
        <f>Gasto_o_ing_per_capita!P204*100/Gasto_o_ing_per_capita!$D204</f>
        <v>0</v>
      </c>
      <c r="Q204" s="332">
        <f>Gasto_o_ing_per_capita!Q204*100/Gasto_o_ing_per_capita!$D204</f>
        <v>0</v>
      </c>
      <c r="R204" s="332">
        <f>Gasto_o_ing_per_capita!R204*100/Gasto_o_ing_per_capita!$D204</f>
        <v>21.481990210845943</v>
      </c>
      <c r="S204" s="332">
        <f>Gasto_o_ing_per_capita!S204*100/Gasto_o_ing_per_capita!$D204</f>
        <v>0</v>
      </c>
      <c r="T204" s="332">
        <f>Gasto_o_ing_per_capita!T204*100/Gasto_o_ing_per_capita!$D204</f>
        <v>0</v>
      </c>
      <c r="U204" s="332">
        <f>Gasto_o_ing_per_capita!U204*100/Gasto_o_ing_per_capita!$D204</f>
        <v>0</v>
      </c>
      <c r="V204" s="332">
        <f>Gasto_o_ing_per_capita!V204*100/Gasto_o_ing_per_capita!$D204</f>
        <v>0</v>
      </c>
    </row>
    <row r="205" spans="1:22" s="102" customFormat="1">
      <c r="A205" s="351" t="str">
        <f>IF(B205="","",(IF(ISERROR(MATCH(B205,Tot_res!C:C,0)),"Eliminar!!!","")))</f>
        <v/>
      </c>
      <c r="B205" s="115" t="s">
        <v>969</v>
      </c>
      <c r="C205" s="330" t="str">
        <f>VLOOKUP(B205,Tot_res!C:D,2,FALSE)</f>
        <v>IRPF, sobreesfuerzo fiscal de las comunidades forales</v>
      </c>
      <c r="D205" s="332">
        <f>Gasto_o_ing_per_capita!D205*100/Gasto_o_ing_per_capita!$D205</f>
        <v>100</v>
      </c>
      <c r="E205" s="332">
        <f>Gasto_o_ing_per_capita!E205*100/Gasto_o_ing_per_capita!$D205</f>
        <v>0</v>
      </c>
      <c r="F205" s="332">
        <f>Gasto_o_ing_per_capita!F205*100/Gasto_o_ing_per_capita!$D205</f>
        <v>0</v>
      </c>
      <c r="G205" s="332">
        <f>Gasto_o_ing_per_capita!G205*100/Gasto_o_ing_per_capita!$D205</f>
        <v>0</v>
      </c>
      <c r="H205" s="332">
        <f>Gasto_o_ing_per_capita!H205*100/Gasto_o_ing_per_capita!$D205</f>
        <v>0</v>
      </c>
      <c r="I205" s="332">
        <f>Gasto_o_ing_per_capita!I205*100/Gasto_o_ing_per_capita!$D205</f>
        <v>0</v>
      </c>
      <c r="J205" s="332">
        <f>Gasto_o_ing_per_capita!J205*100/Gasto_o_ing_per_capita!$D205</f>
        <v>0</v>
      </c>
      <c r="K205" s="332">
        <f>Gasto_o_ing_per_capita!K205*100/Gasto_o_ing_per_capita!$D205</f>
        <v>0</v>
      </c>
      <c r="L205" s="332">
        <f>Gasto_o_ing_per_capita!L205*100/Gasto_o_ing_per_capita!$D205</f>
        <v>0</v>
      </c>
      <c r="M205" s="332">
        <f>Gasto_o_ing_per_capita!M205*100/Gasto_o_ing_per_capita!$D205</f>
        <v>0</v>
      </c>
      <c r="N205" s="332">
        <f>Gasto_o_ing_per_capita!N205*100/Gasto_o_ing_per_capita!$D205</f>
        <v>0</v>
      </c>
      <c r="O205" s="332">
        <f>Gasto_o_ing_per_capita!O205*100/Gasto_o_ing_per_capita!$D205</f>
        <v>0</v>
      </c>
      <c r="P205" s="332">
        <f>Gasto_o_ing_per_capita!P205*100/Gasto_o_ing_per_capita!$D205</f>
        <v>0</v>
      </c>
      <c r="Q205" s="332">
        <f>Gasto_o_ing_per_capita!Q205*100/Gasto_o_ing_per_capita!$D205</f>
        <v>0</v>
      </c>
      <c r="R205" s="332">
        <f>Gasto_o_ing_per_capita!R205*100/Gasto_o_ing_per_capita!$D205</f>
        <v>0</v>
      </c>
      <c r="S205" s="332">
        <f>Gasto_o_ing_per_capita!S205*100/Gasto_o_ing_per_capita!$D205</f>
        <v>1993.5455121305163</v>
      </c>
      <c r="T205" s="332">
        <f>Gasto_o_ing_per_capita!T205*100/Gasto_o_ing_per_capita!$D205</f>
        <v>1549.7796183615667</v>
      </c>
      <c r="U205" s="332">
        <f>Gasto_o_ing_per_capita!U205*100/Gasto_o_ing_per_capita!$D205</f>
        <v>0</v>
      </c>
      <c r="V205" s="332">
        <f>Gasto_o_ing_per_capita!V205*100/Gasto_o_ing_per_capita!$D205</f>
        <v>0</v>
      </c>
    </row>
    <row r="206" spans="1:22" s="102" customFormat="1">
      <c r="A206" s="351" t="str">
        <f>IF(B206="","",(IF(ISERROR(MATCH(B206,Tot_res!C:C,0)),"Eliminar!!!","")))</f>
        <v/>
      </c>
      <c r="B206" s="115" t="s">
        <v>970</v>
      </c>
      <c r="C206" s="330" t="str">
        <f>VLOOKUP(B206,Tot_res!C:D,2,FALSE)</f>
        <v>Sociedades, sobreesfuerzo fiscal de las comunidades forales</v>
      </c>
      <c r="D206" s="332">
        <f>Gasto_o_ing_per_capita!D206*100/Gasto_o_ing_per_capita!$D206</f>
        <v>100</v>
      </c>
      <c r="E206" s="332">
        <f>Gasto_o_ing_per_capita!E206*100/Gasto_o_ing_per_capita!$D206</f>
        <v>0</v>
      </c>
      <c r="F206" s="332">
        <f>Gasto_o_ing_per_capita!F206*100/Gasto_o_ing_per_capita!$D206</f>
        <v>0</v>
      </c>
      <c r="G206" s="332">
        <f>Gasto_o_ing_per_capita!G206*100/Gasto_o_ing_per_capita!$D206</f>
        <v>0</v>
      </c>
      <c r="H206" s="332">
        <f>Gasto_o_ing_per_capita!H206*100/Gasto_o_ing_per_capita!$D206</f>
        <v>0</v>
      </c>
      <c r="I206" s="332">
        <f>Gasto_o_ing_per_capita!I206*100/Gasto_o_ing_per_capita!$D206</f>
        <v>0</v>
      </c>
      <c r="J206" s="332">
        <f>Gasto_o_ing_per_capita!J206*100/Gasto_o_ing_per_capita!$D206</f>
        <v>0</v>
      </c>
      <c r="K206" s="332">
        <f>Gasto_o_ing_per_capita!K206*100/Gasto_o_ing_per_capita!$D206</f>
        <v>0</v>
      </c>
      <c r="L206" s="332">
        <f>Gasto_o_ing_per_capita!L206*100/Gasto_o_ing_per_capita!$D206</f>
        <v>0</v>
      </c>
      <c r="M206" s="332">
        <f>Gasto_o_ing_per_capita!M206*100/Gasto_o_ing_per_capita!$D206</f>
        <v>0</v>
      </c>
      <c r="N206" s="332">
        <f>Gasto_o_ing_per_capita!N206*100/Gasto_o_ing_per_capita!$D206</f>
        <v>0</v>
      </c>
      <c r="O206" s="332">
        <f>Gasto_o_ing_per_capita!O206*100/Gasto_o_ing_per_capita!$D206</f>
        <v>0</v>
      </c>
      <c r="P206" s="332">
        <f>Gasto_o_ing_per_capita!P206*100/Gasto_o_ing_per_capita!$D206</f>
        <v>0</v>
      </c>
      <c r="Q206" s="332">
        <f>Gasto_o_ing_per_capita!Q206*100/Gasto_o_ing_per_capita!$D206</f>
        <v>0</v>
      </c>
      <c r="R206" s="332">
        <f>Gasto_o_ing_per_capita!R206*100/Gasto_o_ing_per_capita!$D206</f>
        <v>0</v>
      </c>
      <c r="S206" s="332">
        <f>Gasto_o_ing_per_capita!S206*100/Gasto_o_ing_per_capita!$D206</f>
        <v>5059.3860447565448</v>
      </c>
      <c r="T206" s="332">
        <f>Gasto_o_ing_per_capita!T206*100/Gasto_o_ing_per_capita!$D206</f>
        <v>652.5799578869694</v>
      </c>
      <c r="U206" s="332">
        <f>Gasto_o_ing_per_capita!U206*100/Gasto_o_ing_per_capita!$D206</f>
        <v>0</v>
      </c>
      <c r="V206" s="332">
        <f>Gasto_o_ing_per_capita!V206*100/Gasto_o_ing_per_capita!$D206</f>
        <v>0</v>
      </c>
    </row>
    <row r="207" spans="1:22" s="102" customFormat="1">
      <c r="A207" s="351" t="str">
        <f>IF(B207="","",(IF(ISERROR(MATCH(B207,Tot_res!C:C,0)),"Eliminar!!!","")))</f>
        <v/>
      </c>
      <c r="B207" s="115" t="s">
        <v>971</v>
      </c>
      <c r="C207" s="330" t="str">
        <f>VLOOKUP(B207,Tot_res!C:D,2,FALSE)</f>
        <v>Sucesiones y donaciones, sobreesfuerzo fiscal de las comunidades forales</v>
      </c>
      <c r="D207" s="332">
        <f>Gasto_o_ing_per_capita!D207*100/Gasto_o_ing_per_capita!$D207</f>
        <v>100</v>
      </c>
      <c r="E207" s="332">
        <f>Gasto_o_ing_per_capita!E207*100/Gasto_o_ing_per_capita!$D207</f>
        <v>0</v>
      </c>
      <c r="F207" s="332">
        <f>Gasto_o_ing_per_capita!F207*100/Gasto_o_ing_per_capita!$D207</f>
        <v>0</v>
      </c>
      <c r="G207" s="332">
        <f>Gasto_o_ing_per_capita!G207*100/Gasto_o_ing_per_capita!$D207</f>
        <v>0</v>
      </c>
      <c r="H207" s="332">
        <f>Gasto_o_ing_per_capita!H207*100/Gasto_o_ing_per_capita!$D207</f>
        <v>0</v>
      </c>
      <c r="I207" s="332">
        <f>Gasto_o_ing_per_capita!I207*100/Gasto_o_ing_per_capita!$D207</f>
        <v>0</v>
      </c>
      <c r="J207" s="332">
        <f>Gasto_o_ing_per_capita!J207*100/Gasto_o_ing_per_capita!$D207</f>
        <v>0</v>
      </c>
      <c r="K207" s="332">
        <f>Gasto_o_ing_per_capita!K207*100/Gasto_o_ing_per_capita!$D207</f>
        <v>0</v>
      </c>
      <c r="L207" s="332">
        <f>Gasto_o_ing_per_capita!L207*100/Gasto_o_ing_per_capita!$D207</f>
        <v>0</v>
      </c>
      <c r="M207" s="332">
        <f>Gasto_o_ing_per_capita!M207*100/Gasto_o_ing_per_capita!$D207</f>
        <v>0</v>
      </c>
      <c r="N207" s="332">
        <f>Gasto_o_ing_per_capita!N207*100/Gasto_o_ing_per_capita!$D207</f>
        <v>0</v>
      </c>
      <c r="O207" s="332">
        <f>Gasto_o_ing_per_capita!O207*100/Gasto_o_ing_per_capita!$D207</f>
        <v>0</v>
      </c>
      <c r="P207" s="332">
        <f>Gasto_o_ing_per_capita!P207*100/Gasto_o_ing_per_capita!$D207</f>
        <v>0</v>
      </c>
      <c r="Q207" s="332">
        <f>Gasto_o_ing_per_capita!Q207*100/Gasto_o_ing_per_capita!$D207</f>
        <v>0</v>
      </c>
      <c r="R207" s="332">
        <f>Gasto_o_ing_per_capita!R207*100/Gasto_o_ing_per_capita!$D207</f>
        <v>0</v>
      </c>
      <c r="S207" s="332">
        <f>Gasto_o_ing_per_capita!S207*100/Gasto_o_ing_per_capita!$D207</f>
        <v>-1494.8987152835221</v>
      </c>
      <c r="T207" s="332">
        <f>Gasto_o_ing_per_capita!T207*100/Gasto_o_ing_per_capita!$D207</f>
        <v>2570.6516901844298</v>
      </c>
      <c r="U207" s="332">
        <f>Gasto_o_ing_per_capita!U207*100/Gasto_o_ing_per_capita!$D207</f>
        <v>0</v>
      </c>
      <c r="V207" s="332">
        <f>Gasto_o_ing_per_capita!V207*100/Gasto_o_ing_per_capita!$D207</f>
        <v>0</v>
      </c>
    </row>
    <row r="208" spans="1:22" s="102" customFormat="1">
      <c r="A208" s="351" t="str">
        <f>IF(B208="","",(IF(ISERROR(MATCH(B208,Tot_res!C:C,0)),"Eliminar!!!","")))</f>
        <v/>
      </c>
      <c r="B208" s="115" t="s">
        <v>1079</v>
      </c>
      <c r="C208" s="330" t="s">
        <v>1080</v>
      </c>
      <c r="D208" s="332">
        <f>Gasto_o_ing_per_capita!D208*100/Gasto_o_ing_per_capita!$D208</f>
        <v>100</v>
      </c>
      <c r="E208" s="332">
        <f>Gasto_o_ing_per_capita!E208*100/Gasto_o_ing_per_capita!$D208</f>
        <v>0</v>
      </c>
      <c r="F208" s="332">
        <f>Gasto_o_ing_per_capita!F208*100/Gasto_o_ing_per_capita!$D208</f>
        <v>0</v>
      </c>
      <c r="G208" s="332">
        <f>Gasto_o_ing_per_capita!G208*100/Gasto_o_ing_per_capita!$D208</f>
        <v>0</v>
      </c>
      <c r="H208" s="332">
        <f>Gasto_o_ing_per_capita!H208*100/Gasto_o_ing_per_capita!$D208</f>
        <v>0</v>
      </c>
      <c r="I208" s="332">
        <f>Gasto_o_ing_per_capita!I208*100/Gasto_o_ing_per_capita!$D208</f>
        <v>0</v>
      </c>
      <c r="J208" s="332">
        <f>Gasto_o_ing_per_capita!J208*100/Gasto_o_ing_per_capita!$D208</f>
        <v>0</v>
      </c>
      <c r="K208" s="332">
        <f>Gasto_o_ing_per_capita!K208*100/Gasto_o_ing_per_capita!$D208</f>
        <v>0</v>
      </c>
      <c r="L208" s="332">
        <f>Gasto_o_ing_per_capita!L208*100/Gasto_o_ing_per_capita!$D208</f>
        <v>0</v>
      </c>
      <c r="M208" s="332">
        <f>Gasto_o_ing_per_capita!M208*100/Gasto_o_ing_per_capita!$D208</f>
        <v>0</v>
      </c>
      <c r="N208" s="332">
        <f>Gasto_o_ing_per_capita!N208*100/Gasto_o_ing_per_capita!$D208</f>
        <v>0</v>
      </c>
      <c r="O208" s="332">
        <f>Gasto_o_ing_per_capita!O208*100/Gasto_o_ing_per_capita!$D208</f>
        <v>0</v>
      </c>
      <c r="P208" s="332">
        <f>Gasto_o_ing_per_capita!P208*100/Gasto_o_ing_per_capita!$D208</f>
        <v>0</v>
      </c>
      <c r="Q208" s="332">
        <f>Gasto_o_ing_per_capita!Q208*100/Gasto_o_ing_per_capita!$D208</f>
        <v>0</v>
      </c>
      <c r="R208" s="332">
        <f>Gasto_o_ing_per_capita!R208*100/Gasto_o_ing_per_capita!$D208</f>
        <v>0</v>
      </c>
      <c r="S208" s="332">
        <f>Gasto_o_ing_per_capita!S208*100/Gasto_o_ing_per_capita!$D208</f>
        <v>7289.3312551804229</v>
      </c>
      <c r="T208" s="332">
        <f>Gasto_o_ing_per_capita!T208*100/Gasto_o_ing_per_capita!$D208</f>
        <v>0</v>
      </c>
      <c r="U208" s="332">
        <f>Gasto_o_ing_per_capita!U208*100/Gasto_o_ing_per_capita!$D208</f>
        <v>0</v>
      </c>
      <c r="V208" s="332">
        <f>Gasto_o_ing_per_capita!V208*100/Gasto_o_ing_per_capita!$D208</f>
        <v>0</v>
      </c>
    </row>
    <row r="209" spans="1:22" s="102" customFormat="1">
      <c r="A209" s="351" t="str">
        <f>IF(B209="","",(IF(ISERROR(MATCH(B209,Tot_res!C:C,0)),"Eliminar!!!","")))</f>
        <v/>
      </c>
      <c r="B209" s="115" t="s">
        <v>972</v>
      </c>
      <c r="C209" s="330" t="str">
        <f>VLOOKUP(B209,Tot_res!C:D,2,FALSE)</f>
        <v>ITP y AJD, sobreesfuerzo fiscal de las comunidades forales</v>
      </c>
      <c r="D209" s="332">
        <f>Gasto_o_ing_per_capita!D209*100/Gasto_o_ing_per_capita!$D209</f>
        <v>100</v>
      </c>
      <c r="E209" s="332">
        <f>Gasto_o_ing_per_capita!E209*100/Gasto_o_ing_per_capita!$D209</f>
        <v>0</v>
      </c>
      <c r="F209" s="332">
        <f>Gasto_o_ing_per_capita!F209*100/Gasto_o_ing_per_capita!$D209</f>
        <v>0</v>
      </c>
      <c r="G209" s="332">
        <f>Gasto_o_ing_per_capita!G209*100/Gasto_o_ing_per_capita!$D209</f>
        <v>0</v>
      </c>
      <c r="H209" s="332">
        <f>Gasto_o_ing_per_capita!H209*100/Gasto_o_ing_per_capita!$D209</f>
        <v>0</v>
      </c>
      <c r="I209" s="332">
        <f>Gasto_o_ing_per_capita!I209*100/Gasto_o_ing_per_capita!$D209</f>
        <v>0</v>
      </c>
      <c r="J209" s="332">
        <f>Gasto_o_ing_per_capita!J209*100/Gasto_o_ing_per_capita!$D209</f>
        <v>0</v>
      </c>
      <c r="K209" s="332">
        <f>Gasto_o_ing_per_capita!K209*100/Gasto_o_ing_per_capita!$D209</f>
        <v>0</v>
      </c>
      <c r="L209" s="332">
        <f>Gasto_o_ing_per_capita!L209*100/Gasto_o_ing_per_capita!$D209</f>
        <v>0</v>
      </c>
      <c r="M209" s="332">
        <f>Gasto_o_ing_per_capita!M209*100/Gasto_o_ing_per_capita!$D209</f>
        <v>0</v>
      </c>
      <c r="N209" s="332">
        <f>Gasto_o_ing_per_capita!N209*100/Gasto_o_ing_per_capita!$D209</f>
        <v>0</v>
      </c>
      <c r="O209" s="332">
        <f>Gasto_o_ing_per_capita!O209*100/Gasto_o_ing_per_capita!$D209</f>
        <v>0</v>
      </c>
      <c r="P209" s="332">
        <f>Gasto_o_ing_per_capita!P209*100/Gasto_o_ing_per_capita!$D209</f>
        <v>0</v>
      </c>
      <c r="Q209" s="332">
        <f>Gasto_o_ing_per_capita!Q209*100/Gasto_o_ing_per_capita!$D209</f>
        <v>0</v>
      </c>
      <c r="R209" s="332">
        <f>Gasto_o_ing_per_capita!R209*100/Gasto_o_ing_per_capita!$D209</f>
        <v>0</v>
      </c>
      <c r="S209" s="332">
        <f>Gasto_o_ing_per_capita!S209*100/Gasto_o_ing_per_capita!$D209</f>
        <v>1248.07732757697</v>
      </c>
      <c r="T209" s="332">
        <f>Gasto_o_ing_per_capita!T209*100/Gasto_o_ing_per_capita!$D209</f>
        <v>1767.9363668807632</v>
      </c>
      <c r="U209" s="332">
        <f>Gasto_o_ing_per_capita!U209*100/Gasto_o_ing_per_capita!$D209</f>
        <v>0</v>
      </c>
      <c r="V209" s="332">
        <f>Gasto_o_ing_per_capita!V209*100/Gasto_o_ing_per_capita!$D209</f>
        <v>0</v>
      </c>
    </row>
    <row r="210" spans="1:22" s="102" customFormat="1">
      <c r="A210" s="351" t="str">
        <f>IF(B210="","",(IF(ISERROR(MATCH(B210,Tot_res!C:C,0)),"Eliminar!!!","")))</f>
        <v/>
      </c>
      <c r="B210" s="115" t="s">
        <v>973</v>
      </c>
      <c r="C210" s="330" t="str">
        <f>VLOOKUP(B210,Tot_res!C:D,2,FALSE)</f>
        <v>Tasas juego, sobreesfuerzo fiscal de las comunidades forales</v>
      </c>
      <c r="D210" s="332">
        <f>Gasto_o_ing_per_capita!D210*100/Gasto_o_ing_per_capita!$D210</f>
        <v>100</v>
      </c>
      <c r="E210" s="332">
        <f>Gasto_o_ing_per_capita!E210*100/Gasto_o_ing_per_capita!$D210</f>
        <v>0</v>
      </c>
      <c r="F210" s="332">
        <f>Gasto_o_ing_per_capita!F210*100/Gasto_o_ing_per_capita!$D210</f>
        <v>0</v>
      </c>
      <c r="G210" s="332">
        <f>Gasto_o_ing_per_capita!G210*100/Gasto_o_ing_per_capita!$D210</f>
        <v>0</v>
      </c>
      <c r="H210" s="332">
        <f>Gasto_o_ing_per_capita!H210*100/Gasto_o_ing_per_capita!$D210</f>
        <v>0</v>
      </c>
      <c r="I210" s="332">
        <f>Gasto_o_ing_per_capita!I210*100/Gasto_o_ing_per_capita!$D210</f>
        <v>0</v>
      </c>
      <c r="J210" s="332">
        <f>Gasto_o_ing_per_capita!J210*100/Gasto_o_ing_per_capita!$D210</f>
        <v>0</v>
      </c>
      <c r="K210" s="332">
        <f>Gasto_o_ing_per_capita!K210*100/Gasto_o_ing_per_capita!$D210</f>
        <v>0</v>
      </c>
      <c r="L210" s="332">
        <f>Gasto_o_ing_per_capita!L210*100/Gasto_o_ing_per_capita!$D210</f>
        <v>0</v>
      </c>
      <c r="M210" s="332">
        <f>Gasto_o_ing_per_capita!M210*100/Gasto_o_ing_per_capita!$D210</f>
        <v>0</v>
      </c>
      <c r="N210" s="332">
        <f>Gasto_o_ing_per_capita!N210*100/Gasto_o_ing_per_capita!$D210</f>
        <v>0</v>
      </c>
      <c r="O210" s="332">
        <f>Gasto_o_ing_per_capita!O210*100/Gasto_o_ing_per_capita!$D210</f>
        <v>0</v>
      </c>
      <c r="P210" s="332">
        <f>Gasto_o_ing_per_capita!P210*100/Gasto_o_ing_per_capita!$D210</f>
        <v>0</v>
      </c>
      <c r="Q210" s="332">
        <f>Gasto_o_ing_per_capita!Q210*100/Gasto_o_ing_per_capita!$D210</f>
        <v>0</v>
      </c>
      <c r="R210" s="332">
        <f>Gasto_o_ing_per_capita!R210*100/Gasto_o_ing_per_capita!$D210</f>
        <v>0</v>
      </c>
      <c r="S210" s="332">
        <f>Gasto_o_ing_per_capita!S210*100/Gasto_o_ing_per_capita!$D210</f>
        <v>-365.33518526059504</v>
      </c>
      <c r="T210" s="332">
        <f>Gasto_o_ing_per_capita!T210*100/Gasto_o_ing_per_capita!$D210</f>
        <v>2240.0917654798659</v>
      </c>
      <c r="U210" s="332">
        <f>Gasto_o_ing_per_capita!U210*100/Gasto_o_ing_per_capita!$D210</f>
        <v>0</v>
      </c>
      <c r="V210" s="332">
        <f>Gasto_o_ing_per_capita!V210*100/Gasto_o_ing_per_capita!$D210</f>
        <v>0</v>
      </c>
    </row>
    <row r="211" spans="1:22" s="102" customFormat="1">
      <c r="A211" s="351" t="str">
        <f>IF(B211="","",(IF(ISERROR(MATCH(B211,Tot_res!C:C,0)),"Eliminar!!!","")))</f>
        <v/>
      </c>
      <c r="B211" s="115" t="s">
        <v>230</v>
      </c>
      <c r="C211" s="330" t="str">
        <f>VLOOKUP(B211,Tot_res!C:D,2,FALSE)</f>
        <v xml:space="preserve"> Ingresos por tributos propios de las comunidades autónomas y patrimonio</v>
      </c>
      <c r="D211" s="332">
        <f>Gasto_o_ing_per_capita!D211*100/Gasto_o_ing_per_capita!$D211</f>
        <v>100</v>
      </c>
      <c r="E211" s="332">
        <f>Gasto_o_ing_per_capita!E211*100/Gasto_o_ing_per_capita!$D211</f>
        <v>62.023435694888477</v>
      </c>
      <c r="F211" s="332">
        <f>Gasto_o_ing_per_capita!F211*100/Gasto_o_ing_per_capita!$D211</f>
        <v>126.06686724780262</v>
      </c>
      <c r="G211" s="332">
        <f>Gasto_o_ing_per_capita!G211*100/Gasto_o_ing_per_capita!$D211</f>
        <v>76.2241767624011</v>
      </c>
      <c r="H211" s="332">
        <f>Gasto_o_ing_per_capita!H211*100/Gasto_o_ing_per_capita!$D211</f>
        <v>230.35092856169962</v>
      </c>
      <c r="I211" s="332">
        <f>Gasto_o_ing_per_capita!I211*100/Gasto_o_ing_per_capita!$D211</f>
        <v>124.55072017950636</v>
      </c>
      <c r="J211" s="332">
        <f>Gasto_o_ing_per_capita!J211*100/Gasto_o_ing_per_capita!$D211</f>
        <v>135.94065690452979</v>
      </c>
      <c r="K211" s="332">
        <f>Gasto_o_ing_per_capita!K211*100/Gasto_o_ing_per_capita!$D211</f>
        <v>79.667104562909813</v>
      </c>
      <c r="L211" s="332">
        <f>Gasto_o_ing_per_capita!L211*100/Gasto_o_ing_per_capita!$D211</f>
        <v>29.289050321054347</v>
      </c>
      <c r="M211" s="332">
        <f>Gasto_o_ing_per_capita!M211*100/Gasto_o_ing_per_capita!$D211</f>
        <v>140.54861544309048</v>
      </c>
      <c r="N211" s="332">
        <f>Gasto_o_ing_per_capita!N211*100/Gasto_o_ing_per_capita!$D211</f>
        <v>158.96133054299955</v>
      </c>
      <c r="O211" s="332">
        <f>Gasto_o_ing_per_capita!O211*100/Gasto_o_ing_per_capita!$D211</f>
        <v>248.65521415202821</v>
      </c>
      <c r="P211" s="332">
        <f>Gasto_o_ing_per_capita!P211*100/Gasto_o_ing_per_capita!$D211</f>
        <v>107.8923647169251</v>
      </c>
      <c r="Q211" s="332">
        <f>Gasto_o_ing_per_capita!Q211*100/Gasto_o_ing_per_capita!$D211</f>
        <v>2.0943924850695099</v>
      </c>
      <c r="R211" s="332">
        <f>Gasto_o_ing_per_capita!R211*100/Gasto_o_ing_per_capita!$D211</f>
        <v>98.764470412425965</v>
      </c>
      <c r="S211" s="332">
        <f>Gasto_o_ing_per_capita!S211*100/Gasto_o_ing_per_capita!$D211</f>
        <v>149.23035265674272</v>
      </c>
      <c r="T211" s="332">
        <f>Gasto_o_ing_per_capita!T211*100/Gasto_o_ing_per_capita!$D211</f>
        <v>146.90562833872352</v>
      </c>
      <c r="U211" s="332">
        <f>Gasto_o_ing_per_capita!U211*100/Gasto_o_ing_per_capita!$D211</f>
        <v>168.72342862637032</v>
      </c>
      <c r="V211" s="332">
        <f>Gasto_o_ing_per_capita!V211*100/Gasto_o_ing_per_capita!$D211</f>
        <v>0</v>
      </c>
    </row>
    <row r="212" spans="1:22">
      <c r="A212" s="352"/>
      <c r="B212" s="9"/>
      <c r="C212" s="5"/>
      <c r="D212" s="19"/>
      <c r="E212" s="19"/>
      <c r="F212" s="19"/>
      <c r="G212" s="19"/>
      <c r="H212" s="19"/>
      <c r="I212" s="19"/>
      <c r="J212" s="19"/>
      <c r="K212" s="19"/>
      <c r="L212" s="19"/>
      <c r="M212" s="19"/>
      <c r="N212" s="19"/>
      <c r="O212" s="19"/>
      <c r="P212" s="19"/>
      <c r="Q212" s="19"/>
      <c r="R212" s="19"/>
      <c r="S212" s="19"/>
      <c r="T212" s="19"/>
      <c r="U212" s="19"/>
      <c r="V212" s="19"/>
    </row>
    <row r="213" spans="1:22" s="102" customFormat="1" ht="13.5">
      <c r="A213" s="352"/>
      <c r="B213" s="115"/>
      <c r="C213" s="128" t="s">
        <v>59</v>
      </c>
      <c r="D213" s="113">
        <f>Gasto_o_ing_per_capita!D213*100/Gasto_o_ing_per_capita!$D213</f>
        <v>100.00000000000001</v>
      </c>
      <c r="E213" s="113">
        <f>Gasto_o_ing_per_capita!E213*100/Gasto_o_ing_per_capita!$D213</f>
        <v>87.184822433559333</v>
      </c>
      <c r="F213" s="113">
        <f>Gasto_o_ing_per_capita!F213*100/Gasto_o_ing_per_capita!$D213</f>
        <v>107.82482469089605</v>
      </c>
      <c r="G213" s="113">
        <f>Gasto_o_ing_per_capita!G213*100/Gasto_o_ing_per_capita!$D213</f>
        <v>94.329241376186346</v>
      </c>
      <c r="H213" s="113">
        <f>Gasto_o_ing_per_capita!H213*100/Gasto_o_ing_per_capita!$D213</f>
        <v>108.07145448925817</v>
      </c>
      <c r="I213" s="113">
        <f>Gasto_o_ing_per_capita!I213*100/Gasto_o_ing_per_capita!$D213</f>
        <v>119.23428116713754</v>
      </c>
      <c r="J213" s="113">
        <f>Gasto_o_ing_per_capita!J213*100/Gasto_o_ing_per_capita!$D213</f>
        <v>99.613586897765586</v>
      </c>
      <c r="K213" s="113">
        <f>Gasto_o_ing_per_capita!K213*100/Gasto_o_ing_per_capita!$D213</f>
        <v>97.735211361626398</v>
      </c>
      <c r="L213" s="113">
        <f>Gasto_o_ing_per_capita!L213*100/Gasto_o_ing_per_capita!$D213</f>
        <v>90.424351907277043</v>
      </c>
      <c r="M213" s="113">
        <f>Gasto_o_ing_per_capita!M213*100/Gasto_o_ing_per_capita!$D213</f>
        <v>114.42253482298263</v>
      </c>
      <c r="N213" s="113">
        <f>Gasto_o_ing_per_capita!N213*100/Gasto_o_ing_per_capita!$D213</f>
        <v>92.30627061695408</v>
      </c>
      <c r="O213" s="113">
        <f>Gasto_o_ing_per_capita!O213*100/Gasto_o_ing_per_capita!$D213</f>
        <v>82.677593460331067</v>
      </c>
      <c r="P213" s="113">
        <f>Gasto_o_ing_per_capita!P213*100/Gasto_o_ing_per_capita!$D213</f>
        <v>81.504639415579902</v>
      </c>
      <c r="Q213" s="113">
        <f>Gasto_o_ing_per_capita!Q213*100/Gasto_o_ing_per_capita!$D213</f>
        <v>117.8285337116757</v>
      </c>
      <c r="R213" s="113">
        <f>Gasto_o_ing_per_capita!R213*100/Gasto_o_ing_per_capita!$D213</f>
        <v>85.086346051456033</v>
      </c>
      <c r="S213" s="113">
        <f>Gasto_o_ing_per_capita!S213*100/Gasto_o_ing_per_capita!$D213</f>
        <v>105.3326064674706</v>
      </c>
      <c r="T213" s="113">
        <f>Gasto_o_ing_per_capita!T213*100/Gasto_o_ing_per_capita!$D213</f>
        <v>96.840592691058845</v>
      </c>
      <c r="U213" s="113">
        <f>Gasto_o_ing_per_capita!U213*100/Gasto_o_ing_per_capita!$D213</f>
        <v>95.236983069933814</v>
      </c>
      <c r="V213" s="113">
        <f>Gasto_o_ing_per_capita!V213*100/Gasto_o_ing_per_capita!$D213</f>
        <v>48.835886734074094</v>
      </c>
    </row>
    <row r="214" spans="1:22"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row>
    <row r="215" spans="1:22" s="102" customFormat="1" ht="13.5">
      <c r="A215" s="352"/>
      <c r="B215" s="115"/>
      <c r="C215" s="117" t="s">
        <v>54</v>
      </c>
      <c r="D215" s="110">
        <f>Gasto_o_ing_per_capita!D215*100/Gasto_o_ing_per_capita!$D215</f>
        <v>100</v>
      </c>
      <c r="E215" s="110">
        <f>Gasto_o_ing_per_capita!E215*100/Gasto_o_ing_per_capita!$D215</f>
        <v>96.140978033811621</v>
      </c>
      <c r="F215" s="110">
        <f>Gasto_o_ing_per_capita!F215*100/Gasto_o_ing_per_capita!$D215</f>
        <v>116.07004028391975</v>
      </c>
      <c r="G215" s="110">
        <f>Gasto_o_ing_per_capita!G215*100/Gasto_o_ing_per_capita!$D215</f>
        <v>117.26796641339931</v>
      </c>
      <c r="H215" s="110">
        <f>Gasto_o_ing_per_capita!H215*100/Gasto_o_ing_per_capita!$D215</f>
        <v>77.178035356667067</v>
      </c>
      <c r="I215" s="110">
        <f>Gasto_o_ing_per_capita!I215*100/Gasto_o_ing_per_capita!$D215</f>
        <v>228.7886657969097</v>
      </c>
      <c r="J215" s="110">
        <f>Gasto_o_ing_per_capita!J215*100/Gasto_o_ing_per_capita!$D215</f>
        <v>102.56172674578954</v>
      </c>
      <c r="K215" s="110">
        <f>Gasto_o_ing_per_capita!K215*100/Gasto_o_ing_per_capita!$D215</f>
        <v>140.49101311208167</v>
      </c>
      <c r="L215" s="110">
        <f>Gasto_o_ing_per_capita!L215*100/Gasto_o_ing_per_capita!$D215</f>
        <v>120.80149264350173</v>
      </c>
      <c r="M215" s="110">
        <f>Gasto_o_ing_per_capita!M215*100/Gasto_o_ing_per_capita!$D215</f>
        <v>78.403360733425629</v>
      </c>
      <c r="N215" s="110">
        <f>Gasto_o_ing_per_capita!N215*100/Gasto_o_ing_per_capita!$D215</f>
        <v>85.162528502078814</v>
      </c>
      <c r="O215" s="110">
        <f>Gasto_o_ing_per_capita!O215*100/Gasto_o_ing_per_capita!$D215</f>
        <v>143.09707102625867</v>
      </c>
      <c r="P215" s="110">
        <f>Gasto_o_ing_per_capita!P215*100/Gasto_o_ing_per_capita!$D215</f>
        <v>110.79089792695002</v>
      </c>
      <c r="Q215" s="110">
        <f>Gasto_o_ing_per_capita!Q215*100/Gasto_o_ing_per_capita!$D215</f>
        <v>72.037206937707765</v>
      </c>
      <c r="R215" s="110">
        <f>Gasto_o_ing_per_capita!R215*100/Gasto_o_ing_per_capita!$D215</f>
        <v>82.306741226140389</v>
      </c>
      <c r="S215" s="110">
        <f>Gasto_o_ing_per_capita!S215*100/Gasto_o_ing_per_capita!$D215</f>
        <v>91.863498219168363</v>
      </c>
      <c r="T215" s="110">
        <f>Gasto_o_ing_per_capita!T215*100/Gasto_o_ing_per_capita!$D215</f>
        <v>92.8943691523708</v>
      </c>
      <c r="U215" s="110">
        <f>Gasto_o_ing_per_capita!U215*100/Gasto_o_ing_per_capita!$D215</f>
        <v>98.004500449219492</v>
      </c>
      <c r="V215" s="110">
        <f>Gasto_o_ing_per_capita!V215*100/Gasto_o_ing_per_capita!$D215</f>
        <v>37.370953223433453</v>
      </c>
    </row>
    <row r="216" spans="1:22">
      <c r="A216" s="351" t="str">
        <f>IF(B216="","",(IF(ISERROR(MATCH(B216,Tot_res!C:C,0)),"Eliminar!!!","")))</f>
        <v/>
      </c>
      <c r="B216" s="145" t="s">
        <v>718</v>
      </c>
      <c r="C216" s="329" t="str">
        <f>VLOOKUP(B216,Tot_res!C:D,2,FALSE)</f>
        <v>Ajuste por competencias atípicas forales: financiación provincias</v>
      </c>
      <c r="D216" s="332">
        <f>Gasto_o_ing_per_capita!D216*100/Gasto_o_ing_per_capita!$D216</f>
        <v>100</v>
      </c>
      <c r="E216" s="332">
        <f>Gasto_o_ing_per_capita!E216*100/Gasto_o_ing_per_capita!$D216</f>
        <v>79.713163053731577</v>
      </c>
      <c r="F216" s="332">
        <f>Gasto_o_ing_per_capita!F216*100/Gasto_o_ing_per_capita!$D216</f>
        <v>85.093570539006834</v>
      </c>
      <c r="G216" s="332">
        <f>Gasto_o_ing_per_capita!G216*100/Gasto_o_ing_per_capita!$D216</f>
        <v>95.663299186663181</v>
      </c>
      <c r="H216" s="332">
        <f>Gasto_o_ing_per_capita!H216*100/Gasto_o_ing_per_capita!$D216</f>
        <v>117.95965018472177</v>
      </c>
      <c r="I216" s="332">
        <f>Gasto_o_ing_per_capita!I216*100/Gasto_o_ing_per_capita!$D216</f>
        <v>107.77843232131856</v>
      </c>
      <c r="J216" s="332">
        <f>Gasto_o_ing_per_capita!J216*100/Gasto_o_ing_per_capita!$D216</f>
        <v>86.099461738003043</v>
      </c>
      <c r="K216" s="332">
        <f>Gasto_o_ing_per_capita!K216*100/Gasto_o_ing_per_capita!$D216</f>
        <v>118.59106311891357</v>
      </c>
      <c r="L216" s="332">
        <f>Gasto_o_ing_per_capita!L216*100/Gasto_o_ing_per_capita!$D216</f>
        <v>92.619951027815105</v>
      </c>
      <c r="M216" s="332">
        <f>Gasto_o_ing_per_capita!M216*100/Gasto_o_ing_per_capita!$D216</f>
        <v>136.49224320596207</v>
      </c>
      <c r="N216" s="332">
        <f>Gasto_o_ing_per_capita!N216*100/Gasto_o_ing_per_capita!$D216</f>
        <v>73.696521826235951</v>
      </c>
      <c r="O216" s="332">
        <f>Gasto_o_ing_per_capita!O216*100/Gasto_o_ing_per_capita!$D216</f>
        <v>91.885446124930951</v>
      </c>
      <c r="P216" s="332">
        <f>Gasto_o_ing_per_capita!P216*100/Gasto_o_ing_per_capita!$D216</f>
        <v>89.693399345574491</v>
      </c>
      <c r="Q216" s="332">
        <f>Gasto_o_ing_per_capita!Q216*100/Gasto_o_ing_per_capita!$D216</f>
        <v>110.71417336540377</v>
      </c>
      <c r="R216" s="332">
        <f>Gasto_o_ing_per_capita!R216*100/Gasto_o_ing_per_capita!$D216</f>
        <v>78.775101521244295</v>
      </c>
      <c r="S216" s="332">
        <f>Gasto_o_ing_per_capita!S216*100/Gasto_o_ing_per_capita!$D216</f>
        <v>85.015362649317368</v>
      </c>
      <c r="T216" s="332">
        <f>Gasto_o_ing_per_capita!T216*100/Gasto_o_ing_per_capita!$D216</f>
        <v>91.719643267479412</v>
      </c>
      <c r="U216" s="332">
        <f>Gasto_o_ing_per_capita!U216*100/Gasto_o_ing_per_capita!$D216</f>
        <v>89.198875072093983</v>
      </c>
      <c r="V216" s="332">
        <f>Gasto_o_ing_per_capita!V216*100/Gasto_o_ing_per_capita!$D216</f>
        <v>237.36099031102458</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Gasto_o_ing_per_capita!D217*100/Gasto_o_ing_per_capita!$D217</f>
        <v>100</v>
      </c>
      <c r="E217" s="332">
        <f>Gasto_o_ing_per_capita!E217*100/Gasto_o_ing_per_capita!$D217</f>
        <v>105.49535906866186</v>
      </c>
      <c r="F217" s="332">
        <f>Gasto_o_ing_per_capita!F217*100/Gasto_o_ing_per_capita!$D217</f>
        <v>144.90821882991204</v>
      </c>
      <c r="G217" s="332">
        <f>Gasto_o_ing_per_capita!G217*100/Gasto_o_ing_per_capita!$D217</f>
        <v>160.93658494758401</v>
      </c>
      <c r="H217" s="332">
        <f>Gasto_o_ing_per_capita!H217*100/Gasto_o_ing_per_capita!$D217</f>
        <v>82.539998610552857</v>
      </c>
      <c r="I217" s="332">
        <f>Gasto_o_ing_per_capita!I217*100/Gasto_o_ing_per_capita!$D217</f>
        <v>157.55853447583067</v>
      </c>
      <c r="J217" s="332">
        <f>Gasto_o_ing_per_capita!J217*100/Gasto_o_ing_per_capita!$D217</f>
        <v>0.13652272960021933</v>
      </c>
      <c r="K217" s="332">
        <f>Gasto_o_ing_per_capita!K217*100/Gasto_o_ing_per_capita!$D217</f>
        <v>204.08173210507616</v>
      </c>
      <c r="L217" s="332">
        <f>Gasto_o_ing_per_capita!L217*100/Gasto_o_ing_per_capita!$D217</f>
        <v>176.61324599564466</v>
      </c>
      <c r="M217" s="332">
        <f>Gasto_o_ing_per_capita!M217*100/Gasto_o_ing_per_capita!$D217</f>
        <v>90.211006293766545</v>
      </c>
      <c r="N217" s="332">
        <f>Gasto_o_ing_per_capita!N217*100/Gasto_o_ing_per_capita!$D217</f>
        <v>118.33012235925845</v>
      </c>
      <c r="O217" s="332">
        <f>Gasto_o_ing_per_capita!O217*100/Gasto_o_ing_per_capita!$D217</f>
        <v>213.38759878811885</v>
      </c>
      <c r="P217" s="332">
        <f>Gasto_o_ing_per_capita!P217*100/Gasto_o_ing_per_capita!$D217</f>
        <v>157.43587555550963</v>
      </c>
      <c r="Q217" s="332">
        <f>Gasto_o_ing_per_capita!Q217*100/Gasto_o_ing_per_capita!$D217</f>
        <v>2.2286789823573669</v>
      </c>
      <c r="R217" s="332">
        <f>Gasto_o_ing_per_capita!R217*100/Gasto_o_ing_per_capita!$D217</f>
        <v>114.34892236765722</v>
      </c>
      <c r="S217" s="332">
        <f>Gasto_o_ing_per_capita!S217*100/Gasto_o_ing_per_capita!$D217</f>
        <v>0.1279351348244783</v>
      </c>
      <c r="T217" s="332">
        <f>Gasto_o_ing_per_capita!T217*100/Gasto_o_ing_per_capita!$D217</f>
        <v>0.11109419970177634</v>
      </c>
      <c r="U217" s="332">
        <f>Gasto_o_ing_per_capita!U217*100/Gasto_o_ing_per_capita!$D217</f>
        <v>1.7958291874785079</v>
      </c>
      <c r="V217" s="332">
        <f>Gasto_o_ing_per_capita!V217*100/Gasto_o_ing_per_capita!$D217</f>
        <v>60.767571636452715</v>
      </c>
    </row>
    <row r="218" spans="1:22">
      <c r="A218" s="351" t="str">
        <f>IF(B218="","",(IF(ISERROR(MATCH(B218,Tot_res!C:C,0)),"Eliminar!!!","")))</f>
        <v/>
      </c>
      <c r="B218" s="102" t="s">
        <v>473</v>
      </c>
      <c r="C218" s="329" t="str">
        <f>VLOOKUP(B218,Tot_res!C:D,2,FALSE)</f>
        <v>Otros flujos de financiación local, reintegros parciales de saldos pendientes</v>
      </c>
      <c r="D218" s="332">
        <f>Gasto_o_ing_per_capita!D218*100/Gasto_o_ing_per_capita!$D218</f>
        <v>100</v>
      </c>
      <c r="E218" s="332">
        <f>Gasto_o_ing_per_capita!E218*100/Gasto_o_ing_per_capita!$D218</f>
        <v>105.59076976936913</v>
      </c>
      <c r="F218" s="332">
        <f>Gasto_o_ing_per_capita!F218*100/Gasto_o_ing_per_capita!$D218</f>
        <v>266.82581525877396</v>
      </c>
      <c r="G218" s="332">
        <f>Gasto_o_ing_per_capita!G218*100/Gasto_o_ing_per_capita!$D218</f>
        <v>99.736924497664788</v>
      </c>
      <c r="H218" s="332">
        <f>Gasto_o_ing_per_capita!H218*100/Gasto_o_ing_per_capita!$D218</f>
        <v>170.48128321509824</v>
      </c>
      <c r="I218" s="332">
        <f>Gasto_o_ing_per_capita!I218*100/Gasto_o_ing_per_capita!$D218</f>
        <v>132.19600688196877</v>
      </c>
      <c r="J218" s="332">
        <f>Gasto_o_ing_per_capita!J218*100/Gasto_o_ing_per_capita!$D218</f>
        <v>0</v>
      </c>
      <c r="K218" s="332">
        <f>Gasto_o_ing_per_capita!K218*100/Gasto_o_ing_per_capita!$D218</f>
        <v>200.21996706674517</v>
      </c>
      <c r="L218" s="332">
        <f>Gasto_o_ing_per_capita!L218*100/Gasto_o_ing_per_capita!$D218</f>
        <v>155.6039447776445</v>
      </c>
      <c r="M218" s="332">
        <f>Gasto_o_ing_per_capita!M218*100/Gasto_o_ing_per_capita!$D218</f>
        <v>86.175116494313158</v>
      </c>
      <c r="N218" s="332">
        <f>Gasto_o_ing_per_capita!N218*100/Gasto_o_ing_per_capita!$D218</f>
        <v>135.803478356868</v>
      </c>
      <c r="O218" s="332">
        <f>Gasto_o_ing_per_capita!O218*100/Gasto_o_ing_per_capita!$D218</f>
        <v>170.96030607841473</v>
      </c>
      <c r="P218" s="332">
        <f>Gasto_o_ing_per_capita!P218*100/Gasto_o_ing_per_capita!$D218</f>
        <v>149.29989609937678</v>
      </c>
      <c r="Q218" s="332">
        <f>Gasto_o_ing_per_capita!Q218*100/Gasto_o_ing_per_capita!$D218</f>
        <v>0</v>
      </c>
      <c r="R218" s="332">
        <f>Gasto_o_ing_per_capita!R218*100/Gasto_o_ing_per_capita!$D218</f>
        <v>71.527834961074518</v>
      </c>
      <c r="S218" s="332">
        <f>Gasto_o_ing_per_capita!S218*100/Gasto_o_ing_per_capita!$D218</f>
        <v>0.20170856736080264</v>
      </c>
      <c r="T218" s="332">
        <f>Gasto_o_ing_per_capita!T218*100/Gasto_o_ing_per_capita!$D218</f>
        <v>0.17056165387389441</v>
      </c>
      <c r="U218" s="332">
        <f>Gasto_o_ing_per_capita!U218*100/Gasto_o_ing_per_capita!$D218</f>
        <v>0</v>
      </c>
      <c r="V218" s="332">
        <f>Gasto_o_ing_per_capita!V218*100/Gasto_o_ing_per_capita!$D218</f>
        <v>70.081142327090248</v>
      </c>
    </row>
    <row r="219" spans="1:22">
      <c r="A219" s="351" t="str">
        <f>IF(B219="","",(IF(ISERROR(MATCH(B219,Tot_res!C:C,0)),"Eliminar!!!","")))</f>
        <v/>
      </c>
      <c r="B219" s="115" t="s">
        <v>231</v>
      </c>
      <c r="C219" s="329" t="str">
        <f>VLOOKUP(B219,Tot_res!C:D,2,FALSE)</f>
        <v>Hospitales provinciales asumidos por CCAA</v>
      </c>
      <c r="D219" s="332">
        <f>Gasto_o_ing_per_capita!D219*100/Gasto_o_ing_per_capita!$D219</f>
        <v>100</v>
      </c>
      <c r="E219" s="332">
        <f>Gasto_o_ing_per_capita!E219*100/Gasto_o_ing_per_capita!$D219</f>
        <v>387.67812220579032</v>
      </c>
      <c r="F219" s="332">
        <f>Gasto_o_ing_per_capita!F219*100/Gasto_o_ing_per_capita!$D219</f>
        <v>264.66528806653497</v>
      </c>
      <c r="G219" s="332">
        <f>Gasto_o_ing_per_capita!G219*100/Gasto_o_ing_per_capita!$D219</f>
        <v>0</v>
      </c>
      <c r="H219" s="332">
        <f>Gasto_o_ing_per_capita!H219*100/Gasto_o_ing_per_capita!$D219</f>
        <v>219.71290647082705</v>
      </c>
      <c r="I219" s="332">
        <f>Gasto_o_ing_per_capita!I219*100/Gasto_o_ing_per_capita!$D219</f>
        <v>0</v>
      </c>
      <c r="J219" s="332">
        <f>Gasto_o_ing_per_capita!J219*100/Gasto_o_ing_per_capita!$D219</f>
        <v>0</v>
      </c>
      <c r="K219" s="332">
        <f>Gasto_o_ing_per_capita!K219*100/Gasto_o_ing_per_capita!$D219</f>
        <v>0</v>
      </c>
      <c r="L219" s="332">
        <f>Gasto_o_ing_per_capita!L219*100/Gasto_o_ing_per_capita!$D219</f>
        <v>0</v>
      </c>
      <c r="M219" s="332">
        <f>Gasto_o_ing_per_capita!M219*100/Gasto_o_ing_per_capita!$D219</f>
        <v>109.22844046738321</v>
      </c>
      <c r="N219" s="332">
        <f>Gasto_o_ing_per_capita!N219*100/Gasto_o_ing_per_capita!$D219</f>
        <v>0</v>
      </c>
      <c r="O219" s="332">
        <f>Gasto_o_ing_per_capita!O219*100/Gasto_o_ing_per_capita!$D219</f>
        <v>0</v>
      </c>
      <c r="P219" s="332">
        <f>Gasto_o_ing_per_capita!P219*100/Gasto_o_ing_per_capita!$D219</f>
        <v>0</v>
      </c>
      <c r="Q219" s="332">
        <f>Gasto_o_ing_per_capita!Q219*100/Gasto_o_ing_per_capita!$D219</f>
        <v>0</v>
      </c>
      <c r="R219" s="332">
        <f>Gasto_o_ing_per_capita!R219*100/Gasto_o_ing_per_capita!$D219</f>
        <v>0</v>
      </c>
      <c r="S219" s="332">
        <f>Gasto_o_ing_per_capita!S219*100/Gasto_o_ing_per_capita!$D219</f>
        <v>0</v>
      </c>
      <c r="T219" s="332">
        <f>Gasto_o_ing_per_capita!T219*100/Gasto_o_ing_per_capita!$D219</f>
        <v>0</v>
      </c>
      <c r="U219" s="332">
        <f>Gasto_o_ing_per_capita!U219*100/Gasto_o_ing_per_capita!$D219</f>
        <v>0</v>
      </c>
      <c r="V219" s="332">
        <f>Gasto_o_ing_per_capita!V219*100/Gasto_o_ing_per_capita!$D219</f>
        <v>0</v>
      </c>
    </row>
    <row r="220" spans="1:22">
      <c r="A220" s="351" t="str">
        <f>IF(B220="","",(IF(ISERROR(MATCH(B220,Tot_res!C:C,0)),"Eliminar!!!","")))</f>
        <v/>
      </c>
      <c r="B220" s="115" t="s">
        <v>232</v>
      </c>
      <c r="C220" s="329" t="str">
        <f>VLOOKUP(B220,Tot_res!C:D,2,FALSE)</f>
        <v>Participación provincial en ingresos del Estado integrada en Fondo de Suficiencia</v>
      </c>
      <c r="D220" s="332">
        <f>Gasto_o_ing_per_capita!D220*100/Gasto_o_ing_per_capita!$D220</f>
        <v>100</v>
      </c>
      <c r="E220" s="332">
        <f>Gasto_o_ing_per_capita!E220*100/Gasto_o_ing_per_capita!$D220</f>
        <v>0</v>
      </c>
      <c r="F220" s="332">
        <f>Gasto_o_ing_per_capita!F220*100/Gasto_o_ing_per_capita!$D220</f>
        <v>0</v>
      </c>
      <c r="G220" s="332">
        <f>Gasto_o_ing_per_capita!G220*100/Gasto_o_ing_per_capita!$D220</f>
        <v>0</v>
      </c>
      <c r="H220" s="332">
        <f>Gasto_o_ing_per_capita!H220*100/Gasto_o_ing_per_capita!$D220</f>
        <v>0</v>
      </c>
      <c r="I220" s="332">
        <f>Gasto_o_ing_per_capita!I220*100/Gasto_o_ing_per_capita!$D220</f>
        <v>0</v>
      </c>
      <c r="J220" s="332">
        <f>Gasto_o_ing_per_capita!J220*100/Gasto_o_ing_per_capita!$D220</f>
        <v>896.13813146846178</v>
      </c>
      <c r="K220" s="332">
        <f>Gasto_o_ing_per_capita!K220*100/Gasto_o_ing_per_capita!$D220</f>
        <v>0</v>
      </c>
      <c r="L220" s="332">
        <f>Gasto_o_ing_per_capita!L220*100/Gasto_o_ing_per_capita!$D220</f>
        <v>0</v>
      </c>
      <c r="M220" s="332">
        <f>Gasto_o_ing_per_capita!M220*100/Gasto_o_ing_per_capita!$D220</f>
        <v>0</v>
      </c>
      <c r="N220" s="332">
        <f>Gasto_o_ing_per_capita!N220*100/Gasto_o_ing_per_capita!$D220</f>
        <v>0</v>
      </c>
      <c r="O220" s="332">
        <f>Gasto_o_ing_per_capita!O220*100/Gasto_o_ing_per_capita!$D220</f>
        <v>0</v>
      </c>
      <c r="P220" s="332">
        <f>Gasto_o_ing_per_capita!P220*100/Gasto_o_ing_per_capita!$D220</f>
        <v>0</v>
      </c>
      <c r="Q220" s="332">
        <f>Gasto_o_ing_per_capita!Q220*100/Gasto_o_ing_per_capita!$D220</f>
        <v>601.71106967539947</v>
      </c>
      <c r="R220" s="332">
        <f>Gasto_o_ing_per_capita!R220*100/Gasto_o_ing_per_capita!$D220</f>
        <v>0</v>
      </c>
      <c r="S220" s="332">
        <f>Gasto_o_ing_per_capita!S220*100/Gasto_o_ing_per_capita!$D220</f>
        <v>0</v>
      </c>
      <c r="T220" s="332">
        <f>Gasto_o_ing_per_capita!T220*100/Gasto_o_ing_per_capita!$D220</f>
        <v>0</v>
      </c>
      <c r="U220" s="332">
        <f>Gasto_o_ing_per_capita!U220*100/Gasto_o_ing_per_capita!$D220</f>
        <v>834.41565782167584</v>
      </c>
      <c r="V220" s="332">
        <f>Gasto_o_ing_per_capita!V220*100/Gasto_o_ing_per_capita!$D220</f>
        <v>0</v>
      </c>
    </row>
    <row r="221" spans="1:22">
      <c r="A221" s="351" t="str">
        <f>IF(B221="","",(IF(ISERROR(MATCH(B221,Tot_res!C:C,0)),"Eliminar!!!","")))</f>
        <v/>
      </c>
      <c r="B221" s="115" t="s">
        <v>233</v>
      </c>
      <c r="C221" s="329" t="str">
        <f>VLOOKUP(B221,Tot_res!C:D,2,FALSE)</f>
        <v>Participación de las provincias en el IRPF, IVA e Impuestos Especiales</v>
      </c>
      <c r="D221" s="332">
        <f>Gasto_o_ing_per_capita!D221*100/Gasto_o_ing_per_capita!$D221</f>
        <v>100</v>
      </c>
      <c r="E221" s="332">
        <f>Gasto_o_ing_per_capita!E221*100/Gasto_o_ing_per_capita!$D221</f>
        <v>108.46565301509887</v>
      </c>
      <c r="F221" s="332">
        <f>Gasto_o_ing_per_capita!F221*100/Gasto_o_ing_per_capita!$D221</f>
        <v>153.44668698771167</v>
      </c>
      <c r="G221" s="332">
        <f>Gasto_o_ing_per_capita!G221*100/Gasto_o_ing_per_capita!$D221</f>
        <v>149.81182384616659</v>
      </c>
      <c r="H221" s="332">
        <f>Gasto_o_ing_per_capita!H221*100/Gasto_o_ing_per_capita!$D221</f>
        <v>177.84847407551669</v>
      </c>
      <c r="I221" s="332">
        <f>Gasto_o_ing_per_capita!I221*100/Gasto_o_ing_per_capita!$D221</f>
        <v>42.739615106050429</v>
      </c>
      <c r="J221" s="332">
        <f>Gasto_o_ing_per_capita!J221*100/Gasto_o_ing_per_capita!$D221</f>
        <v>0</v>
      </c>
      <c r="K221" s="332">
        <f>Gasto_o_ing_per_capita!K221*100/Gasto_o_ing_per_capita!$D221</f>
        <v>143.58395283366997</v>
      </c>
      <c r="L221" s="332">
        <f>Gasto_o_ing_per_capita!L221*100/Gasto_o_ing_per_capita!$D221</f>
        <v>117.08317110242292</v>
      </c>
      <c r="M221" s="332">
        <f>Gasto_o_ing_per_capita!M221*100/Gasto_o_ing_per_capita!$D221</f>
        <v>165.31143919657492</v>
      </c>
      <c r="N221" s="332">
        <f>Gasto_o_ing_per_capita!N221*100/Gasto_o_ing_per_capita!$D221</f>
        <v>125.62301630781204</v>
      </c>
      <c r="O221" s="332">
        <f>Gasto_o_ing_per_capita!O221*100/Gasto_o_ing_per_capita!$D221</f>
        <v>106.74564329461815</v>
      </c>
      <c r="P221" s="332">
        <f>Gasto_o_ing_per_capita!P221*100/Gasto_o_ing_per_capita!$D221</f>
        <v>131.64709493025219</v>
      </c>
      <c r="Q221" s="332">
        <f>Gasto_o_ing_per_capita!Q221*100/Gasto_o_ing_per_capita!$D221</f>
        <v>0</v>
      </c>
      <c r="R221" s="332">
        <f>Gasto_o_ing_per_capita!R221*100/Gasto_o_ing_per_capita!$D221</f>
        <v>112.76527086119874</v>
      </c>
      <c r="S221" s="332">
        <f>Gasto_o_ing_per_capita!S221*100/Gasto_o_ing_per_capita!$D221</f>
        <v>0</v>
      </c>
      <c r="T221" s="332">
        <f>Gasto_o_ing_per_capita!T221*100/Gasto_o_ing_per_capita!$D221</f>
        <v>0</v>
      </c>
      <c r="U221" s="332">
        <f>Gasto_o_ing_per_capita!U221*100/Gasto_o_ing_per_capita!$D221</f>
        <v>0</v>
      </c>
      <c r="V221" s="332">
        <f>Gasto_o_ing_per_capita!V221*100/Gasto_o_ing_per_capita!$D221</f>
        <v>0</v>
      </c>
    </row>
    <row r="222" spans="1:22">
      <c r="A222" s="351" t="str">
        <f>IF(B222="","",(IF(ISERROR(MATCH(B222,Tot_res!C:C,0)),"Eliminar!!!","")))</f>
        <v/>
      </c>
      <c r="B222" s="115" t="s">
        <v>724</v>
      </c>
      <c r="C222" s="329" t="str">
        <f>VLOOKUP(B222,Tot_res!C:D,2,FALSE)</f>
        <v>Recursos REF de los cabildos canarios</v>
      </c>
      <c r="D222" s="332">
        <f>Gasto_o_ing_per_capita!D222*100/Gasto_o_ing_per_capita!$D222</f>
        <v>100</v>
      </c>
      <c r="E222" s="332">
        <f>Gasto_o_ing_per_capita!E222*100/Gasto_o_ing_per_capita!$D222</f>
        <v>0</v>
      </c>
      <c r="F222" s="332">
        <f>Gasto_o_ing_per_capita!F222*100/Gasto_o_ing_per_capita!$D222</f>
        <v>0</v>
      </c>
      <c r="G222" s="332">
        <f>Gasto_o_ing_per_capita!G222*100/Gasto_o_ing_per_capita!$D222</f>
        <v>0</v>
      </c>
      <c r="H222" s="332">
        <f>Gasto_o_ing_per_capita!H222*100/Gasto_o_ing_per_capita!$D222</f>
        <v>0</v>
      </c>
      <c r="I222" s="332">
        <f>Gasto_o_ing_per_capita!I222*100/Gasto_o_ing_per_capita!$D222</f>
        <v>2220.9996573225835</v>
      </c>
      <c r="J222" s="332">
        <f>Gasto_o_ing_per_capita!J222*100/Gasto_o_ing_per_capita!$D222</f>
        <v>0</v>
      </c>
      <c r="K222" s="332">
        <f>Gasto_o_ing_per_capita!K222*100/Gasto_o_ing_per_capita!$D222</f>
        <v>0</v>
      </c>
      <c r="L222" s="332">
        <f>Gasto_o_ing_per_capita!L222*100/Gasto_o_ing_per_capita!$D222</f>
        <v>0</v>
      </c>
      <c r="M222" s="332">
        <f>Gasto_o_ing_per_capita!M222*100/Gasto_o_ing_per_capita!$D222</f>
        <v>0</v>
      </c>
      <c r="N222" s="332">
        <f>Gasto_o_ing_per_capita!N222*100/Gasto_o_ing_per_capita!$D222</f>
        <v>0</v>
      </c>
      <c r="O222" s="332">
        <f>Gasto_o_ing_per_capita!O222*100/Gasto_o_ing_per_capita!$D222</f>
        <v>0</v>
      </c>
      <c r="P222" s="332">
        <f>Gasto_o_ing_per_capita!P222*100/Gasto_o_ing_per_capita!$D222</f>
        <v>0</v>
      </c>
      <c r="Q222" s="332">
        <f>Gasto_o_ing_per_capita!Q222*100/Gasto_o_ing_per_capita!$D222</f>
        <v>0</v>
      </c>
      <c r="R222" s="332">
        <f>Gasto_o_ing_per_capita!R222*100/Gasto_o_ing_per_capita!$D222</f>
        <v>0</v>
      </c>
      <c r="S222" s="332">
        <f>Gasto_o_ing_per_capita!S222*100/Gasto_o_ing_per_capita!$D222</f>
        <v>0</v>
      </c>
      <c r="T222" s="332">
        <f>Gasto_o_ing_per_capita!T222*100/Gasto_o_ing_per_capita!$D222</f>
        <v>0</v>
      </c>
      <c r="U222" s="332">
        <f>Gasto_o_ing_per_capita!U222*100/Gasto_o_ing_per_capita!$D222</f>
        <v>0</v>
      </c>
      <c r="V222" s="332">
        <f>Gasto_o_ing_per_capita!V222*100/Gasto_o_ing_per_capita!$D222</f>
        <v>0</v>
      </c>
    </row>
    <row r="223" spans="1:22">
      <c r="A223" s="351" t="str">
        <f>IF(B223="","",(IF(ISERROR(MATCH(B223,Tot_res!C:C,0)),"Eliminar!!!","")))</f>
        <v/>
      </c>
      <c r="B223" s="115" t="s">
        <v>236</v>
      </c>
      <c r="C223" s="329" t="str">
        <f>VLOOKUP(B223,Tot_res!C:D,2,FALSE)</f>
        <v>Recargo provincial sobre el IAE</v>
      </c>
      <c r="D223" s="332">
        <f>Gasto_o_ing_per_capita!D223*100/Gasto_o_ing_per_capita!$D223</f>
        <v>100</v>
      </c>
      <c r="E223" s="332">
        <f>Gasto_o_ing_per_capita!E223*100/Gasto_o_ing_per_capita!$D223</f>
        <v>88.655745437598668</v>
      </c>
      <c r="F223" s="332">
        <f>Gasto_o_ing_per_capita!F223*100/Gasto_o_ing_per_capita!$D223</f>
        <v>174.17167187818853</v>
      </c>
      <c r="G223" s="332">
        <f>Gasto_o_ing_per_capita!G223*100/Gasto_o_ing_per_capita!$D223</f>
        <v>177.94701215211563</v>
      </c>
      <c r="H223" s="332">
        <f>Gasto_o_ing_per_capita!H223*100/Gasto_o_ing_per_capita!$D223</f>
        <v>83.80712108756201</v>
      </c>
      <c r="I223" s="332">
        <f>Gasto_o_ing_per_capita!I223*100/Gasto_o_ing_per_capita!$D223</f>
        <v>62.522165487576395</v>
      </c>
      <c r="J223" s="332">
        <f>Gasto_o_ing_per_capita!J223*100/Gasto_o_ing_per_capita!$D223</f>
        <v>42.080924650856559</v>
      </c>
      <c r="K223" s="332">
        <f>Gasto_o_ing_per_capita!K223*100/Gasto_o_ing_per_capita!$D223</f>
        <v>148.06038630703813</v>
      </c>
      <c r="L223" s="332">
        <f>Gasto_o_ing_per_capita!L223*100/Gasto_o_ing_per_capita!$D223</f>
        <v>101.78851260771135</v>
      </c>
      <c r="M223" s="332">
        <f>Gasto_o_ing_per_capita!M223*100/Gasto_o_ing_per_capita!$D223</f>
        <v>111.17597042737465</v>
      </c>
      <c r="N223" s="332">
        <f>Gasto_o_ing_per_capita!N223*100/Gasto_o_ing_per_capita!$D223</f>
        <v>105.20585777933803</v>
      </c>
      <c r="O223" s="332">
        <f>Gasto_o_ing_per_capita!O223*100/Gasto_o_ing_per_capita!$D223</f>
        <v>115.94774347319928</v>
      </c>
      <c r="P223" s="332">
        <f>Gasto_o_ing_per_capita!P223*100/Gasto_o_ing_per_capita!$D223</f>
        <v>130.48322938766572</v>
      </c>
      <c r="Q223" s="332">
        <f>Gasto_o_ing_per_capita!Q223*100/Gasto_o_ing_per_capita!$D223</f>
        <v>96.798280151758533</v>
      </c>
      <c r="R223" s="332">
        <f>Gasto_o_ing_per_capita!R223*100/Gasto_o_ing_per_capita!$D223</f>
        <v>58.645611002379759</v>
      </c>
      <c r="S223" s="332">
        <f>Gasto_o_ing_per_capita!S223*100/Gasto_o_ing_per_capita!$D223</f>
        <v>0</v>
      </c>
      <c r="T223" s="332">
        <f>Gasto_o_ing_per_capita!T223*100/Gasto_o_ing_per_capita!$D223</f>
        <v>42.541393864442881</v>
      </c>
      <c r="U223" s="332">
        <f>Gasto_o_ing_per_capita!U223*100/Gasto_o_ing_per_capita!$D223</f>
        <v>98.965599355919849</v>
      </c>
      <c r="V223" s="332">
        <f>Gasto_o_ing_per_capita!V223*100/Gasto_o_ing_per_capita!$D223</f>
        <v>0</v>
      </c>
    </row>
    <row r="224" spans="1:22">
      <c r="A224" s="351" t="str">
        <f>IF(B224="","",(IF(ISERROR(MATCH(B224,Tot_res!C:C,0)),"Eliminar!!!","")))</f>
        <v/>
      </c>
      <c r="B224" s="115" t="s">
        <v>222</v>
      </c>
      <c r="C224" s="329" t="str">
        <f>VLOOKUP(B224,Tot_res!C:D,2,FALSE)</f>
        <v>Ajuste por competencias atípicas forales: financiación provincias</v>
      </c>
      <c r="D224" s="332">
        <f>Gasto_o_ing_per_capita!D224*100/Gasto_o_ing_per_capita!$D224</f>
        <v>100</v>
      </c>
      <c r="E224" s="332">
        <f>Gasto_o_ing_per_capita!E224*100/Gasto_o_ing_per_capita!$D224</f>
        <v>0</v>
      </c>
      <c r="F224" s="332">
        <f>Gasto_o_ing_per_capita!F224*100/Gasto_o_ing_per_capita!$D224</f>
        <v>0</v>
      </c>
      <c r="G224" s="332">
        <f>Gasto_o_ing_per_capita!G224*100/Gasto_o_ing_per_capita!$D224</f>
        <v>0</v>
      </c>
      <c r="H224" s="332">
        <f>Gasto_o_ing_per_capita!H224*100/Gasto_o_ing_per_capita!$D224</f>
        <v>0</v>
      </c>
      <c r="I224" s="332">
        <f>Gasto_o_ing_per_capita!I224*100/Gasto_o_ing_per_capita!$D224</f>
        <v>0</v>
      </c>
      <c r="J224" s="332">
        <f>Gasto_o_ing_per_capita!J224*100/Gasto_o_ing_per_capita!$D224</f>
        <v>0</v>
      </c>
      <c r="K224" s="332">
        <f>Gasto_o_ing_per_capita!K224*100/Gasto_o_ing_per_capita!$D224</f>
        <v>0</v>
      </c>
      <c r="L224" s="332">
        <f>Gasto_o_ing_per_capita!L224*100/Gasto_o_ing_per_capita!$D224</f>
        <v>0</v>
      </c>
      <c r="M224" s="332">
        <f>Gasto_o_ing_per_capita!M224*100/Gasto_o_ing_per_capita!$D224</f>
        <v>0</v>
      </c>
      <c r="N224" s="332">
        <f>Gasto_o_ing_per_capita!N224*100/Gasto_o_ing_per_capita!$D224</f>
        <v>0</v>
      </c>
      <c r="O224" s="332">
        <f>Gasto_o_ing_per_capita!O224*100/Gasto_o_ing_per_capita!$D224</f>
        <v>0</v>
      </c>
      <c r="P224" s="332">
        <f>Gasto_o_ing_per_capita!P224*100/Gasto_o_ing_per_capita!$D224</f>
        <v>0</v>
      </c>
      <c r="Q224" s="332">
        <f>Gasto_o_ing_per_capita!Q224*100/Gasto_o_ing_per_capita!$D224</f>
        <v>0</v>
      </c>
      <c r="R224" s="332">
        <f>Gasto_o_ing_per_capita!R224*100/Gasto_o_ing_per_capita!$D224</f>
        <v>0</v>
      </c>
      <c r="S224" s="332">
        <f>Gasto_o_ing_per_capita!S224*100/Gasto_o_ing_per_capita!$D224</f>
        <v>1650.1082669794023</v>
      </c>
      <c r="T224" s="332">
        <f>Gasto_o_ing_per_capita!T224*100/Gasto_o_ing_per_capita!$D224</f>
        <v>1650.2844477761553</v>
      </c>
      <c r="U224" s="332">
        <f>Gasto_o_ing_per_capita!U224*100/Gasto_o_ing_per_capita!$D224</f>
        <v>0</v>
      </c>
      <c r="V224" s="332">
        <f>Gasto_o_ing_per_capita!V224*100/Gasto_o_ing_per_capita!$D224</f>
        <v>0</v>
      </c>
    </row>
    <row r="225" spans="1:22">
      <c r="A225" s="352"/>
      <c r="B225" s="9"/>
      <c r="D225" s="19"/>
      <c r="E225" s="19"/>
      <c r="F225" s="19"/>
      <c r="G225" s="19"/>
      <c r="H225" s="19"/>
      <c r="I225" s="19"/>
      <c r="J225" s="19"/>
      <c r="K225" s="19"/>
      <c r="L225" s="19"/>
      <c r="M225" s="19"/>
      <c r="N225" s="19"/>
      <c r="O225" s="19"/>
      <c r="P225" s="19"/>
      <c r="Q225" s="19"/>
      <c r="R225" s="19"/>
      <c r="S225" s="19"/>
      <c r="T225" s="19"/>
      <c r="U225" s="19"/>
      <c r="V225" s="19"/>
    </row>
    <row r="226" spans="1:22" s="102" customFormat="1" ht="13.5">
      <c r="A226" s="352"/>
      <c r="B226" s="115"/>
      <c r="C226" s="128" t="s">
        <v>464</v>
      </c>
      <c r="D226" s="113">
        <f>Gasto_o_ing_per_capita!D226*100/Gasto_o_ing_per_capita!$D226</f>
        <v>100</v>
      </c>
      <c r="E226" s="113">
        <f>Gasto_o_ing_per_capita!E226*100/Gasto_o_ing_per_capita!$D226</f>
        <v>85.215284192857368</v>
      </c>
      <c r="F226" s="113">
        <f>Gasto_o_ing_per_capita!F226*100/Gasto_o_ing_per_capita!$D226</f>
        <v>106.0116284783565</v>
      </c>
      <c r="G226" s="113">
        <f>Gasto_o_ing_per_capita!G226*100/Gasto_o_ing_per_capita!$D226</f>
        <v>89.284811805035829</v>
      </c>
      <c r="H226" s="113">
        <f>Gasto_o_ing_per_capita!H226*100/Gasto_o_ing_per_capita!$D226</f>
        <v>114.86519201275061</v>
      </c>
      <c r="I226" s="113">
        <f>Gasto_o_ing_per_capita!I226*100/Gasto_o_ing_per_capita!$D226</f>
        <v>95.142297999847955</v>
      </c>
      <c r="J226" s="113">
        <f>Gasto_o_ing_per_capita!J226*100/Gasto_o_ing_per_capita!$D226</f>
        <v>98.96526473491069</v>
      </c>
      <c r="K226" s="113">
        <f>Gasto_o_ing_per_capita!K226*100/Gasto_o_ing_per_capita!$D226</f>
        <v>88.33283043860844</v>
      </c>
      <c r="L226" s="113">
        <f>Gasto_o_ing_per_capita!L226*100/Gasto_o_ing_per_capita!$D226</f>
        <v>83.744148593090117</v>
      </c>
      <c r="M226" s="113">
        <f>Gasto_o_ing_per_capita!M226*100/Gasto_o_ing_per_capita!$D226</f>
        <v>122.34347143175309</v>
      </c>
      <c r="N226" s="113">
        <f>Gasto_o_ing_per_capita!N226*100/Gasto_o_ing_per_capita!$D226</f>
        <v>93.877243019059662</v>
      </c>
      <c r="O226" s="113">
        <f>Gasto_o_ing_per_capita!O226*100/Gasto_o_ing_per_capita!$D226</f>
        <v>69.390813187556986</v>
      </c>
      <c r="P226" s="113">
        <f>Gasto_o_ing_per_capita!P226*100/Gasto_o_ing_per_capita!$D226</f>
        <v>75.064330801066632</v>
      </c>
      <c r="Q226" s="113">
        <f>Gasto_o_ing_per_capita!Q226*100/Gasto_o_ing_per_capita!$D226</f>
        <v>127.89845357453156</v>
      </c>
      <c r="R226" s="113">
        <f>Gasto_o_ing_per_capita!R226*100/Gasto_o_ing_per_capita!$D226</f>
        <v>85.69760586446607</v>
      </c>
      <c r="S226" s="113">
        <f>Gasto_o_ing_per_capita!S226*100/Gasto_o_ing_per_capita!$D226</f>
        <v>108.29458311763483</v>
      </c>
      <c r="T226" s="113">
        <f>Gasto_o_ing_per_capita!T226*100/Gasto_o_ing_per_capita!$D226</f>
        <v>97.708402330898664</v>
      </c>
      <c r="U226" s="113">
        <f>Gasto_o_ing_per_capita!U226*100/Gasto_o_ing_per_capita!$D226</f>
        <v>94.628381393768549</v>
      </c>
      <c r="V226" s="113">
        <f>Gasto_o_ing_per_capita!V226*100/Gasto_o_ing_per_capita!$D226</f>
        <v>51.357127541421818</v>
      </c>
    </row>
    <row r="227" spans="1:22"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Gasto_o_ing_per_capita!D227*100/Gasto_o_ing_per_capita!$D227</f>
        <v>100</v>
      </c>
      <c r="E227" s="332">
        <f>Gasto_o_ing_per_capita!E227*100/Gasto_o_ing_per_capita!$D227</f>
        <v>100.58763783498422</v>
      </c>
      <c r="F227" s="332">
        <f>Gasto_o_ing_per_capita!F227*100/Gasto_o_ing_per_capita!$D227</f>
        <v>117.62619304194148</v>
      </c>
      <c r="G227" s="332">
        <f>Gasto_o_ing_per_capita!G227*100/Gasto_o_ing_per_capita!$D227</f>
        <v>90.593792163115239</v>
      </c>
      <c r="H227" s="332">
        <f>Gasto_o_ing_per_capita!H227*100/Gasto_o_ing_per_capita!$D227</f>
        <v>86.47290400533825</v>
      </c>
      <c r="I227" s="332">
        <f>Gasto_o_ing_per_capita!I227*100/Gasto_o_ing_per_capita!$D227</f>
        <v>93.319377139757961</v>
      </c>
      <c r="J227" s="332">
        <f>Gasto_o_ing_per_capita!J227*100/Gasto_o_ing_per_capita!$D227</f>
        <v>88.64189410879905</v>
      </c>
      <c r="K227" s="332">
        <f>Gasto_o_ing_per_capita!K227*100/Gasto_o_ing_per_capita!$D227</f>
        <v>85.197224255734895</v>
      </c>
      <c r="L227" s="332">
        <f>Gasto_o_ing_per_capita!L227*100/Gasto_o_ing_per_capita!$D227</f>
        <v>79.297217859040231</v>
      </c>
      <c r="M227" s="332">
        <f>Gasto_o_ing_per_capita!M227*100/Gasto_o_ing_per_capita!$D227</f>
        <v>129.88096787266764</v>
      </c>
      <c r="N227" s="332">
        <f>Gasto_o_ing_per_capita!N227*100/Gasto_o_ing_per_capita!$D227</f>
        <v>100.87622415316905</v>
      </c>
      <c r="O227" s="332">
        <f>Gasto_o_ing_per_capita!O227*100/Gasto_o_ing_per_capita!$D227</f>
        <v>80.395313786154119</v>
      </c>
      <c r="P227" s="332">
        <f>Gasto_o_ing_per_capita!P227*100/Gasto_o_ing_per_capita!$D227</f>
        <v>86.376625365934501</v>
      </c>
      <c r="Q227" s="332">
        <f>Gasto_o_ing_per_capita!Q227*100/Gasto_o_ing_per_capita!$D227</f>
        <v>136.87226257905755</v>
      </c>
      <c r="R227" s="332">
        <f>Gasto_o_ing_per_capita!R227*100/Gasto_o_ing_per_capita!$D227</f>
        <v>84.257460325143214</v>
      </c>
      <c r="S227" s="332">
        <f>Gasto_o_ing_per_capita!S227*100/Gasto_o_ing_per_capita!$D227</f>
        <v>0.53937485551544473</v>
      </c>
      <c r="T227" s="332">
        <f>Gasto_o_ing_per_capita!T227*100/Gasto_o_ing_per_capita!$D227</f>
        <v>0.56053544335033445</v>
      </c>
      <c r="U227" s="332">
        <f>Gasto_o_ing_per_capita!U227*100/Gasto_o_ing_per_capita!$D227</f>
        <v>83.046939220360642</v>
      </c>
      <c r="V227" s="332">
        <f>Gasto_o_ing_per_capita!V227*100/Gasto_o_ing_per_capita!$D227</f>
        <v>94.750069103628604</v>
      </c>
    </row>
    <row r="228" spans="1:22"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Gasto_o_ing_per_capita!D228*100/Gasto_o_ing_per_capita!$D228</f>
        <v>100</v>
      </c>
      <c r="E228" s="332">
        <f>Gasto_o_ing_per_capita!E228*100/Gasto_o_ing_per_capita!$D228</f>
        <v>93.187307657455904</v>
      </c>
      <c r="F228" s="332">
        <f>Gasto_o_ing_per_capita!F228*100/Gasto_o_ing_per_capita!$D228</f>
        <v>113.70084591358453</v>
      </c>
      <c r="G228" s="332">
        <f>Gasto_o_ing_per_capita!G228*100/Gasto_o_ing_per_capita!$D228</f>
        <v>136.93398011477737</v>
      </c>
      <c r="H228" s="332">
        <f>Gasto_o_ing_per_capita!H228*100/Gasto_o_ing_per_capita!$D228</f>
        <v>78.019123734191737</v>
      </c>
      <c r="I228" s="332">
        <f>Gasto_o_ing_per_capita!I228*100/Gasto_o_ing_per_capita!$D228</f>
        <v>101.86773220397684</v>
      </c>
      <c r="J228" s="332">
        <f>Gasto_o_ing_per_capita!J228*100/Gasto_o_ing_per_capita!$D228</f>
        <v>79.584693707689425</v>
      </c>
      <c r="K228" s="332">
        <f>Gasto_o_ing_per_capita!K228*100/Gasto_o_ing_per_capita!$D228</f>
        <v>77.414674186450853</v>
      </c>
      <c r="L228" s="332">
        <f>Gasto_o_ing_per_capita!L228*100/Gasto_o_ing_per_capita!$D228</f>
        <v>67.691232019482868</v>
      </c>
      <c r="M228" s="332">
        <f>Gasto_o_ing_per_capita!M228*100/Gasto_o_ing_per_capita!$D228</f>
        <v>126.01822343375892</v>
      </c>
      <c r="N228" s="332">
        <f>Gasto_o_ing_per_capita!N228*100/Gasto_o_ing_per_capita!$D228</f>
        <v>91.964941477500687</v>
      </c>
      <c r="O228" s="332">
        <f>Gasto_o_ing_per_capita!O228*100/Gasto_o_ing_per_capita!$D228</f>
        <v>84.907448905100779</v>
      </c>
      <c r="P228" s="332">
        <f>Gasto_o_ing_per_capita!P228*100/Gasto_o_ing_per_capita!$D228</f>
        <v>100.32146593125812</v>
      </c>
      <c r="Q228" s="332">
        <f>Gasto_o_ing_per_capita!Q228*100/Gasto_o_ing_per_capita!$D228</f>
        <v>146.82089024809912</v>
      </c>
      <c r="R228" s="332">
        <f>Gasto_o_ing_per_capita!R228*100/Gasto_o_ing_per_capita!$D228</f>
        <v>99.808054734074588</v>
      </c>
      <c r="S228" s="332">
        <f>Gasto_o_ing_per_capita!S228*100/Gasto_o_ing_per_capita!$D228</f>
        <v>0.16086044084081952</v>
      </c>
      <c r="T228" s="332">
        <f>Gasto_o_ing_per_capita!T228*100/Gasto_o_ing_per_capita!$D228</f>
        <v>0.1254931143229725</v>
      </c>
      <c r="U228" s="332">
        <f>Gasto_o_ing_per_capita!U228*100/Gasto_o_ing_per_capita!$D228</f>
        <v>85.073477481475663</v>
      </c>
      <c r="V228" s="332">
        <f>Gasto_o_ing_per_capita!V228*100/Gasto_o_ing_per_capita!$D228</f>
        <v>108.74359401711973</v>
      </c>
    </row>
    <row r="229" spans="1:22" s="102" customFormat="1">
      <c r="A229" s="351" t="str">
        <f>IF(B229="","",(IF(ISERROR(MATCH(B229,Tot_res!C:C,0)),"Eliminar!!!","")))</f>
        <v/>
      </c>
      <c r="B229" s="115" t="s">
        <v>239</v>
      </c>
      <c r="C229" s="329" t="str">
        <f>VLOOKUP(B229,Tot_res!C:D,2,FALSE)</f>
        <v>Participacón de los municipios en el IRPF, IVA e Impuestos Especiales</v>
      </c>
      <c r="D229" s="332">
        <f>Gasto_o_ing_per_capita!D229*100/Gasto_o_ing_per_capita!$D229</f>
        <v>100</v>
      </c>
      <c r="E229" s="332">
        <f>Gasto_o_ing_per_capita!E229*100/Gasto_o_ing_per_capita!$D229</f>
        <v>74.765508543782204</v>
      </c>
      <c r="F229" s="332">
        <f>Gasto_o_ing_per_capita!F229*100/Gasto_o_ing_per_capita!$D229</f>
        <v>138.60201015734555</v>
      </c>
      <c r="G229" s="332">
        <f>Gasto_o_ing_per_capita!G229*100/Gasto_o_ing_per_capita!$D229</f>
        <v>127.93605811295157</v>
      </c>
      <c r="H229" s="332">
        <f>Gasto_o_ing_per_capita!H229*100/Gasto_o_ing_per_capita!$D229</f>
        <v>97.073969668930587</v>
      </c>
      <c r="I229" s="332">
        <f>Gasto_o_ing_per_capita!I229*100/Gasto_o_ing_per_capita!$D229</f>
        <v>33.216215524145163</v>
      </c>
      <c r="J229" s="332">
        <f>Gasto_o_ing_per_capita!J229*100/Gasto_o_ing_per_capita!$D229</f>
        <v>68.71007098232289</v>
      </c>
      <c r="K229" s="332">
        <f>Gasto_o_ing_per_capita!K229*100/Gasto_o_ing_per_capita!$D229</f>
        <v>99.686024548422381</v>
      </c>
      <c r="L229" s="332">
        <f>Gasto_o_ing_per_capita!L229*100/Gasto_o_ing_per_capita!$D229</f>
        <v>51.767902558673455</v>
      </c>
      <c r="M229" s="332">
        <f>Gasto_o_ing_per_capita!M229*100/Gasto_o_ing_per_capita!$D229</f>
        <v>121.60944127388926</v>
      </c>
      <c r="N229" s="332">
        <f>Gasto_o_ing_per_capita!N229*100/Gasto_o_ing_per_capita!$D229</f>
        <v>72.390796653351387</v>
      </c>
      <c r="O229" s="332">
        <f>Gasto_o_ing_per_capita!O229*100/Gasto_o_ing_per_capita!$D229</f>
        <v>50.985732748830934</v>
      </c>
      <c r="P229" s="332">
        <f>Gasto_o_ing_per_capita!P229*100/Gasto_o_ing_per_capita!$D229</f>
        <v>75.065707962981577</v>
      </c>
      <c r="Q229" s="332">
        <f>Gasto_o_ing_per_capita!Q229*100/Gasto_o_ing_per_capita!$D229</f>
        <v>224.84942818103926</v>
      </c>
      <c r="R229" s="332">
        <f>Gasto_o_ing_per_capita!R229*100/Gasto_o_ing_per_capita!$D229</f>
        <v>89.106021142062673</v>
      </c>
      <c r="S229" s="332">
        <f>Gasto_o_ing_per_capita!S229*100/Gasto_o_ing_per_capita!$D229</f>
        <v>0</v>
      </c>
      <c r="T229" s="332">
        <f>Gasto_o_ing_per_capita!T229*100/Gasto_o_ing_per_capita!$D229</f>
        <v>0</v>
      </c>
      <c r="U229" s="332">
        <f>Gasto_o_ing_per_capita!U229*100/Gasto_o_ing_per_capita!$D229</f>
        <v>108.69507229711287</v>
      </c>
      <c r="V229" s="332">
        <f>Gasto_o_ing_per_capita!V229*100/Gasto_o_ing_per_capita!$D229</f>
        <v>0</v>
      </c>
    </row>
    <row r="230" spans="1:22" s="102" customFormat="1">
      <c r="A230" s="351" t="str">
        <f>IF(B230="","",(IF(ISERROR(MATCH(B230,Tot_res!C:C,0)),"Eliminar!!!","")))</f>
        <v/>
      </c>
      <c r="B230" s="115" t="s">
        <v>240</v>
      </c>
      <c r="C230" s="329" t="str">
        <f>VLOOKUP(B230,Tot_res!C:D,2,FALSE)</f>
        <v>Impuestos municipales</v>
      </c>
      <c r="D230" s="332">
        <f>Gasto_o_ing_per_capita!D230*100/Gasto_o_ing_per_capita!$D230</f>
        <v>100</v>
      </c>
      <c r="E230" s="332">
        <f>Gasto_o_ing_per_capita!E230*100/Gasto_o_ing_per_capita!$D230</f>
        <v>82.902146866943795</v>
      </c>
      <c r="F230" s="332">
        <f>Gasto_o_ing_per_capita!F230*100/Gasto_o_ing_per_capita!$D230</f>
        <v>97.360365398641775</v>
      </c>
      <c r="G230" s="332">
        <f>Gasto_o_ing_per_capita!G230*100/Gasto_o_ing_per_capita!$D230</f>
        <v>95.049266201391106</v>
      </c>
      <c r="H230" s="332">
        <f>Gasto_o_ing_per_capita!H230*100/Gasto_o_ing_per_capita!$D230</f>
        <v>120.14864473315178</v>
      </c>
      <c r="I230" s="332">
        <f>Gasto_o_ing_per_capita!I230*100/Gasto_o_ing_per_capita!$D230</f>
        <v>74.831929183809422</v>
      </c>
      <c r="J230" s="332">
        <f>Gasto_o_ing_per_capita!J230*100/Gasto_o_ing_per_capita!$D230</f>
        <v>106.15562895138676</v>
      </c>
      <c r="K230" s="332">
        <f>Gasto_o_ing_per_capita!K230*100/Gasto_o_ing_per_capita!$D230</f>
        <v>90.190087252705055</v>
      </c>
      <c r="L230" s="332">
        <f>Gasto_o_ing_per_capita!L230*100/Gasto_o_ing_per_capita!$D230</f>
        <v>85.581662590074373</v>
      </c>
      <c r="M230" s="332">
        <f>Gasto_o_ing_per_capita!M230*100/Gasto_o_ing_per_capita!$D230</f>
        <v>125.86160608509864</v>
      </c>
      <c r="N230" s="332">
        <f>Gasto_o_ing_per_capita!N230*100/Gasto_o_ing_per_capita!$D230</f>
        <v>100.51959421162478</v>
      </c>
      <c r="O230" s="332">
        <f>Gasto_o_ing_per_capita!O230*100/Gasto_o_ing_per_capita!$D230</f>
        <v>64.699005790148092</v>
      </c>
      <c r="P230" s="332">
        <f>Gasto_o_ing_per_capita!P230*100/Gasto_o_ing_per_capita!$D230</f>
        <v>69.539970398158118</v>
      </c>
      <c r="Q230" s="332">
        <f>Gasto_o_ing_per_capita!Q230*100/Gasto_o_ing_per_capita!$D230</f>
        <v>138.39927381514246</v>
      </c>
      <c r="R230" s="332">
        <f>Gasto_o_ing_per_capita!R230*100/Gasto_o_ing_per_capita!$D230</f>
        <v>88.777204304309151</v>
      </c>
      <c r="S230" s="332">
        <f>Gasto_o_ing_per_capita!S230*100/Gasto_o_ing_per_capita!$D230</f>
        <v>90.058705935335425</v>
      </c>
      <c r="T230" s="332">
        <f>Gasto_o_ing_per_capita!T230*100/Gasto_o_ing_per_capita!$D230</f>
        <v>76.6155692462372</v>
      </c>
      <c r="U230" s="332">
        <f>Gasto_o_ing_per_capita!U230*100/Gasto_o_ing_per_capita!$D230</f>
        <v>90.504875747543039</v>
      </c>
      <c r="V230" s="332">
        <f>Gasto_o_ing_per_capita!V230*100/Gasto_o_ing_per_capita!$D230</f>
        <v>31.693433813589589</v>
      </c>
    </row>
    <row r="231" spans="1:22" s="102" customFormat="1">
      <c r="A231" s="351" t="str">
        <f>IF(B231="","",(IF(ISERROR(MATCH(B231,Tot_res!C:C,0)),"Eliminar!!!","")))</f>
        <v/>
      </c>
      <c r="B231" s="115" t="s">
        <v>241</v>
      </c>
      <c r="C231" s="329" t="str">
        <f>VLOOKUP(B231,Tot_res!C:D,2,FALSE)</f>
        <v>Tasas municipales</v>
      </c>
      <c r="D231" s="332">
        <f>Gasto_o_ing_per_capita!D231*100/Gasto_o_ing_per_capita!$D231</f>
        <v>100</v>
      </c>
      <c r="E231" s="332">
        <f>Gasto_o_ing_per_capita!E231*100/Gasto_o_ing_per_capita!$D231</f>
        <v>80.463186038082938</v>
      </c>
      <c r="F231" s="332">
        <f>Gasto_o_ing_per_capita!F231*100/Gasto_o_ing_per_capita!$D231</f>
        <v>121.28142622278446</v>
      </c>
      <c r="G231" s="332">
        <f>Gasto_o_ing_per_capita!G231*100/Gasto_o_ing_per_capita!$D231</f>
        <v>83.912280474812093</v>
      </c>
      <c r="H231" s="332">
        <f>Gasto_o_ing_per_capita!H231*100/Gasto_o_ing_per_capita!$D231</f>
        <v>161.85226990119187</v>
      </c>
      <c r="I231" s="332">
        <f>Gasto_o_ing_per_capita!I231*100/Gasto_o_ing_per_capita!$D231</f>
        <v>88.662390306119235</v>
      </c>
      <c r="J231" s="332">
        <f>Gasto_o_ing_per_capita!J231*100/Gasto_o_ing_per_capita!$D231</f>
        <v>112.70416516775077</v>
      </c>
      <c r="K231" s="332">
        <f>Gasto_o_ing_per_capita!K231*100/Gasto_o_ing_per_capita!$D231</f>
        <v>98.517322729557591</v>
      </c>
      <c r="L231" s="332">
        <f>Gasto_o_ing_per_capita!L231*100/Gasto_o_ing_per_capita!$D231</f>
        <v>100.95934578531691</v>
      </c>
      <c r="M231" s="332">
        <f>Gasto_o_ing_per_capita!M231*100/Gasto_o_ing_per_capita!$D231</f>
        <v>119.68280281190951</v>
      </c>
      <c r="N231" s="332">
        <f>Gasto_o_ing_per_capita!N231*100/Gasto_o_ing_per_capita!$D231</f>
        <v>81.54650231116409</v>
      </c>
      <c r="O231" s="332">
        <f>Gasto_o_ing_per_capita!O231*100/Gasto_o_ing_per_capita!$D231</f>
        <v>77.388531452150303</v>
      </c>
      <c r="P231" s="332">
        <f>Gasto_o_ing_per_capita!P231*100/Gasto_o_ing_per_capita!$D231</f>
        <v>84.353147539418728</v>
      </c>
      <c r="Q231" s="332">
        <f>Gasto_o_ing_per_capita!Q231*100/Gasto_o_ing_per_capita!$D231</f>
        <v>95.511829075860803</v>
      </c>
      <c r="R231" s="332">
        <f>Gasto_o_ing_per_capita!R231*100/Gasto_o_ing_per_capita!$D231</f>
        <v>87.711719829652893</v>
      </c>
      <c r="S231" s="332">
        <f>Gasto_o_ing_per_capita!S231*100/Gasto_o_ing_per_capita!$D231</f>
        <v>173.0288356588141</v>
      </c>
      <c r="T231" s="332">
        <f>Gasto_o_ing_per_capita!T231*100/Gasto_o_ing_per_capita!$D231</f>
        <v>151.28035874933349</v>
      </c>
      <c r="U231" s="332">
        <f>Gasto_o_ing_per_capita!U231*100/Gasto_o_ing_per_capita!$D231</f>
        <v>133.41576153842487</v>
      </c>
      <c r="V231" s="332">
        <f>Gasto_o_ing_per_capita!V231*100/Gasto_o_ing_per_capita!$D231</f>
        <v>52.805253609758388</v>
      </c>
    </row>
    <row r="232" spans="1:22" s="102" customFormat="1">
      <c r="A232" s="351" t="str">
        <f>IF(B232="","",(IF(ISERROR(MATCH(B232,Tot_res!C:C,0)),"Eliminar!!!","")))</f>
        <v/>
      </c>
      <c r="B232" s="115" t="s">
        <v>732</v>
      </c>
      <c r="C232" s="329" t="str">
        <f>VLOOKUP(B232,Tot_res!C:D,2,FALSE)</f>
        <v>Recursos REF de los municipios canarios</v>
      </c>
      <c r="D232" s="332">
        <f>Gasto_o_ing_per_capita!D232*100/Gasto_o_ing_per_capita!$D232</f>
        <v>100</v>
      </c>
      <c r="E232" s="332">
        <f>Gasto_o_ing_per_capita!E232*100/Gasto_o_ing_per_capita!$D232</f>
        <v>0</v>
      </c>
      <c r="F232" s="332">
        <f>Gasto_o_ing_per_capita!F232*100/Gasto_o_ing_per_capita!$D232</f>
        <v>0</v>
      </c>
      <c r="G232" s="332">
        <f>Gasto_o_ing_per_capita!G232*100/Gasto_o_ing_per_capita!$D232</f>
        <v>0</v>
      </c>
      <c r="H232" s="332">
        <f>Gasto_o_ing_per_capita!H232*100/Gasto_o_ing_per_capita!$D232</f>
        <v>0</v>
      </c>
      <c r="I232" s="332">
        <f>Gasto_o_ing_per_capita!I232*100/Gasto_o_ing_per_capita!$D232</f>
        <v>2220.9996573225835</v>
      </c>
      <c r="J232" s="332">
        <f>Gasto_o_ing_per_capita!J232*100/Gasto_o_ing_per_capita!$D232</f>
        <v>0</v>
      </c>
      <c r="K232" s="332">
        <f>Gasto_o_ing_per_capita!K232*100/Gasto_o_ing_per_capita!$D232</f>
        <v>0</v>
      </c>
      <c r="L232" s="332">
        <f>Gasto_o_ing_per_capita!L232*100/Gasto_o_ing_per_capita!$D232</f>
        <v>0</v>
      </c>
      <c r="M232" s="332">
        <f>Gasto_o_ing_per_capita!M232*100/Gasto_o_ing_per_capita!$D232</f>
        <v>0</v>
      </c>
      <c r="N232" s="332">
        <f>Gasto_o_ing_per_capita!N232*100/Gasto_o_ing_per_capita!$D232</f>
        <v>0</v>
      </c>
      <c r="O232" s="332">
        <f>Gasto_o_ing_per_capita!O232*100/Gasto_o_ing_per_capita!$D232</f>
        <v>0</v>
      </c>
      <c r="P232" s="332">
        <f>Gasto_o_ing_per_capita!P232*100/Gasto_o_ing_per_capita!$D232</f>
        <v>0</v>
      </c>
      <c r="Q232" s="332">
        <f>Gasto_o_ing_per_capita!Q232*100/Gasto_o_ing_per_capita!$D232</f>
        <v>0</v>
      </c>
      <c r="R232" s="332">
        <f>Gasto_o_ing_per_capita!R232*100/Gasto_o_ing_per_capita!$D232</f>
        <v>0</v>
      </c>
      <c r="S232" s="332">
        <f>Gasto_o_ing_per_capita!S232*100/Gasto_o_ing_per_capita!$D232</f>
        <v>0</v>
      </c>
      <c r="T232" s="332">
        <f>Gasto_o_ing_per_capita!T232*100/Gasto_o_ing_per_capita!$D232</f>
        <v>0</v>
      </c>
      <c r="U232" s="332">
        <f>Gasto_o_ing_per_capita!U232*100/Gasto_o_ing_per_capita!$D232</f>
        <v>0</v>
      </c>
      <c r="V232" s="332">
        <f>Gasto_o_ing_per_capita!V232*100/Gasto_o_ing_per_capita!$D232</f>
        <v>0</v>
      </c>
    </row>
    <row r="233" spans="1:22" s="102" customFormat="1">
      <c r="A233" s="351" t="str">
        <f>IF(B233="","",(IF(ISERROR(MATCH(B233,Tot_res!C:C,0)),"Eliminar!!!","")))</f>
        <v/>
      </c>
      <c r="B233" s="115" t="s">
        <v>733</v>
      </c>
      <c r="C233" s="329" t="str">
        <f>VLOOKUP(B233,Tot_res!C:D,2,FALSE)</f>
        <v>Otras aportaciones a Corporaciones Locales, compensaciones por beneficios fiscales</v>
      </c>
      <c r="D233" s="332">
        <f>Gasto_o_ing_per_capita!D233*100/Gasto_o_ing_per_capita!$D233</f>
        <v>100</v>
      </c>
      <c r="E233" s="332">
        <f>Gasto_o_ing_per_capita!E233*100/Gasto_o_ing_per_capita!$D233</f>
        <v>97.765867074911384</v>
      </c>
      <c r="F233" s="332">
        <f>Gasto_o_ing_per_capita!F233*100/Gasto_o_ing_per_capita!$D233</f>
        <v>78.972133168655176</v>
      </c>
      <c r="G233" s="332">
        <f>Gasto_o_ing_per_capita!G233*100/Gasto_o_ing_per_capita!$D233</f>
        <v>69.578376360157804</v>
      </c>
      <c r="H233" s="332">
        <f>Gasto_o_ing_per_capita!H233*100/Gasto_o_ing_per_capita!$D233</f>
        <v>51.93236295410432</v>
      </c>
      <c r="I233" s="332">
        <f>Gasto_o_ing_per_capita!I233*100/Gasto_o_ing_per_capita!$D233</f>
        <v>8.8077676570828256</v>
      </c>
      <c r="J233" s="332">
        <f>Gasto_o_ing_per_capita!J233*100/Gasto_o_ing_per_capita!$D233</f>
        <v>134.09766915677963</v>
      </c>
      <c r="K233" s="332">
        <f>Gasto_o_ing_per_capita!K233*100/Gasto_o_ing_per_capita!$D233</f>
        <v>114.06457489324461</v>
      </c>
      <c r="L233" s="332">
        <f>Gasto_o_ing_per_capita!L233*100/Gasto_o_ing_per_capita!$D233</f>
        <v>47.326617638948633</v>
      </c>
      <c r="M233" s="332">
        <f>Gasto_o_ing_per_capita!M233*100/Gasto_o_ing_per_capita!$D233</f>
        <v>126.91108073509629</v>
      </c>
      <c r="N233" s="332">
        <f>Gasto_o_ing_per_capita!N233*100/Gasto_o_ing_per_capita!$D233</f>
        <v>114.00995265016694</v>
      </c>
      <c r="O233" s="332">
        <f>Gasto_o_ing_per_capita!O233*100/Gasto_o_ing_per_capita!$D233</f>
        <v>90.64245417857876</v>
      </c>
      <c r="P233" s="332">
        <f>Gasto_o_ing_per_capita!P233*100/Gasto_o_ing_per_capita!$D233</f>
        <v>60.800176481735669</v>
      </c>
      <c r="Q233" s="332">
        <f>Gasto_o_ing_per_capita!Q233*100/Gasto_o_ing_per_capita!$D233</f>
        <v>104.82751798313534</v>
      </c>
      <c r="R233" s="332">
        <f>Gasto_o_ing_per_capita!R233*100/Gasto_o_ing_per_capita!$D233</f>
        <v>420.91487995998966</v>
      </c>
      <c r="S233" s="332">
        <f>Gasto_o_ing_per_capita!S233*100/Gasto_o_ing_per_capita!$D233</f>
        <v>0</v>
      </c>
      <c r="T233" s="332">
        <f>Gasto_o_ing_per_capita!T233*100/Gasto_o_ing_per_capita!$D233</f>
        <v>0</v>
      </c>
      <c r="U233" s="332">
        <f>Gasto_o_ing_per_capita!U233*100/Gasto_o_ing_per_capita!$D233</f>
        <v>166.35776610757836</v>
      </c>
      <c r="V233" s="332">
        <f>Gasto_o_ing_per_capita!V233*100/Gasto_o_ing_per_capita!$D233</f>
        <v>0</v>
      </c>
    </row>
    <row r="234" spans="1:22" s="102" customFormat="1">
      <c r="A234" s="351" t="str">
        <f>IF(B234="","",(IF(ISERROR(MATCH(B234,Tot_res!C:C,0)),"Eliminar!!!","")))</f>
        <v/>
      </c>
      <c r="B234" s="115" t="s">
        <v>244</v>
      </c>
      <c r="C234" s="329" t="str">
        <f>VLOOKUP(B234,Tot_res!C:D,2,FALSE)</f>
        <v xml:space="preserve">Cooperación económica local del Estado </v>
      </c>
      <c r="D234" s="332">
        <f>Gasto_o_ing_per_capita!D234*100/Gasto_o_ing_per_capita!$D234</f>
        <v>100</v>
      </c>
      <c r="E234" s="332">
        <f>Gasto_o_ing_per_capita!E234*100/Gasto_o_ing_per_capita!$D234</f>
        <v>266.01516318885677</v>
      </c>
      <c r="F234" s="332">
        <f>Gasto_o_ing_per_capita!F234*100/Gasto_o_ing_per_capita!$D234</f>
        <v>296.8437034783696</v>
      </c>
      <c r="G234" s="332">
        <f>Gasto_o_ing_per_capita!G234*100/Gasto_o_ing_per_capita!$D234</f>
        <v>7.535146946954522</v>
      </c>
      <c r="H234" s="332">
        <f>Gasto_o_ing_per_capita!H234*100/Gasto_o_ing_per_capita!$D234</f>
        <v>12.2307801580438</v>
      </c>
      <c r="I234" s="332">
        <f>Gasto_o_ing_per_capita!I234*100/Gasto_o_ing_per_capita!$D234</f>
        <v>110.79261964843556</v>
      </c>
      <c r="J234" s="332">
        <f>Gasto_o_ing_per_capita!J234*100/Gasto_o_ing_per_capita!$D234</f>
        <v>7.5351469469545203</v>
      </c>
      <c r="K234" s="332">
        <f>Gasto_o_ing_per_capita!K234*100/Gasto_o_ing_per_capita!$D234</f>
        <v>72.050070883066212</v>
      </c>
      <c r="L234" s="332">
        <f>Gasto_o_ing_per_capita!L234*100/Gasto_o_ing_per_capita!$D234</f>
        <v>53.931856690713118</v>
      </c>
      <c r="M234" s="332">
        <f>Gasto_o_ing_per_capita!M234*100/Gasto_o_ing_per_capita!$D234</f>
        <v>11.201568307998059</v>
      </c>
      <c r="N234" s="332">
        <f>Gasto_o_ing_per_capita!N234*100/Gasto_o_ing_per_capita!$D234</f>
        <v>116.39304185897186</v>
      </c>
      <c r="O234" s="332">
        <f>Gasto_o_ing_per_capita!O234*100/Gasto_o_ing_per_capita!$D234</f>
        <v>21.770439252237264</v>
      </c>
      <c r="P234" s="332">
        <f>Gasto_o_ing_per_capita!P234*100/Gasto_o_ing_per_capita!$D234</f>
        <v>8.0407462383248127</v>
      </c>
      <c r="Q234" s="332">
        <f>Gasto_o_ing_per_capita!Q234*100/Gasto_o_ing_per_capita!$D234</f>
        <v>8.4635997049280025</v>
      </c>
      <c r="R234" s="332">
        <f>Gasto_o_ing_per_capita!R234*100/Gasto_o_ing_per_capita!$D234</f>
        <v>399.47572305244472</v>
      </c>
      <c r="S234" s="332">
        <f>Gasto_o_ing_per_capita!S234*100/Gasto_o_ing_per_capita!$D234</f>
        <v>189.58806849542779</v>
      </c>
      <c r="T234" s="332">
        <f>Gasto_o_ing_per_capita!T234*100/Gasto_o_ing_per_capita!$D234</f>
        <v>7.5351469469545203</v>
      </c>
      <c r="U234" s="332">
        <f>Gasto_o_ing_per_capita!U234*100/Gasto_o_ing_per_capita!$D234</f>
        <v>7.5351469469545185</v>
      </c>
      <c r="V234" s="332">
        <f>Gasto_o_ing_per_capita!V234*100/Gasto_o_ing_per_capita!$D234</f>
        <v>7.5351469469545203</v>
      </c>
    </row>
    <row r="235" spans="1:22" s="102" customFormat="1">
      <c r="A235" s="351" t="str">
        <f>IF(B235="","",(IF(ISERROR(MATCH(B235,Tot_res!C:C,0)),"Eliminar!!!","")))</f>
        <v/>
      </c>
      <c r="B235" s="115" t="s">
        <v>223</v>
      </c>
      <c r="C235" s="329" t="str">
        <f>VLOOKUP(B235,Tot_res!C:D,2,FALSE)</f>
        <v>Ajuste por competencias atípicas forales: financiación municipios</v>
      </c>
      <c r="D235" s="332">
        <f>Gasto_o_ing_per_capita!D235*100/Gasto_o_ing_per_capita!$D235</f>
        <v>100</v>
      </c>
      <c r="E235" s="332">
        <f>Gasto_o_ing_per_capita!E235*100/Gasto_o_ing_per_capita!$D235</f>
        <v>0</v>
      </c>
      <c r="F235" s="332">
        <f>Gasto_o_ing_per_capita!F235*100/Gasto_o_ing_per_capita!$D235</f>
        <v>0</v>
      </c>
      <c r="G235" s="332">
        <f>Gasto_o_ing_per_capita!G235*100/Gasto_o_ing_per_capita!$D235</f>
        <v>0</v>
      </c>
      <c r="H235" s="332">
        <f>Gasto_o_ing_per_capita!H235*100/Gasto_o_ing_per_capita!$D235</f>
        <v>0</v>
      </c>
      <c r="I235" s="332">
        <f>Gasto_o_ing_per_capita!I235*100/Gasto_o_ing_per_capita!$D235</f>
        <v>0</v>
      </c>
      <c r="J235" s="332">
        <f>Gasto_o_ing_per_capita!J235*100/Gasto_o_ing_per_capita!$D235</f>
        <v>0</v>
      </c>
      <c r="K235" s="332">
        <f>Gasto_o_ing_per_capita!K235*100/Gasto_o_ing_per_capita!$D235</f>
        <v>0</v>
      </c>
      <c r="L235" s="332">
        <f>Gasto_o_ing_per_capita!L235*100/Gasto_o_ing_per_capita!$D235</f>
        <v>0</v>
      </c>
      <c r="M235" s="332">
        <f>Gasto_o_ing_per_capita!M235*100/Gasto_o_ing_per_capita!$D235</f>
        <v>0</v>
      </c>
      <c r="N235" s="332">
        <f>Gasto_o_ing_per_capita!N235*100/Gasto_o_ing_per_capita!$D235</f>
        <v>0</v>
      </c>
      <c r="O235" s="332">
        <f>Gasto_o_ing_per_capita!O235*100/Gasto_o_ing_per_capita!$D235</f>
        <v>0</v>
      </c>
      <c r="P235" s="332">
        <f>Gasto_o_ing_per_capita!P235*100/Gasto_o_ing_per_capita!$D235</f>
        <v>0</v>
      </c>
      <c r="Q235" s="332">
        <f>Gasto_o_ing_per_capita!Q235*100/Gasto_o_ing_per_capita!$D235</f>
        <v>0</v>
      </c>
      <c r="R235" s="332">
        <f>Gasto_o_ing_per_capita!R235*100/Gasto_o_ing_per_capita!$D235</f>
        <v>0</v>
      </c>
      <c r="S235" s="332">
        <f>Gasto_o_ing_per_capita!S235*100/Gasto_o_ing_per_capita!$D235</f>
        <v>1645.1933464147937</v>
      </c>
      <c r="T235" s="332">
        <f>Gasto_o_ing_per_capita!T235*100/Gasto_o_ing_per_capita!$D235</f>
        <v>1651.7227695071454</v>
      </c>
      <c r="U235" s="332">
        <f>Gasto_o_ing_per_capita!U235*100/Gasto_o_ing_per_capita!$D235</f>
        <v>0</v>
      </c>
      <c r="V235" s="332">
        <f>Gasto_o_ing_per_capita!V235*100/Gasto_o_ing_per_capita!$D235</f>
        <v>0</v>
      </c>
    </row>
    <row r="236" spans="1:22" s="102" customFormat="1">
      <c r="A236" s="352"/>
      <c r="B236" s="115"/>
      <c r="D236" s="110"/>
      <c r="E236" s="110"/>
      <c r="F236" s="110"/>
      <c r="G236" s="110"/>
      <c r="H236" s="110"/>
      <c r="I236" s="110"/>
      <c r="J236" s="110"/>
      <c r="K236" s="110"/>
      <c r="L236" s="110"/>
      <c r="M236" s="110"/>
      <c r="N236" s="110"/>
      <c r="O236" s="110"/>
      <c r="P236" s="110"/>
      <c r="Q236" s="110"/>
      <c r="R236" s="110"/>
      <c r="S236" s="110"/>
      <c r="T236" s="110"/>
      <c r="U236" s="110"/>
      <c r="V236" s="110"/>
    </row>
    <row r="237" spans="1:22"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row>
    <row r="238" spans="1:22" s="102" customFormat="1" ht="27">
      <c r="A238" s="358"/>
      <c r="B238" s="115"/>
      <c r="C238" s="128" t="s">
        <v>23</v>
      </c>
      <c r="D238" s="113">
        <f>Gasto_o_ing_per_capita!D238*100/Gasto_o_ing_per_capita!$D238</f>
        <v>100</v>
      </c>
      <c r="E238" s="113">
        <f>Gasto_o_ing_per_capita!E238*100/Gasto_o_ing_per_capita!$D238</f>
        <v>85.400260061330229</v>
      </c>
      <c r="F238" s="113">
        <f>Gasto_o_ing_per_capita!F238*100/Gasto_o_ing_per_capita!$D238</f>
        <v>184.92111589975343</v>
      </c>
      <c r="G238" s="113">
        <f>Gasto_o_ing_per_capita!G238*100/Gasto_o_ing_per_capita!$D238</f>
        <v>170.01337358542179</v>
      </c>
      <c r="H238" s="113">
        <f>Gasto_o_ing_per_capita!H238*100/Gasto_o_ing_per_capita!$D238</f>
        <v>63.909711325532705</v>
      </c>
      <c r="I238" s="113">
        <f>Gasto_o_ing_per_capita!I238*100/Gasto_o_ing_per_capita!$D238</f>
        <v>81.319226145176259</v>
      </c>
      <c r="J238" s="113">
        <f>Gasto_o_ing_per_capita!J238*100/Gasto_o_ing_per_capita!$D238</f>
        <v>133.50621961722604</v>
      </c>
      <c r="K238" s="113">
        <f>Gasto_o_ing_per_capita!K238*100/Gasto_o_ing_per_capita!$D238</f>
        <v>223.40026550953499</v>
      </c>
      <c r="L238" s="113">
        <f>Gasto_o_ing_per_capita!L238*100/Gasto_o_ing_per_capita!$D238</f>
        <v>104.94528573355376</v>
      </c>
      <c r="M238" s="113">
        <f>Gasto_o_ing_per_capita!M238*100/Gasto_o_ing_per_capita!$D238</f>
        <v>73.793320288117272</v>
      </c>
      <c r="N238" s="113">
        <f>Gasto_o_ing_per_capita!N238*100/Gasto_o_ing_per_capita!$D238</f>
        <v>52.52117657127075</v>
      </c>
      <c r="O238" s="113">
        <f>Gasto_o_ing_per_capita!O238*100/Gasto_o_ing_per_capita!$D238</f>
        <v>128.48635123844284</v>
      </c>
      <c r="P238" s="113">
        <f>Gasto_o_ing_per_capita!P238*100/Gasto_o_ing_per_capita!$D238</f>
        <v>170.23411267535741</v>
      </c>
      <c r="Q238" s="113">
        <f>Gasto_o_ing_per_capita!Q238*100/Gasto_o_ing_per_capita!$D238</f>
        <v>72.293308000057209</v>
      </c>
      <c r="R238" s="113">
        <f>Gasto_o_ing_per_capita!R238*100/Gasto_o_ing_per_capita!$D238</f>
        <v>75.054344979490978</v>
      </c>
      <c r="S238" s="113">
        <f>Gasto_o_ing_per_capita!S238*100/Gasto_o_ing_per_capita!$D238</f>
        <v>107.10087065428174</v>
      </c>
      <c r="T238" s="113">
        <f>Gasto_o_ing_per_capita!T238*100/Gasto_o_ing_per_capita!$D238</f>
        <v>136.49941323174716</v>
      </c>
      <c r="U238" s="113">
        <f>Gasto_o_ing_per_capita!U238*100/Gasto_o_ing_per_capita!$D238</f>
        <v>129.28160876789309</v>
      </c>
      <c r="V238" s="113">
        <f>Gasto_o_ing_per_capita!V238*100/Gasto_o_ing_per_capita!$D238</f>
        <v>164.15118112734604</v>
      </c>
    </row>
    <row r="239" spans="1:22" s="102" customFormat="1">
      <c r="A239" s="351" t="str">
        <f>IF(B239="","",(IF(ISERROR(MATCH(B239,Tot_res!C:C,0)),"Eliminar!!!","")))</f>
        <v/>
      </c>
      <c r="B239" s="115" t="s">
        <v>246</v>
      </c>
      <c r="C239" s="329" t="str">
        <f>VLOOKUP(B239,Tot_res!C:D,2,FALSE)</f>
        <v>Gestión de recursos hídricos para el regadío</v>
      </c>
      <c r="D239" s="332">
        <f>Gasto_o_ing_per_capita!D239*100/Gasto_o_ing_per_capita!$D239</f>
        <v>99.999999999999986</v>
      </c>
      <c r="E239" s="332">
        <f>Gasto_o_ing_per_capita!E239*100/Gasto_o_ing_per_capita!$D239</f>
        <v>191.70079336991725</v>
      </c>
      <c r="F239" s="332">
        <f>Gasto_o_ing_per_capita!F239*100/Gasto_o_ing_per_capita!$D239</f>
        <v>144.38387402025569</v>
      </c>
      <c r="G239" s="332">
        <f>Gasto_o_ing_per_capita!G239*100/Gasto_o_ing_per_capita!$D239</f>
        <v>0</v>
      </c>
      <c r="H239" s="332">
        <f>Gasto_o_ing_per_capita!H239*100/Gasto_o_ing_per_capita!$D239</f>
        <v>444.5468866898189</v>
      </c>
      <c r="I239" s="332">
        <f>Gasto_o_ing_per_capita!I239*100/Gasto_o_ing_per_capita!$D239</f>
        <v>19.451308834727776</v>
      </c>
      <c r="J239" s="332">
        <f>Gasto_o_ing_per_capita!J239*100/Gasto_o_ing_per_capita!$D239</f>
        <v>0</v>
      </c>
      <c r="K239" s="332">
        <f>Gasto_o_ing_per_capita!K239*100/Gasto_o_ing_per_capita!$D239</f>
        <v>108.41055151197261</v>
      </c>
      <c r="L239" s="332">
        <f>Gasto_o_ing_per_capita!L239*100/Gasto_o_ing_per_capita!$D239</f>
        <v>0</v>
      </c>
      <c r="M239" s="332">
        <f>Gasto_o_ing_per_capita!M239*100/Gasto_o_ing_per_capita!$D239</f>
        <v>36.849013155334376</v>
      </c>
      <c r="N239" s="332">
        <f>Gasto_o_ing_per_capita!N239*100/Gasto_o_ing_per_capita!$D239</f>
        <v>281.81987524068091</v>
      </c>
      <c r="O239" s="332">
        <f>Gasto_o_ing_per_capita!O239*100/Gasto_o_ing_per_capita!$D239</f>
        <v>0</v>
      </c>
      <c r="P239" s="332">
        <f>Gasto_o_ing_per_capita!P239*100/Gasto_o_ing_per_capita!$D239</f>
        <v>0</v>
      </c>
      <c r="Q239" s="332">
        <f>Gasto_o_ing_per_capita!Q239*100/Gasto_o_ing_per_capita!$D239</f>
        <v>0</v>
      </c>
      <c r="R239" s="332">
        <f>Gasto_o_ing_per_capita!R239*100/Gasto_o_ing_per_capita!$D239</f>
        <v>0</v>
      </c>
      <c r="S239" s="332">
        <f>Gasto_o_ing_per_capita!S239*100/Gasto_o_ing_per_capita!$D239</f>
        <v>0</v>
      </c>
      <c r="T239" s="332">
        <f>Gasto_o_ing_per_capita!T239*100/Gasto_o_ing_per_capita!$D239</f>
        <v>116.33716295954048</v>
      </c>
      <c r="U239" s="332">
        <f>Gasto_o_ing_per_capita!U239*100/Gasto_o_ing_per_capita!$D239</f>
        <v>405.81163364014634</v>
      </c>
      <c r="V239" s="332">
        <f>Gasto_o_ing_per_capita!V239*100/Gasto_o_ing_per_capita!$D239</f>
        <v>0</v>
      </c>
    </row>
    <row r="240" spans="1:22" s="102" customFormat="1">
      <c r="A240" s="351" t="str">
        <f>IF(B240="","",(IF(ISERROR(MATCH(B240,Tot_res!C:C,0)),"Eliminar!!!","")))</f>
        <v/>
      </c>
      <c r="B240" s="115" t="s">
        <v>247</v>
      </c>
      <c r="C240" s="329" t="str">
        <f>VLOOKUP(B240,Tot_res!C:D,2,FALSE)</f>
        <v>Subvenciones y apoyo al transporte terrestre</v>
      </c>
      <c r="D240" s="332">
        <f>Gasto_o_ing_per_capita!D240*100/Gasto_o_ing_per_capita!$D240</f>
        <v>100</v>
      </c>
      <c r="E240" s="332">
        <f>Gasto_o_ing_per_capita!E240*100/Gasto_o_ing_per_capita!$D240</f>
        <v>45.891702763871379</v>
      </c>
      <c r="F240" s="332">
        <f>Gasto_o_ing_per_capita!F240*100/Gasto_o_ing_per_capita!$D240</f>
        <v>88.163680332447342</v>
      </c>
      <c r="G240" s="332">
        <f>Gasto_o_ing_per_capita!G240*100/Gasto_o_ing_per_capita!$D240</f>
        <v>57.56587756666174</v>
      </c>
      <c r="H240" s="332">
        <f>Gasto_o_ing_per_capita!H240*100/Gasto_o_ing_per_capita!$D240</f>
        <v>14.262439927112727</v>
      </c>
      <c r="I240" s="332">
        <f>Gasto_o_ing_per_capita!I240*100/Gasto_o_ing_per_capita!$D240</f>
        <v>60.126431590471356</v>
      </c>
      <c r="J240" s="332">
        <f>Gasto_o_ing_per_capita!J240*100/Gasto_o_ing_per_capita!$D240</f>
        <v>46.926537051378112</v>
      </c>
      <c r="K240" s="332">
        <f>Gasto_o_ing_per_capita!K240*100/Gasto_o_ing_per_capita!$D240</f>
        <v>31.403167083393093</v>
      </c>
      <c r="L240" s="332">
        <f>Gasto_o_ing_per_capita!L240*100/Gasto_o_ing_per_capita!$D240</f>
        <v>58.558495578551351</v>
      </c>
      <c r="M240" s="332">
        <f>Gasto_o_ing_per_capita!M240*100/Gasto_o_ing_per_capita!$D240</f>
        <v>192.10812230599353</v>
      </c>
      <c r="N240" s="332">
        <f>Gasto_o_ing_per_capita!N240*100/Gasto_o_ing_per_capita!$D240</f>
        <v>65.102011734299865</v>
      </c>
      <c r="O240" s="332">
        <f>Gasto_o_ing_per_capita!O240*100/Gasto_o_ing_per_capita!$D240</f>
        <v>28.959689108406884</v>
      </c>
      <c r="P240" s="332">
        <f>Gasto_o_ing_per_capita!P240*100/Gasto_o_ing_per_capita!$D240</f>
        <v>55.66767339922113</v>
      </c>
      <c r="Q240" s="332">
        <f>Gasto_o_ing_per_capita!Q240*100/Gasto_o_ing_per_capita!$D240</f>
        <v>233.60577392810856</v>
      </c>
      <c r="R240" s="332">
        <f>Gasto_o_ing_per_capita!R240*100/Gasto_o_ing_per_capita!$D240</f>
        <v>35.405608342283266</v>
      </c>
      <c r="S240" s="332">
        <f>Gasto_o_ing_per_capita!S240*100/Gasto_o_ing_per_capita!$D240</f>
        <v>107.9785634706929</v>
      </c>
      <c r="T240" s="332">
        <f>Gasto_o_ing_per_capita!T240*100/Gasto_o_ing_per_capita!$D240</f>
        <v>54.706327462909684</v>
      </c>
      <c r="U240" s="332">
        <f>Gasto_o_ing_per_capita!U240*100/Gasto_o_ing_per_capita!$D240</f>
        <v>111.07611736820721</v>
      </c>
      <c r="V240" s="332">
        <f>Gasto_o_ing_per_capita!V240*100/Gasto_o_ing_per_capita!$D240</f>
        <v>19.884354334078267</v>
      </c>
    </row>
    <row r="241" spans="1:22" s="102" customFormat="1">
      <c r="A241" s="351" t="str">
        <f>IF(B241="","",(IF(ISERROR(MATCH(B241,Tot_res!C:C,0)),"Eliminar!!!","")))</f>
        <v/>
      </c>
      <c r="B241" s="115" t="s">
        <v>248</v>
      </c>
      <c r="C241" s="329" t="str">
        <f>VLOOKUP(B241,Tot_res!C:D,2,FALSE)</f>
        <v>Estudios y servicios de asistencia técnica en obras públicas y urbanismo</v>
      </c>
      <c r="D241" s="332">
        <f>Gasto_o_ing_per_capita!D241*100/Gasto_o_ing_per_capita!$D241</f>
        <v>100</v>
      </c>
      <c r="E241" s="332">
        <f>Gasto_o_ing_per_capita!E241*100/Gasto_o_ing_per_capita!$D241</f>
        <v>84.238258219873316</v>
      </c>
      <c r="F241" s="332">
        <f>Gasto_o_ing_per_capita!F241*100/Gasto_o_ing_per_capita!$D241</f>
        <v>185.12737194942565</v>
      </c>
      <c r="G241" s="332">
        <f>Gasto_o_ing_per_capita!G241*100/Gasto_o_ing_per_capita!$D241</f>
        <v>171.07003698277978</v>
      </c>
      <c r="H241" s="332">
        <f>Gasto_o_ing_per_capita!H241*100/Gasto_o_ing_per_capita!$D241</f>
        <v>64.492557061407709</v>
      </c>
      <c r="I241" s="332">
        <f>Gasto_o_ing_per_capita!I241*100/Gasto_o_ing_per_capita!$D241</f>
        <v>52.727799715420062</v>
      </c>
      <c r="J241" s="332">
        <f>Gasto_o_ing_per_capita!J241*100/Gasto_o_ing_per_capita!$D241</f>
        <v>131.49223888511028</v>
      </c>
      <c r="K241" s="332">
        <f>Gasto_o_ing_per_capita!K241*100/Gasto_o_ing_per_capita!$D241</f>
        <v>221.89857646554219</v>
      </c>
      <c r="L241" s="332">
        <f>Gasto_o_ing_per_capita!L241*100/Gasto_o_ing_per_capita!$D241</f>
        <v>123.95976302010621</v>
      </c>
      <c r="M241" s="332">
        <f>Gasto_o_ing_per_capita!M241*100/Gasto_o_ing_per_capita!$D241</f>
        <v>68.050757901914167</v>
      </c>
      <c r="N241" s="332">
        <f>Gasto_o_ing_per_capita!N241*100/Gasto_o_ing_per_capita!$D241</f>
        <v>75.189248119270545</v>
      </c>
      <c r="O241" s="332">
        <f>Gasto_o_ing_per_capita!O241*100/Gasto_o_ing_per_capita!$D241</f>
        <v>133.18296717196645</v>
      </c>
      <c r="P241" s="332">
        <f>Gasto_o_ing_per_capita!P241*100/Gasto_o_ing_per_capita!$D241</f>
        <v>165.27564591078854</v>
      </c>
      <c r="Q241" s="332">
        <f>Gasto_o_ing_per_capita!Q241*100/Gasto_o_ing_per_capita!$D241</f>
        <v>71.050049865506992</v>
      </c>
      <c r="R241" s="332">
        <f>Gasto_o_ing_per_capita!R241*100/Gasto_o_ing_per_capita!$D241</f>
        <v>98.198233240918668</v>
      </c>
      <c r="S241" s="332">
        <f>Gasto_o_ing_per_capita!S241*100/Gasto_o_ing_per_capita!$D241</f>
        <v>124.49260848146693</v>
      </c>
      <c r="T241" s="332">
        <f>Gasto_o_ing_per_capita!T241*100/Gasto_o_ing_per_capita!$D241</f>
        <v>107.69579737001141</v>
      </c>
      <c r="U241" s="332">
        <f>Gasto_o_ing_per_capita!U241*100/Gasto_o_ing_per_capita!$D241</f>
        <v>162.15342236283217</v>
      </c>
      <c r="V241" s="332">
        <f>Gasto_o_ing_per_capita!V241*100/Gasto_o_ing_per_capita!$D241</f>
        <v>89.566642707965599</v>
      </c>
    </row>
    <row r="242" spans="1:22" s="102" customFormat="1">
      <c r="A242" s="351" t="str">
        <f>IF(B242="","",(IF(ISERROR(MATCH(B242,Tot_res!C:C,0)),"Eliminar!!!","")))</f>
        <v/>
      </c>
      <c r="B242" s="115" t="s">
        <v>249</v>
      </c>
      <c r="C242" s="329" t="str">
        <f>VLOOKUP(B242,Tot_res!C:D,2,FALSE)</f>
        <v>Dirección y servicios generales de fomento</v>
      </c>
      <c r="D242" s="332">
        <f>Gasto_o_ing_per_capita!D242*100/Gasto_o_ing_per_capita!$D242</f>
        <v>100</v>
      </c>
      <c r="E242" s="332">
        <f>Gasto_o_ing_per_capita!E242*100/Gasto_o_ing_per_capita!$D242</f>
        <v>85.262561428662025</v>
      </c>
      <c r="F242" s="332">
        <f>Gasto_o_ing_per_capita!F242*100/Gasto_o_ing_per_capita!$D242</f>
        <v>118.00352388790324</v>
      </c>
      <c r="G242" s="332">
        <f>Gasto_o_ing_per_capita!G242*100/Gasto_o_ing_per_capita!$D242</f>
        <v>134.23758003431567</v>
      </c>
      <c r="H242" s="332">
        <f>Gasto_o_ing_per_capita!H242*100/Gasto_o_ing_per_capita!$D242</f>
        <v>76.063370577802488</v>
      </c>
      <c r="I242" s="332">
        <f>Gasto_o_ing_per_capita!I242*100/Gasto_o_ing_per_capita!$D242</f>
        <v>68.778330208218009</v>
      </c>
      <c r="J242" s="332">
        <f>Gasto_o_ing_per_capita!J242*100/Gasto_o_ing_per_capita!$D242</f>
        <v>117.43395197297373</v>
      </c>
      <c r="K242" s="332">
        <f>Gasto_o_ing_per_capita!K242*100/Gasto_o_ing_per_capita!$D242</f>
        <v>153.57921174558396</v>
      </c>
      <c r="L242" s="332">
        <f>Gasto_o_ing_per_capita!L242*100/Gasto_o_ing_per_capita!$D242</f>
        <v>106.68816857181388</v>
      </c>
      <c r="M242" s="332">
        <f>Gasto_o_ing_per_capita!M242*100/Gasto_o_ing_per_capita!$D242</f>
        <v>83.827403407708402</v>
      </c>
      <c r="N242" s="332">
        <f>Gasto_o_ing_per_capita!N242*100/Gasto_o_ing_per_capita!$D242</f>
        <v>80.025009080377487</v>
      </c>
      <c r="O242" s="332">
        <f>Gasto_o_ing_per_capita!O242*100/Gasto_o_ing_per_capita!$D242</f>
        <v>85.975871124173068</v>
      </c>
      <c r="P242" s="332">
        <f>Gasto_o_ing_per_capita!P242*100/Gasto_o_ing_per_capita!$D242</f>
        <v>239.37032919896788</v>
      </c>
      <c r="Q242" s="332">
        <f>Gasto_o_ing_per_capita!Q242*100/Gasto_o_ing_per_capita!$D242</f>
        <v>86.298971323159492</v>
      </c>
      <c r="R242" s="332">
        <f>Gasto_o_ing_per_capita!R242*100/Gasto_o_ing_per_capita!$D242</f>
        <v>71.563255846607447</v>
      </c>
      <c r="S242" s="332">
        <f>Gasto_o_ing_per_capita!S242*100/Gasto_o_ing_per_capita!$D242</f>
        <v>102.28804769582106</v>
      </c>
      <c r="T242" s="332">
        <f>Gasto_o_ing_per_capita!T242*100/Gasto_o_ing_per_capita!$D242</f>
        <v>93.264776559471414</v>
      </c>
      <c r="U242" s="332">
        <f>Gasto_o_ing_per_capita!U242*100/Gasto_o_ing_per_capita!$D242</f>
        <v>112.88681005945097</v>
      </c>
      <c r="V242" s="332">
        <f>Gasto_o_ing_per_capita!V242*100/Gasto_o_ing_per_capita!$D242</f>
        <v>56.751030282579308</v>
      </c>
    </row>
    <row r="243" spans="1:22"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Gasto_o_ing_per_capita!D243*100/Gasto_o_ing_per_capita!$D243</f>
        <v>100</v>
      </c>
      <c r="E243" s="332">
        <f>Gasto_o_ing_per_capita!E243*100/Gasto_o_ing_per_capita!$D243</f>
        <v>97.802822903549256</v>
      </c>
      <c r="F243" s="332">
        <f>Gasto_o_ing_per_capita!F243*100/Gasto_o_ing_per_capita!$D243</f>
        <v>209.89510069952999</v>
      </c>
      <c r="G243" s="332">
        <f>Gasto_o_ing_per_capita!G243*100/Gasto_o_ing_per_capita!$D243</f>
        <v>106.32411228552678</v>
      </c>
      <c r="H243" s="332">
        <f>Gasto_o_ing_per_capita!H243*100/Gasto_o_ing_per_capita!$D243</f>
        <v>65.437574900608681</v>
      </c>
      <c r="I243" s="332">
        <f>Gasto_o_ing_per_capita!I243*100/Gasto_o_ing_per_capita!$D243</f>
        <v>84.867939295757026</v>
      </c>
      <c r="J243" s="332">
        <f>Gasto_o_ing_per_capita!J243*100/Gasto_o_ing_per_capita!$D243</f>
        <v>85.677509023164632</v>
      </c>
      <c r="K243" s="332">
        <f>Gasto_o_ing_per_capita!K243*100/Gasto_o_ing_per_capita!$D243</f>
        <v>151.46899266583694</v>
      </c>
      <c r="L243" s="332">
        <f>Gasto_o_ing_per_capita!L243*100/Gasto_o_ing_per_capita!$D243</f>
        <v>137.90396765174944</v>
      </c>
      <c r="M243" s="332">
        <f>Gasto_o_ing_per_capita!M243*100/Gasto_o_ing_per_capita!$D243</f>
        <v>58.60828879950126</v>
      </c>
      <c r="N243" s="332">
        <f>Gasto_o_ing_per_capita!N243*100/Gasto_o_ing_per_capita!$D243</f>
        <v>86.971527357472752</v>
      </c>
      <c r="O243" s="332">
        <f>Gasto_o_ing_per_capita!O243*100/Gasto_o_ing_per_capita!$D243</f>
        <v>245.39908396917272</v>
      </c>
      <c r="P243" s="332">
        <f>Gasto_o_ing_per_capita!P243*100/Gasto_o_ing_per_capita!$D243</f>
        <v>80.803605348238037</v>
      </c>
      <c r="Q243" s="332">
        <f>Gasto_o_ing_per_capita!Q243*100/Gasto_o_ing_per_capita!$D243</f>
        <v>69.554063812743266</v>
      </c>
      <c r="R243" s="332">
        <f>Gasto_o_ing_per_capita!R243*100/Gasto_o_ing_per_capita!$D243</f>
        <v>203.23268710905117</v>
      </c>
      <c r="S243" s="332">
        <f>Gasto_o_ing_per_capita!S243*100/Gasto_o_ing_per_capita!$D243</f>
        <v>95.830813662489248</v>
      </c>
      <c r="T243" s="332">
        <f>Gasto_o_ing_per_capita!T243*100/Gasto_o_ing_per_capita!$D243</f>
        <v>98.372423611029873</v>
      </c>
      <c r="U243" s="332">
        <f>Gasto_o_ing_per_capita!U243*100/Gasto_o_ing_per_capita!$D243</f>
        <v>209.95155834107376</v>
      </c>
      <c r="V243" s="332">
        <f>Gasto_o_ing_per_capita!V243*100/Gasto_o_ing_per_capita!$D243</f>
        <v>241.40419499164943</v>
      </c>
    </row>
    <row r="244" spans="1:22" s="102" customFormat="1">
      <c r="A244" s="351" t="str">
        <f>IF(B244="","",(IF(ISERROR(MATCH(B244,Tot_res!C:C,0)),"Eliminar!!!","")))</f>
        <v/>
      </c>
      <c r="B244" s="115" t="s">
        <v>250</v>
      </c>
      <c r="C244" s="329" t="str">
        <f>VLOOKUP(B244,Tot_res!C:D,2,FALSE)</f>
        <v>Gestión e infraestructuras del agua</v>
      </c>
      <c r="D244" s="332">
        <f>Gasto_o_ing_per_capita!D244*100/Gasto_o_ing_per_capita!$D244</f>
        <v>100</v>
      </c>
      <c r="E244" s="332">
        <f>Gasto_o_ing_per_capita!E244*100/Gasto_o_ing_per_capita!$D244</f>
        <v>100.95297964550828</v>
      </c>
      <c r="F244" s="332">
        <f>Gasto_o_ing_per_capita!F244*100/Gasto_o_ing_per_capita!$D244</f>
        <v>331.07605122691666</v>
      </c>
      <c r="G244" s="332">
        <f>Gasto_o_ing_per_capita!G244*100/Gasto_o_ing_per_capita!$D244</f>
        <v>29.960966988467334</v>
      </c>
      <c r="H244" s="332">
        <f>Gasto_o_ing_per_capita!H244*100/Gasto_o_ing_per_capita!$D244</f>
        <v>5.538208320783407</v>
      </c>
      <c r="I244" s="332">
        <f>Gasto_o_ing_per_capita!I244*100/Gasto_o_ing_per_capita!$D244</f>
        <v>55.935778531358167</v>
      </c>
      <c r="J244" s="332">
        <f>Gasto_o_ing_per_capita!J244*100/Gasto_o_ing_per_capita!$D244</f>
        <v>31.53395954618501</v>
      </c>
      <c r="K244" s="332">
        <f>Gasto_o_ing_per_capita!K244*100/Gasto_o_ing_per_capita!$D244</f>
        <v>230.51911242049547</v>
      </c>
      <c r="L244" s="332">
        <f>Gasto_o_ing_per_capita!L244*100/Gasto_o_ing_per_capita!$D244</f>
        <v>194.03104784605367</v>
      </c>
      <c r="M244" s="332">
        <f>Gasto_o_ing_per_capita!M244*100/Gasto_o_ing_per_capita!$D244</f>
        <v>8.8059837393841907</v>
      </c>
      <c r="N244" s="332">
        <f>Gasto_o_ing_per_capita!N244*100/Gasto_o_ing_per_capita!$D244</f>
        <v>76.690747245372009</v>
      </c>
      <c r="O244" s="332">
        <f>Gasto_o_ing_per_capita!O244*100/Gasto_o_ing_per_capita!$D244</f>
        <v>407.79610041899542</v>
      </c>
      <c r="P244" s="332">
        <f>Gasto_o_ing_per_capita!P244*100/Gasto_o_ing_per_capita!$D244</f>
        <v>37.915463743727067</v>
      </c>
      <c r="Q244" s="332">
        <f>Gasto_o_ing_per_capita!Q244*100/Gasto_o_ing_per_capita!$D244</f>
        <v>42.196042954299713</v>
      </c>
      <c r="R244" s="332">
        <f>Gasto_o_ing_per_capita!R244*100/Gasto_o_ing_per_capita!$D244</f>
        <v>412.1385177211215</v>
      </c>
      <c r="S244" s="332">
        <f>Gasto_o_ing_per_capita!S244*100/Gasto_o_ing_per_capita!$D244</f>
        <v>110.91952290906077</v>
      </c>
      <c r="T244" s="332">
        <f>Gasto_o_ing_per_capita!T244*100/Gasto_o_ing_per_capita!$D244</f>
        <v>38.91270453662122</v>
      </c>
      <c r="U244" s="332">
        <f>Gasto_o_ing_per_capita!U244*100/Gasto_o_ing_per_capita!$D244</f>
        <v>413.62743984683448</v>
      </c>
      <c r="V244" s="332">
        <f>Gasto_o_ing_per_capita!V244*100/Gasto_o_ing_per_capita!$D244</f>
        <v>423.92075931708257</v>
      </c>
    </row>
    <row r="245" spans="1:22" s="102" customFormat="1">
      <c r="A245" s="351" t="str">
        <f>IF(B245="","",(IF(ISERROR(MATCH(B245,Tot_res!C:C,0)),"Eliminar!!!","")))</f>
        <v/>
      </c>
      <c r="B245" s="115" t="s">
        <v>251</v>
      </c>
      <c r="C245" s="329" t="str">
        <f>VLOOKUP(B245,Tot_res!C:D,2,FALSE)</f>
        <v>Normativa y ordenac. territorial recursos hídricos</v>
      </c>
      <c r="D245" s="332">
        <f>Gasto_o_ing_per_capita!D245*100/Gasto_o_ing_per_capita!$D245</f>
        <v>100</v>
      </c>
      <c r="E245" s="332">
        <f>Gasto_o_ing_per_capita!E245*100/Gasto_o_ing_per_capita!$D245</f>
        <v>99.999999999999972</v>
      </c>
      <c r="F245" s="332">
        <f>Gasto_o_ing_per_capita!F245*100/Gasto_o_ing_per_capita!$D245</f>
        <v>100.00000000000001</v>
      </c>
      <c r="G245" s="332">
        <f>Gasto_o_ing_per_capita!G245*100/Gasto_o_ing_per_capita!$D245</f>
        <v>100.00000000000001</v>
      </c>
      <c r="H245" s="332">
        <f>Gasto_o_ing_per_capita!H245*100/Gasto_o_ing_per_capita!$D245</f>
        <v>100</v>
      </c>
      <c r="I245" s="332">
        <f>Gasto_o_ing_per_capita!I245*100/Gasto_o_ing_per_capita!$D245</f>
        <v>99.999999999999972</v>
      </c>
      <c r="J245" s="332">
        <f>Gasto_o_ing_per_capita!J245*100/Gasto_o_ing_per_capita!$D245</f>
        <v>99.999999999999972</v>
      </c>
      <c r="K245" s="332">
        <f>Gasto_o_ing_per_capita!K245*100/Gasto_o_ing_per_capita!$D245</f>
        <v>100.00000000000001</v>
      </c>
      <c r="L245" s="332">
        <f>Gasto_o_ing_per_capita!L245*100/Gasto_o_ing_per_capita!$D245</f>
        <v>100</v>
      </c>
      <c r="M245" s="332">
        <f>Gasto_o_ing_per_capita!M245*100/Gasto_o_ing_per_capita!$D245</f>
        <v>100</v>
      </c>
      <c r="N245" s="332">
        <f>Gasto_o_ing_per_capita!N245*100/Gasto_o_ing_per_capita!$D245</f>
        <v>100</v>
      </c>
      <c r="O245" s="332">
        <f>Gasto_o_ing_per_capita!O245*100/Gasto_o_ing_per_capita!$D245</f>
        <v>100</v>
      </c>
      <c r="P245" s="332">
        <f>Gasto_o_ing_per_capita!P245*100/Gasto_o_ing_per_capita!$D245</f>
        <v>100</v>
      </c>
      <c r="Q245" s="332">
        <f>Gasto_o_ing_per_capita!Q245*100/Gasto_o_ing_per_capita!$D245</f>
        <v>100</v>
      </c>
      <c r="R245" s="332">
        <f>Gasto_o_ing_per_capita!R245*100/Gasto_o_ing_per_capita!$D245</f>
        <v>100</v>
      </c>
      <c r="S245" s="332">
        <f>Gasto_o_ing_per_capita!S245*100/Gasto_o_ing_per_capita!$D245</f>
        <v>99.999999999999972</v>
      </c>
      <c r="T245" s="332">
        <f>Gasto_o_ing_per_capita!T245*100/Gasto_o_ing_per_capita!$D245</f>
        <v>99.999999999999972</v>
      </c>
      <c r="U245" s="332">
        <f>Gasto_o_ing_per_capita!U245*100/Gasto_o_ing_per_capita!$D245</f>
        <v>100</v>
      </c>
      <c r="V245" s="332">
        <f>Gasto_o_ing_per_capita!V245*100/Gasto_o_ing_per_capita!$D245</f>
        <v>100</v>
      </c>
    </row>
    <row r="246" spans="1:22" s="102" customFormat="1">
      <c r="A246" s="351" t="str">
        <f>IF(B246="","",(IF(ISERROR(MATCH(B246,Tot_res!C:C,0)),"Eliminar!!!","")))</f>
        <v/>
      </c>
      <c r="B246" s="115" t="s">
        <v>252</v>
      </c>
      <c r="C246" s="329" t="str">
        <f>VLOOKUP(B246,Tot_res!C:D,2,FALSE)</f>
        <v>Infraestructura del transporte ferroviario + AF10 (no se ha hecho)</v>
      </c>
      <c r="D246" s="332">
        <f>Gasto_o_ing_per_capita!D246*100/Gasto_o_ing_per_capita!$D246</f>
        <v>100</v>
      </c>
      <c r="E246" s="332">
        <f>Gasto_o_ing_per_capita!E246*100/Gasto_o_ing_per_capita!$D246</f>
        <v>192.99677955822682</v>
      </c>
      <c r="F246" s="332">
        <f>Gasto_o_ing_per_capita!F246*100/Gasto_o_ing_per_capita!$D246</f>
        <v>35.320147690651808</v>
      </c>
      <c r="G246" s="332">
        <f>Gasto_o_ing_per_capita!G246*100/Gasto_o_ing_per_capita!$D246</f>
        <v>136.02421958320619</v>
      </c>
      <c r="H246" s="332">
        <f>Gasto_o_ing_per_capita!H246*100/Gasto_o_ing_per_capita!$D246</f>
        <v>125.49181604586968</v>
      </c>
      <c r="I246" s="332">
        <f>Gasto_o_ing_per_capita!I246*100/Gasto_o_ing_per_capita!$D246</f>
        <v>211.45639732589819</v>
      </c>
      <c r="J246" s="332">
        <f>Gasto_o_ing_per_capita!J246*100/Gasto_o_ing_per_capita!$D246</f>
        <v>69.970835227470047</v>
      </c>
      <c r="K246" s="332">
        <f>Gasto_o_ing_per_capita!K246*100/Gasto_o_ing_per_capita!$D246</f>
        <v>282.95360841686113</v>
      </c>
      <c r="L246" s="332">
        <f>Gasto_o_ing_per_capita!L246*100/Gasto_o_ing_per_capita!$D246</f>
        <v>26.73183134174359</v>
      </c>
      <c r="M246" s="332">
        <f>Gasto_o_ing_per_capita!M246*100/Gasto_o_ing_per_capita!$D246</f>
        <v>66.928860272327242</v>
      </c>
      <c r="N246" s="332">
        <f>Gasto_o_ing_per_capita!N246*100/Gasto_o_ing_per_capita!$D246</f>
        <v>40.41902552865691</v>
      </c>
      <c r="O246" s="332">
        <f>Gasto_o_ing_per_capita!O246*100/Gasto_o_ing_per_capita!$D246</f>
        <v>79.167738099777623</v>
      </c>
      <c r="P246" s="332">
        <f>Gasto_o_ing_per_capita!P246*100/Gasto_o_ing_per_capita!$D246</f>
        <v>57.879095004236383</v>
      </c>
      <c r="Q246" s="332">
        <f>Gasto_o_ing_per_capita!Q246*100/Gasto_o_ing_per_capita!$D246</f>
        <v>60.569783666405222</v>
      </c>
      <c r="R246" s="332">
        <f>Gasto_o_ing_per_capita!R246*100/Gasto_o_ing_per_capita!$D246</f>
        <v>34.381355238076495</v>
      </c>
      <c r="S246" s="332">
        <f>Gasto_o_ing_per_capita!S246*100/Gasto_o_ing_per_capita!$D246</f>
        <v>40.030311117793786</v>
      </c>
      <c r="T246" s="332">
        <f>Gasto_o_ing_per_capita!T246*100/Gasto_o_ing_per_capita!$D246</f>
        <v>23.885566617858856</v>
      </c>
      <c r="U246" s="332">
        <f>Gasto_o_ing_per_capita!U246*100/Gasto_o_ing_per_capita!$D246</f>
        <v>18.295355012919217</v>
      </c>
      <c r="V246" s="332">
        <f>Gasto_o_ing_per_capita!V246*100/Gasto_o_ing_per_capita!$D246</f>
        <v>7.0742449976870292</v>
      </c>
    </row>
    <row r="247" spans="1:22" s="102" customFormat="1">
      <c r="A247" s="351" t="str">
        <f>IF(B247="","",(IF(ISERROR(MATCH(B247,Tot_res!C:C,0)),"Eliminar!!!","")))</f>
        <v/>
      </c>
      <c r="B247" s="115" t="s">
        <v>253</v>
      </c>
      <c r="C247" s="329" t="str">
        <f>VLOOKUP(B247,Tot_res!C:D,2,FALSE)</f>
        <v>Creación de infraestructura de carreteras + AF06/1</v>
      </c>
      <c r="D247" s="332">
        <f>Gasto_o_ing_per_capita!D247*100/Gasto_o_ing_per_capita!$D247</f>
        <v>100</v>
      </c>
      <c r="E247" s="332">
        <f>Gasto_o_ing_per_capita!E247*100/Gasto_o_ing_per_capita!$D247</f>
        <v>140.73506311066151</v>
      </c>
      <c r="F247" s="332">
        <f>Gasto_o_ing_per_capita!F247*100/Gasto_o_ing_per_capita!$D247</f>
        <v>291.82029136467361</v>
      </c>
      <c r="G247" s="332">
        <f>Gasto_o_ing_per_capita!G247*100/Gasto_o_ing_per_capita!$D247</f>
        <v>302.3413301943919</v>
      </c>
      <c r="H247" s="332">
        <f>Gasto_o_ing_per_capita!H247*100/Gasto_o_ing_per_capita!$D247</f>
        <v>211.15779263588624</v>
      </c>
      <c r="I247" s="332">
        <f>Gasto_o_ing_per_capita!I247*100/Gasto_o_ing_per_capita!$D247</f>
        <v>77.128769344978764</v>
      </c>
      <c r="J247" s="332">
        <f>Gasto_o_ing_per_capita!J247*100/Gasto_o_ing_per_capita!$D247</f>
        <v>298.20181878601272</v>
      </c>
      <c r="K247" s="332">
        <f>Gasto_o_ing_per_capita!K247*100/Gasto_o_ing_per_capita!$D247</f>
        <v>94.077635119193857</v>
      </c>
      <c r="L247" s="332">
        <f>Gasto_o_ing_per_capita!L247*100/Gasto_o_ing_per_capita!$D247</f>
        <v>88.962994410063132</v>
      </c>
      <c r="M247" s="332">
        <f>Gasto_o_ing_per_capita!M247*100/Gasto_o_ing_per_capita!$D247</f>
        <v>54.792579774290807</v>
      </c>
      <c r="N247" s="332">
        <f>Gasto_o_ing_per_capita!N247*100/Gasto_o_ing_per_capita!$D247</f>
        <v>55.844630975476441</v>
      </c>
      <c r="O247" s="332">
        <f>Gasto_o_ing_per_capita!O247*100/Gasto_o_ing_per_capita!$D247</f>
        <v>32.900913400533774</v>
      </c>
      <c r="P247" s="332">
        <f>Gasto_o_ing_per_capita!P247*100/Gasto_o_ing_per_capita!$D247</f>
        <v>133.04979388856609</v>
      </c>
      <c r="Q247" s="332">
        <f>Gasto_o_ing_per_capita!Q247*100/Gasto_o_ing_per_capita!$D247</f>
        <v>37.010847651201296</v>
      </c>
      <c r="R247" s="332">
        <f>Gasto_o_ing_per_capita!R247*100/Gasto_o_ing_per_capita!$D247</f>
        <v>34.559879519791068</v>
      </c>
      <c r="S247" s="332">
        <f>Gasto_o_ing_per_capita!S247*100/Gasto_o_ing_per_capita!$D247</f>
        <v>111.68873017259804</v>
      </c>
      <c r="T247" s="332">
        <f>Gasto_o_ing_per_capita!T247*100/Gasto_o_ing_per_capita!$D247</f>
        <v>105.2219697462164</v>
      </c>
      <c r="U247" s="332">
        <f>Gasto_o_ing_per_capita!U247*100/Gasto_o_ing_per_capita!$D247</f>
        <v>333.24602151397835</v>
      </c>
      <c r="V247" s="332">
        <f>Gasto_o_ing_per_capita!V247*100/Gasto_o_ing_per_capita!$D247</f>
        <v>35.926338409012146</v>
      </c>
    </row>
    <row r="248" spans="1:22" s="102" customFormat="1">
      <c r="A248" s="351" t="str">
        <f>IF(B248="","",(IF(ISERROR(MATCH(B248,Tot_res!C:C,0)),"Eliminar!!!","")))</f>
        <v/>
      </c>
      <c r="B248" s="115" t="s">
        <v>255</v>
      </c>
      <c r="C248" s="329" t="str">
        <f>VLOOKUP(B248,Tot_res!C:D,2,FALSE)</f>
        <v>Conservación y explotación de carreteras + AF07</v>
      </c>
      <c r="D248" s="332">
        <f>Gasto_o_ing_per_capita!D248*100/Gasto_o_ing_per_capita!$D248</f>
        <v>100</v>
      </c>
      <c r="E248" s="332">
        <f>Gasto_o_ing_per_capita!E248*100/Gasto_o_ing_per_capita!$D248</f>
        <v>63.024750352617147</v>
      </c>
      <c r="F248" s="332">
        <f>Gasto_o_ing_per_capita!F248*100/Gasto_o_ing_per_capita!$D248</f>
        <v>314.69670801031117</v>
      </c>
      <c r="G248" s="332">
        <f>Gasto_o_ing_per_capita!G248*100/Gasto_o_ing_per_capita!$D248</f>
        <v>119.37001738703007</v>
      </c>
      <c r="H248" s="332">
        <f>Gasto_o_ing_per_capita!H248*100/Gasto_o_ing_per_capita!$D248</f>
        <v>6.7653686656608309</v>
      </c>
      <c r="I248" s="332">
        <f>Gasto_o_ing_per_capita!I248*100/Gasto_o_ing_per_capita!$D248</f>
        <v>7.6533356704348208</v>
      </c>
      <c r="J248" s="332">
        <f>Gasto_o_ing_per_capita!J248*100/Gasto_o_ing_per_capita!$D248</f>
        <v>230.54507789743076</v>
      </c>
      <c r="K248" s="332">
        <f>Gasto_o_ing_per_capita!K248*100/Gasto_o_ing_per_capita!$D248</f>
        <v>289.12986255660905</v>
      </c>
      <c r="L248" s="332">
        <f>Gasto_o_ing_per_capita!L248*100/Gasto_o_ing_per_capita!$D248</f>
        <v>303.85215467683082</v>
      </c>
      <c r="M248" s="332">
        <f>Gasto_o_ing_per_capita!M248*100/Gasto_o_ing_per_capita!$D248</f>
        <v>46.528382957819787</v>
      </c>
      <c r="N248" s="332">
        <f>Gasto_o_ing_per_capita!N248*100/Gasto_o_ing_per_capita!$D248</f>
        <v>66.818563207366083</v>
      </c>
      <c r="O248" s="332">
        <f>Gasto_o_ing_per_capita!O248*100/Gasto_o_ing_per_capita!$D248</f>
        <v>109.03859511661435</v>
      </c>
      <c r="P248" s="332">
        <f>Gasto_o_ing_per_capita!P248*100/Gasto_o_ing_per_capita!$D248</f>
        <v>103.71687077481657</v>
      </c>
      <c r="Q248" s="332">
        <f>Gasto_o_ing_per_capita!Q248*100/Gasto_o_ing_per_capita!$D248</f>
        <v>76.889498010173995</v>
      </c>
      <c r="R248" s="332">
        <f>Gasto_o_ing_per_capita!R248*100/Gasto_o_ing_per_capita!$D248</f>
        <v>99.165740228800445</v>
      </c>
      <c r="S248" s="332">
        <f>Gasto_o_ing_per_capita!S248*100/Gasto_o_ing_per_capita!$D248</f>
        <v>117.83235993658076</v>
      </c>
      <c r="T248" s="332">
        <f>Gasto_o_ing_per_capita!T248*100/Gasto_o_ing_per_capita!$D248</f>
        <v>111.35489193800353</v>
      </c>
      <c r="U248" s="332">
        <f>Gasto_o_ing_per_capita!U248*100/Gasto_o_ing_per_capita!$D248</f>
        <v>121.21634599971316</v>
      </c>
      <c r="V248" s="332">
        <f>Gasto_o_ing_per_capita!V248*100/Gasto_o_ing_per_capita!$D248</f>
        <v>40.645297196380696</v>
      </c>
    </row>
    <row r="249" spans="1:22" s="102" customFormat="1">
      <c r="A249" s="351" t="str">
        <f>IF(B249="","",(IF(ISERROR(MATCH(B249,Tot_res!C:C,0)),"Eliminar!!!","")))</f>
        <v/>
      </c>
      <c r="B249" s="115" t="s">
        <v>257</v>
      </c>
      <c r="C249" s="329" t="str">
        <f>VLOOKUP(B249,Tot_res!C:D,2,FALSE)</f>
        <v>Ordenac. e inspección del transporte terrestre</v>
      </c>
      <c r="D249" s="332">
        <f>Gasto_o_ing_per_capita!D249*100/Gasto_o_ing_per_capita!$D249</f>
        <v>100</v>
      </c>
      <c r="E249" s="332">
        <f>Gasto_o_ing_per_capita!E249*100/Gasto_o_ing_per_capita!$D249</f>
        <v>72.486816304067887</v>
      </c>
      <c r="F249" s="332">
        <f>Gasto_o_ing_per_capita!F249*100/Gasto_o_ing_per_capita!$D249</f>
        <v>134.47306962466774</v>
      </c>
      <c r="G249" s="332">
        <f>Gasto_o_ing_per_capita!G249*100/Gasto_o_ing_per_capita!$D249</f>
        <v>130.49276576098092</v>
      </c>
      <c r="H249" s="332">
        <f>Gasto_o_ing_per_capita!H249*100/Gasto_o_ing_per_capita!$D249</f>
        <v>27.631613528658281</v>
      </c>
      <c r="I249" s="332">
        <f>Gasto_o_ing_per_capita!I249*100/Gasto_o_ing_per_capita!$D249</f>
        <v>33.955089135662575</v>
      </c>
      <c r="J249" s="332">
        <f>Gasto_o_ing_per_capita!J249*100/Gasto_o_ing_per_capita!$D249</f>
        <v>135.94943567073543</v>
      </c>
      <c r="K249" s="332">
        <f>Gasto_o_ing_per_capita!K249*100/Gasto_o_ing_per_capita!$D249</f>
        <v>97.205202100114533</v>
      </c>
      <c r="L249" s="332">
        <f>Gasto_o_ing_per_capita!L249*100/Gasto_o_ing_per_capita!$D249</f>
        <v>144.46111862711155</v>
      </c>
      <c r="M249" s="332">
        <f>Gasto_o_ing_per_capita!M249*100/Gasto_o_ing_per_capita!$D249</f>
        <v>140.27358547339313</v>
      </c>
      <c r="N249" s="332">
        <f>Gasto_o_ing_per_capita!N249*100/Gasto_o_ing_per_capita!$D249</f>
        <v>77.965296652600344</v>
      </c>
      <c r="O249" s="332">
        <f>Gasto_o_ing_per_capita!O249*100/Gasto_o_ing_per_capita!$D249</f>
        <v>97.28658491884687</v>
      </c>
      <c r="P249" s="332">
        <f>Gasto_o_ing_per_capita!P249*100/Gasto_o_ing_per_capita!$D249</f>
        <v>88.431410549052302</v>
      </c>
      <c r="Q249" s="332">
        <f>Gasto_o_ing_per_capita!Q249*100/Gasto_o_ing_per_capita!$D249</f>
        <v>105.40299649739607</v>
      </c>
      <c r="R249" s="332">
        <f>Gasto_o_ing_per_capita!R249*100/Gasto_o_ing_per_capita!$D249</f>
        <v>81.047187868760162</v>
      </c>
      <c r="S249" s="332">
        <f>Gasto_o_ing_per_capita!S249*100/Gasto_o_ing_per_capita!$D249</f>
        <v>164.62567786470078</v>
      </c>
      <c r="T249" s="332">
        <f>Gasto_o_ing_per_capita!T249*100/Gasto_o_ing_per_capita!$D249</f>
        <v>131.84884868657164</v>
      </c>
      <c r="U249" s="332">
        <f>Gasto_o_ing_per_capita!U249*100/Gasto_o_ing_per_capita!$D249</f>
        <v>104.13565024916208</v>
      </c>
      <c r="V249" s="332">
        <f>Gasto_o_ing_per_capita!V249*100/Gasto_o_ing_per_capita!$D249</f>
        <v>32.82284295200914</v>
      </c>
    </row>
    <row r="250" spans="1:22" s="102" customFormat="1">
      <c r="A250" s="351" t="str">
        <f>IF(B250="","",(IF(ISERROR(MATCH(B250,Tot_res!C:C,0)),"Eliminar!!!","")))</f>
        <v/>
      </c>
      <c r="B250" s="115" t="s">
        <v>258</v>
      </c>
      <c r="C250" s="329" t="str">
        <f>VLOOKUP(B250,Tot_res!C:D,2,FALSE)</f>
        <v>Seguridad tráfico marítimo y vigilancia costera</v>
      </c>
      <c r="D250" s="332">
        <f>Gasto_o_ing_per_capita!D250*100/Gasto_o_ing_per_capita!$D250</f>
        <v>100</v>
      </c>
      <c r="E250" s="332">
        <f>Gasto_o_ing_per_capita!E250*100/Gasto_o_ing_per_capita!$D250</f>
        <v>66.948802721779558</v>
      </c>
      <c r="F250" s="332">
        <f>Gasto_o_ing_per_capita!F250*100/Gasto_o_ing_per_capita!$D250</f>
        <v>161.53655828418715</v>
      </c>
      <c r="G250" s="332">
        <f>Gasto_o_ing_per_capita!G250*100/Gasto_o_ing_per_capita!$D250</f>
        <v>84.640000111453958</v>
      </c>
      <c r="H250" s="332">
        <f>Gasto_o_ing_per_capita!H250*100/Gasto_o_ing_per_capita!$D250</f>
        <v>77.268369046611724</v>
      </c>
      <c r="I250" s="332">
        <f>Gasto_o_ing_per_capita!I250*100/Gasto_o_ing_per_capita!$D250</f>
        <v>119.03320628765364</v>
      </c>
      <c r="J250" s="332">
        <f>Gasto_o_ing_per_capita!J250*100/Gasto_o_ing_per_capita!$D250</f>
        <v>118.05286714213818</v>
      </c>
      <c r="K250" s="332">
        <f>Gasto_o_ing_per_capita!K250*100/Gasto_o_ing_per_capita!$D250</f>
        <v>112.02920941044952</v>
      </c>
      <c r="L250" s="332">
        <f>Gasto_o_ing_per_capita!L250*100/Gasto_o_ing_per_capita!$D250</f>
        <v>91.166785736968023</v>
      </c>
      <c r="M250" s="332">
        <f>Gasto_o_ing_per_capita!M250*100/Gasto_o_ing_per_capita!$D250</f>
        <v>118.96612726898573</v>
      </c>
      <c r="N250" s="332">
        <f>Gasto_o_ing_per_capita!N250*100/Gasto_o_ing_per_capita!$D250</f>
        <v>88.937497789171459</v>
      </c>
      <c r="O250" s="332">
        <f>Gasto_o_ing_per_capita!O250*100/Gasto_o_ing_per_capita!$D250</f>
        <v>58.50695122555819</v>
      </c>
      <c r="P250" s="332">
        <f>Gasto_o_ing_per_capita!P250*100/Gasto_o_ing_per_capita!$D250</f>
        <v>92.322211684909405</v>
      </c>
      <c r="Q250" s="332">
        <f>Gasto_o_ing_per_capita!Q250*100/Gasto_o_ing_per_capita!$D250</f>
        <v>95.900899271332264</v>
      </c>
      <c r="R250" s="332">
        <f>Gasto_o_ing_per_capita!R250*100/Gasto_o_ing_per_capita!$D250</f>
        <v>121.82295245485618</v>
      </c>
      <c r="S250" s="332">
        <f>Gasto_o_ing_per_capita!S250*100/Gasto_o_ing_per_capita!$D250</f>
        <v>171.31028796091945</v>
      </c>
      <c r="T250" s="332">
        <f>Gasto_o_ing_per_capita!T250*100/Gasto_o_ing_per_capita!$D250</f>
        <v>136.85916251124175</v>
      </c>
      <c r="U250" s="332">
        <f>Gasto_o_ing_per_capita!U250*100/Gasto_o_ing_per_capita!$D250</f>
        <v>135.25422120636986</v>
      </c>
      <c r="V250" s="332">
        <f>Gasto_o_ing_per_capita!V250*100/Gasto_o_ing_per_capita!$D250</f>
        <v>167.88373420393231</v>
      </c>
    </row>
    <row r="251" spans="1:22" s="102" customFormat="1">
      <c r="A251" s="351" t="str">
        <f>IF(B251="","",(IF(ISERROR(MATCH(B251,Tot_res!C:C,0)),"Eliminar!!!","")))</f>
        <v/>
      </c>
      <c r="B251" s="115" t="s">
        <v>259</v>
      </c>
      <c r="C251" s="329" t="str">
        <f>VLOOKUP(B251,Tot_res!C:D,2,FALSE)</f>
        <v>Regulación y supervisción de la aviación civil</v>
      </c>
      <c r="D251" s="332">
        <f>Gasto_o_ing_per_capita!D251*100/Gasto_o_ing_per_capita!$D251</f>
        <v>100</v>
      </c>
      <c r="E251" s="332">
        <f>Gasto_o_ing_per_capita!E251*100/Gasto_o_ing_per_capita!$D251</f>
        <v>87.36845464206236</v>
      </c>
      <c r="F251" s="332">
        <f>Gasto_o_ing_per_capita!F251*100/Gasto_o_ing_per_capita!$D251</f>
        <v>94.782636160735663</v>
      </c>
      <c r="G251" s="332">
        <f>Gasto_o_ing_per_capita!G251*100/Gasto_o_ing_per_capita!$D251</f>
        <v>95.905459018508168</v>
      </c>
      <c r="H251" s="332">
        <f>Gasto_o_ing_per_capita!H251*100/Gasto_o_ing_per_capita!$D251</f>
        <v>151.83675714520467</v>
      </c>
      <c r="I251" s="332">
        <f>Gasto_o_ing_per_capita!I251*100/Gasto_o_ing_per_capita!$D251</f>
        <v>134.73222896219713</v>
      </c>
      <c r="J251" s="332">
        <f>Gasto_o_ing_per_capita!J251*100/Gasto_o_ing_per_capita!$D251</f>
        <v>98.880826250571431</v>
      </c>
      <c r="K251" s="332">
        <f>Gasto_o_ing_per_capita!K251*100/Gasto_o_ing_per_capita!$D251</f>
        <v>84.147360698366683</v>
      </c>
      <c r="L251" s="332">
        <f>Gasto_o_ing_per_capita!L251*100/Gasto_o_ing_per_capita!$D251</f>
        <v>95.573125851926164</v>
      </c>
      <c r="M251" s="332">
        <f>Gasto_o_ing_per_capita!M251*100/Gasto_o_ing_per_capita!$D251</f>
        <v>106.5258365790618</v>
      </c>
      <c r="N251" s="332">
        <f>Gasto_o_ing_per_capita!N251*100/Gasto_o_ing_per_capita!$D251</f>
        <v>92.541292430097855</v>
      </c>
      <c r="O251" s="332">
        <f>Gasto_o_ing_per_capita!O251*100/Gasto_o_ing_per_capita!$D251</f>
        <v>83.269779411142522</v>
      </c>
      <c r="P251" s="332">
        <f>Gasto_o_ing_per_capita!P251*100/Gasto_o_ing_per_capita!$D251</f>
        <v>93.19086155004095</v>
      </c>
      <c r="Q251" s="332">
        <f>Gasto_o_ing_per_capita!Q251*100/Gasto_o_ing_per_capita!$D251</f>
        <v>110.44204815870546</v>
      </c>
      <c r="R251" s="332">
        <f>Gasto_o_ing_per_capita!R251*100/Gasto_o_ing_per_capita!$D251</f>
        <v>90.061566585870821</v>
      </c>
      <c r="S251" s="332">
        <f>Gasto_o_ing_per_capita!S251*100/Gasto_o_ing_per_capita!$D251</f>
        <v>100.40737208206414</v>
      </c>
      <c r="T251" s="332">
        <f>Gasto_o_ing_per_capita!T251*100/Gasto_o_ing_per_capita!$D251</f>
        <v>104.80102890264916</v>
      </c>
      <c r="U251" s="332">
        <f>Gasto_o_ing_per_capita!U251*100/Gasto_o_ing_per_capita!$D251</f>
        <v>90.586945827158601</v>
      </c>
      <c r="V251" s="332">
        <f>Gasto_o_ing_per_capita!V251*100/Gasto_o_ing_per_capita!$D251</f>
        <v>105.7345575006302</v>
      </c>
    </row>
    <row r="252" spans="1:22" s="102" customFormat="1">
      <c r="A252" s="351" t="str">
        <f>IF(B252="","",(IF(ISERROR(MATCH(B252,Tot_res!C:C,0)),"Eliminar!!!","")))</f>
        <v/>
      </c>
      <c r="B252" s="115" t="s">
        <v>260</v>
      </c>
      <c r="C252" s="329" t="str">
        <f>VLOOKUP(B252,Tot_res!C:D,2,FALSE)</f>
        <v>Calidad del agua</v>
      </c>
      <c r="D252" s="332">
        <f>Gasto_o_ing_per_capita!D252*100/Gasto_o_ing_per_capita!$D252</f>
        <v>100</v>
      </c>
      <c r="E252" s="332">
        <f>Gasto_o_ing_per_capita!E252*100/Gasto_o_ing_per_capita!$D252</f>
        <v>75.210338339605556</v>
      </c>
      <c r="F252" s="332">
        <f>Gasto_o_ing_per_capita!F252*100/Gasto_o_ing_per_capita!$D252</f>
        <v>783.65918875680916</v>
      </c>
      <c r="G252" s="332">
        <f>Gasto_o_ing_per_capita!G252*100/Gasto_o_ing_per_capita!$D252</f>
        <v>718.44752134466523</v>
      </c>
      <c r="H252" s="332">
        <f>Gasto_o_ing_per_capita!H252*100/Gasto_o_ing_per_capita!$D252</f>
        <v>0.44586966868839167</v>
      </c>
      <c r="I252" s="332">
        <f>Gasto_o_ing_per_capita!I252*100/Gasto_o_ing_per_capita!$D252</f>
        <v>24.047033974990335</v>
      </c>
      <c r="J252" s="332">
        <f>Gasto_o_ing_per_capita!J252*100/Gasto_o_ing_per_capita!$D252</f>
        <v>113.15338492217018</v>
      </c>
      <c r="K252" s="332">
        <f>Gasto_o_ing_per_capita!K252*100/Gasto_o_ing_per_capita!$D252</f>
        <v>11.284721782725981</v>
      </c>
      <c r="L252" s="332">
        <f>Gasto_o_ing_per_capita!L252*100/Gasto_o_ing_per_capita!$D252</f>
        <v>4.9232307642933177</v>
      </c>
      <c r="M252" s="332">
        <f>Gasto_o_ing_per_capita!M252*100/Gasto_o_ing_per_capita!$D252</f>
        <v>1.2376845564280845</v>
      </c>
      <c r="N252" s="332">
        <f>Gasto_o_ing_per_capita!N252*100/Gasto_o_ing_per_capita!$D252</f>
        <v>2.1153625810206362</v>
      </c>
      <c r="O252" s="332">
        <f>Gasto_o_ing_per_capita!O252*100/Gasto_o_ing_per_capita!$D252</f>
        <v>854.86439496110142</v>
      </c>
      <c r="P252" s="332">
        <f>Gasto_o_ing_per_capita!P252*100/Gasto_o_ing_per_capita!$D252</f>
        <v>125.68436834994657</v>
      </c>
      <c r="Q252" s="332">
        <f>Gasto_o_ing_per_capita!Q252*100/Gasto_o_ing_per_capita!$D252</f>
        <v>1.4446430302387252</v>
      </c>
      <c r="R252" s="332">
        <f>Gasto_o_ing_per_capita!R252*100/Gasto_o_ing_per_capita!$D252</f>
        <v>1.6101687530330948</v>
      </c>
      <c r="S252" s="332">
        <f>Gasto_o_ing_per_capita!S252*100/Gasto_o_ing_per_capita!$D252</f>
        <v>10.35169041959943</v>
      </c>
      <c r="T252" s="332">
        <f>Gasto_o_ing_per_capita!T252*100/Gasto_o_ing_per_capita!$D252</f>
        <v>280.74392283528209</v>
      </c>
      <c r="U252" s="332">
        <f>Gasto_o_ing_per_capita!U252*100/Gasto_o_ing_per_capita!$D252</f>
        <v>12.433491310448266</v>
      </c>
      <c r="V252" s="332">
        <f>Gasto_o_ing_per_capita!V252*100/Gasto_o_ing_per_capita!$D252</f>
        <v>879.52083400339677</v>
      </c>
    </row>
    <row r="253" spans="1:22" s="102" customFormat="1">
      <c r="A253" s="351" t="str">
        <f>IF(B253="","",(IF(ISERROR(MATCH(B253,Tot_res!C:C,0)),"Eliminar!!!","")))</f>
        <v/>
      </c>
      <c r="B253" s="115" t="s">
        <v>262</v>
      </c>
      <c r="C253" s="329" t="str">
        <f>VLOOKUP(B253,Tot_res!C:D,2,FALSE)</f>
        <v>Protección y mejora del medio ambiente</v>
      </c>
      <c r="D253" s="332">
        <f>Gasto_o_ing_per_capita!D253*100/Gasto_o_ing_per_capita!$D253</f>
        <v>100</v>
      </c>
      <c r="E253" s="332">
        <f>Gasto_o_ing_per_capita!E253*100/Gasto_o_ing_per_capita!$D253</f>
        <v>98.572589159726249</v>
      </c>
      <c r="F253" s="332">
        <f>Gasto_o_ing_per_capita!F253*100/Gasto_o_ing_per_capita!$D253</f>
        <v>94.928442280758333</v>
      </c>
      <c r="G253" s="332">
        <f>Gasto_o_ing_per_capita!G253*100/Gasto_o_ing_per_capita!$D253</f>
        <v>94.928442280758333</v>
      </c>
      <c r="H253" s="332">
        <f>Gasto_o_ing_per_capita!H253*100/Gasto_o_ing_per_capita!$D253</f>
        <v>94.928442280758333</v>
      </c>
      <c r="I253" s="332">
        <f>Gasto_o_ing_per_capita!I253*100/Gasto_o_ing_per_capita!$D253</f>
        <v>94.928442280758333</v>
      </c>
      <c r="J253" s="332">
        <f>Gasto_o_ing_per_capita!J253*100/Gasto_o_ing_per_capita!$D253</f>
        <v>115.67153329598273</v>
      </c>
      <c r="K253" s="332">
        <f>Gasto_o_ing_per_capita!K253*100/Gasto_o_ing_per_capita!$D253</f>
        <v>94.928442280758333</v>
      </c>
      <c r="L253" s="332">
        <f>Gasto_o_ing_per_capita!L253*100/Gasto_o_ing_per_capita!$D253</f>
        <v>94.928442280758333</v>
      </c>
      <c r="M253" s="332">
        <f>Gasto_o_ing_per_capita!M253*100/Gasto_o_ing_per_capita!$D253</f>
        <v>96.487355083691725</v>
      </c>
      <c r="N253" s="332">
        <f>Gasto_o_ing_per_capita!N253*100/Gasto_o_ing_per_capita!$D253</f>
        <v>94.928442280758304</v>
      </c>
      <c r="O253" s="332">
        <f>Gasto_o_ing_per_capita!O253*100/Gasto_o_ing_per_capita!$D253</f>
        <v>94.928442280758333</v>
      </c>
      <c r="P253" s="332">
        <f>Gasto_o_ing_per_capita!P253*100/Gasto_o_ing_per_capita!$D253</f>
        <v>94.928442280758304</v>
      </c>
      <c r="Q253" s="332">
        <f>Gasto_o_ing_per_capita!Q253*100/Gasto_o_ing_per_capita!$D253</f>
        <v>122.2178731481881</v>
      </c>
      <c r="R253" s="332">
        <f>Gasto_o_ing_per_capita!R253*100/Gasto_o_ing_per_capita!$D253</f>
        <v>94.928442280758333</v>
      </c>
      <c r="S253" s="332">
        <f>Gasto_o_ing_per_capita!S253*100/Gasto_o_ing_per_capita!$D253</f>
        <v>94.928442280758304</v>
      </c>
      <c r="T253" s="332">
        <f>Gasto_o_ing_per_capita!T253*100/Gasto_o_ing_per_capita!$D253</f>
        <v>97.865809740689528</v>
      </c>
      <c r="U253" s="332">
        <f>Gasto_o_ing_per_capita!U253*100/Gasto_o_ing_per_capita!$D253</f>
        <v>94.928442280758333</v>
      </c>
      <c r="V253" s="332">
        <f>Gasto_o_ing_per_capita!V253*100/Gasto_o_ing_per_capita!$D253</f>
        <v>94.928442280758333</v>
      </c>
    </row>
    <row r="254" spans="1:22" s="102" customFormat="1">
      <c r="A254" s="351" t="str">
        <f>IF(B254="","",(IF(ISERROR(MATCH(B254,Tot_res!C:C,0)),"Eliminar!!!","")))</f>
        <v/>
      </c>
      <c r="B254" s="115" t="s">
        <v>264</v>
      </c>
      <c r="C254" s="329" t="str">
        <f>VLOOKUP(B254,Tot_res!C:D,2,FALSE)</f>
        <v>Protección y mejora del medio natural + AF09</v>
      </c>
      <c r="D254" s="332">
        <f>Gasto_o_ing_per_capita!D254*100/Gasto_o_ing_per_capita!$D254</f>
        <v>100</v>
      </c>
      <c r="E254" s="332">
        <f>Gasto_o_ing_per_capita!E254*100/Gasto_o_ing_per_capita!$D254</f>
        <v>66.337286929252997</v>
      </c>
      <c r="F254" s="332">
        <f>Gasto_o_ing_per_capita!F254*100/Gasto_o_ing_per_capita!$D254</f>
        <v>133.15804459154398</v>
      </c>
      <c r="G254" s="332">
        <f>Gasto_o_ing_per_capita!G254*100/Gasto_o_ing_per_capita!$D254</f>
        <v>167.35515778287171</v>
      </c>
      <c r="H254" s="332">
        <f>Gasto_o_ing_per_capita!H254*100/Gasto_o_ing_per_capita!$D254</f>
        <v>51.040622714346306</v>
      </c>
      <c r="I254" s="332">
        <f>Gasto_o_ing_per_capita!I254*100/Gasto_o_ing_per_capita!$D254</f>
        <v>124.81147744002361</v>
      </c>
      <c r="J254" s="332">
        <f>Gasto_o_ing_per_capita!J254*100/Gasto_o_ing_per_capita!$D254</f>
        <v>59.55546845330722</v>
      </c>
      <c r="K254" s="332">
        <f>Gasto_o_ing_per_capita!K254*100/Gasto_o_ing_per_capita!$D254</f>
        <v>357.04254434228318</v>
      </c>
      <c r="L254" s="332">
        <f>Gasto_o_ing_per_capita!L254*100/Gasto_o_ing_per_capita!$D254</f>
        <v>377.75399065984112</v>
      </c>
      <c r="M254" s="332">
        <f>Gasto_o_ing_per_capita!M254*100/Gasto_o_ing_per_capita!$D254</f>
        <v>39.994819897312134</v>
      </c>
      <c r="N254" s="332">
        <f>Gasto_o_ing_per_capita!N254*100/Gasto_o_ing_per_capita!$D254</f>
        <v>48.391913348380164</v>
      </c>
      <c r="O254" s="332">
        <f>Gasto_o_ing_per_capita!O254*100/Gasto_o_ing_per_capita!$D254</f>
        <v>295.5827151798955</v>
      </c>
      <c r="P254" s="332">
        <f>Gasto_o_ing_per_capita!P254*100/Gasto_o_ing_per_capita!$D254</f>
        <v>95.844118424549038</v>
      </c>
      <c r="Q254" s="332">
        <f>Gasto_o_ing_per_capita!Q254*100/Gasto_o_ing_per_capita!$D254</f>
        <v>39.852350136095595</v>
      </c>
      <c r="R254" s="332">
        <f>Gasto_o_ing_per_capita!R254*100/Gasto_o_ing_per_capita!$D254</f>
        <v>56.355001084620547</v>
      </c>
      <c r="S254" s="332">
        <f>Gasto_o_ing_per_capita!S254*100/Gasto_o_ing_per_capita!$D254</f>
        <v>78.391425189588034</v>
      </c>
      <c r="T254" s="332">
        <f>Gasto_o_ing_per_capita!T254*100/Gasto_o_ing_per_capita!$D254</f>
        <v>79.155555199835703</v>
      </c>
      <c r="U254" s="332">
        <f>Gasto_o_ing_per_capita!U254*100/Gasto_o_ing_per_capita!$D254</f>
        <v>128.69216655809373</v>
      </c>
      <c r="V254" s="332">
        <f>Gasto_o_ing_per_capita!V254*100/Gasto_o_ing_per_capita!$D254</f>
        <v>29.240108181834259</v>
      </c>
    </row>
    <row r="255" spans="1:22" s="102" customFormat="1">
      <c r="A255" s="351" t="str">
        <f>IF(B255="","",(IF(ISERROR(MATCH(B255,Tot_res!C:C,0)),"Eliminar!!!","")))</f>
        <v/>
      </c>
      <c r="B255" s="115" t="s">
        <v>266</v>
      </c>
      <c r="C255" s="329" t="str">
        <f>VLOOKUP(B255,Tot_res!C:D,2,FALSE)</f>
        <v>Actuación en la costa</v>
      </c>
      <c r="D255" s="332">
        <f>Gasto_o_ing_per_capita!D255*100/Gasto_o_ing_per_capita!$D255</f>
        <v>100</v>
      </c>
      <c r="E255" s="332">
        <f>Gasto_o_ing_per_capita!E255*100/Gasto_o_ing_per_capita!$D255</f>
        <v>67.734026484489121</v>
      </c>
      <c r="F255" s="332">
        <f>Gasto_o_ing_per_capita!F255*100/Gasto_o_ing_per_capita!$D255</f>
        <v>26.454450188260022</v>
      </c>
      <c r="G255" s="332">
        <f>Gasto_o_ing_per_capita!G255*100/Gasto_o_ing_per_capita!$D255</f>
        <v>219.27060572621701</v>
      </c>
      <c r="H255" s="332">
        <f>Gasto_o_ing_per_capita!H255*100/Gasto_o_ing_per_capita!$D255</f>
        <v>148.15590230681718</v>
      </c>
      <c r="I255" s="332">
        <f>Gasto_o_ing_per_capita!I255*100/Gasto_o_ing_per_capita!$D255</f>
        <v>208.54923240287246</v>
      </c>
      <c r="J255" s="332">
        <f>Gasto_o_ing_per_capita!J255*100/Gasto_o_ing_per_capita!$D255</f>
        <v>480.61582170106016</v>
      </c>
      <c r="K255" s="332">
        <f>Gasto_o_ing_per_capita!K255*100/Gasto_o_ing_per_capita!$D255</f>
        <v>24.269733639711774</v>
      </c>
      <c r="L255" s="332">
        <f>Gasto_o_ing_per_capita!L255*100/Gasto_o_ing_per_capita!$D255</f>
        <v>22.220253982203346</v>
      </c>
      <c r="M255" s="332">
        <f>Gasto_o_ing_per_capita!M255*100/Gasto_o_ing_per_capita!$D255</f>
        <v>49.7593960728761</v>
      </c>
      <c r="N255" s="332">
        <f>Gasto_o_ing_per_capita!N255*100/Gasto_o_ing_per_capita!$D255</f>
        <v>87.493792066752803</v>
      </c>
      <c r="O255" s="332">
        <f>Gasto_o_ing_per_capita!O255*100/Gasto_o_ing_per_capita!$D255</f>
        <v>21.056616370927919</v>
      </c>
      <c r="P255" s="332">
        <f>Gasto_o_ing_per_capita!P255*100/Gasto_o_ing_per_capita!$D255</f>
        <v>196.0799009626318</v>
      </c>
      <c r="Q255" s="332">
        <f>Gasto_o_ing_per_capita!Q255*100/Gasto_o_ing_per_capita!$D255</f>
        <v>29.574733119957099</v>
      </c>
      <c r="R255" s="332">
        <f>Gasto_o_ing_per_capita!R255*100/Gasto_o_ing_per_capita!$D255</f>
        <v>81.005602856265483</v>
      </c>
      <c r="S255" s="332">
        <f>Gasto_o_ing_per_capita!S255*100/Gasto_o_ing_per_capita!$D255</f>
        <v>28.181669316671069</v>
      </c>
      <c r="T255" s="332">
        <f>Gasto_o_ing_per_capita!T255*100/Gasto_o_ing_per_capita!$D255</f>
        <v>515.77808955410467</v>
      </c>
      <c r="U255" s="332">
        <f>Gasto_o_ing_per_capita!U255*100/Gasto_o_ing_per_capita!$D255</f>
        <v>26.025228253364467</v>
      </c>
      <c r="V255" s="332">
        <f>Gasto_o_ing_per_capita!V255*100/Gasto_o_ing_per_capita!$D255</f>
        <v>45.577603678927979</v>
      </c>
    </row>
    <row r="256" spans="1:22" s="102" customFormat="1">
      <c r="A256" s="351" t="str">
        <f>IF(B256="","",(IF(ISERROR(MATCH(B256,Tot_res!C:C,0)),"Eliminar!!!","")))</f>
        <v/>
      </c>
      <c r="B256" s="115" t="s">
        <v>268</v>
      </c>
      <c r="C256" s="329" t="str">
        <f>VLOOKUP(B256,Tot_res!C:D,2,FALSE)</f>
        <v>Actuac. prevención contaminac. y cambio climático</v>
      </c>
      <c r="D256" s="332">
        <f>Gasto_o_ing_per_capita!D256*100/Gasto_o_ing_per_capita!$D256</f>
        <v>100</v>
      </c>
      <c r="E256" s="332">
        <f>Gasto_o_ing_per_capita!E256*100/Gasto_o_ing_per_capita!$D256</f>
        <v>99.999999999999972</v>
      </c>
      <c r="F256" s="332">
        <f>Gasto_o_ing_per_capita!F256*100/Gasto_o_ing_per_capita!$D256</f>
        <v>99.999999999999972</v>
      </c>
      <c r="G256" s="332">
        <f>Gasto_o_ing_per_capita!G256*100/Gasto_o_ing_per_capita!$D256</f>
        <v>99.999999999999972</v>
      </c>
      <c r="H256" s="332">
        <f>Gasto_o_ing_per_capita!H256*100/Gasto_o_ing_per_capita!$D256</f>
        <v>99.999999999999972</v>
      </c>
      <c r="I256" s="332">
        <f>Gasto_o_ing_per_capita!I256*100/Gasto_o_ing_per_capita!$D256</f>
        <v>99.999999999999972</v>
      </c>
      <c r="J256" s="332">
        <f>Gasto_o_ing_per_capita!J256*100/Gasto_o_ing_per_capita!$D256</f>
        <v>99.999999999999972</v>
      </c>
      <c r="K256" s="332">
        <f>Gasto_o_ing_per_capita!K256*100/Gasto_o_ing_per_capita!$D256</f>
        <v>99.999999999999972</v>
      </c>
      <c r="L256" s="332">
        <f>Gasto_o_ing_per_capita!L256*100/Gasto_o_ing_per_capita!$D256</f>
        <v>100</v>
      </c>
      <c r="M256" s="332">
        <f>Gasto_o_ing_per_capita!M256*100/Gasto_o_ing_per_capita!$D256</f>
        <v>99.999999999999972</v>
      </c>
      <c r="N256" s="332">
        <f>Gasto_o_ing_per_capita!N256*100/Gasto_o_ing_per_capita!$D256</f>
        <v>99.999999999999972</v>
      </c>
      <c r="O256" s="332">
        <f>Gasto_o_ing_per_capita!O256*100/Gasto_o_ing_per_capita!$D256</f>
        <v>99.999999999999972</v>
      </c>
      <c r="P256" s="332">
        <f>Gasto_o_ing_per_capita!P256*100/Gasto_o_ing_per_capita!$D256</f>
        <v>99.999999999999972</v>
      </c>
      <c r="Q256" s="332">
        <f>Gasto_o_ing_per_capita!Q256*100/Gasto_o_ing_per_capita!$D256</f>
        <v>100</v>
      </c>
      <c r="R256" s="332">
        <f>Gasto_o_ing_per_capita!R256*100/Gasto_o_ing_per_capita!$D256</f>
        <v>100</v>
      </c>
      <c r="S256" s="332">
        <f>Gasto_o_ing_per_capita!S256*100/Gasto_o_ing_per_capita!$D256</f>
        <v>99.999999999999972</v>
      </c>
      <c r="T256" s="332">
        <f>Gasto_o_ing_per_capita!T256*100/Gasto_o_ing_per_capita!$D256</f>
        <v>99.999999999999972</v>
      </c>
      <c r="U256" s="332">
        <f>Gasto_o_ing_per_capita!U256*100/Gasto_o_ing_per_capita!$D256</f>
        <v>100</v>
      </c>
      <c r="V256" s="332">
        <f>Gasto_o_ing_per_capita!V256*100/Gasto_o_ing_per_capita!$D256</f>
        <v>99.999999999999972</v>
      </c>
    </row>
    <row r="257" spans="1:22"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Gasto_o_ing_per_capita!D257*100/Gasto_o_ing_per_capita!$D257</f>
        <v>100</v>
      </c>
      <c r="E257" s="332">
        <f>Gasto_o_ing_per_capita!E257*100/Gasto_o_ing_per_capita!$D257</f>
        <v>84.238258219873316</v>
      </c>
      <c r="F257" s="332">
        <f>Gasto_o_ing_per_capita!F257*100/Gasto_o_ing_per_capita!$D257</f>
        <v>185.12737194942565</v>
      </c>
      <c r="G257" s="332">
        <f>Gasto_o_ing_per_capita!G257*100/Gasto_o_ing_per_capita!$D257</f>
        <v>171.07003698277978</v>
      </c>
      <c r="H257" s="332">
        <f>Gasto_o_ing_per_capita!H257*100/Gasto_o_ing_per_capita!$D257</f>
        <v>64.492557061407709</v>
      </c>
      <c r="I257" s="332">
        <f>Gasto_o_ing_per_capita!I257*100/Gasto_o_ing_per_capita!$D257</f>
        <v>52.727799715420048</v>
      </c>
      <c r="J257" s="332">
        <f>Gasto_o_ing_per_capita!J257*100/Gasto_o_ing_per_capita!$D257</f>
        <v>131.49223888511028</v>
      </c>
      <c r="K257" s="332">
        <f>Gasto_o_ing_per_capita!K257*100/Gasto_o_ing_per_capita!$D257</f>
        <v>221.89857646554219</v>
      </c>
      <c r="L257" s="332">
        <f>Gasto_o_ing_per_capita!L257*100/Gasto_o_ing_per_capita!$D257</f>
        <v>123.95976302010622</v>
      </c>
      <c r="M257" s="332">
        <f>Gasto_o_ing_per_capita!M257*100/Gasto_o_ing_per_capita!$D257</f>
        <v>68.050757901914182</v>
      </c>
      <c r="N257" s="332">
        <f>Gasto_o_ing_per_capita!N257*100/Gasto_o_ing_per_capita!$D257</f>
        <v>75.189248119270545</v>
      </c>
      <c r="O257" s="332">
        <f>Gasto_o_ing_per_capita!O257*100/Gasto_o_ing_per_capita!$D257</f>
        <v>133.18296717196645</v>
      </c>
      <c r="P257" s="332">
        <f>Gasto_o_ing_per_capita!P257*100/Gasto_o_ing_per_capita!$D257</f>
        <v>165.27564591078854</v>
      </c>
      <c r="Q257" s="332">
        <f>Gasto_o_ing_per_capita!Q257*100/Gasto_o_ing_per_capita!$D257</f>
        <v>71.050049865506992</v>
      </c>
      <c r="R257" s="332">
        <f>Gasto_o_ing_per_capita!R257*100/Gasto_o_ing_per_capita!$D257</f>
        <v>98.198233240918682</v>
      </c>
      <c r="S257" s="332">
        <f>Gasto_o_ing_per_capita!S257*100/Gasto_o_ing_per_capita!$D257</f>
        <v>124.49260848146693</v>
      </c>
      <c r="T257" s="332">
        <f>Gasto_o_ing_per_capita!T257*100/Gasto_o_ing_per_capita!$D257</f>
        <v>107.69579737001142</v>
      </c>
      <c r="U257" s="332">
        <f>Gasto_o_ing_per_capita!U257*100/Gasto_o_ing_per_capita!$D257</f>
        <v>162.15342236283217</v>
      </c>
      <c r="V257" s="332">
        <f>Gasto_o_ing_per_capita!V257*100/Gasto_o_ing_per_capita!$D257</f>
        <v>89.566642707965613</v>
      </c>
    </row>
    <row r="258" spans="1:22" s="102" customFormat="1">
      <c r="A258" s="351" t="str">
        <f>IF(B258="","",(IF(ISERROR(MATCH(B258,Tot_res!C:C,0)),"Eliminar!!!","")))</f>
        <v/>
      </c>
      <c r="B258" s="115" t="s">
        <v>270</v>
      </c>
      <c r="C258" s="329" t="str">
        <f>VLOOKUP(B258,Tot_res!C:D,2,FALSE)</f>
        <v>Servicio postal universal</v>
      </c>
      <c r="D258" s="332">
        <f>Gasto_o_ing_per_capita!D258*100/Gasto_o_ing_per_capita!$D258</f>
        <v>100</v>
      </c>
      <c r="E258" s="332">
        <f>Gasto_o_ing_per_capita!E258*100/Gasto_o_ing_per_capita!$D258</f>
        <v>56.201398976845766</v>
      </c>
      <c r="F258" s="332">
        <f>Gasto_o_ing_per_capita!F258*100/Gasto_o_ing_per_capita!$D258</f>
        <v>134.67863895720561</v>
      </c>
      <c r="G258" s="332">
        <f>Gasto_o_ing_per_capita!G258*100/Gasto_o_ing_per_capita!$D258</f>
        <v>84.618183897077529</v>
      </c>
      <c r="H258" s="332">
        <f>Gasto_o_ing_per_capita!H258*100/Gasto_o_ing_per_capita!$D258</f>
        <v>249.5534981847305</v>
      </c>
      <c r="I258" s="332">
        <f>Gasto_o_ing_per_capita!I258*100/Gasto_o_ing_per_capita!$D258</f>
        <v>498.5992092118247</v>
      </c>
      <c r="J258" s="332">
        <f>Gasto_o_ing_per_capita!J258*100/Gasto_o_ing_per_capita!$D258</f>
        <v>121.61216676261358</v>
      </c>
      <c r="K258" s="332">
        <f>Gasto_o_ing_per_capita!K258*100/Gasto_o_ing_per_capita!$D258</f>
        <v>190.98366582049746</v>
      </c>
      <c r="L258" s="332">
        <f>Gasto_o_ing_per_capita!L258*100/Gasto_o_ing_per_capita!$D258</f>
        <v>165.50345266126476</v>
      </c>
      <c r="M258" s="332">
        <f>Gasto_o_ing_per_capita!M258*100/Gasto_o_ing_per_capita!$D258</f>
        <v>56.396501516207167</v>
      </c>
      <c r="N258" s="332">
        <f>Gasto_o_ing_per_capita!N258*100/Gasto_o_ing_per_capita!$D258</f>
        <v>48.353267269451926</v>
      </c>
      <c r="O258" s="332">
        <f>Gasto_o_ing_per_capita!O258*100/Gasto_o_ing_per_capita!$D258</f>
        <v>182.46691357303109</v>
      </c>
      <c r="P258" s="332">
        <f>Gasto_o_ing_per_capita!P258*100/Gasto_o_ing_per_capita!$D258</f>
        <v>162.97711762788046</v>
      </c>
      <c r="Q258" s="332">
        <f>Gasto_o_ing_per_capita!Q258*100/Gasto_o_ing_per_capita!$D258</f>
        <v>11.929610912030132</v>
      </c>
      <c r="R258" s="332">
        <f>Gasto_o_ing_per_capita!R258*100/Gasto_o_ing_per_capita!$D258</f>
        <v>11.363101692582195</v>
      </c>
      <c r="S258" s="332">
        <f>Gasto_o_ing_per_capita!S258*100/Gasto_o_ing_per_capita!$D258</f>
        <v>168.69330415466996</v>
      </c>
      <c r="T258" s="332">
        <f>Gasto_o_ing_per_capita!T258*100/Gasto_o_ing_per_capita!$D258</f>
        <v>56.464771342507248</v>
      </c>
      <c r="U258" s="332">
        <f>Gasto_o_ing_per_capita!U258*100/Gasto_o_ing_per_capita!$D258</f>
        <v>123.48833364971979</v>
      </c>
      <c r="V258" s="332">
        <f>Gasto_o_ing_per_capita!V258*100/Gasto_o_ing_per_capita!$D258</f>
        <v>247.56125652711</v>
      </c>
    </row>
    <row r="259" spans="1:22" s="102" customFormat="1">
      <c r="A259" s="351" t="str">
        <f>IF(B259="","",(IF(ISERROR(MATCH(B259,Tot_res!C:C,0)),"Eliminar!!!","")))</f>
        <v/>
      </c>
      <c r="B259" s="115" t="s">
        <v>751</v>
      </c>
      <c r="C259" s="329" t="str">
        <f>VLOOKUP(B259,Tot_res!C:D,2,FALSE)</f>
        <v>Salvamento y lucha contra la contaminación en la mar</v>
      </c>
      <c r="D259" s="332">
        <f>Gasto_o_ing_per_capita!D259*100/Gasto_o_ing_per_capita!$D259</f>
        <v>100.00000000000001</v>
      </c>
      <c r="E259" s="332">
        <f>Gasto_o_ing_per_capita!E259*100/Gasto_o_ing_per_capita!$D259</f>
        <v>66.948802721779572</v>
      </c>
      <c r="F259" s="332">
        <f>Gasto_o_ing_per_capita!F259*100/Gasto_o_ing_per_capita!$D259</f>
        <v>161.53655828418724</v>
      </c>
      <c r="G259" s="332">
        <f>Gasto_o_ing_per_capita!G259*100/Gasto_o_ing_per_capita!$D259</f>
        <v>84.640000111454</v>
      </c>
      <c r="H259" s="332">
        <f>Gasto_o_ing_per_capita!H259*100/Gasto_o_ing_per_capita!$D259</f>
        <v>77.268369046611753</v>
      </c>
      <c r="I259" s="332">
        <f>Gasto_o_ing_per_capita!I259*100/Gasto_o_ing_per_capita!$D259</f>
        <v>119.03320628765367</v>
      </c>
      <c r="J259" s="332">
        <f>Gasto_o_ing_per_capita!J259*100/Gasto_o_ing_per_capita!$D259</f>
        <v>118.05286714213821</v>
      </c>
      <c r="K259" s="332">
        <f>Gasto_o_ing_per_capita!K259*100/Gasto_o_ing_per_capita!$D259</f>
        <v>112.02920941044954</v>
      </c>
      <c r="L259" s="332">
        <f>Gasto_o_ing_per_capita!L259*100/Gasto_o_ing_per_capita!$D259</f>
        <v>91.166785736968066</v>
      </c>
      <c r="M259" s="332">
        <f>Gasto_o_ing_per_capita!M259*100/Gasto_o_ing_per_capita!$D259</f>
        <v>118.96612726898576</v>
      </c>
      <c r="N259" s="332">
        <f>Gasto_o_ing_per_capita!N259*100/Gasto_o_ing_per_capita!$D259</f>
        <v>88.937497789171488</v>
      </c>
      <c r="O259" s="332">
        <f>Gasto_o_ing_per_capita!O259*100/Gasto_o_ing_per_capita!$D259</f>
        <v>58.506951225558218</v>
      </c>
      <c r="P259" s="332">
        <f>Gasto_o_ing_per_capita!P259*100/Gasto_o_ing_per_capita!$D259</f>
        <v>92.322211684909433</v>
      </c>
      <c r="Q259" s="332">
        <f>Gasto_o_ing_per_capita!Q259*100/Gasto_o_ing_per_capita!$D259</f>
        <v>95.900899271332278</v>
      </c>
      <c r="R259" s="332">
        <f>Gasto_o_ing_per_capita!R259*100/Gasto_o_ing_per_capita!$D259</f>
        <v>121.82295245485621</v>
      </c>
      <c r="S259" s="332">
        <f>Gasto_o_ing_per_capita!S259*100/Gasto_o_ing_per_capita!$D259</f>
        <v>171.31028796091954</v>
      </c>
      <c r="T259" s="332">
        <f>Gasto_o_ing_per_capita!T259*100/Gasto_o_ing_per_capita!$D259</f>
        <v>136.85916251124181</v>
      </c>
      <c r="U259" s="332">
        <f>Gasto_o_ing_per_capita!U259*100/Gasto_o_ing_per_capita!$D259</f>
        <v>135.25422120636989</v>
      </c>
      <c r="V259" s="332">
        <f>Gasto_o_ing_per_capita!V259*100/Gasto_o_ing_per_capita!$D259</f>
        <v>167.88373420393233</v>
      </c>
    </row>
    <row r="260" spans="1:22"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Gasto_o_ing_per_capita!D260*100/Gasto_o_ing_per_capita!$D260</f>
        <v>100</v>
      </c>
      <c r="E260" s="332">
        <f>Gasto_o_ing_per_capita!E260*100/Gasto_o_ing_per_capita!$D260</f>
        <v>182.30644608122131</v>
      </c>
      <c r="F260" s="332">
        <f>Gasto_o_ing_per_capita!F260*100/Gasto_o_ing_per_capita!$D260</f>
        <v>409.43762994574968</v>
      </c>
      <c r="G260" s="332">
        <f>Gasto_o_ing_per_capita!G260*100/Gasto_o_ing_per_capita!$D260</f>
        <v>185.40997914361498</v>
      </c>
      <c r="H260" s="332">
        <f>Gasto_o_ing_per_capita!H260*100/Gasto_o_ing_per_capita!$D260</f>
        <v>204.88075154365171</v>
      </c>
      <c r="I260" s="332">
        <f>Gasto_o_ing_per_capita!I260*100/Gasto_o_ing_per_capita!$D260</f>
        <v>0</v>
      </c>
      <c r="J260" s="332">
        <f>Gasto_o_ing_per_capita!J260*100/Gasto_o_ing_per_capita!$D260</f>
        <v>172.13419200439114</v>
      </c>
      <c r="K260" s="332">
        <f>Gasto_o_ing_per_capita!K260*100/Gasto_o_ing_per_capita!$D260</f>
        <v>168.99419256433842</v>
      </c>
      <c r="L260" s="332">
        <f>Gasto_o_ing_per_capita!L260*100/Gasto_o_ing_per_capita!$D260</f>
        <v>49.311252924310409</v>
      </c>
      <c r="M260" s="332">
        <f>Gasto_o_ing_per_capita!M260*100/Gasto_o_ing_per_capita!$D260</f>
        <v>39.867876589339716</v>
      </c>
      <c r="N260" s="332">
        <f>Gasto_o_ing_per_capita!N260*100/Gasto_o_ing_per_capita!$D260</f>
        <v>141.75712167484753</v>
      </c>
      <c r="O260" s="332">
        <f>Gasto_o_ing_per_capita!O260*100/Gasto_o_ing_per_capita!$D260</f>
        <v>76.48304709799261</v>
      </c>
      <c r="P260" s="332">
        <f>Gasto_o_ing_per_capita!P260*100/Gasto_o_ing_per_capita!$D260</f>
        <v>114.62815411722126</v>
      </c>
      <c r="Q260" s="332">
        <f>Gasto_o_ing_per_capita!Q260*100/Gasto_o_ing_per_capita!$D260</f>
        <v>0</v>
      </c>
      <c r="R260" s="332">
        <f>Gasto_o_ing_per_capita!R260*100/Gasto_o_ing_per_capita!$D260</f>
        <v>46.339586398632164</v>
      </c>
      <c r="S260" s="332">
        <f>Gasto_o_ing_per_capita!S260*100/Gasto_o_ing_per_capita!$D260</f>
        <v>0</v>
      </c>
      <c r="T260" s="332">
        <f>Gasto_o_ing_per_capita!T260*100/Gasto_o_ing_per_capita!$D260</f>
        <v>0.46989750395031765</v>
      </c>
      <c r="U260" s="332">
        <f>Gasto_o_ing_per_capita!U260*100/Gasto_o_ing_per_capita!$D260</f>
        <v>192.64835167492001</v>
      </c>
      <c r="V260" s="332">
        <f>Gasto_o_ing_per_capita!V260*100/Gasto_o_ing_per_capita!$D260</f>
        <v>98.998986990019546</v>
      </c>
    </row>
    <row r="261" spans="1:22" s="102" customFormat="1">
      <c r="A261" s="351" t="str">
        <f>IF(B261="","",(IF(ISERROR(MATCH(B261,Tot_res!C:C,0)),"Eliminar!!!","")))</f>
        <v/>
      </c>
      <c r="B261" s="119" t="s">
        <v>754</v>
      </c>
      <c r="C261" s="329" t="str">
        <f>VLOOKUP(B261,Tot_res!C:D,2,FALSE)</f>
        <v>Otras aportaciones a Corporaciones Locales, mejoras suminstro agua CyMel</v>
      </c>
      <c r="D261" s="332">
        <f>Gasto_o_ing_per_capita!D261*100/Gasto_o_ing_per_capita!$D261</f>
        <v>100</v>
      </c>
      <c r="E261" s="332">
        <f>Gasto_o_ing_per_capita!E261*100/Gasto_o_ing_per_capita!$D261</f>
        <v>146.98751017072487</v>
      </c>
      <c r="F261" s="332">
        <f>Gasto_o_ing_per_capita!F261*100/Gasto_o_ing_per_capita!$D261</f>
        <v>0</v>
      </c>
      <c r="G261" s="332">
        <f>Gasto_o_ing_per_capita!G261*100/Gasto_o_ing_per_capita!$D261</f>
        <v>0</v>
      </c>
      <c r="H261" s="332">
        <f>Gasto_o_ing_per_capita!H261*100/Gasto_o_ing_per_capita!$D261</f>
        <v>0</v>
      </c>
      <c r="I261" s="332">
        <f>Gasto_o_ing_per_capita!I261*100/Gasto_o_ing_per_capita!$D261</f>
        <v>0</v>
      </c>
      <c r="J261" s="332">
        <f>Gasto_o_ing_per_capita!J261*100/Gasto_o_ing_per_capita!$D261</f>
        <v>0</v>
      </c>
      <c r="K261" s="332">
        <f>Gasto_o_ing_per_capita!K261*100/Gasto_o_ing_per_capita!$D261</f>
        <v>0</v>
      </c>
      <c r="L261" s="332">
        <f>Gasto_o_ing_per_capita!L261*100/Gasto_o_ing_per_capita!$D261</f>
        <v>0</v>
      </c>
      <c r="M261" s="332">
        <f>Gasto_o_ing_per_capita!M261*100/Gasto_o_ing_per_capita!$D261</f>
        <v>0</v>
      </c>
      <c r="N261" s="332">
        <f>Gasto_o_ing_per_capita!N261*100/Gasto_o_ing_per_capita!$D261</f>
        <v>0</v>
      </c>
      <c r="O261" s="332">
        <f>Gasto_o_ing_per_capita!O261*100/Gasto_o_ing_per_capita!$D261</f>
        <v>0</v>
      </c>
      <c r="P261" s="332">
        <f>Gasto_o_ing_per_capita!P261*100/Gasto_o_ing_per_capita!$D261</f>
        <v>0</v>
      </c>
      <c r="Q261" s="332">
        <f>Gasto_o_ing_per_capita!Q261*100/Gasto_o_ing_per_capita!$D261</f>
        <v>0</v>
      </c>
      <c r="R261" s="332">
        <f>Gasto_o_ing_per_capita!R261*100/Gasto_o_ing_per_capita!$D261</f>
        <v>0</v>
      </c>
      <c r="S261" s="332">
        <f>Gasto_o_ing_per_capita!S261*100/Gasto_o_ing_per_capita!$D261</f>
        <v>0</v>
      </c>
      <c r="T261" s="332">
        <f>Gasto_o_ing_per_capita!T261*100/Gasto_o_ing_per_capita!$D261</f>
        <v>0</v>
      </c>
      <c r="U261" s="332">
        <f>Gasto_o_ing_per_capita!U261*100/Gasto_o_ing_per_capita!$D261</f>
        <v>0</v>
      </c>
      <c r="V261" s="332">
        <f>Gasto_o_ing_per_capita!V261*100/Gasto_o_ing_per_capita!$D261</f>
        <v>20246.387587986861</v>
      </c>
    </row>
    <row r="262" spans="1:22" s="102" customFormat="1">
      <c r="A262" s="351" t="str">
        <f>IF(B262="","",(IF(ISERROR(MATCH(B262,Tot_res!C:C,0)),"Eliminar!!!","")))</f>
        <v/>
      </c>
      <c r="B262" s="119" t="s">
        <v>272</v>
      </c>
      <c r="C262" s="329" t="str">
        <f>VLOOKUP(B262,Tot_res!C:D,2,FALSE)</f>
        <v>Obras hidráulicas</v>
      </c>
      <c r="D262" s="332">
        <f>Gasto_o_ing_per_capita!D262*100/Gasto_o_ing_per_capita!$D262</f>
        <v>100</v>
      </c>
      <c r="E262" s="332">
        <f>Gasto_o_ing_per_capita!E262*100/Gasto_o_ing_per_capita!$D262</f>
        <v>0</v>
      </c>
      <c r="F262" s="332">
        <f>Gasto_o_ing_per_capita!F262*100/Gasto_o_ing_per_capita!$D262</f>
        <v>0</v>
      </c>
      <c r="G262" s="332">
        <f>Gasto_o_ing_per_capita!G262*100/Gasto_o_ing_per_capita!$D262</f>
        <v>0</v>
      </c>
      <c r="H262" s="332">
        <f>Gasto_o_ing_per_capita!H262*100/Gasto_o_ing_per_capita!$D262</f>
        <v>0</v>
      </c>
      <c r="I262" s="332">
        <f>Gasto_o_ing_per_capita!I262*100/Gasto_o_ing_per_capita!$D262</f>
        <v>162.19618657057683</v>
      </c>
      <c r="J262" s="332">
        <f>Gasto_o_ing_per_capita!J262*100/Gasto_o_ing_per_capita!$D262</f>
        <v>0</v>
      </c>
      <c r="K262" s="332">
        <f>Gasto_o_ing_per_capita!K262*100/Gasto_o_ing_per_capita!$D262</f>
        <v>0</v>
      </c>
      <c r="L262" s="332">
        <f>Gasto_o_ing_per_capita!L262*100/Gasto_o_ing_per_capita!$D262</f>
        <v>0</v>
      </c>
      <c r="M262" s="332">
        <f>Gasto_o_ing_per_capita!M262*100/Gasto_o_ing_per_capita!$D262</f>
        <v>452.31985666415994</v>
      </c>
      <c r="N262" s="332">
        <f>Gasto_o_ing_per_capita!N262*100/Gasto_o_ing_per_capita!$D262</f>
        <v>0</v>
      </c>
      <c r="O262" s="332">
        <f>Gasto_o_ing_per_capita!O262*100/Gasto_o_ing_per_capita!$D262</f>
        <v>0</v>
      </c>
      <c r="P262" s="332">
        <f>Gasto_o_ing_per_capita!P262*100/Gasto_o_ing_per_capita!$D262</f>
        <v>339.44333080481897</v>
      </c>
      <c r="Q262" s="332">
        <f>Gasto_o_ing_per_capita!Q262*100/Gasto_o_ing_per_capita!$D262</f>
        <v>0</v>
      </c>
      <c r="R262" s="332">
        <f>Gasto_o_ing_per_capita!R262*100/Gasto_o_ing_per_capita!$D262</f>
        <v>0</v>
      </c>
      <c r="S262" s="332">
        <f>Gasto_o_ing_per_capita!S262*100/Gasto_o_ing_per_capita!$D262</f>
        <v>0</v>
      </c>
      <c r="T262" s="332">
        <f>Gasto_o_ing_per_capita!T262*100/Gasto_o_ing_per_capita!$D262</f>
        <v>0</v>
      </c>
      <c r="U262" s="332">
        <f>Gasto_o_ing_per_capita!U262*100/Gasto_o_ing_per_capita!$D262</f>
        <v>0</v>
      </c>
      <c r="V262" s="332">
        <f>Gasto_o_ing_per_capita!V262*100/Gasto_o_ing_per_capita!$D262</f>
        <v>0</v>
      </c>
    </row>
    <row r="263" spans="1:22" s="102" customFormat="1">
      <c r="A263" s="351" t="str">
        <f>IF(B263="","",(IF(ISERROR(MATCH(B263,Tot_res!C:C,0)),"Eliminar!!!","")))</f>
        <v/>
      </c>
      <c r="B263" s="119" t="s">
        <v>273</v>
      </c>
      <c r="C263" s="329" t="str">
        <f>VLOOKUP(B263,Tot_res!C:D,2,FALSE)</f>
        <v>Confederaciones hidrográficas, Andalucía</v>
      </c>
      <c r="D263" s="332">
        <f>Gasto_o_ing_per_capita!D263*100/Gasto_o_ing_per_capita!$D263</f>
        <v>100</v>
      </c>
      <c r="E263" s="332">
        <f>Gasto_o_ing_per_capita!E263*100/Gasto_o_ing_per_capita!$D263</f>
        <v>555.88231968053992</v>
      </c>
      <c r="F263" s="332">
        <f>Gasto_o_ing_per_capita!F263*100/Gasto_o_ing_per_capita!$D263</f>
        <v>0</v>
      </c>
      <c r="G263" s="332">
        <f>Gasto_o_ing_per_capita!G263*100/Gasto_o_ing_per_capita!$D263</f>
        <v>0</v>
      </c>
      <c r="H263" s="332">
        <f>Gasto_o_ing_per_capita!H263*100/Gasto_o_ing_per_capita!$D263</f>
        <v>0</v>
      </c>
      <c r="I263" s="332">
        <f>Gasto_o_ing_per_capita!I263*100/Gasto_o_ing_per_capita!$D263</f>
        <v>0</v>
      </c>
      <c r="J263" s="332">
        <f>Gasto_o_ing_per_capita!J263*100/Gasto_o_ing_per_capita!$D263</f>
        <v>0</v>
      </c>
      <c r="K263" s="332">
        <f>Gasto_o_ing_per_capita!K263*100/Gasto_o_ing_per_capita!$D263</f>
        <v>0</v>
      </c>
      <c r="L263" s="332">
        <f>Gasto_o_ing_per_capita!L263*100/Gasto_o_ing_per_capita!$D263</f>
        <v>0</v>
      </c>
      <c r="M263" s="332">
        <f>Gasto_o_ing_per_capita!M263*100/Gasto_o_ing_per_capita!$D263</f>
        <v>0</v>
      </c>
      <c r="N263" s="332">
        <f>Gasto_o_ing_per_capita!N263*100/Gasto_o_ing_per_capita!$D263</f>
        <v>0</v>
      </c>
      <c r="O263" s="332">
        <f>Gasto_o_ing_per_capita!O263*100/Gasto_o_ing_per_capita!$D263</f>
        <v>0</v>
      </c>
      <c r="P263" s="332">
        <f>Gasto_o_ing_per_capita!P263*100/Gasto_o_ing_per_capita!$D263</f>
        <v>0</v>
      </c>
      <c r="Q263" s="332">
        <f>Gasto_o_ing_per_capita!Q263*100/Gasto_o_ing_per_capita!$D263</f>
        <v>0</v>
      </c>
      <c r="R263" s="332">
        <f>Gasto_o_ing_per_capita!R263*100/Gasto_o_ing_per_capita!$D263</f>
        <v>0</v>
      </c>
      <c r="S263" s="332">
        <f>Gasto_o_ing_per_capita!S263*100/Gasto_o_ing_per_capita!$D263</f>
        <v>0</v>
      </c>
      <c r="T263" s="332">
        <f>Gasto_o_ing_per_capita!T263*100/Gasto_o_ing_per_capita!$D263</f>
        <v>0</v>
      </c>
      <c r="U263" s="332">
        <f>Gasto_o_ing_per_capita!U263*100/Gasto_o_ing_per_capita!$D263</f>
        <v>0</v>
      </c>
      <c r="V263" s="332">
        <f>Gasto_o_ing_per_capita!V263*100/Gasto_o_ing_per_capita!$D263</f>
        <v>0</v>
      </c>
    </row>
    <row r="264" spans="1:22" s="102" customFormat="1">
      <c r="A264" s="351" t="str">
        <f>IF(B264="","",(IF(ISERROR(MATCH(B264,Tot_res!C:C,0)),"Eliminar!!!","")))</f>
        <v/>
      </c>
      <c r="B264" s="119" t="s">
        <v>274</v>
      </c>
      <c r="C264" s="329" t="str">
        <f>VLOOKUP(B264,Tot_res!C:D,2,FALSE)</f>
        <v>Parques Nacionales</v>
      </c>
      <c r="D264" s="332">
        <f>Gasto_o_ing_per_capita!D264*100/Gasto_o_ing_per_capita!$D264</f>
        <v>99.999999999999986</v>
      </c>
      <c r="E264" s="332">
        <f>Gasto_o_ing_per_capita!E264*100/Gasto_o_ing_per_capita!$D264</f>
        <v>141.97033993453593</v>
      </c>
      <c r="F264" s="332">
        <f>Gasto_o_ing_per_capita!F264*100/Gasto_o_ing_per_capita!$D264</f>
        <v>227.985068545171</v>
      </c>
      <c r="G264" s="332">
        <f>Gasto_o_ing_per_capita!G264*100/Gasto_o_ing_per_capita!$D264</f>
        <v>243.22577182307757</v>
      </c>
      <c r="H264" s="332">
        <f>Gasto_o_ing_per_capita!H264*100/Gasto_o_ing_per_capita!$D264</f>
        <v>445.28592030171046</v>
      </c>
      <c r="I264" s="332">
        <f>Gasto_o_ing_per_capita!I264*100/Gasto_o_ing_per_capita!$D264</f>
        <v>869.37197791306301</v>
      </c>
      <c r="J264" s="332">
        <f>Gasto_o_ing_per_capita!J264*100/Gasto_o_ing_per_capita!$D264</f>
        <v>242.05398849747209</v>
      </c>
      <c r="K264" s="332">
        <f>Gasto_o_ing_per_capita!K264*100/Gasto_o_ing_per_capita!$D264</f>
        <v>60.216390530898515</v>
      </c>
      <c r="L264" s="332">
        <f>Gasto_o_ing_per_capita!L264*100/Gasto_o_ing_per_capita!$D264</f>
        <v>0</v>
      </c>
      <c r="M264" s="332">
        <f>Gasto_o_ing_per_capita!M264*100/Gasto_o_ing_per_capita!$D264</f>
        <v>0</v>
      </c>
      <c r="N264" s="332">
        <f>Gasto_o_ing_per_capita!N264*100/Gasto_o_ing_per_capita!$D264</f>
        <v>0</v>
      </c>
      <c r="O264" s="332">
        <f>Gasto_o_ing_per_capita!O264*100/Gasto_o_ing_per_capita!$D264</f>
        <v>0</v>
      </c>
      <c r="P264" s="332">
        <f>Gasto_o_ing_per_capita!P264*100/Gasto_o_ing_per_capita!$D264</f>
        <v>112.30385393283962</v>
      </c>
      <c r="Q264" s="332">
        <f>Gasto_o_ing_per_capita!Q264*100/Gasto_o_ing_per_capita!$D264</f>
        <v>0</v>
      </c>
      <c r="R264" s="332">
        <f>Gasto_o_ing_per_capita!R264*100/Gasto_o_ing_per_capita!$D264</f>
        <v>0</v>
      </c>
      <c r="S264" s="332">
        <f>Gasto_o_ing_per_capita!S264*100/Gasto_o_ing_per_capita!$D264</f>
        <v>0</v>
      </c>
      <c r="T264" s="332">
        <f>Gasto_o_ing_per_capita!T264*100/Gasto_o_ing_per_capita!$D264</f>
        <v>0</v>
      </c>
      <c r="U264" s="332">
        <f>Gasto_o_ing_per_capita!U264*100/Gasto_o_ing_per_capita!$D264</f>
        <v>0</v>
      </c>
      <c r="V264" s="332">
        <f>Gasto_o_ing_per_capita!V264*100/Gasto_o_ing_per_capita!$D264</f>
        <v>0</v>
      </c>
    </row>
    <row r="265" spans="1:22" s="102" customFormat="1">
      <c r="A265" s="351" t="str">
        <f>IF(B265="","",(IF(ISERROR(MATCH(B265,Tot_res!C:C,0)),"Eliminar!!!","")))</f>
        <v/>
      </c>
      <c r="B265" s="119" t="s">
        <v>276</v>
      </c>
      <c r="C265" s="329" t="str">
        <f>VLOOKUP(B265,Tot_res!C:D,2,FALSE)</f>
        <v>Infraestructuras ferroviarias, ADIF y Renfe</v>
      </c>
      <c r="D265" s="332">
        <f>Gasto_o_ing_per_capita!D265*100/Gasto_o_ing_per_capita!$D265</f>
        <v>100</v>
      </c>
      <c r="E265" s="332">
        <f>Gasto_o_ing_per_capita!E265*100/Gasto_o_ing_per_capita!$D265</f>
        <v>51.208853502522508</v>
      </c>
      <c r="F265" s="332">
        <f>Gasto_o_ing_per_capita!F265*100/Gasto_o_ing_per_capita!$D265</f>
        <v>40.993526650471679</v>
      </c>
      <c r="G265" s="332">
        <f>Gasto_o_ing_per_capita!G265*100/Gasto_o_ing_per_capita!$D265</f>
        <v>154.56148674326715</v>
      </c>
      <c r="H265" s="332">
        <f>Gasto_o_ing_per_capita!H265*100/Gasto_o_ing_per_capita!$D265</f>
        <v>7.1698111217155978</v>
      </c>
      <c r="I265" s="332">
        <f>Gasto_o_ing_per_capita!I265*100/Gasto_o_ing_per_capita!$D265</f>
        <v>3.9052262215464162</v>
      </c>
      <c r="J265" s="332">
        <f>Gasto_o_ing_per_capita!J265*100/Gasto_o_ing_per_capita!$D265</f>
        <v>49.318839193763509</v>
      </c>
      <c r="K265" s="332">
        <f>Gasto_o_ing_per_capita!K265*100/Gasto_o_ing_per_capita!$D265</f>
        <v>354.5397036999197</v>
      </c>
      <c r="L265" s="332">
        <f>Gasto_o_ing_per_capita!L265*100/Gasto_o_ing_per_capita!$D265</f>
        <v>39.844531461688561</v>
      </c>
      <c r="M265" s="332">
        <f>Gasto_o_ing_per_capita!M265*100/Gasto_o_ing_per_capita!$D265</f>
        <v>84.280997660265598</v>
      </c>
      <c r="N265" s="332">
        <f>Gasto_o_ing_per_capita!N265*100/Gasto_o_ing_per_capita!$D265</f>
        <v>94.453326670264559</v>
      </c>
      <c r="O265" s="332">
        <f>Gasto_o_ing_per_capita!O265*100/Gasto_o_ing_per_capita!$D265</f>
        <v>124.30942518374547</v>
      </c>
      <c r="P265" s="332">
        <f>Gasto_o_ing_per_capita!P265*100/Gasto_o_ing_per_capita!$D265</f>
        <v>266.78207295451693</v>
      </c>
      <c r="Q265" s="332">
        <f>Gasto_o_ing_per_capita!Q265*100/Gasto_o_ing_per_capita!$D265</f>
        <v>98.060016400220576</v>
      </c>
      <c r="R265" s="332">
        <f>Gasto_o_ing_per_capita!R265*100/Gasto_o_ing_per_capita!$D265</f>
        <v>44.696459576779382</v>
      </c>
      <c r="S265" s="332">
        <f>Gasto_o_ing_per_capita!S265*100/Gasto_o_ing_per_capita!$D265</f>
        <v>174.49878967723041</v>
      </c>
      <c r="T265" s="332">
        <f>Gasto_o_ing_per_capita!T265*100/Gasto_o_ing_per_capita!$D265</f>
        <v>100.96347772415992</v>
      </c>
      <c r="U265" s="332">
        <f>Gasto_o_ing_per_capita!U265*100/Gasto_o_ing_per_capita!$D265</f>
        <v>30.726716140040175</v>
      </c>
      <c r="V265" s="332">
        <f>Gasto_o_ing_per_capita!V265*100/Gasto_o_ing_per_capita!$D265</f>
        <v>9.9798977817612524</v>
      </c>
    </row>
    <row r="266" spans="1:22" s="102" customFormat="1">
      <c r="A266" s="351" t="str">
        <f>IF(B266="","",(IF(ISERROR(MATCH(B266,Tot_res!C:C,0)),"Eliminar!!!","")))</f>
        <v/>
      </c>
      <c r="B266" s="119" t="s">
        <v>277</v>
      </c>
      <c r="C266" s="329" t="str">
        <f>VLOOKUP(B266,Tot_res!C:D,2,FALSE)</f>
        <v>Infraestructuras aeroportuarias, AENA</v>
      </c>
      <c r="D266" s="332">
        <f>Gasto_o_ing_per_capita!D266*100/Gasto_o_ing_per_capita!$D266</f>
        <v>100</v>
      </c>
      <c r="E266" s="332">
        <f>Gasto_o_ing_per_capita!E266*100/Gasto_o_ing_per_capita!$D266</f>
        <v>58.40532194179233</v>
      </c>
      <c r="F266" s="332">
        <f>Gasto_o_ing_per_capita!F266*100/Gasto_o_ing_per_capita!$D266</f>
        <v>40.995328925928689</v>
      </c>
      <c r="G266" s="332">
        <f>Gasto_o_ing_per_capita!G266*100/Gasto_o_ing_per_capita!$D266</f>
        <v>81.721696111927557</v>
      </c>
      <c r="H266" s="332">
        <f>Gasto_o_ing_per_capita!H266*100/Gasto_o_ing_per_capita!$D266</f>
        <v>222.85291441102299</v>
      </c>
      <c r="I266" s="332">
        <f>Gasto_o_ing_per_capita!I266*100/Gasto_o_ing_per_capita!$D266</f>
        <v>393.45223653425001</v>
      </c>
      <c r="J266" s="332">
        <f>Gasto_o_ing_per_capita!J266*100/Gasto_o_ing_per_capita!$D266</f>
        <v>44.794996682171302</v>
      </c>
      <c r="K266" s="332">
        <f>Gasto_o_ing_per_capita!K266*100/Gasto_o_ing_per_capita!$D266</f>
        <v>31.429933862774138</v>
      </c>
      <c r="L266" s="332">
        <f>Gasto_o_ing_per_capita!L266*100/Gasto_o_ing_per_capita!$D266</f>
        <v>32.084329097810624</v>
      </c>
      <c r="M266" s="332">
        <f>Gasto_o_ing_per_capita!M266*100/Gasto_o_ing_per_capita!$D266</f>
        <v>68.227895532490621</v>
      </c>
      <c r="N266" s="332">
        <f>Gasto_o_ing_per_capita!N266*100/Gasto_o_ing_per_capita!$D266</f>
        <v>44.691412534836154</v>
      </c>
      <c r="O266" s="332">
        <f>Gasto_o_ing_per_capita!O266*100/Gasto_o_ing_per_capita!$D266</f>
        <v>28.326813134722581</v>
      </c>
      <c r="P266" s="332">
        <f>Gasto_o_ing_per_capita!P266*100/Gasto_o_ing_per_capita!$D266</f>
        <v>129.10342995860893</v>
      </c>
      <c r="Q266" s="332">
        <f>Gasto_o_ing_per_capita!Q266*100/Gasto_o_ing_per_capita!$D266</f>
        <v>223.78433001677601</v>
      </c>
      <c r="R266" s="332">
        <f>Gasto_o_ing_per_capita!R266*100/Gasto_o_ing_per_capita!$D266</f>
        <v>35.76722227421228</v>
      </c>
      <c r="S266" s="332">
        <f>Gasto_o_ing_per_capita!S266*100/Gasto_o_ing_per_capita!$D266</f>
        <v>37.955170759719003</v>
      </c>
      <c r="T266" s="332">
        <f>Gasto_o_ing_per_capita!T266*100/Gasto_o_ing_per_capita!$D266</f>
        <v>59.710569257527638</v>
      </c>
      <c r="U266" s="332">
        <f>Gasto_o_ing_per_capita!U266*100/Gasto_o_ing_per_capita!$D266</f>
        <v>35.437463245763226</v>
      </c>
      <c r="V266" s="332">
        <f>Gasto_o_ing_per_capita!V266*100/Gasto_o_ing_per_capita!$D266</f>
        <v>75.264538431883437</v>
      </c>
    </row>
    <row r="267" spans="1:22" s="102" customFormat="1">
      <c r="A267" s="351" t="str">
        <f>IF(B267="","",(IF(ISERROR(MATCH(B267,Tot_res!C:C,0)),"Eliminar!!!","")))</f>
        <v/>
      </c>
      <c r="B267" s="119" t="s">
        <v>278</v>
      </c>
      <c r="C267" s="329" t="str">
        <f>VLOOKUP(B267,Tot_res!C:D,2,FALSE)</f>
        <v xml:space="preserve">Infraestructuras portuarias, Puertos del Estado </v>
      </c>
      <c r="D267" s="332">
        <f>Gasto_o_ing_per_capita!D267*100/Gasto_o_ing_per_capita!$D267</f>
        <v>100</v>
      </c>
      <c r="E267" s="332">
        <f>Gasto_o_ing_per_capita!E267*100/Gasto_o_ing_per_capita!$D267</f>
        <v>84.082611268891625</v>
      </c>
      <c r="F267" s="332">
        <f>Gasto_o_ing_per_capita!F267*100/Gasto_o_ing_per_capita!$D267</f>
        <v>53.845519428062389</v>
      </c>
      <c r="G267" s="332">
        <f>Gasto_o_ing_per_capita!G267*100/Gasto_o_ing_per_capita!$D267</f>
        <v>123.13830622174545</v>
      </c>
      <c r="H267" s="332">
        <f>Gasto_o_ing_per_capita!H267*100/Gasto_o_ing_per_capita!$D267</f>
        <v>65.103357880987673</v>
      </c>
      <c r="I267" s="332">
        <f>Gasto_o_ing_per_capita!I267*100/Gasto_o_ing_per_capita!$D267</f>
        <v>105.9139752583711</v>
      </c>
      <c r="J267" s="332">
        <f>Gasto_o_ing_per_capita!J267*100/Gasto_o_ing_per_capita!$D267</f>
        <v>222.61393478816066</v>
      </c>
      <c r="K267" s="332">
        <f>Gasto_o_ing_per_capita!K267*100/Gasto_o_ing_per_capita!$D267</f>
        <v>37.343069803483161</v>
      </c>
      <c r="L267" s="332">
        <f>Gasto_o_ing_per_capita!L267*100/Gasto_o_ing_per_capita!$D267</f>
        <v>30.388928578989347</v>
      </c>
      <c r="M267" s="332">
        <f>Gasto_o_ing_per_capita!M267*100/Gasto_o_ing_per_capita!$D267</f>
        <v>179.07050149705515</v>
      </c>
      <c r="N267" s="332">
        <f>Gasto_o_ing_per_capita!N267*100/Gasto_o_ing_per_capita!$D267</f>
        <v>83.921480750467367</v>
      </c>
      <c r="O267" s="332">
        <f>Gasto_o_ing_per_capita!O267*100/Gasto_o_ing_per_capita!$D267</f>
        <v>19.502317075186067</v>
      </c>
      <c r="P267" s="332">
        <f>Gasto_o_ing_per_capita!P267*100/Gasto_o_ing_per_capita!$D267</f>
        <v>113.94381916045334</v>
      </c>
      <c r="Q267" s="332">
        <f>Gasto_o_ing_per_capita!Q267*100/Gasto_o_ing_per_capita!$D267</f>
        <v>31.966966423777418</v>
      </c>
      <c r="R267" s="332">
        <f>Gasto_o_ing_per_capita!R267*100/Gasto_o_ing_per_capita!$D267</f>
        <v>168.63079885308235</v>
      </c>
      <c r="S267" s="332">
        <f>Gasto_o_ing_per_capita!S267*100/Gasto_o_ing_per_capita!$D267</f>
        <v>57.103429320306482</v>
      </c>
      <c r="T267" s="332">
        <f>Gasto_o_ing_per_capita!T267*100/Gasto_o_ing_per_capita!$D267</f>
        <v>258.04485768646521</v>
      </c>
      <c r="U267" s="332">
        <f>Gasto_o_ing_per_capita!U267*100/Gasto_o_ing_per_capita!$D267</f>
        <v>45.08474040212328</v>
      </c>
      <c r="V267" s="332">
        <f>Gasto_o_ing_per_capita!V267*100/Gasto_o_ing_per_capita!$D267</f>
        <v>82.539518362251059</v>
      </c>
    </row>
    <row r="268" spans="1:22" s="102" customFormat="1">
      <c r="A268" s="351" t="str">
        <f>IF(B268="","",(IF(ISERROR(MATCH(B268,Tot_res!C:C,0)),"Eliminar!!!","")))</f>
        <v/>
      </c>
      <c r="B268" s="119" t="s">
        <v>279</v>
      </c>
      <c r="C268" s="329" t="str">
        <f>VLOOKUP(B268,Tot_res!C:D,2,FALSE)</f>
        <v>Autopistas de peaje</v>
      </c>
      <c r="D268" s="332">
        <f>Gasto_o_ing_per_capita!D268*100/Gasto_o_ing_per_capita!$D268</f>
        <v>100</v>
      </c>
      <c r="E268" s="332">
        <f>Gasto_o_ing_per_capita!E268*100/Gasto_o_ing_per_capita!$D268</f>
        <v>44.786148936161098</v>
      </c>
      <c r="F268" s="332">
        <f>Gasto_o_ing_per_capita!F268*100/Gasto_o_ing_per_capita!$D268</f>
        <v>147.98122963964587</v>
      </c>
      <c r="G268" s="332">
        <f>Gasto_o_ing_per_capita!G268*100/Gasto_o_ing_per_capita!$D268</f>
        <v>36.193862025929938</v>
      </c>
      <c r="H268" s="332">
        <f>Gasto_o_ing_per_capita!H268*100/Gasto_o_ing_per_capita!$D268</f>
        <v>6.7653686656608292</v>
      </c>
      <c r="I268" s="332">
        <f>Gasto_o_ing_per_capita!I268*100/Gasto_o_ing_per_capita!$D268</f>
        <v>7.6356334413510281</v>
      </c>
      <c r="J268" s="332">
        <f>Gasto_o_ing_per_capita!J268*100/Gasto_o_ing_per_capita!$D268</f>
        <v>17.141762157294753</v>
      </c>
      <c r="K268" s="332">
        <f>Gasto_o_ing_per_capita!K268*100/Gasto_o_ing_per_capita!$D268</f>
        <v>237.74000164289711</v>
      </c>
      <c r="L268" s="332">
        <f>Gasto_o_ing_per_capita!L268*100/Gasto_o_ing_per_capita!$D268</f>
        <v>189.41100487681231</v>
      </c>
      <c r="M268" s="332">
        <f>Gasto_o_ing_per_capita!M268*100/Gasto_o_ing_per_capita!$D268</f>
        <v>177.47431433131342</v>
      </c>
      <c r="N268" s="332">
        <f>Gasto_o_ing_per_capita!N268*100/Gasto_o_ing_per_capita!$D268</f>
        <v>78.939084004302728</v>
      </c>
      <c r="O268" s="332">
        <f>Gasto_o_ing_per_capita!O268*100/Gasto_o_ing_per_capita!$D268</f>
        <v>16.913071412451572</v>
      </c>
      <c r="P268" s="332">
        <f>Gasto_o_ing_per_capita!P268*100/Gasto_o_ing_per_capita!$D268</f>
        <v>105.0291867449959</v>
      </c>
      <c r="Q268" s="332">
        <f>Gasto_o_ing_per_capita!Q268*100/Gasto_o_ing_per_capita!$D268</f>
        <v>47.800586471505873</v>
      </c>
      <c r="R268" s="332">
        <f>Gasto_o_ing_per_capita!R268*100/Gasto_o_ing_per_capita!$D268</f>
        <v>26.776465604117959</v>
      </c>
      <c r="S268" s="332">
        <f>Gasto_o_ing_per_capita!S268*100/Gasto_o_ing_per_capita!$D268</f>
        <v>159.49028869459121</v>
      </c>
      <c r="T268" s="332">
        <f>Gasto_o_ing_per_capita!T268*100/Gasto_o_ing_per_capita!$D268</f>
        <v>145.66934084906296</v>
      </c>
      <c r="U268" s="332">
        <f>Gasto_o_ing_per_capita!U268*100/Gasto_o_ing_per_capita!$D268</f>
        <v>753.7305468715964</v>
      </c>
      <c r="V268" s="332">
        <f>Gasto_o_ing_per_capita!V268*100/Gasto_o_ing_per_capita!$D268</f>
        <v>10.361900568057029</v>
      </c>
    </row>
    <row r="269" spans="1:22" s="102" customFormat="1">
      <c r="A269" s="351" t="str">
        <f>IF(B269="","",(IF(ISERROR(MATCH(B269,Tot_res!C:C,0)),"Eliminar!!!","")))</f>
        <v/>
      </c>
      <c r="B269" s="119" t="s">
        <v>281</v>
      </c>
      <c r="C269" s="329" t="str">
        <f>VLOOKUP(B269,Tot_res!C:D,2,FALSE)</f>
        <v>Excedente bruto de AENA</v>
      </c>
      <c r="D269" s="332">
        <f>Gasto_o_ing_per_capita!D269*100/Gasto_o_ing_per_capita!$D269</f>
        <v>100.00000000000001</v>
      </c>
      <c r="E269" s="332">
        <f>Gasto_o_ing_per_capita!E269*100/Gasto_o_ing_per_capita!$D269</f>
        <v>93.864930818752782</v>
      </c>
      <c r="F269" s="332">
        <f>Gasto_o_ing_per_capita!F269*100/Gasto_o_ing_per_capita!$D269</f>
        <v>103.09754497052849</v>
      </c>
      <c r="G269" s="332">
        <f>Gasto_o_ing_per_capita!G269*100/Gasto_o_ing_per_capita!$D269</f>
        <v>108.23218127908433</v>
      </c>
      <c r="H269" s="332">
        <f>Gasto_o_ing_per_capita!H269*100/Gasto_o_ing_per_capita!$D269</f>
        <v>98.51553533669771</v>
      </c>
      <c r="I269" s="332">
        <f>Gasto_o_ing_per_capita!I269*100/Gasto_o_ing_per_capita!$D269</f>
        <v>105.56667008192427</v>
      </c>
      <c r="J269" s="332">
        <f>Gasto_o_ing_per_capita!J269*100/Gasto_o_ing_per_capita!$D269</f>
        <v>107.36430785392976</v>
      </c>
      <c r="K269" s="332">
        <f>Gasto_o_ing_per_capita!K269*100/Gasto_o_ing_per_capita!$D269</f>
        <v>95.213563792788733</v>
      </c>
      <c r="L269" s="332">
        <f>Gasto_o_ing_per_capita!L269*100/Gasto_o_ing_per_capita!$D269</f>
        <v>112.72650972853346</v>
      </c>
      <c r="M269" s="332">
        <f>Gasto_o_ing_per_capita!M269*100/Gasto_o_ing_per_capita!$D269</f>
        <v>103.59910589329132</v>
      </c>
      <c r="N269" s="332">
        <f>Gasto_o_ing_per_capita!N269*100/Gasto_o_ing_per_capita!$D269</f>
        <v>100.12319658079568</v>
      </c>
      <c r="O269" s="332">
        <f>Gasto_o_ing_per_capita!O269*100/Gasto_o_ing_per_capita!$D269</f>
        <v>99.67085621840485</v>
      </c>
      <c r="P269" s="332">
        <f>Gasto_o_ing_per_capita!P269*100/Gasto_o_ing_per_capita!$D269</f>
        <v>100.60236061096887</v>
      </c>
      <c r="Q269" s="332">
        <f>Gasto_o_ing_per_capita!Q269*100/Gasto_o_ing_per_capita!$D269</f>
        <v>91.851900035616865</v>
      </c>
      <c r="R269" s="332">
        <f>Gasto_o_ing_per_capita!R269*100/Gasto_o_ing_per_capita!$D269</f>
        <v>101.33137296415494</v>
      </c>
      <c r="S269" s="332">
        <f>Gasto_o_ing_per_capita!S269*100/Gasto_o_ing_per_capita!$D269</f>
        <v>108.6845800376651</v>
      </c>
      <c r="T269" s="332">
        <f>Gasto_o_ing_per_capita!T269*100/Gasto_o_ing_per_capita!$D269</f>
        <v>112.43416997616977</v>
      </c>
      <c r="U269" s="332">
        <f>Gasto_o_ing_per_capita!U269*100/Gasto_o_ing_per_capita!$D269</f>
        <v>96.871262471452383</v>
      </c>
      <c r="V269" s="332">
        <f>Gasto_o_ing_per_capita!V269*100/Gasto_o_ing_per_capita!$D269</f>
        <v>98.518066205052492</v>
      </c>
    </row>
    <row r="270" spans="1:22" s="102" customFormat="1">
      <c r="A270" s="351" t="str">
        <f>IF(B270="","",(IF(ISERROR(MATCH(B270,Tot_res!C:C,0)),"Eliminar!!!","")))</f>
        <v/>
      </c>
      <c r="B270" s="119" t="s">
        <v>282</v>
      </c>
      <c r="C270" s="329" t="str">
        <f>VLOOKUP(B270,Tot_res!C:D,2,FALSE)</f>
        <v>Excedene bruto de puertos del Estado</v>
      </c>
      <c r="D270" s="332">
        <f>Gasto_o_ing_per_capita!D270*100/Gasto_o_ing_per_capita!$D270</f>
        <v>100</v>
      </c>
      <c r="E270" s="332">
        <f>Gasto_o_ing_per_capita!E270*100/Gasto_o_ing_per_capita!$D270</f>
        <v>95.418523349778994</v>
      </c>
      <c r="F270" s="332">
        <f>Gasto_o_ing_per_capita!F270*100/Gasto_o_ing_per_capita!$D270</f>
        <v>83.734007169037241</v>
      </c>
      <c r="G270" s="332">
        <f>Gasto_o_ing_per_capita!G270*100/Gasto_o_ing_per_capita!$D270</f>
        <v>70.213494757342758</v>
      </c>
      <c r="H270" s="332">
        <f>Gasto_o_ing_per_capita!H270*100/Gasto_o_ing_per_capita!$D270</f>
        <v>127.68565400312445</v>
      </c>
      <c r="I270" s="332">
        <f>Gasto_o_ing_per_capita!I270*100/Gasto_o_ing_per_capita!$D270</f>
        <v>156.48132437746406</v>
      </c>
      <c r="J270" s="332">
        <f>Gasto_o_ing_per_capita!J270*100/Gasto_o_ing_per_capita!$D270</f>
        <v>46.610847134097099</v>
      </c>
      <c r="K270" s="332">
        <f>Gasto_o_ing_per_capita!K270*100/Gasto_o_ing_per_capita!$D270</f>
        <v>105.76536358879611</v>
      </c>
      <c r="L270" s="332">
        <f>Gasto_o_ing_per_capita!L270*100/Gasto_o_ing_per_capita!$D270</f>
        <v>108.59222604206836</v>
      </c>
      <c r="M270" s="332">
        <f>Gasto_o_ing_per_capita!M270*100/Gasto_o_ing_per_capita!$D270</f>
        <v>93.427426385604278</v>
      </c>
      <c r="N270" s="332">
        <f>Gasto_o_ing_per_capita!N270*100/Gasto_o_ing_per_capita!$D270</f>
        <v>88.438968384159921</v>
      </c>
      <c r="O270" s="332">
        <f>Gasto_o_ing_per_capita!O270*100/Gasto_o_ing_per_capita!$D270</f>
        <v>126.63755464353436</v>
      </c>
      <c r="P270" s="332">
        <f>Gasto_o_ing_per_capita!P270*100/Gasto_o_ing_per_capita!$D270</f>
        <v>68.310331987950676</v>
      </c>
      <c r="Q270" s="332">
        <f>Gasto_o_ing_per_capita!Q270*100/Gasto_o_ing_per_capita!$D270</f>
        <v>145.43809501642866</v>
      </c>
      <c r="R270" s="332">
        <f>Gasto_o_ing_per_capita!R270*100/Gasto_o_ing_per_capita!$D270</f>
        <v>67.057407965633871</v>
      </c>
      <c r="S270" s="332">
        <f>Gasto_o_ing_per_capita!S270*100/Gasto_o_ing_per_capita!$D270</f>
        <v>85.179152802387932</v>
      </c>
      <c r="T270" s="332">
        <f>Gasto_o_ing_per_capita!T270*100/Gasto_o_ing_per_capita!$D270</f>
        <v>59.38362828378537</v>
      </c>
      <c r="U270" s="332">
        <f>Gasto_o_ing_per_capita!U270*100/Gasto_o_ing_per_capita!$D270</f>
        <v>97.987805876090405</v>
      </c>
      <c r="V270" s="332">
        <f>Gasto_o_ing_per_capita!V270*100/Gasto_o_ing_per_capita!$D270</f>
        <v>-132.11537056761713</v>
      </c>
    </row>
    <row r="271" spans="1:22" s="102" customFormat="1">
      <c r="A271" s="351" t="str">
        <f>IF(B271="","",(IF(ISERROR(MATCH(B271,Tot_res!C:C,0)),"Eliminar!!!","")))</f>
        <v/>
      </c>
      <c r="B271" s="119" t="s">
        <v>283</v>
      </c>
      <c r="C271" s="329" t="str">
        <f>VLOOKUP(B271,Tot_res!C:D,2,FALSE)</f>
        <v>Excedente bruto de los concesionarios de autopistas de peaje</v>
      </c>
      <c r="D271" s="332">
        <f>Gasto_o_ing_per_capita!D271*100/Gasto_o_ing_per_capita!$D271</f>
        <v>100</v>
      </c>
      <c r="E271" s="332">
        <f>Gasto_o_ing_per_capita!E271*100/Gasto_o_ing_per_capita!$D271</f>
        <v>67.377470714473887</v>
      </c>
      <c r="F271" s="332">
        <f>Gasto_o_ing_per_capita!F271*100/Gasto_o_ing_per_capita!$D271</f>
        <v>157.03317857131546</v>
      </c>
      <c r="G271" s="332">
        <f>Gasto_o_ing_per_capita!G271*100/Gasto_o_ing_per_capita!$D271</f>
        <v>78.766433067724805</v>
      </c>
      <c r="H271" s="332">
        <f>Gasto_o_ing_per_capita!H271*100/Gasto_o_ing_per_capita!$D271</f>
        <v>35.9798805474246</v>
      </c>
      <c r="I271" s="332">
        <f>Gasto_o_ing_per_capita!I271*100/Gasto_o_ing_per_capita!$D271</f>
        <v>34.546152993487048</v>
      </c>
      <c r="J271" s="332">
        <f>Gasto_o_ing_per_capita!J271*100/Gasto_o_ing_per_capita!$D271</f>
        <v>50.712251981588658</v>
      </c>
      <c r="K271" s="332">
        <f>Gasto_o_ing_per_capita!K271*100/Gasto_o_ing_per_capita!$D271</f>
        <v>121.57597573110931</v>
      </c>
      <c r="L271" s="332">
        <f>Gasto_o_ing_per_capita!L271*100/Gasto_o_ing_per_capita!$D271</f>
        <v>138.17445470711866</v>
      </c>
      <c r="M271" s="332">
        <f>Gasto_o_ing_per_capita!M271*100/Gasto_o_ing_per_capita!$D271</f>
        <v>114.40049167971257</v>
      </c>
      <c r="N271" s="332">
        <f>Gasto_o_ing_per_capita!N271*100/Gasto_o_ing_per_capita!$D271</f>
        <v>106.76708425235175</v>
      </c>
      <c r="O271" s="332">
        <f>Gasto_o_ing_per_capita!O271*100/Gasto_o_ing_per_capita!$D271</f>
        <v>62.428915058530315</v>
      </c>
      <c r="P271" s="332">
        <f>Gasto_o_ing_per_capita!P271*100/Gasto_o_ing_per_capita!$D271</f>
        <v>127.79847008884882</v>
      </c>
      <c r="Q271" s="332">
        <f>Gasto_o_ing_per_capita!Q271*100/Gasto_o_ing_per_capita!$D271</f>
        <v>88.809937535484067</v>
      </c>
      <c r="R271" s="332">
        <f>Gasto_o_ing_per_capita!R271*100/Gasto_o_ing_per_capita!$D271</f>
        <v>96.147149870538442</v>
      </c>
      <c r="S271" s="332">
        <f>Gasto_o_ing_per_capita!S271*100/Gasto_o_ing_per_capita!$D271</f>
        <v>224.71672131586672</v>
      </c>
      <c r="T271" s="332">
        <f>Gasto_o_ing_per_capita!T271*100/Gasto_o_ing_per_capita!$D271</f>
        <v>140.74385768123051</v>
      </c>
      <c r="U271" s="332">
        <f>Gasto_o_ing_per_capita!U271*100/Gasto_o_ing_per_capita!$D271</f>
        <v>313.09152962456147</v>
      </c>
      <c r="V271" s="332">
        <f>Gasto_o_ing_per_capita!V271*100/Gasto_o_ing_per_capita!$D271</f>
        <v>39.375358599614053</v>
      </c>
    </row>
    <row r="272" spans="1:22" s="102" customFormat="1">
      <c r="A272" s="351" t="str">
        <f>IF(B272="","",(IF(ISERROR(MATCH(B272,Tot_res!C:C,0)),"Eliminar!!!","")))</f>
        <v/>
      </c>
      <c r="B272" s="119" t="s">
        <v>284</v>
      </c>
      <c r="C272" s="329" t="str">
        <f>VLOOKUP(B272,Tot_res!C:D,2,FALSE)</f>
        <v>Infraestructuras de carreteras, SEITT + AF06/2</v>
      </c>
      <c r="D272" s="332">
        <f>Gasto_o_ing_per_capita!D272*100/Gasto_o_ing_per_capita!$D272</f>
        <v>100</v>
      </c>
      <c r="E272" s="332">
        <f>Gasto_o_ing_per_capita!E272*100/Gasto_o_ing_per_capita!$D272</f>
        <v>103.81314429915111</v>
      </c>
      <c r="F272" s="332">
        <f>Gasto_o_ing_per_capita!F272*100/Gasto_o_ing_per_capita!$D272</f>
        <v>268.83789269005365</v>
      </c>
      <c r="G272" s="332">
        <f>Gasto_o_ing_per_capita!G272*100/Gasto_o_ing_per_capita!$D272</f>
        <v>245.55425727153431</v>
      </c>
      <c r="H272" s="332">
        <f>Gasto_o_ing_per_capita!H272*100/Gasto_o_ing_per_capita!$D272</f>
        <v>6.7653686656608309</v>
      </c>
      <c r="I272" s="332">
        <f>Gasto_o_ing_per_capita!I272*100/Gasto_o_ing_per_capita!$D272</f>
        <v>7.6356334413510289</v>
      </c>
      <c r="J272" s="332">
        <f>Gasto_o_ing_per_capita!J272*100/Gasto_o_ing_per_capita!$D272</f>
        <v>17.14176215729475</v>
      </c>
      <c r="K272" s="332">
        <f>Gasto_o_ing_per_capita!K272*100/Gasto_o_ing_per_capita!$D272</f>
        <v>15.022159900194305</v>
      </c>
      <c r="L272" s="332">
        <f>Gasto_o_ing_per_capita!L272*100/Gasto_o_ing_per_capita!$D272</f>
        <v>426.22434684801112</v>
      </c>
      <c r="M272" s="332">
        <f>Gasto_o_ing_per_capita!M272*100/Gasto_o_ing_per_capita!$D272</f>
        <v>102.73167013231996</v>
      </c>
      <c r="N272" s="332">
        <f>Gasto_o_ing_per_capita!N272*100/Gasto_o_ing_per_capita!$D272</f>
        <v>69.010061260387374</v>
      </c>
      <c r="O272" s="332">
        <f>Gasto_o_ing_per_capita!O272*100/Gasto_o_ing_per_capita!$D272</f>
        <v>16.913071412451572</v>
      </c>
      <c r="P272" s="332">
        <f>Gasto_o_ing_per_capita!P272*100/Gasto_o_ing_per_capita!$D272</f>
        <v>230.4661491229713</v>
      </c>
      <c r="Q272" s="332">
        <f>Gasto_o_ing_per_capita!Q272*100/Gasto_o_ing_per_capita!$D272</f>
        <v>20.403698353997221</v>
      </c>
      <c r="R272" s="332">
        <f>Gasto_o_ing_per_capita!R272*100/Gasto_o_ing_per_capita!$D272</f>
        <v>15.273695191457913</v>
      </c>
      <c r="S272" s="332">
        <f>Gasto_o_ing_per_capita!S272*100/Gasto_o_ing_per_capita!$D272</f>
        <v>111.68923212644344</v>
      </c>
      <c r="T272" s="332">
        <f>Gasto_o_ing_per_capita!T272*100/Gasto_o_ing_per_capita!$D272</f>
        <v>105.2117641278662</v>
      </c>
      <c r="U272" s="332">
        <f>Gasto_o_ing_per_capita!U272*100/Gasto_o_ing_per_capita!$D272</f>
        <v>19.283314879326593</v>
      </c>
      <c r="V272" s="332">
        <f>Gasto_o_ing_per_capita!V272*100/Gasto_o_ing_per_capita!$D272</f>
        <v>10.361900568057033</v>
      </c>
    </row>
    <row r="273" spans="1:22" s="102" customFormat="1">
      <c r="A273" s="351" t="str">
        <f>IF(B273="","",(IF(ISERROR(MATCH(B273,Tot_res!C:C,0)),"Eliminar!!!","")))</f>
        <v/>
      </c>
      <c r="B273" s="119" t="s">
        <v>286</v>
      </c>
      <c r="C273" s="329" t="str">
        <f>VLOOKUP(B273,Tot_res!C:D,2,FALSE)</f>
        <v>"Y" ferroviaria vasca, parte financiada mediante descuento del cupo</v>
      </c>
      <c r="D273" s="332">
        <f>Gasto_o_ing_per_capita!D273*100/Gasto_o_ing_per_capita!$D273</f>
        <v>100</v>
      </c>
      <c r="E273" s="332">
        <f>Gasto_o_ing_per_capita!E273*100/Gasto_o_ing_per_capita!$D273</f>
        <v>21.184678344793014</v>
      </c>
      <c r="F273" s="332">
        <f>Gasto_o_ing_per_capita!F273*100/Gasto_o_ing_per_capita!$D273</f>
        <v>34.582159501220083</v>
      </c>
      <c r="G273" s="332">
        <f>Gasto_o_ing_per_capita!G273*100/Gasto_o_ing_per_capita!$D273</f>
        <v>26.875721698730949</v>
      </c>
      <c r="H273" s="332">
        <f>Gasto_o_ing_per_capita!H273*100/Gasto_o_ing_per_capita!$D273</f>
        <v>6.6220733095404283</v>
      </c>
      <c r="I273" s="332">
        <f>Gasto_o_ing_per_capita!I273*100/Gasto_o_ing_per_capita!$D273</f>
        <v>3.6068864144962252</v>
      </c>
      <c r="J273" s="332">
        <f>Gasto_o_ing_per_capita!J273*100/Gasto_o_ing_per_capita!$D273</f>
        <v>21.943548888513668</v>
      </c>
      <c r="K273" s="332">
        <f>Gasto_o_ing_per_capita!K273*100/Gasto_o_ing_per_capita!$D273</f>
        <v>14.634901007280089</v>
      </c>
      <c r="L273" s="332">
        <f>Gasto_o_ing_per_capita!L273*100/Gasto_o_ing_per_capita!$D273</f>
        <v>27.303700627871009</v>
      </c>
      <c r="M273" s="332">
        <f>Gasto_o_ing_per_capita!M273*100/Gasto_o_ing_per_capita!$D273</f>
        <v>53.936977308433264</v>
      </c>
      <c r="N273" s="332">
        <f>Gasto_o_ing_per_capita!N273*100/Gasto_o_ing_per_capita!$D273</f>
        <v>30.518643250762484</v>
      </c>
      <c r="O273" s="332">
        <f>Gasto_o_ing_per_capita!O273*100/Gasto_o_ing_per_capita!$D273</f>
        <v>13.312328150665095</v>
      </c>
      <c r="P273" s="332">
        <f>Gasto_o_ing_per_capita!P273*100/Gasto_o_ing_per_capita!$D273</f>
        <v>16.347692666199823</v>
      </c>
      <c r="Q273" s="332">
        <f>Gasto_o_ing_per_capita!Q273*100/Gasto_o_ing_per_capita!$D273</f>
        <v>69.297326448912941</v>
      </c>
      <c r="R273" s="332">
        <f>Gasto_o_ing_per_capita!R273*100/Gasto_o_ing_per_capita!$D273</f>
        <v>16.538973377914768</v>
      </c>
      <c r="S273" s="332">
        <f>Gasto_o_ing_per_capita!S273*100/Gasto_o_ing_per_capita!$D273</f>
        <v>50.657157868736782</v>
      </c>
      <c r="T273" s="332">
        <f>Gasto_o_ing_per_capita!T273*100/Gasto_o_ing_per_capita!$D273</f>
        <v>1447.6415826965956</v>
      </c>
      <c r="U273" s="332">
        <f>Gasto_o_ing_per_capita!U273*100/Gasto_o_ing_per_capita!$D273</f>
        <v>19.112149157555127</v>
      </c>
      <c r="V273" s="332">
        <f>Gasto_o_ing_per_capita!V273*100/Gasto_o_ing_per_capita!$D273</f>
        <v>9.2174833633175837</v>
      </c>
    </row>
    <row r="274" spans="1:22" s="102" customFormat="1">
      <c r="A274" s="351" t="str">
        <f>IF(B274="","",(IF(ISERROR(MATCH(B274,Tot_res!C:C,0)),"Eliminar!!!","")))</f>
        <v/>
      </c>
      <c r="B274" s="119" t="s">
        <v>1210</v>
      </c>
      <c r="C274" s="329" t="str">
        <f>VLOOKUP(B274,Tot_res!C:D,2,FALSE)</f>
        <v>Parques Nacionales transferidos durante el año, coste efectivo</v>
      </c>
      <c r="D274" s="332">
        <f>Gasto_o_ing_per_capita!D274*100/Gasto_o_ing_per_capita!$D274</f>
        <v>100</v>
      </c>
      <c r="E274" s="332">
        <f>Gasto_o_ing_per_capita!E274*100/Gasto_o_ing_per_capita!$D274</f>
        <v>21.796432560784421</v>
      </c>
      <c r="F274" s="332">
        <f>Gasto_o_ing_per_capita!F274*100/Gasto_o_ing_per_capita!$D274</f>
        <v>26.454450188260022</v>
      </c>
      <c r="G274" s="332">
        <f>Gasto_o_ing_per_capita!G274*100/Gasto_o_ing_per_capita!$D274</f>
        <v>23.463300925755128</v>
      </c>
      <c r="H274" s="332">
        <f>Gasto_o_ing_per_capita!H274*100/Gasto_o_ing_per_capita!$D274</f>
        <v>25.901557564171767</v>
      </c>
      <c r="I274" s="332">
        <f>Gasto_o_ing_per_capita!I274*100/Gasto_o_ing_per_capita!$D274</f>
        <v>1688.8968810249974</v>
      </c>
      <c r="J274" s="332">
        <f>Gasto_o_ing_per_capita!J274*100/Gasto_o_ing_per_capita!$D274</f>
        <v>23.957145353504842</v>
      </c>
      <c r="K274" s="332">
        <f>Gasto_o_ing_per_capita!K274*100/Gasto_o_ing_per_capita!$D274</f>
        <v>24.269733639711767</v>
      </c>
      <c r="L274" s="332">
        <f>Gasto_o_ing_per_capita!L274*100/Gasto_o_ing_per_capita!$D274</f>
        <v>22.220253982203342</v>
      </c>
      <c r="M274" s="332">
        <f>Gasto_o_ing_per_capita!M274*100/Gasto_o_ing_per_capita!$D274</f>
        <v>27.249156038029934</v>
      </c>
      <c r="N274" s="332">
        <f>Gasto_o_ing_per_capita!N274*100/Gasto_o_ing_per_capita!$D274</f>
        <v>23.472418838365233</v>
      </c>
      <c r="O274" s="332">
        <f>Gasto_o_ing_per_capita!O274*100/Gasto_o_ing_per_capita!$D274</f>
        <v>21.056616370927916</v>
      </c>
      <c r="P274" s="332">
        <f>Gasto_o_ing_per_capita!P274*100/Gasto_o_ing_per_capita!$D274</f>
        <v>23.572449248139737</v>
      </c>
      <c r="Q274" s="332">
        <f>Gasto_o_ing_per_capita!Q274*100/Gasto_o_ing_per_capita!$D274</f>
        <v>29.574733119957092</v>
      </c>
      <c r="R274" s="332">
        <f>Gasto_o_ing_per_capita!R274*100/Gasto_o_ing_per_capita!$D274</f>
        <v>22.698717887763848</v>
      </c>
      <c r="S274" s="332">
        <f>Gasto_o_ing_per_capita!S274*100/Gasto_o_ing_per_capita!$D274</f>
        <v>28.181669316671062</v>
      </c>
      <c r="T274" s="332">
        <f>Gasto_o_ing_per_capita!T274*100/Gasto_o_ing_per_capita!$D274</f>
        <v>28.945799326918717</v>
      </c>
      <c r="U274" s="332">
        <f>Gasto_o_ing_per_capita!U274*100/Gasto_o_ing_per_capita!$D274</f>
        <v>26.025228253364464</v>
      </c>
      <c r="V274" s="332">
        <f>Gasto_o_ing_per_capita!V274*100/Gasto_o_ing_per_capita!$D274</f>
        <v>22.290229690483038</v>
      </c>
    </row>
    <row r="275" spans="1:22" s="102" customFormat="1">
      <c r="A275" s="351" t="str">
        <f>IF(B275="","",(IF(ISERROR(MATCH(B275,Tot_res!C:C,0)),"Eliminar!!!","")))</f>
        <v/>
      </c>
      <c r="B275" s="115" t="s">
        <v>226</v>
      </c>
      <c r="C275" s="329" t="str">
        <f>VLOOKUP(B275,Tot_res!C:D,2,FALSE)</f>
        <v>Ajuste forales, ayudas al transporte colectivo urbano</v>
      </c>
      <c r="D275" s="332">
        <f>Gasto_o_ing_per_capita!D275*100/Gasto_o_ing_per_capita!$D275</f>
        <v>100</v>
      </c>
      <c r="E275" s="332">
        <f>Gasto_o_ing_per_capita!E275*100/Gasto_o_ing_per_capita!$D275</f>
        <v>0</v>
      </c>
      <c r="F275" s="332">
        <f>Gasto_o_ing_per_capita!F275*100/Gasto_o_ing_per_capita!$D275</f>
        <v>0</v>
      </c>
      <c r="G275" s="332">
        <f>Gasto_o_ing_per_capita!G275*100/Gasto_o_ing_per_capita!$D275</f>
        <v>0</v>
      </c>
      <c r="H275" s="332">
        <f>Gasto_o_ing_per_capita!H275*100/Gasto_o_ing_per_capita!$D275</f>
        <v>0</v>
      </c>
      <c r="I275" s="332">
        <f>Gasto_o_ing_per_capita!I275*100/Gasto_o_ing_per_capita!$D275</f>
        <v>0</v>
      </c>
      <c r="J275" s="332">
        <f>Gasto_o_ing_per_capita!J275*100/Gasto_o_ing_per_capita!$D275</f>
        <v>0</v>
      </c>
      <c r="K275" s="332">
        <f>Gasto_o_ing_per_capita!K275*100/Gasto_o_ing_per_capita!$D275</f>
        <v>0</v>
      </c>
      <c r="L275" s="332">
        <f>Gasto_o_ing_per_capita!L275*100/Gasto_o_ing_per_capita!$D275</f>
        <v>0</v>
      </c>
      <c r="M275" s="332">
        <f>Gasto_o_ing_per_capita!M275*100/Gasto_o_ing_per_capita!$D275</f>
        <v>0</v>
      </c>
      <c r="N275" s="332">
        <f>Gasto_o_ing_per_capita!N275*100/Gasto_o_ing_per_capita!$D275</f>
        <v>0</v>
      </c>
      <c r="O275" s="332">
        <f>Gasto_o_ing_per_capita!O275*100/Gasto_o_ing_per_capita!$D275</f>
        <v>0</v>
      </c>
      <c r="P275" s="332">
        <f>Gasto_o_ing_per_capita!P275*100/Gasto_o_ing_per_capita!$D275</f>
        <v>0</v>
      </c>
      <c r="Q275" s="332">
        <f>Gasto_o_ing_per_capita!Q275*100/Gasto_o_ing_per_capita!$D275</f>
        <v>0</v>
      </c>
      <c r="R275" s="332">
        <f>Gasto_o_ing_per_capita!R275*100/Gasto_o_ing_per_capita!$D275</f>
        <v>0</v>
      </c>
      <c r="S275" s="332">
        <f>Gasto_o_ing_per_capita!S275*100/Gasto_o_ing_per_capita!$D275</f>
        <v>1651.2107674316958</v>
      </c>
      <c r="T275" s="332">
        <f>Gasto_o_ing_per_capita!T275*100/Gasto_o_ing_per_capita!$D275</f>
        <v>1649.9618076972129</v>
      </c>
      <c r="U275" s="332">
        <f>Gasto_o_ing_per_capita!U275*100/Gasto_o_ing_per_capita!$D275</f>
        <v>0</v>
      </c>
      <c r="V275" s="332">
        <f>Gasto_o_ing_per_capita!V275*100/Gasto_o_ing_per_capita!$D275</f>
        <v>0</v>
      </c>
    </row>
    <row r="276" spans="1:22">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2" s="103" customFormat="1" ht="13.5">
      <c r="A277" s="352"/>
      <c r="B277" s="137"/>
      <c r="C277" s="117" t="s">
        <v>55</v>
      </c>
      <c r="D277" s="113">
        <f>Gasto_o_ing_per_capita!D277*100/Gasto_o_ing_per_capita!$D277</f>
        <v>99.999999999999986</v>
      </c>
      <c r="E277" s="113">
        <f>Gasto_o_ing_per_capita!E277*100/Gasto_o_ing_per_capita!$D277</f>
        <v>140.96889634770358</v>
      </c>
      <c r="F277" s="113">
        <f>Gasto_o_ing_per_capita!F277*100/Gasto_o_ing_per_capita!$D277</f>
        <v>59.526578722925414</v>
      </c>
      <c r="G277" s="113">
        <f>Gasto_o_ing_per_capita!G277*100/Gasto_o_ing_per_capita!$D277</f>
        <v>99.815222206456596</v>
      </c>
      <c r="H277" s="113">
        <f>Gasto_o_ing_per_capita!H277*100/Gasto_o_ing_per_capita!$D277</f>
        <v>302.0867657413591</v>
      </c>
      <c r="I277" s="113">
        <f>Gasto_o_ing_per_capita!I277*100/Gasto_o_ing_per_capita!$D277</f>
        <v>572.79804119435767</v>
      </c>
      <c r="J277" s="113">
        <f>Gasto_o_ing_per_capita!J277*100/Gasto_o_ing_per_capita!$D277</f>
        <v>80.423191922341445</v>
      </c>
      <c r="K277" s="113">
        <f>Gasto_o_ing_per_capita!K277*100/Gasto_o_ing_per_capita!$D277</f>
        <v>105.9362777536309</v>
      </c>
      <c r="L277" s="113">
        <f>Gasto_o_ing_per_capita!L277*100/Gasto_o_ing_per_capita!$D277</f>
        <v>99.863100065443803</v>
      </c>
      <c r="M277" s="113">
        <f>Gasto_o_ing_per_capita!M277*100/Gasto_o_ing_per_capita!$D277</f>
        <v>15.524636003485535</v>
      </c>
      <c r="N277" s="113">
        <f>Gasto_o_ing_per_capita!N277*100/Gasto_o_ing_per_capita!$D277</f>
        <v>32.721457240357985</v>
      </c>
      <c r="O277" s="113">
        <f>Gasto_o_ing_per_capita!O277*100/Gasto_o_ing_per_capita!$D277</f>
        <v>247.96697185873623</v>
      </c>
      <c r="P277" s="113">
        <f>Gasto_o_ing_per_capita!P277*100/Gasto_o_ing_per_capita!$D277</f>
        <v>128.68003695959541</v>
      </c>
      <c r="Q277" s="113">
        <f>Gasto_o_ing_per_capita!Q277*100/Gasto_o_ing_per_capita!$D277</f>
        <v>3.9750881634977309</v>
      </c>
      <c r="R277" s="113">
        <f>Gasto_o_ing_per_capita!R277*100/Gasto_o_ing_per_capita!$D277</f>
        <v>65.590968542478905</v>
      </c>
      <c r="S277" s="113">
        <f>Gasto_o_ing_per_capita!S277*100/Gasto_o_ing_per_capita!$D277</f>
        <v>6.5118285869567201</v>
      </c>
      <c r="T277" s="113">
        <f>Gasto_o_ing_per_capita!T277*100/Gasto_o_ing_per_capita!$D277</f>
        <v>35.350754633431073</v>
      </c>
      <c r="U277" s="113">
        <f>Gasto_o_ing_per_capita!U277*100/Gasto_o_ing_per_capita!$D277</f>
        <v>7.7130799087669235</v>
      </c>
      <c r="V277" s="113">
        <f>Gasto_o_ing_per_capita!V277*100/Gasto_o_ing_per_capita!$D277</f>
        <v>803.52154243007783</v>
      </c>
    </row>
    <row r="278" spans="1:22" s="102" customFormat="1">
      <c r="A278" s="351" t="str">
        <f>IF(B278="","",(IF(ISERROR(MATCH(B278,Tot_res!C:C,0)),"Eliminar!!!","")))</f>
        <v/>
      </c>
      <c r="B278" s="115" t="s">
        <v>629</v>
      </c>
      <c r="C278" s="329" t="str">
        <f>VLOOKUP(B278,Tot_res!C:D,2,FALSE)</f>
        <v>Subsidio y renta para eventuales agrarios en Andalucía y Extremadura</v>
      </c>
      <c r="D278" s="332">
        <f>Gasto_o_ing_per_capita!D278*100/Gasto_o_ing_per_capita!$D278</f>
        <v>99.999999999999986</v>
      </c>
      <c r="E278" s="332">
        <f>Gasto_o_ing_per_capita!E278*100/Gasto_o_ing_per_capita!$D278</f>
        <v>484.97668502721189</v>
      </c>
      <c r="F278" s="332">
        <f>Gasto_o_ing_per_capita!F278*100/Gasto_o_ing_per_capita!$D278</f>
        <v>0</v>
      </c>
      <c r="G278" s="332">
        <f>Gasto_o_ing_per_capita!G278*100/Gasto_o_ing_per_capita!$D278</f>
        <v>0</v>
      </c>
      <c r="H278" s="332">
        <f>Gasto_o_ing_per_capita!H278*100/Gasto_o_ing_per_capita!$D278</f>
        <v>0</v>
      </c>
      <c r="I278" s="332">
        <f>Gasto_o_ing_per_capita!I278*100/Gasto_o_ing_per_capita!$D278</f>
        <v>0</v>
      </c>
      <c r="J278" s="332">
        <f>Gasto_o_ing_per_capita!J278*100/Gasto_o_ing_per_capita!$D278</f>
        <v>0</v>
      </c>
      <c r="K278" s="332">
        <f>Gasto_o_ing_per_capita!K278*100/Gasto_o_ing_per_capita!$D278</f>
        <v>0</v>
      </c>
      <c r="L278" s="332">
        <f>Gasto_o_ing_per_capita!L278*100/Gasto_o_ing_per_capita!$D278</f>
        <v>0</v>
      </c>
      <c r="M278" s="332">
        <f>Gasto_o_ing_per_capita!M278*100/Gasto_o_ing_per_capita!$D278</f>
        <v>0</v>
      </c>
      <c r="N278" s="332">
        <f>Gasto_o_ing_per_capita!N278*100/Gasto_o_ing_per_capita!$D278</f>
        <v>0</v>
      </c>
      <c r="O278" s="332">
        <f>Gasto_o_ing_per_capita!O278*100/Gasto_o_ing_per_capita!$D278</f>
        <v>543.32504175189933</v>
      </c>
      <c r="P278" s="332">
        <f>Gasto_o_ing_per_capita!P278*100/Gasto_o_ing_per_capita!$D278</f>
        <v>0</v>
      </c>
      <c r="Q278" s="332">
        <f>Gasto_o_ing_per_capita!Q278*100/Gasto_o_ing_per_capita!$D278</f>
        <v>0</v>
      </c>
      <c r="R278" s="332">
        <f>Gasto_o_ing_per_capita!R278*100/Gasto_o_ing_per_capita!$D278</f>
        <v>0</v>
      </c>
      <c r="S278" s="332">
        <f>Gasto_o_ing_per_capita!S278*100/Gasto_o_ing_per_capita!$D278</f>
        <v>0</v>
      </c>
      <c r="T278" s="332">
        <f>Gasto_o_ing_per_capita!T278*100/Gasto_o_ing_per_capita!$D278</f>
        <v>0</v>
      </c>
      <c r="U278" s="332">
        <f>Gasto_o_ing_per_capita!U278*100/Gasto_o_ing_per_capita!$D278</f>
        <v>0</v>
      </c>
      <c r="V278" s="332">
        <f>Gasto_o_ing_per_capita!V278*100/Gasto_o_ing_per_capita!$D278</f>
        <v>0</v>
      </c>
    </row>
    <row r="279" spans="1:22" s="102" customFormat="1">
      <c r="A279" s="351" t="str">
        <f>IF(B279="","",(IF(ISERROR(MATCH(B279,Tot_res!C:C,0)),"Eliminar!!!","")))</f>
        <v/>
      </c>
      <c r="B279" s="115" t="s">
        <v>288</v>
      </c>
      <c r="C279" s="329" t="str">
        <f>VLOOKUP(B279,Tot_res!C:D,2,FALSE)</f>
        <v>Incentivos regionales a la localización industrial</v>
      </c>
      <c r="D279" s="332">
        <f>Gasto_o_ing_per_capita!D279*100/Gasto_o_ing_per_capita!$D279</f>
        <v>100</v>
      </c>
      <c r="E279" s="332">
        <f>Gasto_o_ing_per_capita!E279*100/Gasto_o_ing_per_capita!$D279</f>
        <v>98.952028250252695</v>
      </c>
      <c r="F279" s="332">
        <f>Gasto_o_ing_per_capita!F279*100/Gasto_o_ing_per_capita!$D279</f>
        <v>38.156192823059762</v>
      </c>
      <c r="G279" s="332">
        <f>Gasto_o_ing_per_capita!G279*100/Gasto_o_ing_per_capita!$D279</f>
        <v>133.88347956721839</v>
      </c>
      <c r="H279" s="332">
        <f>Gasto_o_ing_per_capita!H279*100/Gasto_o_ing_per_capita!$D279</f>
        <v>0</v>
      </c>
      <c r="I279" s="332">
        <f>Gasto_o_ing_per_capita!I279*100/Gasto_o_ing_per_capita!$D279</f>
        <v>14.284270465342125</v>
      </c>
      <c r="J279" s="332">
        <f>Gasto_o_ing_per_capita!J279*100/Gasto_o_ing_per_capita!$D279</f>
        <v>33.486671356556272</v>
      </c>
      <c r="K279" s="332">
        <f>Gasto_o_ing_per_capita!K279*100/Gasto_o_ing_per_capita!$D279</f>
        <v>313.87977086144224</v>
      </c>
      <c r="L279" s="332">
        <f>Gasto_o_ing_per_capita!L279*100/Gasto_o_ing_per_capita!$D279</f>
        <v>32.069439006407585</v>
      </c>
      <c r="M279" s="332">
        <f>Gasto_o_ing_per_capita!M279*100/Gasto_o_ing_per_capita!$D279</f>
        <v>0</v>
      </c>
      <c r="N279" s="332">
        <f>Gasto_o_ing_per_capita!N279*100/Gasto_o_ing_per_capita!$D279</f>
        <v>432.21582803123351</v>
      </c>
      <c r="O279" s="332">
        <f>Gasto_o_ing_per_capita!O279*100/Gasto_o_ing_per_capita!$D279</f>
        <v>325.15670832346268</v>
      </c>
      <c r="P279" s="332">
        <f>Gasto_o_ing_per_capita!P279*100/Gasto_o_ing_per_capita!$D279</f>
        <v>65.8819406926185</v>
      </c>
      <c r="Q279" s="332">
        <f>Gasto_o_ing_per_capita!Q279*100/Gasto_o_ing_per_capita!$D279</f>
        <v>0</v>
      </c>
      <c r="R279" s="332">
        <f>Gasto_o_ing_per_capita!R279*100/Gasto_o_ing_per_capita!$D279</f>
        <v>38.266213865428504</v>
      </c>
      <c r="S279" s="332">
        <f>Gasto_o_ing_per_capita!S279*100/Gasto_o_ing_per_capita!$D279</f>
        <v>0</v>
      </c>
      <c r="T279" s="332">
        <f>Gasto_o_ing_per_capita!T279*100/Gasto_o_ing_per_capita!$D279</f>
        <v>0</v>
      </c>
      <c r="U279" s="332">
        <f>Gasto_o_ing_per_capita!U279*100/Gasto_o_ing_per_capita!$D279</f>
        <v>0</v>
      </c>
      <c r="V279" s="332">
        <f>Gasto_o_ing_per_capita!V279*100/Gasto_o_ing_per_capita!$D279</f>
        <v>0</v>
      </c>
    </row>
    <row r="280" spans="1:22" s="102" customFormat="1">
      <c r="A280" s="351" t="str">
        <f>IF(B280="","",(IF(ISERROR(MATCH(B280,Tot_res!C:C,0)),"Eliminar!!!","")))</f>
        <v/>
      </c>
      <c r="B280" s="115" t="s">
        <v>289</v>
      </c>
      <c r="C280" s="329" t="str">
        <f>VLOOKUP(B280,Tot_res!C:D,2,FALSE)</f>
        <v>Desarrollo alternativo de las comarcas mineras del carbón</v>
      </c>
      <c r="D280" s="332">
        <f>Gasto_o_ing_per_capita!D280*100/Gasto_o_ing_per_capita!$D280</f>
        <v>100</v>
      </c>
      <c r="E280" s="332">
        <f>Gasto_o_ing_per_capita!E280*100/Gasto_o_ing_per_capita!$D280</f>
        <v>32.222277112535792</v>
      </c>
      <c r="F280" s="332">
        <f>Gasto_o_ing_per_capita!F280*100/Gasto_o_ing_per_capita!$D280</f>
        <v>205.19605477299856</v>
      </c>
      <c r="G280" s="332">
        <f>Gasto_o_ing_per_capita!G280*100/Gasto_o_ing_per_capita!$D280</f>
        <v>2109.5251574119648</v>
      </c>
      <c r="H280" s="332">
        <f>Gasto_o_ing_per_capita!H280*100/Gasto_o_ing_per_capita!$D280</f>
        <v>0</v>
      </c>
      <c r="I280" s="332">
        <f>Gasto_o_ing_per_capita!I280*100/Gasto_o_ing_per_capita!$D280</f>
        <v>0</v>
      </c>
      <c r="J280" s="332">
        <f>Gasto_o_ing_per_capita!J280*100/Gasto_o_ing_per_capita!$D280</f>
        <v>0</v>
      </c>
      <c r="K280" s="332">
        <f>Gasto_o_ing_per_capita!K280*100/Gasto_o_ing_per_capita!$D280</f>
        <v>391.00045461531454</v>
      </c>
      <c r="L280" s="332">
        <f>Gasto_o_ing_per_capita!L280*100/Gasto_o_ing_per_capita!$D280</f>
        <v>0</v>
      </c>
      <c r="M280" s="332">
        <f>Gasto_o_ing_per_capita!M280*100/Gasto_o_ing_per_capita!$D280</f>
        <v>43.001435004877166</v>
      </c>
      <c r="N280" s="332">
        <f>Gasto_o_ing_per_capita!N280*100/Gasto_o_ing_per_capita!$D280</f>
        <v>0</v>
      </c>
      <c r="O280" s="332">
        <f>Gasto_o_ing_per_capita!O280*100/Gasto_o_ing_per_capita!$D280</f>
        <v>0</v>
      </c>
      <c r="P280" s="332">
        <f>Gasto_o_ing_per_capita!P280*100/Gasto_o_ing_per_capita!$D280</f>
        <v>220.79713767242504</v>
      </c>
      <c r="Q280" s="332">
        <f>Gasto_o_ing_per_capita!Q280*100/Gasto_o_ing_per_capita!$D280</f>
        <v>0</v>
      </c>
      <c r="R280" s="332">
        <f>Gasto_o_ing_per_capita!R280*100/Gasto_o_ing_per_capita!$D280</f>
        <v>0</v>
      </c>
      <c r="S280" s="332">
        <f>Gasto_o_ing_per_capita!S280*100/Gasto_o_ing_per_capita!$D280</f>
        <v>0</v>
      </c>
      <c r="T280" s="332">
        <f>Gasto_o_ing_per_capita!T280*100/Gasto_o_ing_per_capita!$D280</f>
        <v>0</v>
      </c>
      <c r="U280" s="332">
        <f>Gasto_o_ing_per_capita!U280*100/Gasto_o_ing_per_capita!$D280</f>
        <v>0</v>
      </c>
      <c r="V280" s="332">
        <f>Gasto_o_ing_per_capita!V280*100/Gasto_o_ing_per_capita!$D280</f>
        <v>0</v>
      </c>
    </row>
    <row r="281" spans="1:22" s="102" customFormat="1">
      <c r="A281" s="351" t="str">
        <f>IF(B281="","",(IF(ISERROR(MATCH(B281,Tot_res!C:C,0)),"Eliminar!!!","")))</f>
        <v/>
      </c>
      <c r="B281" s="115" t="s">
        <v>630</v>
      </c>
      <c r="C281" s="329" t="str">
        <f>VLOOKUP(B281,Tot_res!C:D,2,FALSE)</f>
        <v>Explotación minera</v>
      </c>
      <c r="D281" s="332">
        <f>Gasto_o_ing_per_capita!D281*100/Gasto_o_ing_per_capita!$D281</f>
        <v>100</v>
      </c>
      <c r="E281" s="332">
        <f>Gasto_o_ing_per_capita!E281*100/Gasto_o_ing_per_capita!$D281</f>
        <v>24.509718894073764</v>
      </c>
      <c r="F281" s="332">
        <f>Gasto_o_ing_per_capita!F281*100/Gasto_o_ing_per_capita!$D281</f>
        <v>425.58975372461015</v>
      </c>
      <c r="G281" s="332">
        <f>Gasto_o_ing_per_capita!G281*100/Gasto_o_ing_per_capita!$D281</f>
        <v>782.13604868259586</v>
      </c>
      <c r="H281" s="332">
        <f>Gasto_o_ing_per_capita!H281*100/Gasto_o_ing_per_capita!$D281</f>
        <v>0.59480878876236709</v>
      </c>
      <c r="I281" s="332">
        <f>Gasto_o_ing_per_capita!I281*100/Gasto_o_ing_per_capita!$D281</f>
        <v>0.92271648049555366</v>
      </c>
      <c r="J281" s="332">
        <f>Gasto_o_ing_per_capita!J281*100/Gasto_o_ing_per_capita!$D281</f>
        <v>12.028180800014937</v>
      </c>
      <c r="K281" s="332">
        <f>Gasto_o_ing_per_capita!K281*100/Gasto_o_ing_per_capita!$D281</f>
        <v>901.67028707056375</v>
      </c>
      <c r="L281" s="332">
        <f>Gasto_o_ing_per_capita!L281*100/Gasto_o_ing_per_capita!$D281</f>
        <v>39.653710843421912</v>
      </c>
      <c r="M281" s="332">
        <f>Gasto_o_ing_per_capita!M281*100/Gasto_o_ing_per_capita!$D281</f>
        <v>8.4891404409600568</v>
      </c>
      <c r="N281" s="332">
        <f>Gasto_o_ing_per_capita!N281*100/Gasto_o_ing_per_capita!$D281</f>
        <v>4.2429858071907587</v>
      </c>
      <c r="O281" s="332">
        <f>Gasto_o_ing_per_capita!O281*100/Gasto_o_ing_per_capita!$D281</f>
        <v>2.2877278223143422</v>
      </c>
      <c r="P281" s="332">
        <f>Gasto_o_ing_per_capita!P281*100/Gasto_o_ing_per_capita!$D281</f>
        <v>230.880083242132</v>
      </c>
      <c r="Q281" s="332">
        <f>Gasto_o_ing_per_capita!Q281*100/Gasto_o_ing_per_capita!$D281</f>
        <v>3.0952600737273803</v>
      </c>
      <c r="R281" s="332">
        <f>Gasto_o_ing_per_capita!R281*100/Gasto_o_ing_per_capita!$D281</f>
        <v>1.0186560521947425</v>
      </c>
      <c r="S281" s="332">
        <f>Gasto_o_ing_per_capita!S281*100/Gasto_o_ing_per_capita!$D281</f>
        <v>0.27918193228912008</v>
      </c>
      <c r="T281" s="332">
        <f>Gasto_o_ing_per_capita!T281*100/Gasto_o_ing_per_capita!$D281</f>
        <v>0.88106278288234707</v>
      </c>
      <c r="U281" s="332">
        <f>Gasto_o_ing_per_capita!U281*100/Gasto_o_ing_per_capita!$D281</f>
        <v>1.3133570046968162</v>
      </c>
      <c r="V281" s="332">
        <f>Gasto_o_ing_per_capita!V281*100/Gasto_o_ing_per_capita!$D281</f>
        <v>0</v>
      </c>
    </row>
    <row r="282" spans="1:22" s="102" customFormat="1">
      <c r="A282" s="351" t="str">
        <f>IF(B282="","",(IF(ISERROR(MATCH(B282,Tot_res!C:C,0)),"Eliminar!!!","")))</f>
        <v/>
      </c>
      <c r="B282" s="115" t="s">
        <v>1212</v>
      </c>
      <c r="C282" s="329" t="str">
        <f>VLOOKUP(B282,Tot_res!C:D,2,FALSE)</f>
        <v>Sobrecostes sistemas eléctricos extrapeninsulares</v>
      </c>
      <c r="D282" s="332">
        <f>Gasto_o_ing_per_capita!D282*100/Gasto_o_ing_per_capita!$D282</f>
        <v>100</v>
      </c>
      <c r="E282" s="332">
        <f>Gasto_o_ing_per_capita!E282*100/Gasto_o_ing_per_capita!$D282</f>
        <v>0</v>
      </c>
      <c r="F282" s="332">
        <f>Gasto_o_ing_per_capita!F282*100/Gasto_o_ing_per_capita!$D282</f>
        <v>0</v>
      </c>
      <c r="G282" s="332">
        <f>Gasto_o_ing_per_capita!G282*100/Gasto_o_ing_per_capita!$D282</f>
        <v>0</v>
      </c>
      <c r="H282" s="332">
        <f>Gasto_o_ing_per_capita!H282*100/Gasto_o_ing_per_capita!$D282</f>
        <v>895.92356018271289</v>
      </c>
      <c r="I282" s="332">
        <f>Gasto_o_ing_per_capita!I282*100/Gasto_o_ing_per_capita!$D282</f>
        <v>1607.3089047061171</v>
      </c>
      <c r="J282" s="332">
        <f>Gasto_o_ing_per_capita!J282*100/Gasto_o_ing_per_capita!$D282</f>
        <v>0</v>
      </c>
      <c r="K282" s="332">
        <f>Gasto_o_ing_per_capita!K282*100/Gasto_o_ing_per_capita!$D282</f>
        <v>0</v>
      </c>
      <c r="L282" s="332">
        <f>Gasto_o_ing_per_capita!L282*100/Gasto_o_ing_per_capita!$D282</f>
        <v>0</v>
      </c>
      <c r="M282" s="332">
        <f>Gasto_o_ing_per_capita!M282*100/Gasto_o_ing_per_capita!$D282</f>
        <v>0</v>
      </c>
      <c r="N282" s="332">
        <f>Gasto_o_ing_per_capita!N282*100/Gasto_o_ing_per_capita!$D282</f>
        <v>0</v>
      </c>
      <c r="O282" s="332">
        <f>Gasto_o_ing_per_capita!O282*100/Gasto_o_ing_per_capita!$D282</f>
        <v>0</v>
      </c>
      <c r="P282" s="332">
        <f>Gasto_o_ing_per_capita!P282*100/Gasto_o_ing_per_capita!$D282</f>
        <v>0</v>
      </c>
      <c r="Q282" s="332">
        <f>Gasto_o_ing_per_capita!Q282*100/Gasto_o_ing_per_capita!$D282</f>
        <v>0</v>
      </c>
      <c r="R282" s="332">
        <f>Gasto_o_ing_per_capita!R282*100/Gasto_o_ing_per_capita!$D282</f>
        <v>0</v>
      </c>
      <c r="S282" s="332">
        <f>Gasto_o_ing_per_capita!S282*100/Gasto_o_ing_per_capita!$D282</f>
        <v>0</v>
      </c>
      <c r="T282" s="332">
        <f>Gasto_o_ing_per_capita!T282*100/Gasto_o_ing_per_capita!$D282</f>
        <v>0</v>
      </c>
      <c r="U282" s="332">
        <f>Gasto_o_ing_per_capita!U282*100/Gasto_o_ing_per_capita!$D282</f>
        <v>0</v>
      </c>
      <c r="V282" s="332">
        <f>Gasto_o_ing_per_capita!V282*100/Gasto_o_ing_per_capita!$D282</f>
        <v>1775.6607452312796</v>
      </c>
    </row>
    <row r="283" spans="1:22" s="102" customFormat="1">
      <c r="A283" s="351" t="str">
        <f>IF(B283="","",(IF(ISERROR(MATCH(B283,Tot_res!C:C,0)),"Eliminar!!!","")))</f>
        <v/>
      </c>
      <c r="B283" s="115" t="s">
        <v>290</v>
      </c>
      <c r="C283" s="329" t="str">
        <f>VLOOKUP(B283,Tot_res!C:D,2,FALSE)</f>
        <v>Subvenciones y apoyo al transporte marítimo</v>
      </c>
      <c r="D283" s="332">
        <f>Gasto_o_ing_per_capita!D283*100/Gasto_o_ing_per_capita!$D283</f>
        <v>100</v>
      </c>
      <c r="E283" s="332">
        <f>Gasto_o_ing_per_capita!E283*100/Gasto_o_ing_per_capita!$D283</f>
        <v>4.232660027078464</v>
      </c>
      <c r="F283" s="332">
        <f>Gasto_o_ing_per_capita!F283*100/Gasto_o_ing_per_capita!$D283</f>
        <v>0.96555310844128228</v>
      </c>
      <c r="G283" s="332">
        <f>Gasto_o_ing_per_capita!G283*100/Gasto_o_ing_per_capita!$D283</f>
        <v>0</v>
      </c>
      <c r="H283" s="332">
        <f>Gasto_o_ing_per_capita!H283*100/Gasto_o_ing_per_capita!$D283</f>
        <v>995.00392275492754</v>
      </c>
      <c r="I283" s="332">
        <f>Gasto_o_ing_per_capita!I283*100/Gasto_o_ing_per_capita!$D283</f>
        <v>962.42458351849018</v>
      </c>
      <c r="J283" s="332">
        <f>Gasto_o_ing_per_capita!J283*100/Gasto_o_ing_per_capita!$D283</f>
        <v>0</v>
      </c>
      <c r="K283" s="332">
        <f>Gasto_o_ing_per_capita!K283*100/Gasto_o_ing_per_capita!$D283</f>
        <v>2.1630546246982738</v>
      </c>
      <c r="L283" s="332">
        <f>Gasto_o_ing_per_capita!L283*100/Gasto_o_ing_per_capita!$D283</f>
        <v>0</v>
      </c>
      <c r="M283" s="332">
        <f>Gasto_o_ing_per_capita!M283*100/Gasto_o_ing_per_capita!$D283</f>
        <v>10.266473094920434</v>
      </c>
      <c r="N283" s="332">
        <f>Gasto_o_ing_per_capita!N283*100/Gasto_o_ing_per_capita!$D283</f>
        <v>9.7309633669629942</v>
      </c>
      <c r="O283" s="332">
        <f>Gasto_o_ing_per_capita!O283*100/Gasto_o_ing_per_capita!$D283</f>
        <v>0</v>
      </c>
      <c r="P283" s="332">
        <f>Gasto_o_ing_per_capita!P283*100/Gasto_o_ing_per_capita!$D283</f>
        <v>0</v>
      </c>
      <c r="Q283" s="332">
        <f>Gasto_o_ing_per_capita!Q283*100/Gasto_o_ing_per_capita!$D283</f>
        <v>4.890976878166132</v>
      </c>
      <c r="R283" s="332">
        <f>Gasto_o_ing_per_capita!R283*100/Gasto_o_ing_per_capita!$D283</f>
        <v>3.8769038523000914</v>
      </c>
      <c r="S283" s="332">
        <f>Gasto_o_ing_per_capita!S283*100/Gasto_o_ing_per_capita!$D283</f>
        <v>2.3101705341314278</v>
      </c>
      <c r="T283" s="332">
        <f>Gasto_o_ing_per_capita!T283*100/Gasto_o_ing_per_capita!$D283</f>
        <v>3.2336156674119221</v>
      </c>
      <c r="U283" s="332">
        <f>Gasto_o_ing_per_capita!U283*100/Gasto_o_ing_per_capita!$D283</f>
        <v>2.6537967224007071</v>
      </c>
      <c r="V283" s="332">
        <f>Gasto_o_ing_per_capita!V283*100/Gasto_o_ing_per_capita!$D283</f>
        <v>7858.3416609400956</v>
      </c>
    </row>
    <row r="284" spans="1:22" s="102" customFormat="1">
      <c r="A284" s="351" t="str">
        <f>IF(B284="","",(IF(ISERROR(MATCH(B284,Tot_res!C:C,0)),"Eliminar!!!","")))</f>
        <v/>
      </c>
      <c r="B284" s="115" t="s">
        <v>291</v>
      </c>
      <c r="C284" s="329" t="str">
        <f>VLOOKUP(B284,Tot_res!C:D,2,FALSE)</f>
        <v>Subvenciones y apoyo al transporte aéreo</v>
      </c>
      <c r="D284" s="332">
        <f>Gasto_o_ing_per_capita!D284*100/Gasto_o_ing_per_capita!$D284</f>
        <v>100</v>
      </c>
      <c r="E284" s="332">
        <f>Gasto_o_ing_per_capita!E284*100/Gasto_o_ing_per_capita!$D284</f>
        <v>2.3696166687130948</v>
      </c>
      <c r="F284" s="332">
        <f>Gasto_o_ing_per_capita!F284*100/Gasto_o_ing_per_capita!$D284</f>
        <v>2.3023259562541178</v>
      </c>
      <c r="G284" s="332">
        <f>Gasto_o_ing_per_capita!G284*100/Gasto_o_ing_per_capita!$D284</f>
        <v>2.426801082507128</v>
      </c>
      <c r="H284" s="332">
        <f>Gasto_o_ing_per_capita!H284*100/Gasto_o_ing_per_capita!$D284</f>
        <v>1414.9614852733393</v>
      </c>
      <c r="I284" s="332">
        <f>Gasto_o_ing_per_capita!I284*100/Gasto_o_ing_per_capita!$D284</f>
        <v>1420.9648529805877</v>
      </c>
      <c r="J284" s="332">
        <f>Gasto_o_ing_per_capita!J284*100/Gasto_o_ing_per_capita!$D284</f>
        <v>2.5495139378154787</v>
      </c>
      <c r="K284" s="332">
        <f>Gasto_o_ing_per_capita!K284*100/Gasto_o_ing_per_capita!$D284</f>
        <v>2.3590482325326239</v>
      </c>
      <c r="L284" s="332">
        <f>Gasto_o_ing_per_capita!L284*100/Gasto_o_ing_per_capita!$D284</f>
        <v>2.2327873283454376</v>
      </c>
      <c r="M284" s="332">
        <f>Gasto_o_ing_per_capita!M284*100/Gasto_o_ing_per_capita!$D284</f>
        <v>2.519754599573786</v>
      </c>
      <c r="N284" s="332">
        <f>Gasto_o_ing_per_capita!N284*100/Gasto_o_ing_per_capita!$D284</f>
        <v>2.359165882218381</v>
      </c>
      <c r="O284" s="332">
        <f>Gasto_o_ing_per_capita!O284*100/Gasto_o_ing_per_capita!$D284</f>
        <v>2.2467966632666201</v>
      </c>
      <c r="P284" s="332">
        <f>Gasto_o_ing_per_capita!P284*100/Gasto_o_ing_per_capita!$D284</f>
        <v>2.4434045996704419</v>
      </c>
      <c r="Q284" s="332">
        <f>Gasto_o_ing_per_capita!Q284*100/Gasto_o_ing_per_capita!$D284</f>
        <v>2.5508934676571307</v>
      </c>
      <c r="R284" s="332">
        <f>Gasto_o_ing_per_capita!R284*100/Gasto_o_ing_per_capita!$D284</f>
        <v>2.222343577637568</v>
      </c>
      <c r="S284" s="332">
        <f>Gasto_o_ing_per_capita!S284*100/Gasto_o_ing_per_capita!$D284</f>
        <v>2.4064700567111097</v>
      </c>
      <c r="T284" s="332">
        <f>Gasto_o_ing_per_capita!T284*100/Gasto_o_ing_per_capita!$D284</f>
        <v>2.567262181605328</v>
      </c>
      <c r="U284" s="332">
        <f>Gasto_o_ing_per_capita!U284*100/Gasto_o_ing_per_capita!$D284</f>
        <v>2.3317112753187104</v>
      </c>
      <c r="V284" s="332">
        <f>Gasto_o_ing_per_capita!V284*100/Gasto_o_ing_per_capita!$D284</f>
        <v>88.980570694283912</v>
      </c>
    </row>
    <row r="285" spans="1:22" s="102" customFormat="1">
      <c r="A285" s="351" t="str">
        <f>IF(B285="","",(IF(ISERROR(MATCH(B285,Tot_res!C:C,0)),"Eliminar!!!","")))</f>
        <v/>
      </c>
      <c r="B285" s="115" t="s">
        <v>292</v>
      </c>
      <c r="C285" s="329" t="str">
        <f>VLOOKUP(B285,Tot_res!C:D,2,FALSE)</f>
        <v>Subvenciones al transporte extrapeninsular de mercancías</v>
      </c>
      <c r="D285" s="332">
        <f>Gasto_o_ing_per_capita!D285*100/Gasto_o_ing_per_capita!$D285</f>
        <v>100</v>
      </c>
      <c r="E285" s="332">
        <f>Gasto_o_ing_per_capita!E285*100/Gasto_o_ing_per_capita!$D285</f>
        <v>0</v>
      </c>
      <c r="F285" s="332">
        <f>Gasto_o_ing_per_capita!F285*100/Gasto_o_ing_per_capita!$D285</f>
        <v>0</v>
      </c>
      <c r="G285" s="332">
        <f>Gasto_o_ing_per_capita!G285*100/Gasto_o_ing_per_capita!$D285</f>
        <v>0</v>
      </c>
      <c r="H285" s="332">
        <f>Gasto_o_ing_per_capita!H285*100/Gasto_o_ing_per_capita!$D285</f>
        <v>239.97625752934084</v>
      </c>
      <c r="I285" s="332">
        <f>Gasto_o_ing_per_capita!I285*100/Gasto_o_ing_per_capita!$D285</f>
        <v>2094.9988553241537</v>
      </c>
      <c r="J285" s="332">
        <f>Gasto_o_ing_per_capita!J285*100/Gasto_o_ing_per_capita!$D285</f>
        <v>0</v>
      </c>
      <c r="K285" s="332">
        <f>Gasto_o_ing_per_capita!K285*100/Gasto_o_ing_per_capita!$D285</f>
        <v>0</v>
      </c>
      <c r="L285" s="332">
        <f>Gasto_o_ing_per_capita!L285*100/Gasto_o_ing_per_capita!$D285</f>
        <v>0</v>
      </c>
      <c r="M285" s="332">
        <f>Gasto_o_ing_per_capita!M285*100/Gasto_o_ing_per_capita!$D285</f>
        <v>0</v>
      </c>
      <c r="N285" s="332">
        <f>Gasto_o_ing_per_capita!N285*100/Gasto_o_ing_per_capita!$D285</f>
        <v>0</v>
      </c>
      <c r="O285" s="332">
        <f>Gasto_o_ing_per_capita!O285*100/Gasto_o_ing_per_capita!$D285</f>
        <v>0</v>
      </c>
      <c r="P285" s="332">
        <f>Gasto_o_ing_per_capita!P285*100/Gasto_o_ing_per_capita!$D285</f>
        <v>0</v>
      </c>
      <c r="Q285" s="332">
        <f>Gasto_o_ing_per_capita!Q285*100/Gasto_o_ing_per_capita!$D285</f>
        <v>0</v>
      </c>
      <c r="R285" s="332">
        <f>Gasto_o_ing_per_capita!R285*100/Gasto_o_ing_per_capita!$D285</f>
        <v>0</v>
      </c>
      <c r="S285" s="332">
        <f>Gasto_o_ing_per_capita!S285*100/Gasto_o_ing_per_capita!$D285</f>
        <v>0</v>
      </c>
      <c r="T285" s="332">
        <f>Gasto_o_ing_per_capita!T285*100/Gasto_o_ing_per_capita!$D285</f>
        <v>0</v>
      </c>
      <c r="U285" s="332">
        <f>Gasto_o_ing_per_capita!U285*100/Gasto_o_ing_per_capita!$D285</f>
        <v>0</v>
      </c>
      <c r="V285" s="332">
        <f>Gasto_o_ing_per_capita!V285*100/Gasto_o_ing_per_capita!$D285</f>
        <v>0</v>
      </c>
    </row>
    <row r="286" spans="1:22"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Gasto_o_ing_per_capita!D286*100/Gasto_o_ing_per_capita!$D286</f>
        <v>100</v>
      </c>
      <c r="E286" s="332">
        <f>Gasto_o_ing_per_capita!E286*100/Gasto_o_ing_per_capita!$D286</f>
        <v>0</v>
      </c>
      <c r="F286" s="332">
        <f>Gasto_o_ing_per_capita!F286*100/Gasto_o_ing_per_capita!$D286</f>
        <v>0</v>
      </c>
      <c r="G286" s="332">
        <f>Gasto_o_ing_per_capita!G286*100/Gasto_o_ing_per_capita!$D286</f>
        <v>0</v>
      </c>
      <c r="H286" s="332">
        <f>Gasto_o_ing_per_capita!H286*100/Gasto_o_ing_per_capita!$D286</f>
        <v>0</v>
      </c>
      <c r="I286" s="332">
        <f>Gasto_o_ing_per_capita!I286*100/Gasto_o_ing_per_capita!$D286</f>
        <v>2220.9996573225835</v>
      </c>
      <c r="J286" s="332">
        <f>Gasto_o_ing_per_capita!J286*100/Gasto_o_ing_per_capita!$D286</f>
        <v>0</v>
      </c>
      <c r="K286" s="332">
        <f>Gasto_o_ing_per_capita!K286*100/Gasto_o_ing_per_capita!$D286</f>
        <v>0</v>
      </c>
      <c r="L286" s="332">
        <f>Gasto_o_ing_per_capita!L286*100/Gasto_o_ing_per_capita!$D286</f>
        <v>0</v>
      </c>
      <c r="M286" s="332">
        <f>Gasto_o_ing_per_capita!M286*100/Gasto_o_ing_per_capita!$D286</f>
        <v>0</v>
      </c>
      <c r="N286" s="332">
        <f>Gasto_o_ing_per_capita!N286*100/Gasto_o_ing_per_capita!$D286</f>
        <v>0</v>
      </c>
      <c r="O286" s="332">
        <f>Gasto_o_ing_per_capita!O286*100/Gasto_o_ing_per_capita!$D286</f>
        <v>0</v>
      </c>
      <c r="P286" s="332">
        <f>Gasto_o_ing_per_capita!P286*100/Gasto_o_ing_per_capita!$D286</f>
        <v>0</v>
      </c>
      <c r="Q286" s="332">
        <f>Gasto_o_ing_per_capita!Q286*100/Gasto_o_ing_per_capita!$D286</f>
        <v>0</v>
      </c>
      <c r="R286" s="332">
        <f>Gasto_o_ing_per_capita!R286*100/Gasto_o_ing_per_capita!$D286</f>
        <v>0</v>
      </c>
      <c r="S286" s="332">
        <f>Gasto_o_ing_per_capita!S286*100/Gasto_o_ing_per_capita!$D286</f>
        <v>0</v>
      </c>
      <c r="T286" s="332">
        <f>Gasto_o_ing_per_capita!T286*100/Gasto_o_ing_per_capita!$D286</f>
        <v>0</v>
      </c>
      <c r="U286" s="332">
        <f>Gasto_o_ing_per_capita!U286*100/Gasto_o_ing_per_capita!$D286</f>
        <v>0</v>
      </c>
      <c r="V286" s="332">
        <f>Gasto_o_ing_per_capita!V286*100/Gasto_o_ing_per_capita!$D286</f>
        <v>0</v>
      </c>
    </row>
    <row r="287" spans="1:22" s="102" customFormat="1">
      <c r="A287" s="351" t="str">
        <f>IF(B287="","",(IF(ISERROR(MATCH(B287,Tot_res!C:C,0)),"Eliminar!!!","")))</f>
        <v/>
      </c>
      <c r="B287" s="115" t="s">
        <v>293</v>
      </c>
      <c r="C287" s="329" t="str">
        <f>VLOOKUP(B287,Tot_res!C:D,2,FALSE)</f>
        <v>Transfer. a cc.aa. por fondos de compens. intert.</v>
      </c>
      <c r="D287" s="332">
        <f>Gasto_o_ing_per_capita!D287*100/Gasto_o_ing_per_capita!$D287</f>
        <v>100</v>
      </c>
      <c r="E287" s="332">
        <f>Gasto_o_ing_per_capita!E287*100/Gasto_o_ing_per_capita!$D287</f>
        <v>203.69222771873382</v>
      </c>
      <c r="F287" s="332">
        <f>Gasto_o_ing_per_capita!F287*100/Gasto_o_ing_per_capita!$D287</f>
        <v>0</v>
      </c>
      <c r="G287" s="332">
        <f>Gasto_o_ing_per_capita!G287*100/Gasto_o_ing_per_capita!$D287</f>
        <v>132.79643826946906</v>
      </c>
      <c r="H287" s="332">
        <f>Gasto_o_ing_per_capita!H287*100/Gasto_o_ing_per_capita!$D287</f>
        <v>0</v>
      </c>
      <c r="I287" s="332">
        <f>Gasto_o_ing_per_capita!I287*100/Gasto_o_ing_per_capita!$D287</f>
        <v>211.60494398465741</v>
      </c>
      <c r="J287" s="332">
        <f>Gasto_o_ing_per_capita!J287*100/Gasto_o_ing_per_capita!$D287</f>
        <v>91.640358977634335</v>
      </c>
      <c r="K287" s="332">
        <f>Gasto_o_ing_per_capita!K287*100/Gasto_o_ing_per_capita!$D287</f>
        <v>90.31019074330672</v>
      </c>
      <c r="L287" s="332">
        <f>Gasto_o_ing_per_capita!L287*100/Gasto_o_ing_per_capita!$D287</f>
        <v>195.75841356163622</v>
      </c>
      <c r="M287" s="332">
        <f>Gasto_o_ing_per_capita!M287*100/Gasto_o_ing_per_capita!$D287</f>
        <v>0</v>
      </c>
      <c r="N287" s="332">
        <f>Gasto_o_ing_per_capita!N287*100/Gasto_o_ing_per_capita!$D287</f>
        <v>115.85610719190544</v>
      </c>
      <c r="O287" s="332">
        <f>Gasto_o_ing_per_capita!O287*100/Gasto_o_ing_per_capita!$D287</f>
        <v>350.00112228005116</v>
      </c>
      <c r="P287" s="332">
        <f>Gasto_o_ing_per_capita!P287*100/Gasto_o_ing_per_capita!$D287</f>
        <v>169.44687812460904</v>
      </c>
      <c r="Q287" s="332">
        <f>Gasto_o_ing_per_capita!Q287*100/Gasto_o_ing_per_capita!$D287</f>
        <v>0</v>
      </c>
      <c r="R287" s="332">
        <f>Gasto_o_ing_per_capita!R287*100/Gasto_o_ing_per_capita!$D287</f>
        <v>133.78450749934393</v>
      </c>
      <c r="S287" s="332">
        <f>Gasto_o_ing_per_capita!S287*100/Gasto_o_ing_per_capita!$D287</f>
        <v>0</v>
      </c>
      <c r="T287" s="332">
        <f>Gasto_o_ing_per_capita!T287*100/Gasto_o_ing_per_capita!$D287</f>
        <v>0</v>
      </c>
      <c r="U287" s="332">
        <f>Gasto_o_ing_per_capita!U287*100/Gasto_o_ing_per_capita!$D287</f>
        <v>0</v>
      </c>
      <c r="V287" s="332">
        <f>Gasto_o_ing_per_capita!V287*100/Gasto_o_ing_per_capita!$D287</f>
        <v>398.20753567118811</v>
      </c>
    </row>
    <row r="288" spans="1:22"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Gasto_o_ing_per_capita!D288*100/Gasto_o_ing_per_capita!$D288</f>
        <v>100</v>
      </c>
      <c r="E288" s="332">
        <f>Gasto_o_ing_per_capita!E288*100/Gasto_o_ing_per_capita!$D288</f>
        <v>0</v>
      </c>
      <c r="F288" s="332">
        <f>Gasto_o_ing_per_capita!F288*100/Gasto_o_ing_per_capita!$D288</f>
        <v>1081.65032236972</v>
      </c>
      <c r="G288" s="332">
        <f>Gasto_o_ing_per_capita!G288*100/Gasto_o_ing_per_capita!$D288</f>
        <v>0</v>
      </c>
      <c r="H288" s="332">
        <f>Gasto_o_ing_per_capita!H288*100/Gasto_o_ing_per_capita!$D288</f>
        <v>0</v>
      </c>
      <c r="I288" s="332">
        <f>Gasto_o_ing_per_capita!I288*100/Gasto_o_ing_per_capita!$D288</f>
        <v>0</v>
      </c>
      <c r="J288" s="332">
        <f>Gasto_o_ing_per_capita!J288*100/Gasto_o_ing_per_capita!$D288</f>
        <v>2273.2745475909551</v>
      </c>
      <c r="K288" s="332">
        <f>Gasto_o_ing_per_capita!K288*100/Gasto_o_ing_per_capita!$D288</f>
        <v>0</v>
      </c>
      <c r="L288" s="332">
        <f>Gasto_o_ing_per_capita!L288*100/Gasto_o_ing_per_capita!$D288</f>
        <v>0</v>
      </c>
      <c r="M288" s="332">
        <f>Gasto_o_ing_per_capita!M288*100/Gasto_o_ing_per_capita!$D288</f>
        <v>0</v>
      </c>
      <c r="N288" s="332">
        <f>Gasto_o_ing_per_capita!N288*100/Gasto_o_ing_per_capita!$D288</f>
        <v>0</v>
      </c>
      <c r="O288" s="332">
        <f>Gasto_o_ing_per_capita!O288*100/Gasto_o_ing_per_capita!$D288</f>
        <v>1738.5842869589942</v>
      </c>
      <c r="P288" s="332">
        <f>Gasto_o_ing_per_capita!P288*100/Gasto_o_ing_per_capita!$D288</f>
        <v>0</v>
      </c>
      <c r="Q288" s="332">
        <f>Gasto_o_ing_per_capita!Q288*100/Gasto_o_ing_per_capita!$D288</f>
        <v>0</v>
      </c>
      <c r="R288" s="332">
        <f>Gasto_o_ing_per_capita!R288*100/Gasto_o_ing_per_capita!$D288</f>
        <v>0</v>
      </c>
      <c r="S288" s="332">
        <f>Gasto_o_ing_per_capita!S288*100/Gasto_o_ing_per_capita!$D288</f>
        <v>0</v>
      </c>
      <c r="T288" s="332">
        <f>Gasto_o_ing_per_capita!T288*100/Gasto_o_ing_per_capita!$D288</f>
        <v>0</v>
      </c>
      <c r="U288" s="332">
        <f>Gasto_o_ing_per_capita!U288*100/Gasto_o_ing_per_capita!$D288</f>
        <v>0</v>
      </c>
      <c r="V288" s="332">
        <f>Gasto_o_ing_per_capita!V288*100/Gasto_o_ing_per_capita!$D288</f>
        <v>0</v>
      </c>
    </row>
    <row r="289" spans="1:22" s="102" customFormat="1">
      <c r="A289" s="351" t="str">
        <f>IF(B289="","",(IF(ISERROR(MATCH(B289,Tot_res!C:C,0)),"Eliminar!!!","")))</f>
        <v/>
      </c>
      <c r="B289" s="115" t="s">
        <v>294</v>
      </c>
      <c r="C289" s="329" t="str">
        <f>VLOOKUP(B289,Tot_res!C:D,2,FALSE)</f>
        <v>Infraestructuras REF Canarias</v>
      </c>
      <c r="D289" s="332">
        <f>Gasto_o_ing_per_capita!D289*100/Gasto_o_ing_per_capita!$D289</f>
        <v>100.00000000000001</v>
      </c>
      <c r="E289" s="332">
        <f>Gasto_o_ing_per_capita!E289*100/Gasto_o_ing_per_capita!$D289</f>
        <v>0</v>
      </c>
      <c r="F289" s="332">
        <f>Gasto_o_ing_per_capita!F289*100/Gasto_o_ing_per_capita!$D289</f>
        <v>0</v>
      </c>
      <c r="G289" s="332">
        <f>Gasto_o_ing_per_capita!G289*100/Gasto_o_ing_per_capita!$D289</f>
        <v>0</v>
      </c>
      <c r="H289" s="332">
        <f>Gasto_o_ing_per_capita!H289*100/Gasto_o_ing_per_capita!$D289</f>
        <v>0</v>
      </c>
      <c r="I289" s="332">
        <f>Gasto_o_ing_per_capita!I289*100/Gasto_o_ing_per_capita!$D289</f>
        <v>2220.999657322584</v>
      </c>
      <c r="J289" s="332">
        <f>Gasto_o_ing_per_capita!J289*100/Gasto_o_ing_per_capita!$D289</f>
        <v>0</v>
      </c>
      <c r="K289" s="332">
        <f>Gasto_o_ing_per_capita!K289*100/Gasto_o_ing_per_capita!$D289</f>
        <v>0</v>
      </c>
      <c r="L289" s="332">
        <f>Gasto_o_ing_per_capita!L289*100/Gasto_o_ing_per_capita!$D289</f>
        <v>0</v>
      </c>
      <c r="M289" s="332">
        <f>Gasto_o_ing_per_capita!M289*100/Gasto_o_ing_per_capita!$D289</f>
        <v>0</v>
      </c>
      <c r="N289" s="332">
        <f>Gasto_o_ing_per_capita!N289*100/Gasto_o_ing_per_capita!$D289</f>
        <v>0</v>
      </c>
      <c r="O289" s="332">
        <f>Gasto_o_ing_per_capita!O289*100/Gasto_o_ing_per_capita!$D289</f>
        <v>0</v>
      </c>
      <c r="P289" s="332">
        <f>Gasto_o_ing_per_capita!P289*100/Gasto_o_ing_per_capita!$D289</f>
        <v>0</v>
      </c>
      <c r="Q289" s="332">
        <f>Gasto_o_ing_per_capita!Q289*100/Gasto_o_ing_per_capita!$D289</f>
        <v>0</v>
      </c>
      <c r="R289" s="332">
        <f>Gasto_o_ing_per_capita!R289*100/Gasto_o_ing_per_capita!$D289</f>
        <v>0</v>
      </c>
      <c r="S289" s="332">
        <f>Gasto_o_ing_per_capita!S289*100/Gasto_o_ing_per_capita!$D289</f>
        <v>0</v>
      </c>
      <c r="T289" s="332">
        <f>Gasto_o_ing_per_capita!T289*100/Gasto_o_ing_per_capita!$D289</f>
        <v>0</v>
      </c>
      <c r="U289" s="332">
        <f>Gasto_o_ing_per_capita!U289*100/Gasto_o_ing_per_capita!$D289</f>
        <v>0</v>
      </c>
      <c r="V289" s="332">
        <f>Gasto_o_ing_per_capita!V289*100/Gasto_o_ing_per_capita!$D289</f>
        <v>0</v>
      </c>
    </row>
    <row r="290" spans="1:22" s="102" customFormat="1">
      <c r="A290" s="351" t="str">
        <f>IF(B290="","",(IF(ISERROR(MATCH(B290,Tot_res!C:C,0)),"Eliminar!!!","")))</f>
        <v/>
      </c>
      <c r="B290" s="115" t="s">
        <v>295</v>
      </c>
      <c r="C290" s="329" t="str">
        <f>VLOOKUP(B290,Tot_res!C:D,2,FALSE)</f>
        <v>Transporte interinsular Canarias</v>
      </c>
      <c r="D290" s="332">
        <f>Gasto_o_ing_per_capita!D290*100/Gasto_o_ing_per_capita!$D290</f>
        <v>100</v>
      </c>
      <c r="E290" s="332">
        <f>Gasto_o_ing_per_capita!E290*100/Gasto_o_ing_per_capita!$D290</f>
        <v>0</v>
      </c>
      <c r="F290" s="332">
        <f>Gasto_o_ing_per_capita!F290*100/Gasto_o_ing_per_capita!$D290</f>
        <v>0</v>
      </c>
      <c r="G290" s="332">
        <f>Gasto_o_ing_per_capita!G290*100/Gasto_o_ing_per_capita!$D290</f>
        <v>0</v>
      </c>
      <c r="H290" s="332">
        <f>Gasto_o_ing_per_capita!H290*100/Gasto_o_ing_per_capita!$D290</f>
        <v>0</v>
      </c>
      <c r="I290" s="332">
        <f>Gasto_o_ing_per_capita!I290*100/Gasto_o_ing_per_capita!$D290</f>
        <v>2220.999657322584</v>
      </c>
      <c r="J290" s="332">
        <f>Gasto_o_ing_per_capita!J290*100/Gasto_o_ing_per_capita!$D290</f>
        <v>0</v>
      </c>
      <c r="K290" s="332">
        <f>Gasto_o_ing_per_capita!K290*100/Gasto_o_ing_per_capita!$D290</f>
        <v>0</v>
      </c>
      <c r="L290" s="332">
        <f>Gasto_o_ing_per_capita!L290*100/Gasto_o_ing_per_capita!$D290</f>
        <v>0</v>
      </c>
      <c r="M290" s="332">
        <f>Gasto_o_ing_per_capita!M290*100/Gasto_o_ing_per_capita!$D290</f>
        <v>0</v>
      </c>
      <c r="N290" s="332">
        <f>Gasto_o_ing_per_capita!N290*100/Gasto_o_ing_per_capita!$D290</f>
        <v>0</v>
      </c>
      <c r="O290" s="332">
        <f>Gasto_o_ing_per_capita!O290*100/Gasto_o_ing_per_capita!$D290</f>
        <v>0</v>
      </c>
      <c r="P290" s="332">
        <f>Gasto_o_ing_per_capita!P290*100/Gasto_o_ing_per_capita!$D290</f>
        <v>0</v>
      </c>
      <c r="Q290" s="332">
        <f>Gasto_o_ing_per_capita!Q290*100/Gasto_o_ing_per_capita!$D290</f>
        <v>0</v>
      </c>
      <c r="R290" s="332">
        <f>Gasto_o_ing_per_capita!R290*100/Gasto_o_ing_per_capita!$D290</f>
        <v>0</v>
      </c>
      <c r="S290" s="332">
        <f>Gasto_o_ing_per_capita!S290*100/Gasto_o_ing_per_capita!$D290</f>
        <v>0</v>
      </c>
      <c r="T290" s="332">
        <f>Gasto_o_ing_per_capita!T290*100/Gasto_o_ing_per_capita!$D290</f>
        <v>0</v>
      </c>
      <c r="U290" s="332">
        <f>Gasto_o_ing_per_capita!U290*100/Gasto_o_ing_per_capita!$D290</f>
        <v>0</v>
      </c>
      <c r="V290" s="332">
        <f>Gasto_o_ing_per_capita!V290*100/Gasto_o_ing_per_capita!$D290</f>
        <v>0</v>
      </c>
    </row>
    <row r="291" spans="1:22"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Gasto_o_ing_per_capita!D291*100/Gasto_o_ing_per_capita!$D291</f>
        <v>100</v>
      </c>
      <c r="E291" s="332">
        <f>Gasto_o_ing_per_capita!E291*100/Gasto_o_ing_per_capita!$D291</f>
        <v>50.994843783848516</v>
      </c>
      <c r="F291" s="332">
        <f>Gasto_o_ing_per_capita!F291*100/Gasto_o_ing_per_capita!$D291</f>
        <v>18.336855116781589</v>
      </c>
      <c r="G291" s="332">
        <f>Gasto_o_ing_per_capita!G291*100/Gasto_o_ing_per_capita!$D291</f>
        <v>92.609443321583186</v>
      </c>
      <c r="H291" s="332">
        <f>Gasto_o_ing_per_capita!H291*100/Gasto_o_ing_per_capita!$D291</f>
        <v>0.91932739506357775</v>
      </c>
      <c r="I291" s="332">
        <f>Gasto_o_ing_per_capita!I291*100/Gasto_o_ing_per_capita!$D291</f>
        <v>150.28856904862653</v>
      </c>
      <c r="J291" s="332">
        <f>Gasto_o_ing_per_capita!J291*100/Gasto_o_ing_per_capita!$D291</f>
        <v>90.854166586674111</v>
      </c>
      <c r="K291" s="332">
        <f>Gasto_o_ing_per_capita!K291*100/Gasto_o_ing_per_capita!$D291</f>
        <v>99.842195423268308</v>
      </c>
      <c r="L291" s="332">
        <f>Gasto_o_ing_per_capita!L291*100/Gasto_o_ing_per_capita!$D291</f>
        <v>308.79610113721805</v>
      </c>
      <c r="M291" s="332">
        <f>Gasto_o_ing_per_capita!M291*100/Gasto_o_ing_per_capita!$D291</f>
        <v>56.912770239142318</v>
      </c>
      <c r="N291" s="332">
        <f>Gasto_o_ing_per_capita!N291*100/Gasto_o_ing_per_capita!$D291</f>
        <v>54.79017557539138</v>
      </c>
      <c r="O291" s="332">
        <f>Gasto_o_ing_per_capita!O291*100/Gasto_o_ing_per_capita!$D291</f>
        <v>218.94135846787194</v>
      </c>
      <c r="P291" s="332">
        <f>Gasto_o_ing_per_capita!P291*100/Gasto_o_ing_per_capita!$D291</f>
        <v>372.84672576146755</v>
      </c>
      <c r="Q291" s="332">
        <f>Gasto_o_ing_per_capita!Q291*100/Gasto_o_ing_per_capita!$D291</f>
        <v>13.617244200245546</v>
      </c>
      <c r="R291" s="332">
        <f>Gasto_o_ing_per_capita!R291*100/Gasto_o_ing_per_capita!$D291</f>
        <v>206.41979212729359</v>
      </c>
      <c r="S291" s="332">
        <f>Gasto_o_ing_per_capita!S291*100/Gasto_o_ing_per_capita!$D291</f>
        <v>24.702719565121061</v>
      </c>
      <c r="T291" s="332">
        <f>Gasto_o_ing_per_capita!T291*100/Gasto_o_ing_per_capita!$D291</f>
        <v>138.3438059460081</v>
      </c>
      <c r="U291" s="332">
        <f>Gasto_o_ing_per_capita!U291*100/Gasto_o_ing_per_capita!$D291</f>
        <v>29.146674487130106</v>
      </c>
      <c r="V291" s="332">
        <f>Gasto_o_ing_per_capita!V291*100/Gasto_o_ing_per_capita!$D291</f>
        <v>1064.6714806332945</v>
      </c>
    </row>
    <row r="292" spans="1:22">
      <c r="A292" s="352"/>
      <c r="B292" s="9"/>
      <c r="C292" s="11"/>
      <c r="D292" s="19"/>
      <c r="E292" s="19"/>
      <c r="F292" s="19"/>
      <c r="G292" s="19"/>
      <c r="H292" s="19"/>
      <c r="I292" s="19"/>
      <c r="J292" s="19"/>
      <c r="K292" s="19"/>
      <c r="L292" s="19"/>
      <c r="M292" s="19"/>
      <c r="N292" s="19"/>
      <c r="O292" s="19"/>
      <c r="P292" s="19"/>
      <c r="Q292" s="19"/>
      <c r="R292" s="19"/>
      <c r="S292" s="19"/>
      <c r="T292" s="19"/>
      <c r="U292" s="19"/>
      <c r="V292" s="19"/>
    </row>
    <row r="293" spans="1:22" s="102" customFormat="1" ht="13.5">
      <c r="A293" s="352"/>
      <c r="B293" s="115"/>
      <c r="C293" s="112" t="s">
        <v>22</v>
      </c>
      <c r="D293" s="113">
        <f>Gasto_o_ing_per_capita!D293*100/Gasto_o_ing_per_capita!$D293</f>
        <v>100.00000000000001</v>
      </c>
      <c r="E293" s="113">
        <f>Gasto_o_ing_per_capita!E293*100/Gasto_o_ing_per_capita!$D293</f>
        <v>93.392410792360607</v>
      </c>
      <c r="F293" s="113">
        <f>Gasto_o_ing_per_capita!F293*100/Gasto_o_ing_per_capita!$D293</f>
        <v>111.40171523347095</v>
      </c>
      <c r="G293" s="113">
        <f>Gasto_o_ing_per_capita!G293*100/Gasto_o_ing_per_capita!$D293</f>
        <v>97.020919233907094</v>
      </c>
      <c r="H293" s="113">
        <f>Gasto_o_ing_per_capita!H293*100/Gasto_o_ing_per_capita!$D293</f>
        <v>95.877051886695881</v>
      </c>
      <c r="I293" s="113">
        <f>Gasto_o_ing_per_capita!I293*100/Gasto_o_ing_per_capita!$D293</f>
        <v>92.176979087389299</v>
      </c>
      <c r="J293" s="113">
        <f>Gasto_o_ing_per_capita!J293*100/Gasto_o_ing_per_capita!$D293</f>
        <v>96.955588178751697</v>
      </c>
      <c r="K293" s="113">
        <f>Gasto_o_ing_per_capita!K293*100/Gasto_o_ing_per_capita!$D293</f>
        <v>109.58774524325683</v>
      </c>
      <c r="L293" s="113">
        <f>Gasto_o_ing_per_capita!L293*100/Gasto_o_ing_per_capita!$D293</f>
        <v>88.633800453652327</v>
      </c>
      <c r="M293" s="113">
        <f>Gasto_o_ing_per_capita!M293*100/Gasto_o_ing_per_capita!$D293</f>
        <v>106.83763341072536</v>
      </c>
      <c r="N293" s="113">
        <f>Gasto_o_ing_per_capita!N293*100/Gasto_o_ing_per_capita!$D293</f>
        <v>85.322325678502821</v>
      </c>
      <c r="O293" s="113">
        <f>Gasto_o_ing_per_capita!O293*100/Gasto_o_ing_per_capita!$D293</f>
        <v>95.962037614811166</v>
      </c>
      <c r="P293" s="113">
        <f>Gasto_o_ing_per_capita!P293*100/Gasto_o_ing_per_capita!$D293</f>
        <v>97.798743987340131</v>
      </c>
      <c r="Q293" s="113">
        <f>Gasto_o_ing_per_capita!Q293*100/Gasto_o_ing_per_capita!$D293</f>
        <v>104.31599277544534</v>
      </c>
      <c r="R293" s="113">
        <f>Gasto_o_ing_per_capita!R293*100/Gasto_o_ing_per_capita!$D293</f>
        <v>88.774097503364075</v>
      </c>
      <c r="S293" s="113">
        <f>Gasto_o_ing_per_capita!S293*100/Gasto_o_ing_per_capita!$D293</f>
        <v>113.96823662131906</v>
      </c>
      <c r="T293" s="113">
        <f>Gasto_o_ing_per_capita!T293*100/Gasto_o_ing_per_capita!$D293</f>
        <v>123.45789310317706</v>
      </c>
      <c r="U293" s="113">
        <f>Gasto_o_ing_per_capita!U293*100/Gasto_o_ing_per_capita!$D293</f>
        <v>125.28460045085239</v>
      </c>
      <c r="V293" s="113">
        <f>Gasto_o_ing_per_capita!V293*100/Gasto_o_ing_per_capita!$D293</f>
        <v>210.53497675156356</v>
      </c>
    </row>
    <row r="294" spans="1:22"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row>
    <row r="295" spans="1:22" s="102" customFormat="1" ht="13.5">
      <c r="A295" s="352"/>
      <c r="B295" s="115"/>
      <c r="C295" s="117" t="s">
        <v>28</v>
      </c>
      <c r="D295" s="113">
        <f>Gasto_o_ing_per_capita!D295*100/Gasto_o_ing_per_capita!$D295</f>
        <v>100</v>
      </c>
      <c r="E295" s="113">
        <f>Gasto_o_ing_per_capita!E295*100/Gasto_o_ing_per_capita!$D295</f>
        <v>106.11851137649195</v>
      </c>
      <c r="F295" s="113">
        <f>Gasto_o_ing_per_capita!F295*100/Gasto_o_ing_per_capita!$D295</f>
        <v>125.29980079034881</v>
      </c>
      <c r="G295" s="113">
        <f>Gasto_o_ing_per_capita!G295*100/Gasto_o_ing_per_capita!$D295</f>
        <v>93.002894023322995</v>
      </c>
      <c r="H295" s="113">
        <f>Gasto_o_ing_per_capita!H295*100/Gasto_o_ing_per_capita!$D295</f>
        <v>83.458586513524864</v>
      </c>
      <c r="I295" s="113">
        <f>Gasto_o_ing_per_capita!I295*100/Gasto_o_ing_per_capita!$D295</f>
        <v>93.665872245118337</v>
      </c>
      <c r="J295" s="113">
        <f>Gasto_o_ing_per_capita!J295*100/Gasto_o_ing_per_capita!$D295</f>
        <v>111.67751765197889</v>
      </c>
      <c r="K295" s="113">
        <f>Gasto_o_ing_per_capita!K295*100/Gasto_o_ing_per_capita!$D295</f>
        <v>113.60712776231951</v>
      </c>
      <c r="L295" s="113">
        <f>Gasto_o_ing_per_capita!L295*100/Gasto_o_ing_per_capita!$D295</f>
        <v>92.963612351305045</v>
      </c>
      <c r="M295" s="113">
        <f>Gasto_o_ing_per_capita!M295*100/Gasto_o_ing_per_capita!$D295</f>
        <v>77.67453255456013</v>
      </c>
      <c r="N295" s="113">
        <f>Gasto_o_ing_per_capita!N295*100/Gasto_o_ing_per_capita!$D295</f>
        <v>89.872761620312062</v>
      </c>
      <c r="O295" s="113">
        <f>Gasto_o_ing_per_capita!O295*100/Gasto_o_ing_per_capita!$D295</f>
        <v>111.81952920432519</v>
      </c>
      <c r="P295" s="113">
        <f>Gasto_o_ing_per_capita!P295*100/Gasto_o_ing_per_capita!$D295</f>
        <v>134.08385336340325</v>
      </c>
      <c r="Q295" s="113">
        <f>Gasto_o_ing_per_capita!Q295*100/Gasto_o_ing_per_capita!$D295</f>
        <v>110.73135125764938</v>
      </c>
      <c r="R295" s="113">
        <f>Gasto_o_ing_per_capita!R295*100/Gasto_o_ing_per_capita!$D295</f>
        <v>115.1015285598359</v>
      </c>
      <c r="S295" s="113">
        <f>Gasto_o_ing_per_capita!S295*100/Gasto_o_ing_per_capita!$D295</f>
        <v>77.502673983383431</v>
      </c>
      <c r="T295" s="113">
        <f>Gasto_o_ing_per_capita!T295*100/Gasto_o_ing_per_capita!$D295</f>
        <v>73.121581632012649</v>
      </c>
      <c r="U295" s="113">
        <f>Gasto_o_ing_per_capita!U295*100/Gasto_o_ing_per_capita!$D295</f>
        <v>104.27098087271031</v>
      </c>
      <c r="V295" s="113">
        <f>Gasto_o_ing_per_capita!V295*100/Gasto_o_ing_per_capita!$D295</f>
        <v>221.15483667412303</v>
      </c>
    </row>
    <row r="296" spans="1:22" s="102" customFormat="1">
      <c r="A296" s="351" t="str">
        <f>IF(B296="","",(IF(ISERROR(MATCH(B296,Tot_res!C:C,0)),"Eliminar!!!","")))</f>
        <v/>
      </c>
      <c r="B296" s="119" t="s">
        <v>297</v>
      </c>
      <c r="C296" s="329" t="str">
        <f>VLOOKUP(B296,Tot_res!C:D,2,FALSE)</f>
        <v>Plan nacional sobre drogas + AF 11/1</v>
      </c>
      <c r="D296" s="332">
        <f>Gasto_o_ing_per_capita!D296*100/Gasto_o_ing_per_capita!$D296</f>
        <v>100</v>
      </c>
      <c r="E296" s="332">
        <f>Gasto_o_ing_per_capita!E296*100/Gasto_o_ing_per_capita!$D296</f>
        <v>90.928159755936747</v>
      </c>
      <c r="F296" s="332">
        <f>Gasto_o_ing_per_capita!F296*100/Gasto_o_ing_per_capita!$D296</f>
        <v>102.44011174691938</v>
      </c>
      <c r="G296" s="332">
        <f>Gasto_o_ing_per_capita!G296*100/Gasto_o_ing_per_capita!$D296</f>
        <v>137.91081538885672</v>
      </c>
      <c r="H296" s="332">
        <f>Gasto_o_ing_per_capita!H296*100/Gasto_o_ing_per_capita!$D296</f>
        <v>108.39560048663184</v>
      </c>
      <c r="I296" s="332">
        <f>Gasto_o_ing_per_capita!I296*100/Gasto_o_ing_per_capita!$D296</f>
        <v>89.750697998896214</v>
      </c>
      <c r="J296" s="332">
        <f>Gasto_o_ing_per_capita!J296*100/Gasto_o_ing_per_capita!$D296</f>
        <v>170.09041441420783</v>
      </c>
      <c r="K296" s="332">
        <f>Gasto_o_ing_per_capita!K296*100/Gasto_o_ing_per_capita!$D296</f>
        <v>147.70185505681945</v>
      </c>
      <c r="L296" s="332">
        <f>Gasto_o_ing_per_capita!L296*100/Gasto_o_ing_per_capita!$D296</f>
        <v>108.90147348450238</v>
      </c>
      <c r="M296" s="332">
        <f>Gasto_o_ing_per_capita!M296*100/Gasto_o_ing_per_capita!$D296</f>
        <v>91.409571099489654</v>
      </c>
      <c r="N296" s="332">
        <f>Gasto_o_ing_per_capita!N296*100/Gasto_o_ing_per_capita!$D296</f>
        <v>73.159128725363146</v>
      </c>
      <c r="O296" s="332">
        <f>Gasto_o_ing_per_capita!O296*100/Gasto_o_ing_per_capita!$D296</f>
        <v>138.88815535344185</v>
      </c>
      <c r="P296" s="332">
        <f>Gasto_o_ing_per_capita!P296*100/Gasto_o_ing_per_capita!$D296</f>
        <v>105.50670559596036</v>
      </c>
      <c r="Q296" s="332">
        <f>Gasto_o_ing_per_capita!Q296*100/Gasto_o_ing_per_capita!$D296</f>
        <v>97.226019948437482</v>
      </c>
      <c r="R296" s="332">
        <f>Gasto_o_ing_per_capita!R296*100/Gasto_o_ing_per_capita!$D296</f>
        <v>89.12315514943657</v>
      </c>
      <c r="S296" s="332">
        <f>Gasto_o_ing_per_capita!S296*100/Gasto_o_ing_per_capita!$D296</f>
        <v>100</v>
      </c>
      <c r="T296" s="332">
        <f>Gasto_o_ing_per_capita!T296*100/Gasto_o_ing_per_capita!$D296</f>
        <v>100</v>
      </c>
      <c r="U296" s="332">
        <f>Gasto_o_ing_per_capita!U296*100/Gasto_o_ing_per_capita!$D296</f>
        <v>123.30232703386274</v>
      </c>
      <c r="V296" s="332">
        <f>Gasto_o_ing_per_capita!V296*100/Gasto_o_ing_per_capita!$D296</f>
        <v>303.06653906188001</v>
      </c>
    </row>
    <row r="297" spans="1:22" s="102" customFormat="1">
      <c r="A297" s="351" t="str">
        <f>IF(B297="","",(IF(ISERROR(MATCH(B297,Tot_res!C:C,0)),"Eliminar!!!","")))</f>
        <v/>
      </c>
      <c r="B297" s="119" t="s">
        <v>298</v>
      </c>
      <c r="C297" s="329" t="str">
        <f>VLOOKUP(B297,Tot_res!C:D,2,FALSE)</f>
        <v>Direc. y serv. grales. de sanidad, serv. soc. e igualdad</v>
      </c>
      <c r="D297" s="332">
        <f>Gasto_o_ing_per_capita!D297*100/Gasto_o_ing_per_capita!$D297</f>
        <v>100</v>
      </c>
      <c r="E297" s="332">
        <f>Gasto_o_ing_per_capita!E297*100/Gasto_o_ing_per_capita!$D297</f>
        <v>95.505981144944784</v>
      </c>
      <c r="F297" s="332">
        <f>Gasto_o_ing_per_capita!F297*100/Gasto_o_ing_per_capita!$D297</f>
        <v>105.54418724079592</v>
      </c>
      <c r="G297" s="332">
        <f>Gasto_o_ing_per_capita!G297*100/Gasto_o_ing_per_capita!$D297</f>
        <v>112.33690249901935</v>
      </c>
      <c r="H297" s="332">
        <f>Gasto_o_ing_per_capita!H297*100/Gasto_o_ing_per_capita!$D297</f>
        <v>93.411819869458711</v>
      </c>
      <c r="I297" s="332">
        <f>Gasto_o_ing_per_capita!I297*100/Gasto_o_ing_per_capita!$D297</f>
        <v>93.10298026467467</v>
      </c>
      <c r="J297" s="332">
        <f>Gasto_o_ing_per_capita!J297*100/Gasto_o_ing_per_capita!$D297</f>
        <v>104.75839050366298</v>
      </c>
      <c r="K297" s="332">
        <f>Gasto_o_ing_per_capita!K297*100/Gasto_o_ing_per_capita!$D297</f>
        <v>111.88795761113261</v>
      </c>
      <c r="L297" s="332">
        <f>Gasto_o_ing_per_capita!L297*100/Gasto_o_ing_per_capita!$D297</f>
        <v>99.737747731820349</v>
      </c>
      <c r="M297" s="332">
        <f>Gasto_o_ing_per_capita!M297*100/Gasto_o_ing_per_capita!$D297</f>
        <v>99.34261102240059</v>
      </c>
      <c r="N297" s="332">
        <f>Gasto_o_ing_per_capita!N297*100/Gasto_o_ing_per_capita!$D297</f>
        <v>99.665018577752804</v>
      </c>
      <c r="O297" s="332">
        <f>Gasto_o_ing_per_capita!O297*100/Gasto_o_ing_per_capita!$D297</f>
        <v>103.0617188010356</v>
      </c>
      <c r="P297" s="332">
        <f>Gasto_o_ing_per_capita!P297*100/Gasto_o_ing_per_capita!$D297</f>
        <v>110.85667124991491</v>
      </c>
      <c r="Q297" s="332">
        <f>Gasto_o_ing_per_capita!Q297*100/Gasto_o_ing_per_capita!$D297</f>
        <v>96.691199514112341</v>
      </c>
      <c r="R297" s="332">
        <f>Gasto_o_ing_per_capita!R297*100/Gasto_o_ing_per_capita!$D297</f>
        <v>92.854062001865984</v>
      </c>
      <c r="S297" s="332">
        <f>Gasto_o_ing_per_capita!S297*100/Gasto_o_ing_per_capita!$D297</f>
        <v>101.23997808362782</v>
      </c>
      <c r="T297" s="332">
        <f>Gasto_o_ing_per_capita!T297*100/Gasto_o_ing_per_capita!$D297</f>
        <v>106.15302844368566</v>
      </c>
      <c r="U297" s="332">
        <f>Gasto_o_ing_per_capita!U297*100/Gasto_o_ing_per_capita!$D297</f>
        <v>103.14580093191712</v>
      </c>
      <c r="V297" s="332">
        <f>Gasto_o_ing_per_capita!V297*100/Gasto_o_ing_per_capita!$D297</f>
        <v>84.922099976866193</v>
      </c>
    </row>
    <row r="298" spans="1:22" s="102" customFormat="1">
      <c r="A298" s="351" t="str">
        <f>IF(B298="","",(IF(ISERROR(MATCH(B298,Tot_res!C:C,0)),"Eliminar!!!","")))</f>
        <v/>
      </c>
      <c r="B298" s="119" t="s">
        <v>299</v>
      </c>
      <c r="C298" s="329" t="str">
        <f>VLOOKUP(B298,Tot_res!C:D,2,FALSE)</f>
        <v>Políticas de salud y ordenación profesional</v>
      </c>
      <c r="D298" s="332">
        <f>Gasto_o_ing_per_capita!D298*100/Gasto_o_ing_per_capita!$D298</f>
        <v>100</v>
      </c>
      <c r="E298" s="332">
        <f>Gasto_o_ing_per_capita!E298*100/Gasto_o_ing_per_capita!$D298</f>
        <v>85.352293458313483</v>
      </c>
      <c r="F298" s="332">
        <f>Gasto_o_ing_per_capita!F298*100/Gasto_o_ing_per_capita!$D298</f>
        <v>99.626947310123825</v>
      </c>
      <c r="G298" s="332">
        <f>Gasto_o_ing_per_capita!G298*100/Gasto_o_ing_per_capita!$D298</f>
        <v>107.52914255841799</v>
      </c>
      <c r="H298" s="332">
        <f>Gasto_o_ing_per_capita!H298*100/Gasto_o_ing_per_capita!$D298</f>
        <v>85.736875057105507</v>
      </c>
      <c r="I298" s="332">
        <f>Gasto_o_ing_per_capita!I298*100/Gasto_o_ing_per_capita!$D298</f>
        <v>81.976405484344539</v>
      </c>
      <c r="J298" s="332">
        <f>Gasto_o_ing_per_capita!J298*100/Gasto_o_ing_per_capita!$D298</f>
        <v>98.097124052046738</v>
      </c>
      <c r="K298" s="332">
        <f>Gasto_o_ing_per_capita!K298*100/Gasto_o_ing_per_capita!$D298</f>
        <v>103.84307089236827</v>
      </c>
      <c r="L298" s="332">
        <f>Gasto_o_ing_per_capita!L298*100/Gasto_o_ing_per_capita!$D298</f>
        <v>92.193977612112207</v>
      </c>
      <c r="M298" s="332">
        <f>Gasto_o_ing_per_capita!M298*100/Gasto_o_ing_per_capita!$D298</f>
        <v>143.17592572797102</v>
      </c>
      <c r="N298" s="332">
        <f>Gasto_o_ing_per_capita!N298*100/Gasto_o_ing_per_capita!$D298</f>
        <v>88.478442082765014</v>
      </c>
      <c r="O298" s="332">
        <f>Gasto_o_ing_per_capita!O298*100/Gasto_o_ing_per_capita!$D298</f>
        <v>96.656199152964476</v>
      </c>
      <c r="P298" s="332">
        <f>Gasto_o_ing_per_capita!P298*100/Gasto_o_ing_per_capita!$D298</f>
        <v>103.6482917733708</v>
      </c>
      <c r="Q298" s="332">
        <f>Gasto_o_ing_per_capita!Q298*100/Gasto_o_ing_per_capita!$D298</f>
        <v>89.820608318197117</v>
      </c>
      <c r="R298" s="332">
        <f>Gasto_o_ing_per_capita!R298*100/Gasto_o_ing_per_capita!$D298</f>
        <v>84.618373607356901</v>
      </c>
      <c r="S298" s="332">
        <f>Gasto_o_ing_per_capita!S298*100/Gasto_o_ing_per_capita!$D298</f>
        <v>92.34128954168493</v>
      </c>
      <c r="T298" s="332">
        <f>Gasto_o_ing_per_capita!T298*100/Gasto_o_ing_per_capita!$D298</f>
        <v>101.30410252452067</v>
      </c>
      <c r="U298" s="332">
        <f>Gasto_o_ing_per_capita!U298*100/Gasto_o_ing_per_capita!$D298</f>
        <v>97.44469503915748</v>
      </c>
      <c r="V298" s="332">
        <f>Gasto_o_ing_per_capita!V298*100/Gasto_o_ing_per_capita!$D298</f>
        <v>69.2708145800447</v>
      </c>
    </row>
    <row r="299" spans="1:22" s="102" customFormat="1">
      <c r="A299" s="351" t="str">
        <f>IF(B299="","",(IF(ISERROR(MATCH(B299,Tot_res!C:C,0)),"Eliminar!!!","")))</f>
        <v/>
      </c>
      <c r="B299" s="119" t="s">
        <v>300</v>
      </c>
      <c r="C299" s="329" t="str">
        <f>VLOOKUP(B299,Tot_res!C:D,2,FALSE)</f>
        <v>Asistencia sanitaria del mutualismo administrativo</v>
      </c>
      <c r="D299" s="332">
        <f>Gasto_o_ing_per_capita!D299*100/Gasto_o_ing_per_capita!$D299</f>
        <v>100</v>
      </c>
      <c r="E299" s="332">
        <f>Gasto_o_ing_per_capita!E299*100/Gasto_o_ing_per_capita!$D299</f>
        <v>130.00850578980751</v>
      </c>
      <c r="F299" s="332">
        <f>Gasto_o_ing_per_capita!F299*100/Gasto_o_ing_per_capita!$D299</f>
        <v>123.46687239753479</v>
      </c>
      <c r="G299" s="332">
        <f>Gasto_o_ing_per_capita!G299*100/Gasto_o_ing_per_capita!$D299</f>
        <v>81.824484829965002</v>
      </c>
      <c r="H299" s="332">
        <f>Gasto_o_ing_per_capita!H299*100/Gasto_o_ing_per_capita!$D299</f>
        <v>68.131802558782908</v>
      </c>
      <c r="I299" s="332">
        <f>Gasto_o_ing_per_capita!I299*100/Gasto_o_ing_per_capita!$D299</f>
        <v>89.770311764069547</v>
      </c>
      <c r="J299" s="332">
        <f>Gasto_o_ing_per_capita!J299*100/Gasto_o_ing_per_capita!$D299</f>
        <v>92.642934351594178</v>
      </c>
      <c r="K299" s="332">
        <f>Gasto_o_ing_per_capita!K299*100/Gasto_o_ing_per_capita!$D299</f>
        <v>142.91424876971732</v>
      </c>
      <c r="L299" s="332">
        <f>Gasto_o_ing_per_capita!L299*100/Gasto_o_ing_per_capita!$D299</f>
        <v>105.35495356556309</v>
      </c>
      <c r="M299" s="332">
        <f>Gasto_o_ing_per_capita!M299*100/Gasto_o_ing_per_capita!$D299</f>
        <v>47.493431787306868</v>
      </c>
      <c r="N299" s="332">
        <f>Gasto_o_ing_per_capita!N299*100/Gasto_o_ing_per_capita!$D299</f>
        <v>83.08059494458</v>
      </c>
      <c r="O299" s="332">
        <f>Gasto_o_ing_per_capita!O299*100/Gasto_o_ing_per_capita!$D299</f>
        <v>151.53282860505402</v>
      </c>
      <c r="P299" s="332">
        <f>Gasto_o_ing_per_capita!P299*100/Gasto_o_ing_per_capita!$D299</f>
        <v>115.60299038221156</v>
      </c>
      <c r="Q299" s="332">
        <f>Gasto_o_ing_per_capita!Q299*100/Gasto_o_ing_per_capita!$D299</f>
        <v>120.24628027195263</v>
      </c>
      <c r="R299" s="332">
        <f>Gasto_o_ing_per_capita!R299*100/Gasto_o_ing_per_capita!$D299</f>
        <v>140.12184750392512</v>
      </c>
      <c r="S299" s="332">
        <f>Gasto_o_ing_per_capita!S299*100/Gasto_o_ing_per_capita!$D299</f>
        <v>53.752627403162478</v>
      </c>
      <c r="T299" s="332">
        <f>Gasto_o_ing_per_capita!T299*100/Gasto_o_ing_per_capita!$D299</f>
        <v>36.030042554592441</v>
      </c>
      <c r="U299" s="332">
        <f>Gasto_o_ing_per_capita!U299*100/Gasto_o_ing_per_capita!$D299</f>
        <v>93.480144723723413</v>
      </c>
      <c r="V299" s="332">
        <f>Gasto_o_ing_per_capita!V299*100/Gasto_o_ing_per_capita!$D299</f>
        <v>344.92592950075033</v>
      </c>
    </row>
    <row r="300" spans="1:22" s="102" customFormat="1">
      <c r="A300" s="351" t="str">
        <f>IF(B300="","",(IF(ISERROR(MATCH(B300,Tot_res!C:C,0)),"Eliminar!!!","")))</f>
        <v/>
      </c>
      <c r="B300" s="119" t="s">
        <v>302</v>
      </c>
      <c r="C300" s="329" t="str">
        <f>VLOOKUP(B300,Tot_res!C:D,2,FALSE)</f>
        <v>Prestaciones y farmacia</v>
      </c>
      <c r="D300" s="332">
        <f>Gasto_o_ing_per_capita!D300*100/Gasto_o_ing_per_capita!$D300</f>
        <v>100</v>
      </c>
      <c r="E300" s="332">
        <f>Gasto_o_ing_per_capita!E300*100/Gasto_o_ing_per_capita!$D300</f>
        <v>94.444619359201084</v>
      </c>
      <c r="F300" s="332">
        <f>Gasto_o_ing_per_capita!F300*100/Gasto_o_ing_per_capita!$D300</f>
        <v>109.74119895290723</v>
      </c>
      <c r="G300" s="332">
        <f>Gasto_o_ing_per_capita!G300*100/Gasto_o_ing_per_capita!$D300</f>
        <v>109.07758495825875</v>
      </c>
      <c r="H300" s="332">
        <f>Gasto_o_ing_per_capita!H300*100/Gasto_o_ing_per_capita!$D300</f>
        <v>97.384388990892106</v>
      </c>
      <c r="I300" s="332">
        <f>Gasto_o_ing_per_capita!I300*100/Gasto_o_ing_per_capita!$D300</f>
        <v>94.901588562451565</v>
      </c>
      <c r="J300" s="332">
        <f>Gasto_o_ing_per_capita!J300*100/Gasto_o_ing_per_capita!$D300</f>
        <v>105.4948335587094</v>
      </c>
      <c r="K300" s="332">
        <f>Gasto_o_ing_per_capita!K300*100/Gasto_o_ing_per_capita!$D300</f>
        <v>111.16752028283324</v>
      </c>
      <c r="L300" s="332">
        <f>Gasto_o_ing_per_capita!L300*100/Gasto_o_ing_per_capita!$D300</f>
        <v>106.96753271075301</v>
      </c>
      <c r="M300" s="332">
        <f>Gasto_o_ing_per_capita!M300*100/Gasto_o_ing_per_capita!$D300</f>
        <v>97.593735218957079</v>
      </c>
      <c r="N300" s="332">
        <f>Gasto_o_ing_per_capita!N300*100/Gasto_o_ing_per_capita!$D300</f>
        <v>99.158167192103733</v>
      </c>
      <c r="O300" s="332">
        <f>Gasto_o_ing_per_capita!O300*100/Gasto_o_ing_per_capita!$D300</f>
        <v>106.27038371870464</v>
      </c>
      <c r="P300" s="332">
        <f>Gasto_o_ing_per_capita!P300*100/Gasto_o_ing_per_capita!$D300</f>
        <v>105.27162941593407</v>
      </c>
      <c r="Q300" s="332">
        <f>Gasto_o_ing_per_capita!Q300*100/Gasto_o_ing_per_capita!$D300</f>
        <v>98.300274783694348</v>
      </c>
      <c r="R300" s="332">
        <f>Gasto_o_ing_per_capita!R300*100/Gasto_o_ing_per_capita!$D300</f>
        <v>95.379697154518055</v>
      </c>
      <c r="S300" s="332">
        <f>Gasto_o_ing_per_capita!S300*100/Gasto_o_ing_per_capita!$D300</f>
        <v>103.84080451071374</v>
      </c>
      <c r="T300" s="332">
        <f>Gasto_o_ing_per_capita!T300*100/Gasto_o_ing_per_capita!$D300</f>
        <v>103.85713661607333</v>
      </c>
      <c r="U300" s="332">
        <f>Gasto_o_ing_per_capita!U300*100/Gasto_o_ing_per_capita!$D300</f>
        <v>111.85371207179487</v>
      </c>
      <c r="V300" s="332">
        <f>Gasto_o_ing_per_capita!V300*100/Gasto_o_ing_per_capita!$D300</f>
        <v>79.129859137453352</v>
      </c>
    </row>
    <row r="301" spans="1:22" s="102" customFormat="1">
      <c r="A301" s="351" t="str">
        <f>IF(B301="","",(IF(ISERROR(MATCH(B301,Tot_res!C:C,0)),"Eliminar!!!","")))</f>
        <v/>
      </c>
      <c r="B301" s="119" t="s">
        <v>303</v>
      </c>
      <c r="C301" s="329" t="str">
        <f>VLOOKUP(B301,Tot_res!C:D,2,FALSE)</f>
        <v>Salud pública, sanidad exterior y calidad + AF11/2</v>
      </c>
      <c r="D301" s="332">
        <f>Gasto_o_ing_per_capita!D301*100/Gasto_o_ing_per_capita!$D301</f>
        <v>100</v>
      </c>
      <c r="E301" s="332">
        <f>Gasto_o_ing_per_capita!E301*100/Gasto_o_ing_per_capita!$D301</f>
        <v>95.656753530473551</v>
      </c>
      <c r="F301" s="332">
        <f>Gasto_o_ing_per_capita!F301*100/Gasto_o_ing_per_capita!$D301</f>
        <v>102.95802976723209</v>
      </c>
      <c r="G301" s="332">
        <f>Gasto_o_ing_per_capita!G301*100/Gasto_o_ing_per_capita!$D301</f>
        <v>102.69779789759357</v>
      </c>
      <c r="H301" s="332">
        <f>Gasto_o_ing_per_capita!H301*100/Gasto_o_ing_per_capita!$D301</f>
        <v>102.28018503183227</v>
      </c>
      <c r="I301" s="332">
        <f>Gasto_o_ing_per_capita!I301*100/Gasto_o_ing_per_capita!$D301</f>
        <v>98.09495561358581</v>
      </c>
      <c r="J301" s="332">
        <f>Gasto_o_ing_per_capita!J301*100/Gasto_o_ing_per_capita!$D301</f>
        <v>125.25920335699</v>
      </c>
      <c r="K301" s="332">
        <f>Gasto_o_ing_per_capita!K301*100/Gasto_o_ing_per_capita!$D301</f>
        <v>97.421459728839224</v>
      </c>
      <c r="L301" s="332">
        <f>Gasto_o_ing_per_capita!L301*100/Gasto_o_ing_per_capita!$D301</f>
        <v>98.211345054110382</v>
      </c>
      <c r="M301" s="332">
        <f>Gasto_o_ing_per_capita!M301*100/Gasto_o_ing_per_capita!$D301</f>
        <v>100.00014346902934</v>
      </c>
      <c r="N301" s="332">
        <f>Gasto_o_ing_per_capita!N301*100/Gasto_o_ing_per_capita!$D301</f>
        <v>98.986425796462882</v>
      </c>
      <c r="O301" s="332">
        <f>Gasto_o_ing_per_capita!O301*100/Gasto_o_ing_per_capita!$D301</f>
        <v>102.34182877562752</v>
      </c>
      <c r="P301" s="332">
        <f>Gasto_o_ing_per_capita!P301*100/Gasto_o_ing_per_capita!$D301</f>
        <v>98.110724234883278</v>
      </c>
      <c r="Q301" s="332">
        <f>Gasto_o_ing_per_capita!Q301*100/Gasto_o_ing_per_capita!$D301</f>
        <v>103.44232636791104</v>
      </c>
      <c r="R301" s="332">
        <f>Gasto_o_ing_per_capita!R301*100/Gasto_o_ing_per_capita!$D301</f>
        <v>104.30264363570404</v>
      </c>
      <c r="S301" s="332">
        <f>Gasto_o_ing_per_capita!S301*100/Gasto_o_ing_per_capita!$D301</f>
        <v>100.00000000000001</v>
      </c>
      <c r="T301" s="332">
        <f>Gasto_o_ing_per_capita!T301*100/Gasto_o_ing_per_capita!$D301</f>
        <v>100.00000000000001</v>
      </c>
      <c r="U301" s="332">
        <f>Gasto_o_ing_per_capita!U301*100/Gasto_o_ing_per_capita!$D301</f>
        <v>124.10467306894205</v>
      </c>
      <c r="V301" s="332">
        <f>Gasto_o_ing_per_capita!V301*100/Gasto_o_ing_per_capita!$D301</f>
        <v>88.195147729027354</v>
      </c>
    </row>
    <row r="302" spans="1:22" s="102" customFormat="1">
      <c r="A302" s="351" t="str">
        <f>IF(B302="","",(IF(ISERROR(MATCH(B302,Tot_res!C:C,0)),"Eliminar!!!","")))</f>
        <v/>
      </c>
      <c r="B302" s="119" t="s">
        <v>304</v>
      </c>
      <c r="C302" s="329" t="str">
        <f>VLOOKUP(B302,Tot_res!C:D,2,FALSE)</f>
        <v>Seguridad alimentaria y nutrición</v>
      </c>
      <c r="D302" s="332">
        <f>Gasto_o_ing_per_capita!D302*100/Gasto_o_ing_per_capita!$D302</f>
        <v>99.999999999999986</v>
      </c>
      <c r="E302" s="332">
        <f>Gasto_o_ing_per_capita!E302*100/Gasto_o_ing_per_capita!$D302</f>
        <v>99.999999999999986</v>
      </c>
      <c r="F302" s="332">
        <f>Gasto_o_ing_per_capita!F302*100/Gasto_o_ing_per_capita!$D302</f>
        <v>99.999999999999986</v>
      </c>
      <c r="G302" s="332">
        <f>Gasto_o_ing_per_capita!G302*100/Gasto_o_ing_per_capita!$D302</f>
        <v>99.999999999999986</v>
      </c>
      <c r="H302" s="332">
        <f>Gasto_o_ing_per_capita!H302*100/Gasto_o_ing_per_capita!$D302</f>
        <v>99.999999999999986</v>
      </c>
      <c r="I302" s="332">
        <f>Gasto_o_ing_per_capita!I302*100/Gasto_o_ing_per_capita!$D302</f>
        <v>99.999999999999986</v>
      </c>
      <c r="J302" s="332">
        <f>Gasto_o_ing_per_capita!J302*100/Gasto_o_ing_per_capita!$D302</f>
        <v>99.999999999999986</v>
      </c>
      <c r="K302" s="332">
        <f>Gasto_o_ing_per_capita!K302*100/Gasto_o_ing_per_capita!$D302</f>
        <v>99.999999999999986</v>
      </c>
      <c r="L302" s="332">
        <f>Gasto_o_ing_per_capita!L302*100/Gasto_o_ing_per_capita!$D302</f>
        <v>99.999999999999986</v>
      </c>
      <c r="M302" s="332">
        <f>Gasto_o_ing_per_capita!M302*100/Gasto_o_ing_per_capita!$D302</f>
        <v>99.999999999999986</v>
      </c>
      <c r="N302" s="332">
        <f>Gasto_o_ing_per_capita!N302*100/Gasto_o_ing_per_capita!$D302</f>
        <v>99.999999999999986</v>
      </c>
      <c r="O302" s="332">
        <f>Gasto_o_ing_per_capita!O302*100/Gasto_o_ing_per_capita!$D302</f>
        <v>99.999999999999986</v>
      </c>
      <c r="P302" s="332">
        <f>Gasto_o_ing_per_capita!P302*100/Gasto_o_ing_per_capita!$D302</f>
        <v>99.999999999999986</v>
      </c>
      <c r="Q302" s="332">
        <f>Gasto_o_ing_per_capita!Q302*100/Gasto_o_ing_per_capita!$D302</f>
        <v>99.999999999999986</v>
      </c>
      <c r="R302" s="332">
        <f>Gasto_o_ing_per_capita!R302*100/Gasto_o_ing_per_capita!$D302</f>
        <v>99.999999999999986</v>
      </c>
      <c r="S302" s="332">
        <f>Gasto_o_ing_per_capita!S302*100/Gasto_o_ing_per_capita!$D302</f>
        <v>99.999999999999986</v>
      </c>
      <c r="T302" s="332">
        <f>Gasto_o_ing_per_capita!T302*100/Gasto_o_ing_per_capita!$D302</f>
        <v>99.999999999999986</v>
      </c>
      <c r="U302" s="332">
        <f>Gasto_o_ing_per_capita!U302*100/Gasto_o_ing_per_capita!$D302</f>
        <v>99.999999999999986</v>
      </c>
      <c r="V302" s="332">
        <f>Gasto_o_ing_per_capita!V302*100/Gasto_o_ing_per_capita!$D302</f>
        <v>99.999999999999986</v>
      </c>
    </row>
    <row r="303" spans="1:22" s="102" customFormat="1">
      <c r="A303" s="351" t="str">
        <f>IF(B303="","",(IF(ISERROR(MATCH(B303,Tot_res!C:C,0)),"Eliminar!!!","")))</f>
        <v/>
      </c>
      <c r="B303" s="119" t="s">
        <v>305</v>
      </c>
      <c r="C303" s="329" t="str">
        <f>VLOOKUP(B303,Tot_res!C:D,2,FALSE)</f>
        <v>Donación y trasplante de órganos, tejidos y células</v>
      </c>
      <c r="D303" s="332">
        <f>Gasto_o_ing_per_capita!D303*100/Gasto_o_ing_per_capita!$D303</f>
        <v>100</v>
      </c>
      <c r="E303" s="332">
        <f>Gasto_o_ing_per_capita!E303*100/Gasto_o_ing_per_capita!$D303</f>
        <v>95.402761665510909</v>
      </c>
      <c r="F303" s="332">
        <f>Gasto_o_ing_per_capita!F303*100/Gasto_o_ing_per_capita!$D303</f>
        <v>105.67152718736403</v>
      </c>
      <c r="G303" s="332">
        <f>Gasto_o_ing_per_capita!G303*100/Gasto_o_ing_per_capita!$D303</f>
        <v>112.62025882102115</v>
      </c>
      <c r="H303" s="332">
        <f>Gasto_o_ing_per_capita!H303*100/Gasto_o_ing_per_capita!$D303</f>
        <v>93.260501295722435</v>
      </c>
      <c r="I303" s="332">
        <f>Gasto_o_ing_per_capita!I303*100/Gasto_o_ing_per_capita!$D303</f>
        <v>92.944568204181323</v>
      </c>
      <c r="J303" s="332">
        <f>Gasto_o_ing_per_capita!J303*100/Gasto_o_ing_per_capita!$D303</f>
        <v>104.86768212138256</v>
      </c>
      <c r="K303" s="332">
        <f>Gasto_o_ing_per_capita!K303*100/Gasto_o_ing_per_capita!$D303</f>
        <v>112.16100248159918</v>
      </c>
      <c r="L303" s="332">
        <f>Gasto_o_ing_per_capita!L303*100/Gasto_o_ing_per_capita!$D303</f>
        <v>99.731724271867265</v>
      </c>
      <c r="M303" s="332">
        <f>Gasto_o_ing_per_capita!M303*100/Gasto_o_ing_per_capita!$D303</f>
        <v>99.327511987384952</v>
      </c>
      <c r="N303" s="332">
        <f>Gasto_o_ing_per_capita!N303*100/Gasto_o_ing_per_capita!$D303</f>
        <v>99.657324660762384</v>
      </c>
      <c r="O303" s="332">
        <f>Gasto_o_ing_per_capita!O303*100/Gasto_o_ing_per_capita!$D303</f>
        <v>103.13204094053002</v>
      </c>
      <c r="P303" s="332">
        <f>Gasto_o_ing_per_capita!P303*100/Gasto_o_ing_per_capita!$D303</f>
        <v>111.10602933917619</v>
      </c>
      <c r="Q303" s="332">
        <f>Gasto_o_ing_per_capita!Q303*100/Gasto_o_ing_per_capita!$D303</f>
        <v>96.615202355506838</v>
      </c>
      <c r="R303" s="332">
        <f>Gasto_o_ing_per_capita!R303*100/Gasto_o_ing_per_capita!$D303</f>
        <v>92.689932739389874</v>
      </c>
      <c r="S303" s="332">
        <f>Gasto_o_ing_per_capita!S303*100/Gasto_o_ing_per_capita!$D303</f>
        <v>101.26845813598844</v>
      </c>
      <c r="T303" s="332">
        <f>Gasto_o_ing_per_capita!T303*100/Gasto_o_ing_per_capita!$D303</f>
        <v>106.29435237075027</v>
      </c>
      <c r="U303" s="332">
        <f>Gasto_o_ing_per_capita!U303*100/Gasto_o_ing_per_capita!$D303</f>
        <v>103.21805428577872</v>
      </c>
      <c r="V303" s="332">
        <f>Gasto_o_ing_per_capita!V303*100/Gasto_o_ing_per_capita!$D303</f>
        <v>84.575787902631589</v>
      </c>
    </row>
    <row r="304" spans="1:22" s="102" customFormat="1">
      <c r="A304" s="351" t="str">
        <f>IF(B304="","",(IF(ISERROR(MATCH(B304,Tot_res!C:C,0)),"Eliminar!!!","")))</f>
        <v/>
      </c>
      <c r="B304" s="115" t="s">
        <v>306</v>
      </c>
      <c r="C304" s="329" t="str">
        <f>VLOOKUP(B304,Tot_res!C:D,2,FALSE)</f>
        <v>Protec. y promoc. de derechos de consum. y usuar.</v>
      </c>
      <c r="D304" s="332">
        <f>Gasto_o_ing_per_capita!D304*100/Gasto_o_ing_per_capita!$D304</f>
        <v>100</v>
      </c>
      <c r="E304" s="332">
        <f>Gasto_o_ing_per_capita!E304*100/Gasto_o_ing_per_capita!$D304</f>
        <v>99.999999999999972</v>
      </c>
      <c r="F304" s="332">
        <f>Gasto_o_ing_per_capita!F304*100/Gasto_o_ing_per_capita!$D304</f>
        <v>100</v>
      </c>
      <c r="G304" s="332">
        <f>Gasto_o_ing_per_capita!G304*100/Gasto_o_ing_per_capita!$D304</f>
        <v>100</v>
      </c>
      <c r="H304" s="332">
        <f>Gasto_o_ing_per_capita!H304*100/Gasto_o_ing_per_capita!$D304</f>
        <v>99.999999999999972</v>
      </c>
      <c r="I304" s="332">
        <f>Gasto_o_ing_per_capita!I304*100/Gasto_o_ing_per_capita!$D304</f>
        <v>99.999999999999972</v>
      </c>
      <c r="J304" s="332">
        <f>Gasto_o_ing_per_capita!J304*100/Gasto_o_ing_per_capita!$D304</f>
        <v>100</v>
      </c>
      <c r="K304" s="332">
        <f>Gasto_o_ing_per_capita!K304*100/Gasto_o_ing_per_capita!$D304</f>
        <v>100</v>
      </c>
      <c r="L304" s="332">
        <f>Gasto_o_ing_per_capita!L304*100/Gasto_o_ing_per_capita!$D304</f>
        <v>100</v>
      </c>
      <c r="M304" s="332">
        <f>Gasto_o_ing_per_capita!M304*100/Gasto_o_ing_per_capita!$D304</f>
        <v>100.00000000000001</v>
      </c>
      <c r="N304" s="332">
        <f>Gasto_o_ing_per_capita!N304*100/Gasto_o_ing_per_capita!$D304</f>
        <v>100</v>
      </c>
      <c r="O304" s="332">
        <f>Gasto_o_ing_per_capita!O304*100/Gasto_o_ing_per_capita!$D304</f>
        <v>100</v>
      </c>
      <c r="P304" s="332">
        <f>Gasto_o_ing_per_capita!P304*100/Gasto_o_ing_per_capita!$D304</f>
        <v>99.999999999999972</v>
      </c>
      <c r="Q304" s="332">
        <f>Gasto_o_ing_per_capita!Q304*100/Gasto_o_ing_per_capita!$D304</f>
        <v>100</v>
      </c>
      <c r="R304" s="332">
        <f>Gasto_o_ing_per_capita!R304*100/Gasto_o_ing_per_capita!$D304</f>
        <v>100</v>
      </c>
      <c r="S304" s="332">
        <f>Gasto_o_ing_per_capita!S304*100/Gasto_o_ing_per_capita!$D304</f>
        <v>99.999999999999972</v>
      </c>
      <c r="T304" s="332">
        <f>Gasto_o_ing_per_capita!T304*100/Gasto_o_ing_per_capita!$D304</f>
        <v>100</v>
      </c>
      <c r="U304" s="332">
        <f>Gasto_o_ing_per_capita!U304*100/Gasto_o_ing_per_capita!$D304</f>
        <v>100</v>
      </c>
      <c r="V304" s="332">
        <f>Gasto_o_ing_per_capita!V304*100/Gasto_o_ing_per_capita!$D304</f>
        <v>100</v>
      </c>
    </row>
    <row r="305" spans="1:22" s="102" customFormat="1">
      <c r="A305" s="351" t="str">
        <f>IF(B305="","",(IF(ISERROR(MATCH(B305,Tot_res!C:C,0)),"Eliminar!!!","")))</f>
        <v/>
      </c>
      <c r="B305" s="115" t="s">
        <v>783</v>
      </c>
      <c r="C305" s="329" t="str">
        <f>VLOOKUP(B305,Tot_res!C:D,2,FALSE)</f>
        <v>Atención Primaria de Salud, ISM</v>
      </c>
      <c r="D305" s="332">
        <f>Gasto_o_ing_per_capita!D305*100/Gasto_o_ing_per_capita!$D305</f>
        <v>100</v>
      </c>
      <c r="E305" s="332">
        <f>Gasto_o_ing_per_capita!E305*100/Gasto_o_ing_per_capita!$D305</f>
        <v>0</v>
      </c>
      <c r="F305" s="332">
        <f>Gasto_o_ing_per_capita!F305*100/Gasto_o_ing_per_capita!$D305</f>
        <v>0</v>
      </c>
      <c r="G305" s="332">
        <f>Gasto_o_ing_per_capita!G305*100/Gasto_o_ing_per_capita!$D305</f>
        <v>0</v>
      </c>
      <c r="H305" s="332">
        <f>Gasto_o_ing_per_capita!H305*100/Gasto_o_ing_per_capita!$D305</f>
        <v>0</v>
      </c>
      <c r="I305" s="332">
        <f>Gasto_o_ing_per_capita!I305*100/Gasto_o_ing_per_capita!$D305</f>
        <v>0</v>
      </c>
      <c r="J305" s="332">
        <f>Gasto_o_ing_per_capita!J305*100/Gasto_o_ing_per_capita!$D305</f>
        <v>0</v>
      </c>
      <c r="K305" s="332">
        <f>Gasto_o_ing_per_capita!K305*100/Gasto_o_ing_per_capita!$D305</f>
        <v>0</v>
      </c>
      <c r="L305" s="332">
        <f>Gasto_o_ing_per_capita!L305*100/Gasto_o_ing_per_capita!$D305</f>
        <v>0</v>
      </c>
      <c r="M305" s="332">
        <f>Gasto_o_ing_per_capita!M305*100/Gasto_o_ing_per_capita!$D305</f>
        <v>0</v>
      </c>
      <c r="N305" s="332">
        <f>Gasto_o_ing_per_capita!N305*100/Gasto_o_ing_per_capita!$D305</f>
        <v>0</v>
      </c>
      <c r="O305" s="332">
        <f>Gasto_o_ing_per_capita!O305*100/Gasto_o_ing_per_capita!$D305</f>
        <v>0</v>
      </c>
      <c r="P305" s="332">
        <f>Gasto_o_ing_per_capita!P305*100/Gasto_o_ing_per_capita!$D305</f>
        <v>0</v>
      </c>
      <c r="Q305" s="332">
        <f>Gasto_o_ing_per_capita!Q305*100/Gasto_o_ing_per_capita!$D305</f>
        <v>724.47881678968884</v>
      </c>
      <c r="R305" s="332">
        <f>Gasto_o_ing_per_capita!R305*100/Gasto_o_ing_per_capita!$D305</f>
        <v>0</v>
      </c>
      <c r="S305" s="332">
        <f>Gasto_o_ing_per_capita!S305*100/Gasto_o_ing_per_capita!$D305</f>
        <v>0</v>
      </c>
      <c r="T305" s="332">
        <f>Gasto_o_ing_per_capita!T305*100/Gasto_o_ing_per_capita!$D305</f>
        <v>0</v>
      </c>
      <c r="U305" s="332">
        <f>Gasto_o_ing_per_capita!U305*100/Gasto_o_ing_per_capita!$D305</f>
        <v>0</v>
      </c>
      <c r="V305" s="332">
        <f>Gasto_o_ing_per_capita!V305*100/Gasto_o_ing_per_capita!$D305</f>
        <v>0</v>
      </c>
    </row>
    <row r="306" spans="1:22"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Gasto_o_ing_per_capita!D306*100/Gasto_o_ing_per_capita!$D306</f>
        <v>100</v>
      </c>
      <c r="E306" s="332">
        <f>Gasto_o_ing_per_capita!E306*100/Gasto_o_ing_per_capita!$D306</f>
        <v>74.238813810804842</v>
      </c>
      <c r="F306" s="332">
        <f>Gasto_o_ing_per_capita!F306*100/Gasto_o_ing_per_capita!$D306</f>
        <v>91.10492110056181</v>
      </c>
      <c r="G306" s="332">
        <f>Gasto_o_ing_per_capita!G306*100/Gasto_o_ing_per_capita!$D306</f>
        <v>121.09984739098402</v>
      </c>
      <c r="H306" s="332">
        <f>Gasto_o_ing_per_capita!H306*100/Gasto_o_ing_per_capita!$D306</f>
        <v>117.96483572471793</v>
      </c>
      <c r="I306" s="332">
        <f>Gasto_o_ing_per_capita!I306*100/Gasto_o_ing_per_capita!$D306</f>
        <v>97.781030569924184</v>
      </c>
      <c r="J306" s="332">
        <f>Gasto_o_ing_per_capita!J306*100/Gasto_o_ing_per_capita!$D306</f>
        <v>111.34820246365703</v>
      </c>
      <c r="K306" s="332">
        <f>Gasto_o_ing_per_capita!K306*100/Gasto_o_ing_per_capita!$D306</f>
        <v>98.198569181971692</v>
      </c>
      <c r="L306" s="332">
        <f>Gasto_o_ing_per_capita!L306*100/Gasto_o_ing_per_capita!$D306</f>
        <v>102.09871645225381</v>
      </c>
      <c r="M306" s="332">
        <f>Gasto_o_ing_per_capita!M306*100/Gasto_o_ing_per_capita!$D306</f>
        <v>129.14320730049806</v>
      </c>
      <c r="N306" s="332">
        <f>Gasto_o_ing_per_capita!N306*100/Gasto_o_ing_per_capita!$D306</f>
        <v>106.10062549399998</v>
      </c>
      <c r="O306" s="332">
        <f>Gasto_o_ing_per_capita!O306*100/Gasto_o_ing_per_capita!$D306</f>
        <v>72.408893284664259</v>
      </c>
      <c r="P306" s="332">
        <f>Gasto_o_ing_per_capita!P306*100/Gasto_o_ing_per_capita!$D306</f>
        <v>99.344916289937913</v>
      </c>
      <c r="Q306" s="332">
        <f>Gasto_o_ing_per_capita!Q306*100/Gasto_o_ing_per_capita!$D306</f>
        <v>90.339936459488641</v>
      </c>
      <c r="R306" s="332">
        <f>Gasto_o_ing_per_capita!R306*100/Gasto_o_ing_per_capita!$D306</f>
        <v>87.049410844006388</v>
      </c>
      <c r="S306" s="332">
        <f>Gasto_o_ing_per_capita!S306*100/Gasto_o_ing_per_capita!$D306</f>
        <v>143.39193938852583</v>
      </c>
      <c r="T306" s="332">
        <f>Gasto_o_ing_per_capita!T306*100/Gasto_o_ing_per_capita!$D306</f>
        <v>101.25903657254443</v>
      </c>
      <c r="U306" s="332">
        <f>Gasto_o_ing_per_capita!U306*100/Gasto_o_ing_per_capita!$D306</f>
        <v>172.94209897392898</v>
      </c>
      <c r="V306" s="332">
        <f>Gasto_o_ing_per_capita!V306*100/Gasto_o_ing_per_capita!$D306</f>
        <v>66.462141820817706</v>
      </c>
    </row>
    <row r="307" spans="1:22" s="102" customFormat="1">
      <c r="A307" s="351" t="str">
        <f>IF(B307="","",(IF(ISERROR(MATCH(B307,Tot_res!C:C,0)),"Eliminar!!!","")))</f>
        <v/>
      </c>
      <c r="B307" s="115" t="s">
        <v>786</v>
      </c>
      <c r="C307" s="329" t="str">
        <f>VLOOKUP(B307,Tot_res!C:D,2,FALSE)</f>
        <v>Atenció Primaria de Salud INGESA neto de Ceuta y Melilla</v>
      </c>
      <c r="D307" s="332">
        <f>Gasto_o_ing_per_capita!D307*100/Gasto_o_ing_per_capita!$D307</f>
        <v>100</v>
      </c>
      <c r="E307" s="332">
        <f>Gasto_o_ing_per_capita!E307*100/Gasto_o_ing_per_capita!$D307</f>
        <v>0</v>
      </c>
      <c r="F307" s="332">
        <f>Gasto_o_ing_per_capita!F307*100/Gasto_o_ing_per_capita!$D307</f>
        <v>274.002237628611</v>
      </c>
      <c r="G307" s="332">
        <f>Gasto_o_ing_per_capita!G307*100/Gasto_o_ing_per_capita!$D307</f>
        <v>295.73550597287505</v>
      </c>
      <c r="H307" s="332">
        <f>Gasto_o_ing_per_capita!H307*100/Gasto_o_ing_per_capita!$D307</f>
        <v>235.8006166725572</v>
      </c>
      <c r="I307" s="332">
        <f>Gasto_o_ing_per_capita!I307*100/Gasto_o_ing_per_capita!$D307</f>
        <v>0</v>
      </c>
      <c r="J307" s="332">
        <f>Gasto_o_ing_per_capita!J307*100/Gasto_o_ing_per_capita!$D307</f>
        <v>269.79479167942827</v>
      </c>
      <c r="K307" s="332">
        <f>Gasto_o_ing_per_capita!K307*100/Gasto_o_ing_per_capita!$D307</f>
        <v>285.59776802319072</v>
      </c>
      <c r="L307" s="332">
        <f>Gasto_o_ing_per_capita!L307*100/Gasto_o_ing_per_capita!$D307</f>
        <v>253.55947204691495</v>
      </c>
      <c r="M307" s="332">
        <f>Gasto_o_ing_per_capita!M307*100/Gasto_o_ing_per_capita!$D307</f>
        <v>0</v>
      </c>
      <c r="N307" s="332">
        <f>Gasto_o_ing_per_capita!N307*100/Gasto_o_ing_per_capita!$D307</f>
        <v>0</v>
      </c>
      <c r="O307" s="332">
        <f>Gasto_o_ing_per_capita!O307*100/Gasto_o_ing_per_capita!$D307</f>
        <v>265.83184132048257</v>
      </c>
      <c r="P307" s="332">
        <f>Gasto_o_ing_per_capita!P307*100/Gasto_o_ing_per_capita!$D307</f>
        <v>0</v>
      </c>
      <c r="Q307" s="332">
        <f>Gasto_o_ing_per_capita!Q307*100/Gasto_o_ing_per_capita!$D307</f>
        <v>247.03203629976252</v>
      </c>
      <c r="R307" s="332">
        <f>Gasto_o_ing_per_capita!R307*100/Gasto_o_ing_per_capita!$D307</f>
        <v>232.7244218447866</v>
      </c>
      <c r="S307" s="332">
        <f>Gasto_o_ing_per_capita!S307*100/Gasto_o_ing_per_capita!$D307</f>
        <v>0</v>
      </c>
      <c r="T307" s="332">
        <f>Gasto_o_ing_per_capita!T307*100/Gasto_o_ing_per_capita!$D307</f>
        <v>0</v>
      </c>
      <c r="U307" s="332">
        <f>Gasto_o_ing_per_capita!U307*100/Gasto_o_ing_per_capita!$D307</f>
        <v>268.00042766194008</v>
      </c>
      <c r="V307" s="332">
        <f>Gasto_o_ing_per_capita!V307*100/Gasto_o_ing_per_capita!$D307</f>
        <v>190.51430069623459</v>
      </c>
    </row>
    <row r="308" spans="1:22" s="102" customFormat="1">
      <c r="A308" s="351" t="str">
        <f>IF(B308="","",(IF(ISERROR(MATCH(B308,Tot_res!C:C,0)),"Eliminar!!!","")))</f>
        <v/>
      </c>
      <c r="B308" s="115" t="s">
        <v>788</v>
      </c>
      <c r="C308" s="329" t="str">
        <f>VLOOKUP(B308,Tot_res!C:D,2,FALSE)</f>
        <v>Atención Especializada, INGESA neto de Ceuta y Melilla</v>
      </c>
      <c r="D308" s="332">
        <f>Gasto_o_ing_per_capita!D308*100/Gasto_o_ing_per_capita!$D308</f>
        <v>100</v>
      </c>
      <c r="E308" s="332">
        <f>Gasto_o_ing_per_capita!E308*100/Gasto_o_ing_per_capita!$D308</f>
        <v>89.226730217161474</v>
      </c>
      <c r="F308" s="332">
        <f>Gasto_o_ing_per_capita!F308*100/Gasto_o_ing_per_capita!$D308</f>
        <v>115.35419507293955</v>
      </c>
      <c r="G308" s="332">
        <f>Gasto_o_ing_per_capita!G308*100/Gasto_o_ing_per_capita!$D308</f>
        <v>124.50384179792312</v>
      </c>
      <c r="H308" s="332">
        <f>Gasto_o_ing_per_capita!H308*100/Gasto_o_ing_per_capita!$D308</f>
        <v>99.271416793442043</v>
      </c>
      <c r="I308" s="332">
        <f>Gasto_o_ing_per_capita!I308*100/Gasto_o_ing_per_capita!$D308</f>
        <v>85.697598974263997</v>
      </c>
      <c r="J308" s="332">
        <f>Gasto_o_ing_per_capita!J308*100/Gasto_o_ing_per_capita!$D308</f>
        <v>113.58287179842414</v>
      </c>
      <c r="K308" s="332">
        <f>Gasto_o_ing_per_capita!K308*100/Gasto_o_ing_per_capita!$D308</f>
        <v>120.23588175800798</v>
      </c>
      <c r="L308" s="332">
        <f>Gasto_o_ing_per_capita!L308*100/Gasto_o_ing_per_capita!$D308</f>
        <v>106.7478464929048</v>
      </c>
      <c r="M308" s="332">
        <f>Gasto_o_ing_per_capita!M308*100/Gasto_o_ing_per_capita!$D308</f>
        <v>96.046354019741329</v>
      </c>
      <c r="N308" s="332">
        <f>Gasto_o_ing_per_capita!N308*100/Gasto_o_ing_per_capita!$D308</f>
        <v>92.494785574911404</v>
      </c>
      <c r="O308" s="332">
        <f>Gasto_o_ing_per_capita!O308*100/Gasto_o_ing_per_capita!$D308</f>
        <v>111.91448050086902</v>
      </c>
      <c r="P308" s="332">
        <f>Gasto_o_ing_per_capita!P308*100/Gasto_o_ing_per_capita!$D308</f>
        <v>108.35324737992029</v>
      </c>
      <c r="Q308" s="332">
        <f>Gasto_o_ing_per_capita!Q308*100/Gasto_o_ing_per_capita!$D308</f>
        <v>103.99981383806318</v>
      </c>
      <c r="R308" s="332">
        <f>Gasto_o_ing_per_capita!R308*100/Gasto_o_ing_per_capita!$D308</f>
        <v>97.976347157091183</v>
      </c>
      <c r="S308" s="332">
        <f>Gasto_o_ing_per_capita!S308*100/Gasto_o_ing_per_capita!$D308</f>
        <v>96.532981083453123</v>
      </c>
      <c r="T308" s="332">
        <f>Gasto_o_ing_per_capita!T308*100/Gasto_o_ing_per_capita!$D308</f>
        <v>105.90264724710394</v>
      </c>
      <c r="U308" s="332">
        <f>Gasto_o_ing_per_capita!U308*100/Gasto_o_ing_per_capita!$D308</f>
        <v>112.8274494387507</v>
      </c>
      <c r="V308" s="332">
        <f>Gasto_o_ing_per_capita!V308*100/Gasto_o_ing_per_capita!$D308</f>
        <v>80.206001224288343</v>
      </c>
    </row>
    <row r="309" spans="1:22" s="102" customFormat="1">
      <c r="A309" s="351" t="str">
        <f>IF(B309="","",(IF(ISERROR(MATCH(B309,Tot_res!C:C,0)),"Eliminar!!!","")))</f>
        <v/>
      </c>
      <c r="B309" s="115" t="s">
        <v>790</v>
      </c>
      <c r="C309" s="329" t="str">
        <f>VLOOKUP(B309,Tot_res!C:D,2,FALSE)</f>
        <v>Atención Especializada, ISM</v>
      </c>
      <c r="D309" s="332">
        <f>Gasto_o_ing_per_capita!D309*100/Gasto_o_ing_per_capita!$D309</f>
        <v>100</v>
      </c>
      <c r="E309" s="332">
        <f>Gasto_o_ing_per_capita!E309*100/Gasto_o_ing_per_capita!$D309</f>
        <v>0</v>
      </c>
      <c r="F309" s="332">
        <f>Gasto_o_ing_per_capita!F309*100/Gasto_o_ing_per_capita!$D309</f>
        <v>0</v>
      </c>
      <c r="G309" s="332">
        <f>Gasto_o_ing_per_capita!G309*100/Gasto_o_ing_per_capita!$D309</f>
        <v>0</v>
      </c>
      <c r="H309" s="332">
        <f>Gasto_o_ing_per_capita!H309*100/Gasto_o_ing_per_capita!$D309</f>
        <v>0</v>
      </c>
      <c r="I309" s="332">
        <f>Gasto_o_ing_per_capita!I309*100/Gasto_o_ing_per_capita!$D309</f>
        <v>0</v>
      </c>
      <c r="J309" s="332">
        <f>Gasto_o_ing_per_capita!J309*100/Gasto_o_ing_per_capita!$D309</f>
        <v>0</v>
      </c>
      <c r="K309" s="332">
        <f>Gasto_o_ing_per_capita!K309*100/Gasto_o_ing_per_capita!$D309</f>
        <v>0</v>
      </c>
      <c r="L309" s="332">
        <f>Gasto_o_ing_per_capita!L309*100/Gasto_o_ing_per_capita!$D309</f>
        <v>0</v>
      </c>
      <c r="M309" s="332">
        <f>Gasto_o_ing_per_capita!M309*100/Gasto_o_ing_per_capita!$D309</f>
        <v>0</v>
      </c>
      <c r="N309" s="332">
        <f>Gasto_o_ing_per_capita!N309*100/Gasto_o_ing_per_capita!$D309</f>
        <v>0</v>
      </c>
      <c r="O309" s="332">
        <f>Gasto_o_ing_per_capita!O309*100/Gasto_o_ing_per_capita!$D309</f>
        <v>0</v>
      </c>
      <c r="P309" s="332">
        <f>Gasto_o_ing_per_capita!P309*100/Gasto_o_ing_per_capita!$D309</f>
        <v>0</v>
      </c>
      <c r="Q309" s="332">
        <f>Gasto_o_ing_per_capita!Q309*100/Gasto_o_ing_per_capita!$D309</f>
        <v>694.67504208484411</v>
      </c>
      <c r="R309" s="332">
        <f>Gasto_o_ing_per_capita!R309*100/Gasto_o_ing_per_capita!$D309</f>
        <v>0</v>
      </c>
      <c r="S309" s="332">
        <f>Gasto_o_ing_per_capita!S309*100/Gasto_o_ing_per_capita!$D309</f>
        <v>0</v>
      </c>
      <c r="T309" s="332">
        <f>Gasto_o_ing_per_capita!T309*100/Gasto_o_ing_per_capita!$D309</f>
        <v>87.755188992734332</v>
      </c>
      <c r="U309" s="332">
        <f>Gasto_o_ing_per_capita!U309*100/Gasto_o_ing_per_capita!$D309</f>
        <v>0</v>
      </c>
      <c r="V309" s="332">
        <f>Gasto_o_ing_per_capita!V309*100/Gasto_o_ing_per_capita!$D309</f>
        <v>0</v>
      </c>
    </row>
    <row r="310" spans="1:22" s="102" customFormat="1">
      <c r="A310" s="351" t="str">
        <f>IF(B310="","",(IF(ISERROR(MATCH(B310,Tot_res!C:C,0)),"Eliminar!!!","")))</f>
        <v/>
      </c>
      <c r="B310" s="115" t="s">
        <v>792</v>
      </c>
      <c r="C310" s="329" t="str">
        <f>VLOOKUP(B310,Tot_res!C:D,2,FALSE)</f>
        <v>Atención Especializada, mutuas de la Seg. Social</v>
      </c>
      <c r="D310" s="332">
        <f>Gasto_o_ing_per_capita!D310*100/Gasto_o_ing_per_capita!$D310</f>
        <v>100</v>
      </c>
      <c r="E310" s="332">
        <f>Gasto_o_ing_per_capita!E310*100/Gasto_o_ing_per_capita!$D310</f>
        <v>48.568552342027459</v>
      </c>
      <c r="F310" s="332">
        <f>Gasto_o_ing_per_capita!F310*100/Gasto_o_ing_per_capita!$D310</f>
        <v>264.78245874738093</v>
      </c>
      <c r="G310" s="332">
        <f>Gasto_o_ing_per_capita!G310*100/Gasto_o_ing_per_capita!$D310</f>
        <v>56.580582025965164</v>
      </c>
      <c r="H310" s="332">
        <f>Gasto_o_ing_per_capita!H310*100/Gasto_o_ing_per_capita!$D310</f>
        <v>94.333262756426947</v>
      </c>
      <c r="I310" s="332">
        <f>Gasto_o_ing_per_capita!I310*100/Gasto_o_ing_per_capita!$D310</f>
        <v>53.926741361143606</v>
      </c>
      <c r="J310" s="332">
        <f>Gasto_o_ing_per_capita!J310*100/Gasto_o_ing_per_capita!$D310</f>
        <v>120.359013003668</v>
      </c>
      <c r="K310" s="332">
        <f>Gasto_o_ing_per_capita!K310*100/Gasto_o_ing_per_capita!$D310</f>
        <v>33.147797099616099</v>
      </c>
      <c r="L310" s="332">
        <f>Gasto_o_ing_per_capita!L310*100/Gasto_o_ing_per_capita!$D310</f>
        <v>34.987325020218996</v>
      </c>
      <c r="M310" s="332">
        <f>Gasto_o_ing_per_capita!M310*100/Gasto_o_ing_per_capita!$D310</f>
        <v>136.15652532015005</v>
      </c>
      <c r="N310" s="332">
        <f>Gasto_o_ing_per_capita!N310*100/Gasto_o_ing_per_capita!$D310</f>
        <v>98.984498796841905</v>
      </c>
      <c r="O310" s="332">
        <f>Gasto_o_ing_per_capita!O310*100/Gasto_o_ing_per_capita!$D310</f>
        <v>27.183933516865039</v>
      </c>
      <c r="P310" s="332">
        <f>Gasto_o_ing_per_capita!P310*100/Gasto_o_ing_per_capita!$D310</f>
        <v>95.667257140050836</v>
      </c>
      <c r="Q310" s="332">
        <f>Gasto_o_ing_per_capita!Q310*100/Gasto_o_ing_per_capita!$D310</f>
        <v>148.01965521635816</v>
      </c>
      <c r="R310" s="332">
        <f>Gasto_o_ing_per_capita!R310*100/Gasto_o_ing_per_capita!$D310</f>
        <v>79.039219097737018</v>
      </c>
      <c r="S310" s="332">
        <f>Gasto_o_ing_per_capita!S310*100/Gasto_o_ing_per_capita!$D310</f>
        <v>78.16798281138594</v>
      </c>
      <c r="T310" s="332">
        <f>Gasto_o_ing_per_capita!T310*100/Gasto_o_ing_per_capita!$D310</f>
        <v>210.30535416612508</v>
      </c>
      <c r="U310" s="332">
        <f>Gasto_o_ing_per_capita!U310*100/Gasto_o_ing_per_capita!$D310</f>
        <v>53.470246334920695</v>
      </c>
      <c r="V310" s="332">
        <f>Gasto_o_ing_per_capita!V310*100/Gasto_o_ing_per_capita!$D310</f>
        <v>14.596426500716927</v>
      </c>
    </row>
    <row r="311" spans="1:22" s="102" customFormat="1">
      <c r="A311" s="351" t="str">
        <f>IF(B311="","",(IF(ISERROR(MATCH(B311,Tot_res!C:C,0)),"Eliminar!!!","")))</f>
        <v/>
      </c>
      <c r="B311" s="115" t="s">
        <v>622</v>
      </c>
      <c r="C311" s="329" t="str">
        <f>VLOOKUP(B311,Tot_res!C:D,2,FALSE)</f>
        <v xml:space="preserve">Medicina Marítima </v>
      </c>
      <c r="D311" s="332">
        <f>Gasto_o_ing_per_capita!D311*100/Gasto_o_ing_per_capita!$D311</f>
        <v>100</v>
      </c>
      <c r="E311" s="332">
        <f>Gasto_o_ing_per_capita!E311*100/Gasto_o_ing_per_capita!$D311</f>
        <v>59.737163911876237</v>
      </c>
      <c r="F311" s="332">
        <f>Gasto_o_ing_per_capita!F311*100/Gasto_o_ing_per_capita!$D311</f>
        <v>0</v>
      </c>
      <c r="G311" s="332">
        <f>Gasto_o_ing_per_capita!G311*100/Gasto_o_ing_per_capita!$D311</f>
        <v>111.94404080083498</v>
      </c>
      <c r="H311" s="332">
        <f>Gasto_o_ing_per_capita!H311*100/Gasto_o_ing_per_capita!$D311</f>
        <v>75.987485026383396</v>
      </c>
      <c r="I311" s="332">
        <f>Gasto_o_ing_per_capita!I311*100/Gasto_o_ing_per_capita!$D311</f>
        <v>595.27877709978111</v>
      </c>
      <c r="J311" s="332">
        <f>Gasto_o_ing_per_capita!J311*100/Gasto_o_ing_per_capita!$D311</f>
        <v>1643.1225670220927</v>
      </c>
      <c r="K311" s="332">
        <f>Gasto_o_ing_per_capita!K311*100/Gasto_o_ing_per_capita!$D311</f>
        <v>0</v>
      </c>
      <c r="L311" s="332">
        <f>Gasto_o_ing_per_capita!L311*100/Gasto_o_ing_per_capita!$D311</f>
        <v>0</v>
      </c>
      <c r="M311" s="332">
        <f>Gasto_o_ing_per_capita!M311*100/Gasto_o_ing_per_capita!$D311</f>
        <v>35.119421066948455</v>
      </c>
      <c r="N311" s="332">
        <f>Gasto_o_ing_per_capita!N311*100/Gasto_o_ing_per_capita!$D311</f>
        <v>33.137987513009932</v>
      </c>
      <c r="O311" s="332">
        <f>Gasto_o_ing_per_capita!O311*100/Gasto_o_ing_per_capita!$D311</f>
        <v>0</v>
      </c>
      <c r="P311" s="332">
        <f>Gasto_o_ing_per_capita!P311*100/Gasto_o_ing_per_capita!$D311</f>
        <v>338.77017378217477</v>
      </c>
      <c r="Q311" s="332">
        <f>Gasto_o_ing_per_capita!Q311*100/Gasto_o_ing_per_capita!$D311</f>
        <v>3.1925689227523009</v>
      </c>
      <c r="R311" s="332">
        <f>Gasto_o_ing_per_capita!R311*100/Gasto_o_ing_per_capita!$D311</f>
        <v>49.718831490267334</v>
      </c>
      <c r="S311" s="332">
        <f>Gasto_o_ing_per_capita!S311*100/Gasto_o_ing_per_capita!$D311</f>
        <v>0</v>
      </c>
      <c r="T311" s="332">
        <f>Gasto_o_ing_per_capita!T311*100/Gasto_o_ing_per_capita!$D311</f>
        <v>95.212476239421662</v>
      </c>
      <c r="U311" s="332">
        <f>Gasto_o_ing_per_capita!U311*100/Gasto_o_ing_per_capita!$D311</f>
        <v>0</v>
      </c>
      <c r="V311" s="332">
        <f>Gasto_o_ing_per_capita!V311*100/Gasto_o_ing_per_capita!$D311</f>
        <v>531.26602229998173</v>
      </c>
    </row>
    <row r="312" spans="1:22" s="102" customFormat="1">
      <c r="A312" s="351" t="str">
        <f>IF(B312="","",(IF(ISERROR(MATCH(B312,Tot_res!C:C,0)),"Eliminar!!!","")))</f>
        <v/>
      </c>
      <c r="B312" s="115" t="s">
        <v>794</v>
      </c>
      <c r="C312" s="329" t="str">
        <f>VLOOKUP(B312,Tot_res!C:D,2,FALSE)</f>
        <v>Admón.,Ser.Grales.y Cont.Int.Asist.San., neto CyMel</v>
      </c>
      <c r="D312" s="332">
        <f>Gasto_o_ing_per_capita!D312*100/Gasto_o_ing_per_capita!$D312</f>
        <v>100</v>
      </c>
      <c r="E312" s="332">
        <f>Gasto_o_ing_per_capita!E312*100/Gasto_o_ing_per_capita!$D312</f>
        <v>57.023539014759336</v>
      </c>
      <c r="F312" s="332">
        <f>Gasto_o_ing_per_capita!F312*100/Gasto_o_ing_per_capita!$D312</f>
        <v>172.61252153937863</v>
      </c>
      <c r="G312" s="332">
        <f>Gasto_o_ing_per_capita!G312*100/Gasto_o_ing_per_capita!$D312</f>
        <v>186.30377560599746</v>
      </c>
      <c r="H312" s="332">
        <f>Gasto_o_ing_per_capita!H312*100/Gasto_o_ing_per_capita!$D312</f>
        <v>148.54673953268644</v>
      </c>
      <c r="I312" s="332">
        <f>Gasto_o_ing_per_capita!I312*100/Gasto_o_ing_per_capita!$D312</f>
        <v>54.768121242217639</v>
      </c>
      <c r="J312" s="332">
        <f>Gasto_o_ing_per_capita!J312*100/Gasto_o_ing_per_capita!$D312</f>
        <v>169.96196707378533</v>
      </c>
      <c r="K312" s="332">
        <f>Gasto_o_ing_per_capita!K312*100/Gasto_o_ing_per_capita!$D312</f>
        <v>179.91732954867612</v>
      </c>
      <c r="L312" s="332">
        <f>Gasto_o_ing_per_capita!L312*100/Gasto_o_ing_per_capita!$D312</f>
        <v>159.73424235146251</v>
      </c>
      <c r="M312" s="332">
        <f>Gasto_o_ing_per_capita!M312*100/Gasto_o_ing_per_capita!$D312</f>
        <v>61.381863958707591</v>
      </c>
      <c r="N312" s="332">
        <f>Gasto_o_ing_per_capita!N312*100/Gasto_o_ing_per_capita!$D312</f>
        <v>59.112106888326956</v>
      </c>
      <c r="O312" s="332">
        <f>Gasto_o_ing_per_capita!O312*100/Gasto_o_ing_per_capita!$D312</f>
        <v>167.46543689902015</v>
      </c>
      <c r="P312" s="332">
        <f>Gasto_o_ing_per_capita!P312*100/Gasto_o_ing_per_capita!$D312</f>
        <v>69.247025126965539</v>
      </c>
      <c r="Q312" s="332">
        <f>Gasto_o_ing_per_capita!Q312*100/Gasto_o_ing_per_capita!$D312</f>
        <v>155.62216956967222</v>
      </c>
      <c r="R312" s="332">
        <f>Gasto_o_ing_per_capita!R312*100/Gasto_o_ing_per_capita!$D312</f>
        <v>146.6088365777201</v>
      </c>
      <c r="S312" s="332">
        <f>Gasto_o_ing_per_capita!S312*100/Gasto_o_ing_per_capita!$D312</f>
        <v>61.692860420033369</v>
      </c>
      <c r="T312" s="332">
        <f>Gasto_o_ing_per_capita!T312*100/Gasto_o_ing_per_capita!$D312</f>
        <v>67.680881305006366</v>
      </c>
      <c r="U312" s="332">
        <f>Gasto_o_ing_per_capita!U312*100/Gasto_o_ing_per_capita!$D312</f>
        <v>168.83157594888513</v>
      </c>
      <c r="V312" s="332">
        <f>Gasto_o_ing_per_capita!V312*100/Gasto_o_ing_per_capita!$D312</f>
        <v>120.01782947868389</v>
      </c>
    </row>
    <row r="313" spans="1:22" s="102" customFormat="1">
      <c r="A313" s="351" t="str">
        <f>IF(B313="","",(IF(ISERROR(MATCH(B313,Tot_res!C:C,0)),"Eliminar!!!","")))</f>
        <v/>
      </c>
      <c r="B313" s="115" t="s">
        <v>796</v>
      </c>
      <c r="C313" s="329" t="str">
        <f>VLOOKUP(B313,Tot_res!C:D,2,FALSE)</f>
        <v>Formación del Personal Sanitario, neto de CyMel</v>
      </c>
      <c r="D313" s="332">
        <f>Gasto_o_ing_per_capita!D313*100/Gasto_o_ing_per_capita!$D313</f>
        <v>100</v>
      </c>
      <c r="E313" s="332">
        <f>Gasto_o_ing_per_capita!E313*100/Gasto_o_ing_per_capita!$D313</f>
        <v>93.031070646761975</v>
      </c>
      <c r="F313" s="332">
        <f>Gasto_o_ing_per_capita!F313*100/Gasto_o_ing_per_capita!$D313</f>
        <v>108.5899534504729</v>
      </c>
      <c r="G313" s="332">
        <f>Gasto_o_ing_per_capita!G313*100/Gasto_o_ing_per_capita!$D313</f>
        <v>117.20307507406011</v>
      </c>
      <c r="H313" s="332">
        <f>Gasto_o_ing_per_capita!H313*100/Gasto_o_ing_per_capita!$D313</f>
        <v>93.450251390910822</v>
      </c>
      <c r="I313" s="332">
        <f>Gasto_o_ing_per_capita!I313*100/Gasto_o_ing_per_capita!$D313</f>
        <v>89.351468612925018</v>
      </c>
      <c r="J313" s="332">
        <f>Gasto_o_ing_per_capita!J313*100/Gasto_o_ing_per_capita!$D313</f>
        <v>106.92249860148587</v>
      </c>
      <c r="K313" s="332">
        <f>Gasto_o_ing_per_capita!K313*100/Gasto_o_ing_per_capita!$D313</f>
        <v>113.18538346111261</v>
      </c>
      <c r="L313" s="332">
        <f>Gasto_o_ing_per_capita!L313*100/Gasto_o_ing_per_capita!$D313</f>
        <v>100.48827157324612</v>
      </c>
      <c r="M313" s="332">
        <f>Gasto_o_ing_per_capita!M313*100/Gasto_o_ing_per_capita!$D313</f>
        <v>100.14146124628351</v>
      </c>
      <c r="N313" s="332">
        <f>Gasto_o_ing_per_capita!N313*100/Gasto_o_ing_per_capita!$D313</f>
        <v>96.43846536048072</v>
      </c>
      <c r="O313" s="332">
        <f>Gasto_o_ing_per_capita!O313*100/Gasto_o_ing_per_capita!$D313</f>
        <v>105.35193991288223</v>
      </c>
      <c r="P313" s="332">
        <f>Gasto_o_ing_per_capita!P313*100/Gasto_o_ing_per_capita!$D313</f>
        <v>112.97308090606977</v>
      </c>
      <c r="Q313" s="332">
        <f>Gasto_o_ing_per_capita!Q313*100/Gasto_o_ing_per_capita!$D313</f>
        <v>97.901380495024426</v>
      </c>
      <c r="R313" s="332">
        <f>Gasto_o_ing_per_capita!R313*100/Gasto_o_ing_per_capita!$D313</f>
        <v>92.231123196764628</v>
      </c>
      <c r="S313" s="332">
        <f>Gasto_o_ing_per_capita!S313*100/Gasto_o_ing_per_capita!$D313</f>
        <v>100.6488365208522</v>
      </c>
      <c r="T313" s="332">
        <f>Gasto_o_ing_per_capita!T313*100/Gasto_o_ing_per_capita!$D313</f>
        <v>110.41799507553291</v>
      </c>
      <c r="U313" s="332">
        <f>Gasto_o_ing_per_capita!U313*100/Gasto_o_ing_per_capita!$D313</f>
        <v>106.21137336828117</v>
      </c>
      <c r="V313" s="332">
        <f>Gasto_o_ing_per_capita!V313*100/Gasto_o_ing_per_capita!$D313</f>
        <v>75.502810573008631</v>
      </c>
    </row>
    <row r="314" spans="1:22" s="102" customFormat="1">
      <c r="A314" s="351" t="str">
        <f>IF(B314="","",(IF(ISERROR(MATCH(B314,Tot_res!C:C,0)),"Eliminar!!!","")))</f>
        <v/>
      </c>
      <c r="B314" s="115" t="s">
        <v>309</v>
      </c>
      <c r="C314" s="329" t="str">
        <f>VLOOKUP(B314,Tot_res!C:D,2,FALSE)</f>
        <v>ISM sanidad transferida</v>
      </c>
      <c r="D314" s="332">
        <f>Gasto_o_ing_per_capita!D314*100/Gasto_o_ing_per_capita!$D314</f>
        <v>100</v>
      </c>
      <c r="E314" s="332">
        <f>Gasto_o_ing_per_capita!E314*100/Gasto_o_ing_per_capita!$D314</f>
        <v>411.55275904076973</v>
      </c>
      <c r="F314" s="332">
        <f>Gasto_o_ing_per_capita!F314*100/Gasto_o_ing_per_capita!$D314</f>
        <v>0</v>
      </c>
      <c r="G314" s="332">
        <f>Gasto_o_ing_per_capita!G314*100/Gasto_o_ing_per_capita!$D314</f>
        <v>569.15805856067811</v>
      </c>
      <c r="H314" s="332">
        <f>Gasto_o_ing_per_capita!H314*100/Gasto_o_ing_per_capita!$D314</f>
        <v>133.70619731991653</v>
      </c>
      <c r="I314" s="332">
        <f>Gasto_o_ing_per_capita!I314*100/Gasto_o_ing_per_capita!$D314</f>
        <v>0</v>
      </c>
      <c r="J314" s="332">
        <f>Gasto_o_ing_per_capita!J314*100/Gasto_o_ing_per_capita!$D314</f>
        <v>395.5312442140052</v>
      </c>
      <c r="K314" s="332">
        <f>Gasto_o_ing_per_capita!K314*100/Gasto_o_ing_per_capita!$D314</f>
        <v>0</v>
      </c>
      <c r="L314" s="332">
        <f>Gasto_o_ing_per_capita!L314*100/Gasto_o_ing_per_capita!$D314</f>
        <v>0</v>
      </c>
      <c r="M314" s="332">
        <f>Gasto_o_ing_per_capita!M314*100/Gasto_o_ing_per_capita!$D314</f>
        <v>0</v>
      </c>
      <c r="N314" s="332">
        <f>Gasto_o_ing_per_capita!N314*100/Gasto_o_ing_per_capita!$D314</f>
        <v>0</v>
      </c>
      <c r="O314" s="332">
        <f>Gasto_o_ing_per_capita!O314*100/Gasto_o_ing_per_capita!$D314</f>
        <v>0</v>
      </c>
      <c r="P314" s="332">
        <f>Gasto_o_ing_per_capita!P314*100/Gasto_o_ing_per_capita!$D314</f>
        <v>0</v>
      </c>
      <c r="Q314" s="332">
        <f>Gasto_o_ing_per_capita!Q314*100/Gasto_o_ing_per_capita!$D314</f>
        <v>0</v>
      </c>
      <c r="R314" s="332">
        <f>Gasto_o_ing_per_capita!R314*100/Gasto_o_ing_per_capita!$D314</f>
        <v>157.733768201733</v>
      </c>
      <c r="S314" s="332">
        <f>Gasto_o_ing_per_capita!S314*100/Gasto_o_ing_per_capita!$D314</f>
        <v>0</v>
      </c>
      <c r="T314" s="332">
        <f>Gasto_o_ing_per_capita!T314*100/Gasto_o_ing_per_capita!$D314</f>
        <v>0</v>
      </c>
      <c r="U314" s="332">
        <f>Gasto_o_ing_per_capita!U314*100/Gasto_o_ing_per_capita!$D314</f>
        <v>0</v>
      </c>
      <c r="V314" s="332">
        <f>Gasto_o_ing_per_capita!V314*100/Gasto_o_ing_per_capita!$D314</f>
        <v>0</v>
      </c>
    </row>
    <row r="315" spans="1:22" s="102" customFormat="1">
      <c r="A315" s="351" t="str">
        <f>IF(B315="","",(IF(ISERROR(MATCH(B315,Tot_res!C:C,0)),"Eliminar!!!","")))</f>
        <v/>
      </c>
      <c r="B315" s="115" t="s">
        <v>798</v>
      </c>
      <c r="C315" s="329" t="str">
        <f>VLOOKUP(B315,Tot_res!C:D,2,FALSE)</f>
        <v>ISM transf. antes de 2002, sanidad</v>
      </c>
      <c r="D315" s="332">
        <f>Gasto_o_ing_per_capita!D315*100/Gasto_o_ing_per_capita!$D315</f>
        <v>100</v>
      </c>
      <c r="E315" s="332">
        <f>Gasto_o_ing_per_capita!E315*100/Gasto_o_ing_per_capita!$D315</f>
        <v>0</v>
      </c>
      <c r="F315" s="332">
        <f>Gasto_o_ing_per_capita!F315*100/Gasto_o_ing_per_capita!$D315</f>
        <v>0</v>
      </c>
      <c r="G315" s="332">
        <f>Gasto_o_ing_per_capita!G315*100/Gasto_o_ing_per_capita!$D315</f>
        <v>0</v>
      </c>
      <c r="H315" s="332">
        <f>Gasto_o_ing_per_capita!H315*100/Gasto_o_ing_per_capita!$D315</f>
        <v>0</v>
      </c>
      <c r="I315" s="332">
        <f>Gasto_o_ing_per_capita!I315*100/Gasto_o_ing_per_capita!$D315</f>
        <v>250.62093164854269</v>
      </c>
      <c r="J315" s="332">
        <f>Gasto_o_ing_per_capita!J315*100/Gasto_o_ing_per_capita!$D315</f>
        <v>0</v>
      </c>
      <c r="K315" s="332">
        <f>Gasto_o_ing_per_capita!K315*100/Gasto_o_ing_per_capita!$D315</f>
        <v>0</v>
      </c>
      <c r="L315" s="332">
        <f>Gasto_o_ing_per_capita!L315*100/Gasto_o_ing_per_capita!$D315</f>
        <v>0</v>
      </c>
      <c r="M315" s="332">
        <f>Gasto_o_ing_per_capita!M315*100/Gasto_o_ing_per_capita!$D315</f>
        <v>18.771962507604201</v>
      </c>
      <c r="N315" s="332">
        <f>Gasto_o_ing_per_capita!N315*100/Gasto_o_ing_per_capita!$D315</f>
        <v>98.357166471622151</v>
      </c>
      <c r="O315" s="332">
        <f>Gasto_o_ing_per_capita!O315*100/Gasto_o_ing_per_capita!$D315</f>
        <v>0</v>
      </c>
      <c r="P315" s="332">
        <f>Gasto_o_ing_per_capita!P315*100/Gasto_o_ing_per_capita!$D315</f>
        <v>1281.0421405540847</v>
      </c>
      <c r="Q315" s="332">
        <f>Gasto_o_ing_per_capita!Q315*100/Gasto_o_ing_per_capita!$D315</f>
        <v>0</v>
      </c>
      <c r="R315" s="332">
        <f>Gasto_o_ing_per_capita!R315*100/Gasto_o_ing_per_capita!$D315</f>
        <v>0</v>
      </c>
      <c r="S315" s="332">
        <f>Gasto_o_ing_per_capita!S315*100/Gasto_o_ing_per_capita!$D315</f>
        <v>0</v>
      </c>
      <c r="T315" s="332">
        <f>Gasto_o_ing_per_capita!T315*100/Gasto_o_ing_per_capita!$D315</f>
        <v>0</v>
      </c>
      <c r="U315" s="332">
        <f>Gasto_o_ing_per_capita!U315*100/Gasto_o_ing_per_capita!$D315</f>
        <v>0</v>
      </c>
      <c r="V315" s="332">
        <f>Gasto_o_ing_per_capita!V315*100/Gasto_o_ing_per_capita!$D315</f>
        <v>0</v>
      </c>
    </row>
    <row r="316" spans="1:22" s="102" customFormat="1">
      <c r="A316" s="351" t="str">
        <f>IF(B316="","",(IF(ISERROR(MATCH(B316,Tot_res!C:C,0)),"Eliminar!!!","")))</f>
        <v/>
      </c>
      <c r="B316" s="115" t="s">
        <v>623</v>
      </c>
      <c r="C316" s="329" t="str">
        <f>VLOOKUP(B316,Tot_res!C:D,2,FALSE)</f>
        <v>Compensación Fondo Cohesión Sanitaria, extrapresupuestario</v>
      </c>
      <c r="D316" s="332">
        <f>Gasto_o_ing_per_capita!D316*100/Gasto_o_ing_per_capita!$D316</f>
        <v>100</v>
      </c>
      <c r="E316" s="332">
        <f>Gasto_o_ing_per_capita!E316*100/Gasto_o_ing_per_capita!$D316</f>
        <v>100.00000000000001</v>
      </c>
      <c r="F316" s="332">
        <f>Gasto_o_ing_per_capita!F316*100/Gasto_o_ing_per_capita!$D316</f>
        <v>100.00000000000001</v>
      </c>
      <c r="G316" s="332">
        <f>Gasto_o_ing_per_capita!G316*100/Gasto_o_ing_per_capita!$D316</f>
        <v>100.00000000000001</v>
      </c>
      <c r="H316" s="332">
        <f>Gasto_o_ing_per_capita!H316*100/Gasto_o_ing_per_capita!$D316</f>
        <v>100.00000000000001</v>
      </c>
      <c r="I316" s="332">
        <f>Gasto_o_ing_per_capita!I316*100/Gasto_o_ing_per_capita!$D316</f>
        <v>100.00000000000001</v>
      </c>
      <c r="J316" s="332">
        <f>Gasto_o_ing_per_capita!J316*100/Gasto_o_ing_per_capita!$D316</f>
        <v>100</v>
      </c>
      <c r="K316" s="332">
        <f>Gasto_o_ing_per_capita!K316*100/Gasto_o_ing_per_capita!$D316</f>
        <v>100.00000000000001</v>
      </c>
      <c r="L316" s="332">
        <f>Gasto_o_ing_per_capita!L316*100/Gasto_o_ing_per_capita!$D316</f>
        <v>100</v>
      </c>
      <c r="M316" s="332">
        <f>Gasto_o_ing_per_capita!M316*100/Gasto_o_ing_per_capita!$D316</f>
        <v>100.00000000000001</v>
      </c>
      <c r="N316" s="332">
        <f>Gasto_o_ing_per_capita!N316*100/Gasto_o_ing_per_capita!$D316</f>
        <v>100.00000000000001</v>
      </c>
      <c r="O316" s="332">
        <f>Gasto_o_ing_per_capita!O316*100/Gasto_o_ing_per_capita!$D316</f>
        <v>100.00000000000001</v>
      </c>
      <c r="P316" s="332">
        <f>Gasto_o_ing_per_capita!P316*100/Gasto_o_ing_per_capita!$D316</f>
        <v>100</v>
      </c>
      <c r="Q316" s="332">
        <f>Gasto_o_ing_per_capita!Q316*100/Gasto_o_ing_per_capita!$D316</f>
        <v>100.00000000000001</v>
      </c>
      <c r="R316" s="332">
        <f>Gasto_o_ing_per_capita!R316*100/Gasto_o_ing_per_capita!$D316</f>
        <v>100.00000000000001</v>
      </c>
      <c r="S316" s="332">
        <f>Gasto_o_ing_per_capita!S316*100/Gasto_o_ing_per_capita!$D316</f>
        <v>100</v>
      </c>
      <c r="T316" s="332">
        <f>Gasto_o_ing_per_capita!T316*100/Gasto_o_ing_per_capita!$D316</f>
        <v>100</v>
      </c>
      <c r="U316" s="332">
        <f>Gasto_o_ing_per_capita!U316*100/Gasto_o_ing_per_capita!$D316</f>
        <v>100</v>
      </c>
      <c r="V316" s="332">
        <f>Gasto_o_ing_per_capita!V316*100/Gasto_o_ing_per_capita!$D316</f>
        <v>100</v>
      </c>
    </row>
    <row r="317" spans="1:22" s="102" customFormat="1">
      <c r="A317" s="351" t="str">
        <f>IF(B317="","",(IF(ISERROR(MATCH(B317,Tot_res!C:C,0)),"Eliminar!!!","")))</f>
        <v/>
      </c>
      <c r="B317" s="115" t="s">
        <v>1214</v>
      </c>
      <c r="C317" s="329" t="str">
        <f>VLOOKUP(B317,Tot_res!C:D,2,FALSE)</f>
        <v>Gestion del Hospital Militar San Carlos (San Fernando)</v>
      </c>
      <c r="D317" s="332">
        <f>Gasto_o_ing_per_capita!D317*100/Gasto_o_ing_per_capita!$D317</f>
        <v>100</v>
      </c>
      <c r="E317" s="332">
        <f>Gasto_o_ing_per_capita!E317*100/Gasto_o_ing_per_capita!$D317</f>
        <v>555.88231968053992</v>
      </c>
      <c r="F317" s="332">
        <f>Gasto_o_ing_per_capita!F317*100/Gasto_o_ing_per_capita!$D317</f>
        <v>0</v>
      </c>
      <c r="G317" s="332">
        <f>Gasto_o_ing_per_capita!G317*100/Gasto_o_ing_per_capita!$D317</f>
        <v>0</v>
      </c>
      <c r="H317" s="332">
        <f>Gasto_o_ing_per_capita!H317*100/Gasto_o_ing_per_capita!$D317</f>
        <v>0</v>
      </c>
      <c r="I317" s="332">
        <f>Gasto_o_ing_per_capita!I317*100/Gasto_o_ing_per_capita!$D317</f>
        <v>0</v>
      </c>
      <c r="J317" s="332">
        <f>Gasto_o_ing_per_capita!J317*100/Gasto_o_ing_per_capita!$D317</f>
        <v>0</v>
      </c>
      <c r="K317" s="332">
        <f>Gasto_o_ing_per_capita!K317*100/Gasto_o_ing_per_capita!$D317</f>
        <v>0</v>
      </c>
      <c r="L317" s="332">
        <f>Gasto_o_ing_per_capita!L317*100/Gasto_o_ing_per_capita!$D317</f>
        <v>0</v>
      </c>
      <c r="M317" s="332">
        <f>Gasto_o_ing_per_capita!M317*100/Gasto_o_ing_per_capita!$D317</f>
        <v>0</v>
      </c>
      <c r="N317" s="332">
        <f>Gasto_o_ing_per_capita!N317*100/Gasto_o_ing_per_capita!$D317</f>
        <v>0</v>
      </c>
      <c r="O317" s="332">
        <f>Gasto_o_ing_per_capita!O317*100/Gasto_o_ing_per_capita!$D317</f>
        <v>0</v>
      </c>
      <c r="P317" s="332">
        <f>Gasto_o_ing_per_capita!P317*100/Gasto_o_ing_per_capita!$D317</f>
        <v>0</v>
      </c>
      <c r="Q317" s="332">
        <f>Gasto_o_ing_per_capita!Q317*100/Gasto_o_ing_per_capita!$D317</f>
        <v>0</v>
      </c>
      <c r="R317" s="332">
        <f>Gasto_o_ing_per_capita!R317*100/Gasto_o_ing_per_capita!$D317</f>
        <v>0</v>
      </c>
      <c r="S317" s="332">
        <f>Gasto_o_ing_per_capita!S317*100/Gasto_o_ing_per_capita!$D317</f>
        <v>0</v>
      </c>
      <c r="T317" s="332">
        <f>Gasto_o_ing_per_capita!T317*100/Gasto_o_ing_per_capita!$D317</f>
        <v>0</v>
      </c>
      <c r="U317" s="332">
        <f>Gasto_o_ing_per_capita!U317*100/Gasto_o_ing_per_capita!$D317</f>
        <v>0</v>
      </c>
      <c r="V317" s="332">
        <f>Gasto_o_ing_per_capita!V317*100/Gasto_o_ing_per_capita!$D317</f>
        <v>0</v>
      </c>
    </row>
    <row r="318" spans="1:22" s="102" customFormat="1">
      <c r="A318" s="351" t="str">
        <f>IF(B318="","",(IF(ISERROR(MATCH(B318,Tot_res!C:C,0)),"Eliminar!!!","")))</f>
        <v/>
      </c>
      <c r="B318" s="115" t="s">
        <v>1216</v>
      </c>
      <c r="C318" s="329" t="str">
        <f>VLOOKUP(B318,Tot_res!C:D,2,FALSE)</f>
        <v>Gestion de funciones y servicios traspasados en materia sanitaria</v>
      </c>
      <c r="D318" s="332">
        <f>Gasto_o_ing_per_capita!D318*100/Gasto_o_ing_per_capita!$D318</f>
        <v>100</v>
      </c>
      <c r="E318" s="332">
        <f>Gasto_o_ing_per_capita!E318*100/Gasto_o_ing_per_capita!$D318</f>
        <v>0</v>
      </c>
      <c r="F318" s="332">
        <f>Gasto_o_ing_per_capita!F318*100/Gasto_o_ing_per_capita!$D318</f>
        <v>0</v>
      </c>
      <c r="G318" s="332">
        <f>Gasto_o_ing_per_capita!G318*100/Gasto_o_ing_per_capita!$D318</f>
        <v>0</v>
      </c>
      <c r="H318" s="332">
        <f>Gasto_o_ing_per_capita!H318*100/Gasto_o_ing_per_capita!$D318</f>
        <v>4230.0301052438017</v>
      </c>
      <c r="I318" s="332">
        <f>Gasto_o_ing_per_capita!I318*100/Gasto_o_ing_per_capita!$D318</f>
        <v>0</v>
      </c>
      <c r="J318" s="332">
        <f>Gasto_o_ing_per_capita!J318*100/Gasto_o_ing_per_capita!$D318</f>
        <v>0</v>
      </c>
      <c r="K318" s="332">
        <f>Gasto_o_ing_per_capita!K318*100/Gasto_o_ing_per_capita!$D318</f>
        <v>0</v>
      </c>
      <c r="L318" s="332">
        <f>Gasto_o_ing_per_capita!L318*100/Gasto_o_ing_per_capita!$D318</f>
        <v>0</v>
      </c>
      <c r="M318" s="332">
        <f>Gasto_o_ing_per_capita!M318*100/Gasto_o_ing_per_capita!$D318</f>
        <v>0</v>
      </c>
      <c r="N318" s="332">
        <f>Gasto_o_ing_per_capita!N318*100/Gasto_o_ing_per_capita!$D318</f>
        <v>0</v>
      </c>
      <c r="O318" s="332">
        <f>Gasto_o_ing_per_capita!O318*100/Gasto_o_ing_per_capita!$D318</f>
        <v>0</v>
      </c>
      <c r="P318" s="332">
        <f>Gasto_o_ing_per_capita!P318*100/Gasto_o_ing_per_capita!$D318</f>
        <v>0</v>
      </c>
      <c r="Q318" s="332">
        <f>Gasto_o_ing_per_capita!Q318*100/Gasto_o_ing_per_capita!$D318</f>
        <v>0</v>
      </c>
      <c r="R318" s="332">
        <f>Gasto_o_ing_per_capita!R318*100/Gasto_o_ing_per_capita!$D318</f>
        <v>0</v>
      </c>
      <c r="S318" s="332">
        <f>Gasto_o_ing_per_capita!S318*100/Gasto_o_ing_per_capita!$D318</f>
        <v>0</v>
      </c>
      <c r="T318" s="332">
        <f>Gasto_o_ing_per_capita!T318*100/Gasto_o_ing_per_capita!$D318</f>
        <v>0</v>
      </c>
      <c r="U318" s="332">
        <f>Gasto_o_ing_per_capita!U318*100/Gasto_o_ing_per_capita!$D318</f>
        <v>0</v>
      </c>
      <c r="V318" s="332">
        <f>Gasto_o_ing_per_capita!V318*100/Gasto_o_ing_per_capita!$D318</f>
        <v>0</v>
      </c>
    </row>
    <row r="319" spans="1:22">
      <c r="A319" s="352"/>
      <c r="B319" s="9"/>
      <c r="C319" s="12"/>
      <c r="D319" s="19"/>
      <c r="E319" s="19"/>
      <c r="F319" s="19"/>
      <c r="G319" s="19"/>
      <c r="H319" s="19"/>
      <c r="I319" s="19"/>
      <c r="J319" s="19"/>
      <c r="K319" s="19"/>
      <c r="L319" s="19"/>
      <c r="M319" s="19"/>
      <c r="N319" s="19"/>
      <c r="O319" s="19"/>
      <c r="P319" s="19"/>
      <c r="Q319" s="19"/>
      <c r="R319" s="19"/>
      <c r="S319" s="19"/>
      <c r="T319" s="19"/>
      <c r="U319" s="19"/>
      <c r="V319" s="19"/>
    </row>
    <row r="320" spans="1:22">
      <c r="A320" s="352"/>
      <c r="B320" s="9"/>
      <c r="C320" s="2"/>
      <c r="D320" s="19"/>
      <c r="E320" s="19"/>
      <c r="F320" s="19"/>
      <c r="G320" s="19"/>
      <c r="H320" s="19"/>
      <c r="I320" s="19"/>
      <c r="J320" s="19"/>
      <c r="K320" s="19"/>
      <c r="L320" s="19"/>
      <c r="M320" s="19"/>
      <c r="N320" s="19"/>
      <c r="O320" s="19"/>
      <c r="P320" s="19"/>
      <c r="Q320" s="19"/>
      <c r="R320" s="19"/>
      <c r="S320" s="19"/>
      <c r="T320" s="19"/>
      <c r="U320" s="19"/>
      <c r="V320" s="19"/>
    </row>
    <row r="321" spans="1:22" s="102" customFormat="1" ht="13.5">
      <c r="A321" s="358"/>
      <c r="B321" s="115"/>
      <c r="C321" s="117" t="s">
        <v>58</v>
      </c>
      <c r="D321" s="113">
        <f>Gasto_o_ing_per_capita!D321*100/Gasto_o_ing_per_capita!$D321</f>
        <v>100</v>
      </c>
      <c r="E321" s="113">
        <f>Gasto_o_ing_per_capita!E321*100/Gasto_o_ing_per_capita!$D321</f>
        <v>119.60328957747357</v>
      </c>
      <c r="F321" s="113">
        <f>Gasto_o_ing_per_capita!F321*100/Gasto_o_ing_per_capita!$D321</f>
        <v>107.03436636134786</v>
      </c>
      <c r="G321" s="113">
        <f>Gasto_o_ing_per_capita!G321*100/Gasto_o_ing_per_capita!$D321</f>
        <v>106.99965204690426</v>
      </c>
      <c r="H321" s="113">
        <f>Gasto_o_ing_per_capita!H321*100/Gasto_o_ing_per_capita!$D321</f>
        <v>76.628039458207695</v>
      </c>
      <c r="I321" s="113">
        <f>Gasto_o_ing_per_capita!I321*100/Gasto_o_ing_per_capita!$D321</f>
        <v>128.15551360248139</v>
      </c>
      <c r="J321" s="113">
        <f>Gasto_o_ing_per_capita!J321*100/Gasto_o_ing_per_capita!$D321</f>
        <v>105.7024892209769</v>
      </c>
      <c r="K321" s="113">
        <f>Gasto_o_ing_per_capita!K321*100/Gasto_o_ing_per_capita!$D321</f>
        <v>97.304023981345395</v>
      </c>
      <c r="L321" s="113">
        <f>Gasto_o_ing_per_capita!L321*100/Gasto_o_ing_per_capita!$D321</f>
        <v>104.00088831480591</v>
      </c>
      <c r="M321" s="113">
        <f>Gasto_o_ing_per_capita!M321*100/Gasto_o_ing_per_capita!$D321</f>
        <v>58.248419966819817</v>
      </c>
      <c r="N321" s="113">
        <f>Gasto_o_ing_per_capita!N321*100/Gasto_o_ing_per_capita!$D321</f>
        <v>98.492066974474838</v>
      </c>
      <c r="O321" s="113">
        <f>Gasto_o_ing_per_capita!O321*100/Gasto_o_ing_per_capita!$D321</f>
        <v>113.5557319147253</v>
      </c>
      <c r="P321" s="113">
        <f>Gasto_o_ing_per_capita!P321*100/Gasto_o_ing_per_capita!$D321</f>
        <v>97.262455586933029</v>
      </c>
      <c r="Q321" s="113">
        <f>Gasto_o_ing_per_capita!Q321*100/Gasto_o_ing_per_capita!$D321</f>
        <v>109.98012648995442</v>
      </c>
      <c r="R321" s="113">
        <f>Gasto_o_ing_per_capita!R321*100/Gasto_o_ing_per_capita!$D321</f>
        <v>141.35421571612855</v>
      </c>
      <c r="S321" s="113">
        <f>Gasto_o_ing_per_capita!S321*100/Gasto_o_ing_per_capita!$D321</f>
        <v>102.78642398990219</v>
      </c>
      <c r="T321" s="113">
        <f>Gasto_o_ing_per_capita!T321*100/Gasto_o_ing_per_capita!$D321</f>
        <v>89.054748063222817</v>
      </c>
      <c r="U321" s="113">
        <f>Gasto_o_ing_per_capita!U321*100/Gasto_o_ing_per_capita!$D321</f>
        <v>95.334196516294853</v>
      </c>
      <c r="V321" s="113">
        <f>Gasto_o_ing_per_capita!V321*100/Gasto_o_ing_per_capita!$D321</f>
        <v>57.756872388364741</v>
      </c>
    </row>
    <row r="322" spans="1:22"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Gasto_o_ing_per_capita!D322*100/Gasto_o_ing_per_capita!$D322</f>
        <v>100</v>
      </c>
      <c r="E322" s="332">
        <f>Gasto_o_ing_per_capita!E322*100/Gasto_o_ing_per_capita!$D322</f>
        <v>108.42628926932161</v>
      </c>
      <c r="F322" s="332">
        <f>Gasto_o_ing_per_capita!F322*100/Gasto_o_ing_per_capita!$D322</f>
        <v>94.317501337022705</v>
      </c>
      <c r="G322" s="332">
        <f>Gasto_o_ing_per_capita!G322*100/Gasto_o_ing_per_capita!$D322</f>
        <v>77.463614302044604</v>
      </c>
      <c r="H322" s="332">
        <f>Gasto_o_ing_per_capita!H322*100/Gasto_o_ing_per_capita!$D322</f>
        <v>89.771372232880438</v>
      </c>
      <c r="I322" s="332">
        <f>Gasto_o_ing_per_capita!I322*100/Gasto_o_ing_per_capita!$D322</f>
        <v>96.872326530242958</v>
      </c>
      <c r="J322" s="332">
        <f>Gasto_o_ing_per_capita!J322*100/Gasto_o_ing_per_capita!$D322</f>
        <v>91.170434108720954</v>
      </c>
      <c r="K322" s="332">
        <f>Gasto_o_ing_per_capita!K322*100/Gasto_o_ing_per_capita!$D322</f>
        <v>87.198632790501009</v>
      </c>
      <c r="L322" s="332">
        <f>Gasto_o_ing_per_capita!L322*100/Gasto_o_ing_per_capita!$D322</f>
        <v>103.95180404220557</v>
      </c>
      <c r="M322" s="332">
        <f>Gasto_o_ing_per_capita!M322*100/Gasto_o_ing_per_capita!$D322</f>
        <v>99.395312085299636</v>
      </c>
      <c r="N322" s="332">
        <f>Gasto_o_ing_per_capita!N322*100/Gasto_o_ing_per_capita!$D322</f>
        <v>99.067351982356897</v>
      </c>
      <c r="O322" s="332">
        <f>Gasto_o_ing_per_capita!O322*100/Gasto_o_ing_per_capita!$D322</f>
        <v>100.06860527462239</v>
      </c>
      <c r="P322" s="332">
        <f>Gasto_o_ing_per_capita!P322*100/Gasto_o_ing_per_capita!$D322</f>
        <v>86.785731396689769</v>
      </c>
      <c r="Q322" s="332">
        <f>Gasto_o_ing_per_capita!Q322*100/Gasto_o_ing_per_capita!$D322</f>
        <v>106.06390463824147</v>
      </c>
      <c r="R322" s="332">
        <f>Gasto_o_ing_per_capita!R322*100/Gasto_o_ing_per_capita!$D322</f>
        <v>112.5226247429143</v>
      </c>
      <c r="S322" s="332">
        <f>Gasto_o_ing_per_capita!S322*100/Gasto_o_ing_per_capita!$D322</f>
        <v>98.099387292144854</v>
      </c>
      <c r="T322" s="332">
        <f>Gasto_o_ing_per_capita!T322*100/Gasto_o_ing_per_capita!$D322</f>
        <v>96.536437064024781</v>
      </c>
      <c r="U322" s="332">
        <f>Gasto_o_ing_per_capita!U322*100/Gasto_o_ing_per_capita!$D322</f>
        <v>96.60827615332208</v>
      </c>
      <c r="V322" s="332">
        <f>Gasto_o_ing_per_capita!V322*100/Gasto_o_ing_per_capita!$D322</f>
        <v>129.22421718458725</v>
      </c>
    </row>
    <row r="323" spans="1:22"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Gasto_o_ing_per_capita!D323*100/Gasto_o_ing_per_capita!$D323</f>
        <v>100</v>
      </c>
      <c r="E323" s="332">
        <f>Gasto_o_ing_per_capita!E323*100/Gasto_o_ing_per_capita!$D323</f>
        <v>114.71188706034424</v>
      </c>
      <c r="F323" s="332">
        <f>Gasto_o_ing_per_capita!F323*100/Gasto_o_ing_per_capita!$D323</f>
        <v>109.64882630226909</v>
      </c>
      <c r="G323" s="332">
        <f>Gasto_o_ing_per_capita!G323*100/Gasto_o_ing_per_capita!$D323</f>
        <v>106.21141891572994</v>
      </c>
      <c r="H323" s="332">
        <f>Gasto_o_ing_per_capita!H323*100/Gasto_o_ing_per_capita!$D323</f>
        <v>83.529853571708173</v>
      </c>
      <c r="I323" s="332">
        <f>Gasto_o_ing_per_capita!I323*100/Gasto_o_ing_per_capita!$D323</f>
        <v>115.8958961482586</v>
      </c>
      <c r="J323" s="332">
        <f>Gasto_o_ing_per_capita!J323*100/Gasto_o_ing_per_capita!$D323</f>
        <v>110.36266316324925</v>
      </c>
      <c r="K323" s="332">
        <f>Gasto_o_ing_per_capita!K323*100/Gasto_o_ing_per_capita!$D323</f>
        <v>114.88699748638311</v>
      </c>
      <c r="L323" s="332">
        <f>Gasto_o_ing_per_capita!L323*100/Gasto_o_ing_per_capita!$D323</f>
        <v>113.94660840662826</v>
      </c>
      <c r="M323" s="332">
        <f>Gasto_o_ing_per_capita!M323*100/Gasto_o_ing_per_capita!$D323</f>
        <v>89.196973635215059</v>
      </c>
      <c r="N323" s="332">
        <f>Gasto_o_ing_per_capita!N323*100/Gasto_o_ing_per_capita!$D323</f>
        <v>88.398406491273533</v>
      </c>
      <c r="O323" s="332">
        <f>Gasto_o_ing_per_capita!O323*100/Gasto_o_ing_per_capita!$D323</f>
        <v>128.17166506666837</v>
      </c>
      <c r="P323" s="332">
        <f>Gasto_o_ing_per_capita!P323*100/Gasto_o_ing_per_capita!$D323</f>
        <v>92.796089611783756</v>
      </c>
      <c r="Q323" s="332">
        <f>Gasto_o_ing_per_capita!Q323*100/Gasto_o_ing_per_capita!$D323</f>
        <v>81.757091767945695</v>
      </c>
      <c r="R323" s="332">
        <f>Gasto_o_ing_per_capita!R323*100/Gasto_o_ing_per_capita!$D323</f>
        <v>126.81906085470933</v>
      </c>
      <c r="S323" s="332">
        <f>Gasto_o_ing_per_capita!S323*100/Gasto_o_ing_per_capita!$D323</f>
        <v>107.90054293859498</v>
      </c>
      <c r="T323" s="332">
        <f>Gasto_o_ing_per_capita!T323*100/Gasto_o_ing_per_capita!$D323</f>
        <v>83.778803860420496</v>
      </c>
      <c r="U323" s="332">
        <f>Gasto_o_ing_per_capita!U323*100/Gasto_o_ing_per_capita!$D323</f>
        <v>108.680525657098</v>
      </c>
      <c r="V323" s="332">
        <f>Gasto_o_ing_per_capita!V323*100/Gasto_o_ing_per_capita!$D323</f>
        <v>122.58193434320359</v>
      </c>
    </row>
    <row r="324" spans="1:22" s="102" customFormat="1">
      <c r="A324" s="351" t="str">
        <f>IF(B324="","",(IF(ISERROR(MATCH(B324,Tot_res!C:C,0)),"Eliminar!!!","")))</f>
        <v/>
      </c>
      <c r="B324" s="115" t="s">
        <v>639</v>
      </c>
      <c r="C324" s="329" t="str">
        <f>VLOOKUP(B324,Tot_res!C:D,2,FALSE)</f>
        <v>Educación infantil y primaria +AF12/1</v>
      </c>
      <c r="D324" s="332">
        <f>Gasto_o_ing_per_capita!D324*100/Gasto_o_ing_per_capita!$D324</f>
        <v>100</v>
      </c>
      <c r="E324" s="332">
        <f>Gasto_o_ing_per_capita!E324*100/Gasto_o_ing_per_capita!$D324</f>
        <v>336.97981621330206</v>
      </c>
      <c r="F324" s="332">
        <f>Gasto_o_ing_per_capita!F324*100/Gasto_o_ing_per_capita!$D324</f>
        <v>233.92147744066349</v>
      </c>
      <c r="G324" s="332">
        <f>Gasto_o_ing_per_capita!G324*100/Gasto_o_ing_per_capita!$D324</f>
        <v>3.0430875988233721</v>
      </c>
      <c r="H324" s="332">
        <f>Gasto_o_ing_per_capita!H324*100/Gasto_o_ing_per_capita!$D324</f>
        <v>4.1929377076835728</v>
      </c>
      <c r="I324" s="332">
        <f>Gasto_o_ing_per_capita!I324*100/Gasto_o_ing_per_capita!$D324</f>
        <v>321.77726528414269</v>
      </c>
      <c r="J324" s="332">
        <f>Gasto_o_ing_per_capita!J324*100/Gasto_o_ing_per_capita!$D324</f>
        <v>238.6980595659191</v>
      </c>
      <c r="K324" s="332">
        <f>Gasto_o_ing_per_capita!K324*100/Gasto_o_ing_per_capita!$D324</f>
        <v>3.3693346692963151</v>
      </c>
      <c r="L324" s="332">
        <f>Gasto_o_ing_per_capita!L324*100/Gasto_o_ing_per_capita!$D324</f>
        <v>4.4238511968880081</v>
      </c>
      <c r="M324" s="332">
        <f>Gasto_o_ing_per_capita!M324*100/Gasto_o_ing_per_capita!$D324</f>
        <v>4.5195945230892347</v>
      </c>
      <c r="N324" s="332">
        <f>Gasto_o_ing_per_capita!N324*100/Gasto_o_ing_per_capita!$D324</f>
        <v>4.2858417109498728</v>
      </c>
      <c r="O324" s="332">
        <f>Gasto_o_ing_per_capita!O324*100/Gasto_o_ing_per_capita!$D324</f>
        <v>3.9597885306158784</v>
      </c>
      <c r="P324" s="332">
        <f>Gasto_o_ing_per_capita!P324*100/Gasto_o_ing_per_capita!$D324</f>
        <v>3.5057519112753543</v>
      </c>
      <c r="Q324" s="332">
        <f>Gasto_o_ing_per_capita!Q324*100/Gasto_o_ing_per_capita!$D324</f>
        <v>4.6317630100152902</v>
      </c>
      <c r="R324" s="332">
        <f>Gasto_o_ing_per_capita!R324*100/Gasto_o_ing_per_capita!$D324</f>
        <v>4.8607066633133273</v>
      </c>
      <c r="S324" s="332">
        <f>Gasto_o_ing_per_capita!S324*100/Gasto_o_ing_per_capita!$D324</f>
        <v>204.68263068285449</v>
      </c>
      <c r="T324" s="332">
        <f>Gasto_o_ing_per_capita!T324*100/Gasto_o_ing_per_capita!$D324</f>
        <v>204.6493028159644</v>
      </c>
      <c r="U324" s="332">
        <f>Gasto_o_ing_per_capita!U324*100/Gasto_o_ing_per_capita!$D324</f>
        <v>4.2407253286946691</v>
      </c>
      <c r="V324" s="332">
        <f>Gasto_o_ing_per_capita!V324*100/Gasto_o_ing_per_capita!$D324</f>
        <v>5.8353790021860785</v>
      </c>
    </row>
    <row r="325" spans="1:22"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Gasto_o_ing_per_capita!D325*100/Gasto_o_ing_per_capita!$D325</f>
        <v>100</v>
      </c>
      <c r="E325" s="332">
        <f>Gasto_o_ing_per_capita!E325*100/Gasto_o_ing_per_capita!$D325</f>
        <v>91.676016102974899</v>
      </c>
      <c r="F325" s="332">
        <f>Gasto_o_ing_per_capita!F325*100/Gasto_o_ing_per_capita!$D325</f>
        <v>137.82900229164693</v>
      </c>
      <c r="G325" s="332">
        <f>Gasto_o_ing_per_capita!G325*100/Gasto_o_ing_per_capita!$D325</f>
        <v>71.04561172014084</v>
      </c>
      <c r="H325" s="332">
        <f>Gasto_o_ing_per_capita!H325*100/Gasto_o_ing_per_capita!$D325</f>
        <v>122.03658967261242</v>
      </c>
      <c r="I325" s="332">
        <f>Gasto_o_ing_per_capita!I325*100/Gasto_o_ing_per_capita!$D325</f>
        <v>95.66016988087091</v>
      </c>
      <c r="J325" s="332">
        <f>Gasto_o_ing_per_capita!J325*100/Gasto_o_ing_per_capita!$D325</f>
        <v>136.32849356658286</v>
      </c>
      <c r="K325" s="332">
        <f>Gasto_o_ing_per_capita!K325*100/Gasto_o_ing_per_capita!$D325</f>
        <v>152.04901184708854</v>
      </c>
      <c r="L325" s="332">
        <f>Gasto_o_ing_per_capita!L325*100/Gasto_o_ing_per_capita!$D325</f>
        <v>122.10208582901747</v>
      </c>
      <c r="M325" s="332">
        <f>Gasto_o_ing_per_capita!M325*100/Gasto_o_ing_per_capita!$D325</f>
        <v>52.181060071329668</v>
      </c>
      <c r="N325" s="332">
        <f>Gasto_o_ing_per_capita!N325*100/Gasto_o_ing_per_capita!$D325</f>
        <v>142.96330064261855</v>
      </c>
      <c r="O325" s="332">
        <f>Gasto_o_ing_per_capita!O325*100/Gasto_o_ing_per_capita!$D325</f>
        <v>125.50413311645264</v>
      </c>
      <c r="P325" s="332">
        <f>Gasto_o_ing_per_capita!P325*100/Gasto_o_ing_per_capita!$D325</f>
        <v>81.158132680602563</v>
      </c>
      <c r="Q325" s="332">
        <f>Gasto_o_ing_per_capita!Q325*100/Gasto_o_ing_per_capita!$D325</f>
        <v>107.79107149924721</v>
      </c>
      <c r="R325" s="332">
        <f>Gasto_o_ing_per_capita!R325*100/Gasto_o_ing_per_capita!$D325</f>
        <v>109.02013564254671</v>
      </c>
      <c r="S325" s="332">
        <f>Gasto_o_ing_per_capita!S325*100/Gasto_o_ing_per_capita!$D325</f>
        <v>129.21318336661699</v>
      </c>
      <c r="T325" s="332">
        <f>Gasto_o_ing_per_capita!T325*100/Gasto_o_ing_per_capita!$D325</f>
        <v>52.197608743346066</v>
      </c>
      <c r="U325" s="332">
        <f>Gasto_o_ing_per_capita!U325*100/Gasto_o_ing_per_capita!$D325</f>
        <v>217.23836913859915</v>
      </c>
      <c r="V325" s="332">
        <f>Gasto_o_ing_per_capita!V325*100/Gasto_o_ing_per_capita!$D325</f>
        <v>56.74743464767009</v>
      </c>
    </row>
    <row r="326" spans="1:22"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Gasto_o_ing_per_capita!D326*100/Gasto_o_ing_per_capita!$D326</f>
        <v>100</v>
      </c>
      <c r="E326" s="332">
        <f>Gasto_o_ing_per_capita!E326*100/Gasto_o_ing_per_capita!$D326</f>
        <v>89.792206469738659</v>
      </c>
      <c r="F326" s="332">
        <f>Gasto_o_ing_per_capita!F326*100/Gasto_o_ing_per_capita!$D326</f>
        <v>122.88125268286376</v>
      </c>
      <c r="G326" s="332">
        <f>Gasto_o_ing_per_capita!G326*100/Gasto_o_ing_per_capita!$D326</f>
        <v>103.29411206421777</v>
      </c>
      <c r="H326" s="332">
        <f>Gasto_o_ing_per_capita!H326*100/Gasto_o_ing_per_capita!$D326</f>
        <v>90.406858251216761</v>
      </c>
      <c r="I326" s="332">
        <f>Gasto_o_ing_per_capita!I326*100/Gasto_o_ing_per_capita!$D326</f>
        <v>99.597703160210713</v>
      </c>
      <c r="J326" s="332">
        <f>Gasto_o_ing_per_capita!J326*100/Gasto_o_ing_per_capita!$D326</f>
        <v>118.3902645108591</v>
      </c>
      <c r="K326" s="332">
        <f>Gasto_o_ing_per_capita!K326*100/Gasto_o_ing_per_capita!$D326</f>
        <v>105.90310739881856</v>
      </c>
      <c r="L326" s="332">
        <f>Gasto_o_ing_per_capita!L326*100/Gasto_o_ing_per_capita!$D326</f>
        <v>113.12464357533047</v>
      </c>
      <c r="M326" s="332">
        <f>Gasto_o_ing_per_capita!M326*100/Gasto_o_ing_per_capita!$D326</f>
        <v>59.478785167549091</v>
      </c>
      <c r="N326" s="332">
        <f>Gasto_o_ing_per_capita!N326*100/Gasto_o_ing_per_capita!$D326</f>
        <v>87.051200500915854</v>
      </c>
      <c r="O326" s="332">
        <f>Gasto_o_ing_per_capita!O326*100/Gasto_o_ing_per_capita!$D326</f>
        <v>102.43353135445888</v>
      </c>
      <c r="P326" s="332">
        <f>Gasto_o_ing_per_capita!P326*100/Gasto_o_ing_per_capita!$D326</f>
        <v>108.81566834237697</v>
      </c>
      <c r="Q326" s="332">
        <f>Gasto_o_ing_per_capita!Q326*100/Gasto_o_ing_per_capita!$D326</f>
        <v>153.80446842994908</v>
      </c>
      <c r="R326" s="332">
        <f>Gasto_o_ing_per_capita!R326*100/Gasto_o_ing_per_capita!$D326</f>
        <v>101.26417243413563</v>
      </c>
      <c r="S326" s="332">
        <f>Gasto_o_ing_per_capita!S326*100/Gasto_o_ing_per_capita!$D326</f>
        <v>143.44562306558623</v>
      </c>
      <c r="T326" s="332">
        <f>Gasto_o_ing_per_capita!T326*100/Gasto_o_ing_per_capita!$D326</f>
        <v>85.844843300261516</v>
      </c>
      <c r="U326" s="332">
        <f>Gasto_o_ing_per_capita!U326*100/Gasto_o_ing_per_capita!$D326</f>
        <v>99.779808827079691</v>
      </c>
      <c r="V326" s="332">
        <f>Gasto_o_ing_per_capita!V326*100/Gasto_o_ing_per_capita!$D326</f>
        <v>145.39692039885782</v>
      </c>
    </row>
    <row r="327" spans="1:22"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Gasto_o_ing_per_capita!D327*100/Gasto_o_ing_per_capita!$D327</f>
        <v>100</v>
      </c>
      <c r="E327" s="332">
        <f>Gasto_o_ing_per_capita!E327*100/Gasto_o_ing_per_capita!$D327</f>
        <v>80.342878507621847</v>
      </c>
      <c r="F327" s="332">
        <f>Gasto_o_ing_per_capita!F327*100/Gasto_o_ing_per_capita!$D327</f>
        <v>116.83692017185025</v>
      </c>
      <c r="G327" s="332">
        <f>Gasto_o_ing_per_capita!G327*100/Gasto_o_ing_per_capita!$D327</f>
        <v>34.859991997291957</v>
      </c>
      <c r="H327" s="332">
        <f>Gasto_o_ing_per_capita!H327*100/Gasto_o_ing_per_capita!$D327</f>
        <v>24.094931813857535</v>
      </c>
      <c r="I327" s="332">
        <f>Gasto_o_ing_per_capita!I327*100/Gasto_o_ing_per_capita!$D327</f>
        <v>138.49480345587557</v>
      </c>
      <c r="J327" s="332">
        <f>Gasto_o_ing_per_capita!J327*100/Gasto_o_ing_per_capita!$D327</f>
        <v>47.418019668621739</v>
      </c>
      <c r="K327" s="332">
        <f>Gasto_o_ing_per_capita!K327*100/Gasto_o_ing_per_capita!$D327</f>
        <v>108.09589300247526</v>
      </c>
      <c r="L327" s="332">
        <f>Gasto_o_ing_per_capita!L327*100/Gasto_o_ing_per_capita!$D327</f>
        <v>102.38638172116499</v>
      </c>
      <c r="M327" s="332">
        <f>Gasto_o_ing_per_capita!M327*100/Gasto_o_ing_per_capita!$D327</f>
        <v>124.45207935070749</v>
      </c>
      <c r="N327" s="332">
        <f>Gasto_o_ing_per_capita!N327*100/Gasto_o_ing_per_capita!$D327</f>
        <v>58.11312298756922</v>
      </c>
      <c r="O327" s="332">
        <f>Gasto_o_ing_per_capita!O327*100/Gasto_o_ing_per_capita!$D327</f>
        <v>28.922826827857371</v>
      </c>
      <c r="P327" s="332">
        <f>Gasto_o_ing_per_capita!P327*100/Gasto_o_ing_per_capita!$D327</f>
        <v>110.61827121176294</v>
      </c>
      <c r="Q327" s="332">
        <f>Gasto_o_ing_per_capita!Q327*100/Gasto_o_ing_per_capita!$D327</f>
        <v>102.74101197129328</v>
      </c>
      <c r="R327" s="332">
        <f>Gasto_o_ing_per_capita!R327*100/Gasto_o_ing_per_capita!$D327</f>
        <v>41.547071322363905</v>
      </c>
      <c r="S327" s="332">
        <f>Gasto_o_ing_per_capita!S327*100/Gasto_o_ing_per_capita!$D327</f>
        <v>276.47522827914065</v>
      </c>
      <c r="T327" s="332">
        <f>Gasto_o_ing_per_capita!T327*100/Gasto_o_ing_per_capita!$D327</f>
        <v>212.91215466972685</v>
      </c>
      <c r="U327" s="332">
        <f>Gasto_o_ing_per_capita!U327*100/Gasto_o_ing_per_capita!$D327</f>
        <v>134.84755060743657</v>
      </c>
      <c r="V327" s="332">
        <f>Gasto_o_ing_per_capita!V327*100/Gasto_o_ing_per_capita!$D327</f>
        <v>49.199223349111996</v>
      </c>
    </row>
    <row r="328" spans="1:22"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Gasto_o_ing_per_capita!D328*100/Gasto_o_ing_per_capita!$D328</f>
        <v>100</v>
      </c>
      <c r="E328" s="332">
        <f>Gasto_o_ing_per_capita!E328*100/Gasto_o_ing_per_capita!$D328</f>
        <v>71.67541661997015</v>
      </c>
      <c r="F328" s="332">
        <f>Gasto_o_ing_per_capita!F328*100/Gasto_o_ing_per_capita!$D328</f>
        <v>55.427293629203291</v>
      </c>
      <c r="G328" s="332">
        <f>Gasto_o_ing_per_capita!G328*100/Gasto_o_ing_per_capita!$D328</f>
        <v>47.386189875938314</v>
      </c>
      <c r="H328" s="332">
        <f>Gasto_o_ing_per_capita!H328*100/Gasto_o_ing_per_capita!$D328</f>
        <v>45.537931045022553</v>
      </c>
      <c r="I328" s="332">
        <f>Gasto_o_ing_per_capita!I328*100/Gasto_o_ing_per_capita!$D328</f>
        <v>63.594206906897519</v>
      </c>
      <c r="J328" s="332">
        <f>Gasto_o_ing_per_capita!J328*100/Gasto_o_ing_per_capita!$D328</f>
        <v>140.44588897119252</v>
      </c>
      <c r="K328" s="332">
        <f>Gasto_o_ing_per_capita!K328*100/Gasto_o_ing_per_capita!$D328</f>
        <v>83.3384009295319</v>
      </c>
      <c r="L328" s="332">
        <f>Gasto_o_ing_per_capita!L328*100/Gasto_o_ing_per_capita!$D328</f>
        <v>52.069132140440701</v>
      </c>
      <c r="M328" s="332">
        <f>Gasto_o_ing_per_capita!M328*100/Gasto_o_ing_per_capita!$D328</f>
        <v>88.258226170055352</v>
      </c>
      <c r="N328" s="332">
        <f>Gasto_o_ing_per_capita!N328*100/Gasto_o_ing_per_capita!$D328</f>
        <v>50.871933631470363</v>
      </c>
      <c r="O328" s="332">
        <f>Gasto_o_ing_per_capita!O328*100/Gasto_o_ing_per_capita!$D328</f>
        <v>50.405346085325661</v>
      </c>
      <c r="P328" s="332">
        <f>Gasto_o_ing_per_capita!P328*100/Gasto_o_ing_per_capita!$D328</f>
        <v>45.071475015874171</v>
      </c>
      <c r="Q328" s="332">
        <f>Gasto_o_ing_per_capita!Q328*100/Gasto_o_ing_per_capita!$D328</f>
        <v>258.99263707128608</v>
      </c>
      <c r="R328" s="332">
        <f>Gasto_o_ing_per_capita!R328*100/Gasto_o_ing_per_capita!$D328</f>
        <v>190.1916432673606</v>
      </c>
      <c r="S328" s="332">
        <f>Gasto_o_ing_per_capita!S328*100/Gasto_o_ing_per_capita!$D328</f>
        <v>113.84831127795093</v>
      </c>
      <c r="T328" s="332">
        <f>Gasto_o_ing_per_capita!T328*100/Gasto_o_ing_per_capita!$D328</f>
        <v>86.534979723441907</v>
      </c>
      <c r="U328" s="332">
        <f>Gasto_o_ing_per_capita!U328*100/Gasto_o_ing_per_capita!$D328</f>
        <v>127.50724387502937</v>
      </c>
      <c r="V328" s="332">
        <f>Gasto_o_ing_per_capita!V328*100/Gasto_o_ing_per_capita!$D328</f>
        <v>94.35792623410839</v>
      </c>
    </row>
    <row r="329" spans="1:22" s="102" customFormat="1">
      <c r="A329" s="351" t="str">
        <f>IF(B329="","",(IF(ISERROR(MATCH(B329,Tot_res!C:C,0)),"Eliminar!!!","")))</f>
        <v/>
      </c>
      <c r="B329" s="102" t="s">
        <v>644</v>
      </c>
      <c r="C329" s="329" t="str">
        <f>VLOOKUP(B329,Tot_res!C:D,2,FALSE)</f>
        <v xml:space="preserve">Deporte en edad escolar y en la universidad, neto del gasto directo del Estado en Ceuta y Melilla  </v>
      </c>
      <c r="D329" s="332">
        <f>Gasto_o_ing_per_capita!D329*100/Gasto_o_ing_per_capita!$D329</f>
        <v>99.999999999999986</v>
      </c>
      <c r="E329" s="332">
        <f>Gasto_o_ing_per_capita!E329*100/Gasto_o_ing_per_capita!$D329</f>
        <v>89.24849416546742</v>
      </c>
      <c r="F329" s="332">
        <f>Gasto_o_ing_per_capita!F329*100/Gasto_o_ing_per_capita!$D329</f>
        <v>155.08718532106417</v>
      </c>
      <c r="G329" s="332">
        <f>Gasto_o_ing_per_capita!G329*100/Gasto_o_ing_per_capita!$D329</f>
        <v>284.71160269098925</v>
      </c>
      <c r="H329" s="332">
        <f>Gasto_o_ing_per_capita!H329*100/Gasto_o_ing_per_capita!$D329</f>
        <v>58.122372881041457</v>
      </c>
      <c r="I329" s="332">
        <f>Gasto_o_ing_per_capita!I329*100/Gasto_o_ing_per_capita!$D329</f>
        <v>65.905533432919498</v>
      </c>
      <c r="J329" s="332">
        <f>Gasto_o_ing_per_capita!J329*100/Gasto_o_ing_per_capita!$D329</f>
        <v>167.58358136255404</v>
      </c>
      <c r="K329" s="332">
        <f>Gasto_o_ing_per_capita!K329*100/Gasto_o_ing_per_capita!$D329</f>
        <v>151.2867469978539</v>
      </c>
      <c r="L329" s="332">
        <f>Gasto_o_ing_per_capita!L329*100/Gasto_o_ing_per_capita!$D329</f>
        <v>69.805851470082089</v>
      </c>
      <c r="M329" s="332">
        <f>Gasto_o_ing_per_capita!M329*100/Gasto_o_ing_per_capita!$D329</f>
        <v>73.186523977421331</v>
      </c>
      <c r="N329" s="332">
        <f>Gasto_o_ing_per_capita!N329*100/Gasto_o_ing_per_capita!$D329</f>
        <v>83.153140537315309</v>
      </c>
      <c r="O329" s="332">
        <f>Gasto_o_ing_per_capita!O329*100/Gasto_o_ing_per_capita!$D329</f>
        <v>230.41076670589317</v>
      </c>
      <c r="P329" s="332">
        <f>Gasto_o_ing_per_capita!P329*100/Gasto_o_ing_per_capita!$D329</f>
        <v>74.874364800289356</v>
      </c>
      <c r="Q329" s="332">
        <f>Gasto_o_ing_per_capita!Q329*100/Gasto_o_ing_per_capita!$D329</f>
        <v>103.0070554490184</v>
      </c>
      <c r="R329" s="332">
        <f>Gasto_o_ing_per_capita!R329*100/Gasto_o_ing_per_capita!$D329</f>
        <v>184.03166060208676</v>
      </c>
      <c r="S329" s="332">
        <f>Gasto_o_ing_per_capita!S329*100/Gasto_o_ing_per_capita!$D329</f>
        <v>63.514336762108258</v>
      </c>
      <c r="T329" s="332">
        <f>Gasto_o_ing_per_capita!T329*100/Gasto_o_ing_per_capita!$D329</f>
        <v>73.769480118848193</v>
      </c>
      <c r="U329" s="332">
        <f>Gasto_o_ing_per_capita!U329*100/Gasto_o_ing_per_capita!$D329</f>
        <v>62.548918550688896</v>
      </c>
      <c r="V329" s="332">
        <f>Gasto_o_ing_per_capita!V329*100/Gasto_o_ing_per_capita!$D329</f>
        <v>83.666072486661719</v>
      </c>
    </row>
    <row r="330" spans="1:22"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Gasto_o_ing_per_capita!D330*100/Gasto_o_ing_per_capita!$D330</f>
        <v>100</v>
      </c>
      <c r="E330" s="332">
        <f>Gasto_o_ing_per_capita!E330*100/Gasto_o_ing_per_capita!$D330</f>
        <v>80.514698989421703</v>
      </c>
      <c r="F330" s="332">
        <f>Gasto_o_ing_per_capita!F330*100/Gasto_o_ing_per_capita!$D330</f>
        <v>97.746740280832356</v>
      </c>
      <c r="G330" s="332">
        <f>Gasto_o_ing_per_capita!G330*100/Gasto_o_ing_per_capita!$D330</f>
        <v>49.246776838522337</v>
      </c>
      <c r="H330" s="332">
        <f>Gasto_o_ing_per_capita!H330*100/Gasto_o_ing_per_capita!$D330</f>
        <v>79.711670319234173</v>
      </c>
      <c r="I330" s="332">
        <f>Gasto_o_ing_per_capita!I330*100/Gasto_o_ing_per_capita!$D330</f>
        <v>382.54881546383723</v>
      </c>
      <c r="J330" s="332">
        <f>Gasto_o_ing_per_capita!J330*100/Gasto_o_ing_per_capita!$D330</f>
        <v>76.973768687945082</v>
      </c>
      <c r="K330" s="332">
        <f>Gasto_o_ing_per_capita!K330*100/Gasto_o_ing_per_capita!$D330</f>
        <v>90.670043258271477</v>
      </c>
      <c r="L330" s="332">
        <f>Gasto_o_ing_per_capita!L330*100/Gasto_o_ing_per_capita!$D330</f>
        <v>77.696513329526937</v>
      </c>
      <c r="M330" s="332">
        <f>Gasto_o_ing_per_capita!M330*100/Gasto_o_ing_per_capita!$D330</f>
        <v>69.827757880511356</v>
      </c>
      <c r="N330" s="332">
        <f>Gasto_o_ing_per_capita!N330*100/Gasto_o_ing_per_capita!$D330</f>
        <v>72.748500842952467</v>
      </c>
      <c r="O330" s="332">
        <f>Gasto_o_ing_per_capita!O330*100/Gasto_o_ing_per_capita!$D330</f>
        <v>65.03565624184283</v>
      </c>
      <c r="P330" s="332">
        <f>Gasto_o_ing_per_capita!P330*100/Gasto_o_ing_per_capita!$D330</f>
        <v>59.729994164059747</v>
      </c>
      <c r="Q330" s="332">
        <f>Gasto_o_ing_per_capita!Q330*100/Gasto_o_ing_per_capita!$D330</f>
        <v>135.99377625784101</v>
      </c>
      <c r="R330" s="332">
        <f>Gasto_o_ing_per_capita!R330*100/Gasto_o_ing_per_capita!$D330</f>
        <v>68.731994277361963</v>
      </c>
      <c r="S330" s="332">
        <f>Gasto_o_ing_per_capita!S330*100/Gasto_o_ing_per_capita!$D330</f>
        <v>56.954391313621834</v>
      </c>
      <c r="T330" s="332">
        <f>Gasto_o_ing_per_capita!T330*100/Gasto_o_ing_per_capita!$D330</f>
        <v>142.18568189450528</v>
      </c>
      <c r="U330" s="332">
        <f>Gasto_o_ing_per_capita!U330*100/Gasto_o_ing_per_capita!$D330</f>
        <v>91.634744990975676</v>
      </c>
      <c r="V330" s="332">
        <f>Gasto_o_ing_per_capita!V330*100/Gasto_o_ing_per_capita!$D330</f>
        <v>68.428911372270051</v>
      </c>
    </row>
    <row r="331" spans="1:22"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Gasto_o_ing_per_capita!D331*100/Gasto_o_ing_per_capita!$D331</f>
        <v>100</v>
      </c>
      <c r="E331" s="332">
        <f>Gasto_o_ing_per_capita!E331*100/Gasto_o_ing_per_capita!$D331</f>
        <v>105.82655568446668</v>
      </c>
      <c r="F331" s="332">
        <f>Gasto_o_ing_per_capita!F331*100/Gasto_o_ing_per_capita!$D331</f>
        <v>96.155407320891669</v>
      </c>
      <c r="G331" s="332">
        <f>Gasto_o_ing_per_capita!G331*100/Gasto_o_ing_per_capita!$D331</f>
        <v>86.693791266305709</v>
      </c>
      <c r="H331" s="332">
        <f>Gasto_o_ing_per_capita!H331*100/Gasto_o_ing_per_capita!$D331</f>
        <v>84.889517686847412</v>
      </c>
      <c r="I331" s="332">
        <f>Gasto_o_ing_per_capita!I331*100/Gasto_o_ing_per_capita!$D331</f>
        <v>106.20633412875948</v>
      </c>
      <c r="J331" s="332">
        <f>Gasto_o_ing_per_capita!J331*100/Gasto_o_ing_per_capita!$D331</f>
        <v>95.21245855680057</v>
      </c>
      <c r="K331" s="332">
        <f>Gasto_o_ing_per_capita!K331*100/Gasto_o_ing_per_capita!$D331</f>
        <v>97.422718428953317</v>
      </c>
      <c r="L331" s="332">
        <f>Gasto_o_ing_per_capita!L331*100/Gasto_o_ing_per_capita!$D331</f>
        <v>105.60967889016968</v>
      </c>
      <c r="M331" s="332">
        <f>Gasto_o_ing_per_capita!M331*100/Gasto_o_ing_per_capita!$D331</f>
        <v>95.409899904853063</v>
      </c>
      <c r="N331" s="332">
        <f>Gasto_o_ing_per_capita!N331*100/Gasto_o_ing_per_capita!$D331</f>
        <v>99.691279499418641</v>
      </c>
      <c r="O331" s="332">
        <f>Gasto_o_ing_per_capita!O331*100/Gasto_o_ing_per_capita!$D331</f>
        <v>108.2897344173705</v>
      </c>
      <c r="P331" s="332">
        <f>Gasto_o_ing_per_capita!P331*100/Gasto_o_ing_per_capita!$D331</f>
        <v>93.836040746835749</v>
      </c>
      <c r="Q331" s="332">
        <f>Gasto_o_ing_per_capita!Q331*100/Gasto_o_ing_per_capita!$D331</f>
        <v>101.18516689238282</v>
      </c>
      <c r="R331" s="332">
        <f>Gasto_o_ing_per_capita!R331*100/Gasto_o_ing_per_capita!$D331</f>
        <v>111.93707569517245</v>
      </c>
      <c r="S331" s="332">
        <f>Gasto_o_ing_per_capita!S331*100/Gasto_o_ing_per_capita!$D331</f>
        <v>97.27078487125641</v>
      </c>
      <c r="T331" s="332">
        <f>Gasto_o_ing_per_capita!T331*100/Gasto_o_ing_per_capita!$D331</f>
        <v>95.151203617742226</v>
      </c>
      <c r="U331" s="332">
        <f>Gasto_o_ing_per_capita!U331*100/Gasto_o_ing_per_capita!$D331</f>
        <v>96.203857378804614</v>
      </c>
      <c r="V331" s="332">
        <f>Gasto_o_ing_per_capita!V331*100/Gasto_o_ing_per_capita!$D331</f>
        <v>121.69528391557949</v>
      </c>
    </row>
    <row r="332" spans="1:22" s="102" customFormat="1">
      <c r="A332" s="351" t="str">
        <f>IF(B332="","",(IF(ISERROR(MATCH(B332,Tot_res!C:C,0)),"Eliminar!!!","")))</f>
        <v/>
      </c>
      <c r="B332" s="115" t="s">
        <v>647</v>
      </c>
      <c r="C332" s="329" t="str">
        <f>VLOOKUP(B332,Tot_res!C:D,2,FALSE)</f>
        <v>Formación del personal de las administraciones públicas + AF12/3</v>
      </c>
      <c r="D332" s="332">
        <f>Gasto_o_ing_per_capita!D332*100/Gasto_o_ing_per_capita!$D332</f>
        <v>100</v>
      </c>
      <c r="E332" s="332">
        <f>Gasto_o_ing_per_capita!E332*100/Gasto_o_ing_per_capita!$D332</f>
        <v>103.34569057757234</v>
      </c>
      <c r="F332" s="332">
        <f>Gasto_o_ing_per_capita!F332*100/Gasto_o_ing_per_capita!$D332</f>
        <v>110.40020897777076</v>
      </c>
      <c r="G332" s="332">
        <f>Gasto_o_ing_per_capita!G332*100/Gasto_o_ing_per_capita!$D332</f>
        <v>103.66202198190926</v>
      </c>
      <c r="H332" s="332">
        <f>Gasto_o_ing_per_capita!H332*100/Gasto_o_ing_per_capita!$D332</f>
        <v>93.606808234902203</v>
      </c>
      <c r="I332" s="332">
        <f>Gasto_o_ing_per_capita!I332*100/Gasto_o_ing_per_capita!$D332</f>
        <v>104.75590377244929</v>
      </c>
      <c r="J332" s="332">
        <f>Gasto_o_ing_per_capita!J332*100/Gasto_o_ing_per_capita!$D332</f>
        <v>104.45778704407043</v>
      </c>
      <c r="K332" s="332">
        <f>Gasto_o_ing_per_capita!K332*100/Gasto_o_ing_per_capita!$D332</f>
        <v>112.03965955144793</v>
      </c>
      <c r="L332" s="332">
        <f>Gasto_o_ing_per_capita!L332*100/Gasto_o_ing_per_capita!$D332</f>
        <v>110.9465538557277</v>
      </c>
      <c r="M332" s="332">
        <f>Gasto_o_ing_per_capita!M332*100/Gasto_o_ing_per_capita!$D332</f>
        <v>88.863513305302575</v>
      </c>
      <c r="N332" s="332">
        <f>Gasto_o_ing_per_capita!N332*100/Gasto_o_ing_per_capita!$D332</f>
        <v>95.2391732832846</v>
      </c>
      <c r="O332" s="332">
        <f>Gasto_o_ing_per_capita!O332*100/Gasto_o_ing_per_capita!$D332</f>
        <v>141.82354721968363</v>
      </c>
      <c r="P332" s="332">
        <f>Gasto_o_ing_per_capita!P332*100/Gasto_o_ing_per_capita!$D332</f>
        <v>111.02606503308691</v>
      </c>
      <c r="Q332" s="332">
        <f>Gasto_o_ing_per_capita!Q332*100/Gasto_o_ing_per_capita!$D332</f>
        <v>89.297034378872652</v>
      </c>
      <c r="R332" s="332">
        <f>Gasto_o_ing_per_capita!R332*100/Gasto_o_ing_per_capita!$D332</f>
        <v>101.95813559488832</v>
      </c>
      <c r="S332" s="332">
        <f>Gasto_o_ing_per_capita!S332*100/Gasto_o_ing_per_capita!$D332</f>
        <v>103.25160243156209</v>
      </c>
      <c r="T332" s="332">
        <f>Gasto_o_ing_per_capita!T332*100/Gasto_o_ing_per_capita!$D332</f>
        <v>100</v>
      </c>
      <c r="U332" s="332">
        <f>Gasto_o_ing_per_capita!U332*100/Gasto_o_ing_per_capita!$D332</f>
        <v>95.852570674207399</v>
      </c>
      <c r="V332" s="332">
        <f>Gasto_o_ing_per_capita!V332*100/Gasto_o_ing_per_capita!$D332</f>
        <v>58.159271883052114</v>
      </c>
    </row>
    <row r="333" spans="1:22" s="102" customFormat="1">
      <c r="A333" s="351" t="str">
        <f>IF(B333="","",(IF(ISERROR(MATCH(B333,Tot_res!C:C,0)),"Eliminar!!!","")))</f>
        <v/>
      </c>
      <c r="B333" s="115" t="s">
        <v>311</v>
      </c>
      <c r="C333" s="329" t="str">
        <f>VLOOKUP(B333,Tot_res!C:D,2,FALSE)</f>
        <v>Profesores de religión</v>
      </c>
      <c r="D333" s="332">
        <f>Gasto_o_ing_per_capita!D333*100/Gasto_o_ing_per_capita!$D333</f>
        <v>100</v>
      </c>
      <c r="E333" s="332">
        <f>Gasto_o_ing_per_capita!E333*100/Gasto_o_ing_per_capita!$D333</f>
        <v>0</v>
      </c>
      <c r="F333" s="332">
        <f>Gasto_o_ing_per_capita!F333*100/Gasto_o_ing_per_capita!$D333</f>
        <v>0</v>
      </c>
      <c r="G333" s="332">
        <f>Gasto_o_ing_per_capita!G333*100/Gasto_o_ing_per_capita!$D333</f>
        <v>212.10217449840556</v>
      </c>
      <c r="H333" s="332">
        <f>Gasto_o_ing_per_capita!H333*100/Gasto_o_ing_per_capita!$D333</f>
        <v>101.6531845850778</v>
      </c>
      <c r="I333" s="332">
        <f>Gasto_o_ing_per_capita!I333*100/Gasto_o_ing_per_capita!$D333</f>
        <v>0</v>
      </c>
      <c r="J333" s="332">
        <f>Gasto_o_ing_per_capita!J333*100/Gasto_o_ing_per_capita!$D333</f>
        <v>0</v>
      </c>
      <c r="K333" s="332">
        <f>Gasto_o_ing_per_capita!K333*100/Gasto_o_ing_per_capita!$D333</f>
        <v>149.91499674724605</v>
      </c>
      <c r="L333" s="332">
        <f>Gasto_o_ing_per_capita!L333*100/Gasto_o_ing_per_capita!$D333</f>
        <v>170.03518252291838</v>
      </c>
      <c r="M333" s="332">
        <f>Gasto_o_ing_per_capita!M333*100/Gasto_o_ing_per_capita!$D333</f>
        <v>70.698556670773755</v>
      </c>
      <c r="N333" s="332">
        <f>Gasto_o_ing_per_capita!N333*100/Gasto_o_ing_per_capita!$D333</f>
        <v>172.96969388938783</v>
      </c>
      <c r="O333" s="332">
        <f>Gasto_o_ing_per_capita!O333*100/Gasto_o_ing_per_capita!$D333</f>
        <v>203.04177964583121</v>
      </c>
      <c r="P333" s="332">
        <f>Gasto_o_ing_per_capita!P333*100/Gasto_o_ing_per_capita!$D333</f>
        <v>167.50364479597317</v>
      </c>
      <c r="Q333" s="332">
        <f>Gasto_o_ing_per_capita!Q333*100/Gasto_o_ing_per_capita!$D333</f>
        <v>160.54569497914113</v>
      </c>
      <c r="R333" s="332">
        <f>Gasto_o_ing_per_capita!R333*100/Gasto_o_ing_per_capita!$D333</f>
        <v>310.04269115695917</v>
      </c>
      <c r="S333" s="332">
        <f>Gasto_o_ing_per_capita!S333*100/Gasto_o_ing_per_capita!$D333</f>
        <v>0</v>
      </c>
      <c r="T333" s="332">
        <f>Gasto_o_ing_per_capita!T333*100/Gasto_o_ing_per_capita!$D333</f>
        <v>0</v>
      </c>
      <c r="U333" s="332">
        <f>Gasto_o_ing_per_capita!U333*100/Gasto_o_ing_per_capita!$D333</f>
        <v>136.07385011446945</v>
      </c>
      <c r="V333" s="332">
        <f>Gasto_o_ing_per_capita!V333*100/Gasto_o_ing_per_capita!$D333</f>
        <v>0</v>
      </c>
    </row>
    <row r="334" spans="1:22"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row>
    <row r="335" spans="1:22" s="102" customFormat="1" ht="13.5">
      <c r="A335" s="352"/>
      <c r="B335" s="115"/>
      <c r="C335" s="117" t="s">
        <v>76</v>
      </c>
      <c r="D335" s="113">
        <f>Gasto_o_ing_per_capita!D335*100/Gasto_o_ing_per_capita!$D335</f>
        <v>100</v>
      </c>
      <c r="E335" s="113">
        <f>Gasto_o_ing_per_capita!E335*100/Gasto_o_ing_per_capita!$D335</f>
        <v>90.531033657748367</v>
      </c>
      <c r="F335" s="113">
        <f>Gasto_o_ing_per_capita!F335*100/Gasto_o_ing_per_capita!$D335</f>
        <v>102.29770691278497</v>
      </c>
      <c r="G335" s="113">
        <f>Gasto_o_ing_per_capita!G335*100/Gasto_o_ing_per_capita!$D335</f>
        <v>97.129497083295234</v>
      </c>
      <c r="H335" s="113">
        <f>Gasto_o_ing_per_capita!H335*100/Gasto_o_ing_per_capita!$D335</f>
        <v>100.02120300981754</v>
      </c>
      <c r="I335" s="113">
        <f>Gasto_o_ing_per_capita!I335*100/Gasto_o_ing_per_capita!$D335</f>
        <v>95.211625235637086</v>
      </c>
      <c r="J335" s="113">
        <f>Gasto_o_ing_per_capita!J335*100/Gasto_o_ing_per_capita!$D335</f>
        <v>91.599576759381492</v>
      </c>
      <c r="K335" s="113">
        <f>Gasto_o_ing_per_capita!K335*100/Gasto_o_ing_per_capita!$D335</f>
        <v>111.8245226278674</v>
      </c>
      <c r="L335" s="113">
        <f>Gasto_o_ing_per_capita!L335*100/Gasto_o_ing_per_capita!$D335</f>
        <v>87.823643202954841</v>
      </c>
      <c r="M335" s="113">
        <f>Gasto_o_ing_per_capita!M335*100/Gasto_o_ing_per_capita!$D335</f>
        <v>116.56118934634134</v>
      </c>
      <c r="N335" s="113">
        <f>Gasto_o_ing_per_capita!N335*100/Gasto_o_ing_per_capita!$D335</f>
        <v>82.017156412542477</v>
      </c>
      <c r="O335" s="113">
        <f>Gasto_o_ing_per_capita!O335*100/Gasto_o_ing_per_capita!$D335</f>
        <v>93.729487050377685</v>
      </c>
      <c r="P335" s="113">
        <f>Gasto_o_ing_per_capita!P335*100/Gasto_o_ing_per_capita!$D335</f>
        <v>88.175920678895992</v>
      </c>
      <c r="Q335" s="113">
        <f>Gasto_o_ing_per_capita!Q335*100/Gasto_o_ing_per_capita!$D335</f>
        <v>96.32732466505847</v>
      </c>
      <c r="R335" s="113">
        <f>Gasto_o_ing_per_capita!R335*100/Gasto_o_ing_per_capita!$D335</f>
        <v>80.997384360101975</v>
      </c>
      <c r="S335" s="113">
        <f>Gasto_o_ing_per_capita!S335*100/Gasto_o_ing_per_capita!$D335</f>
        <v>126.56673682338513</v>
      </c>
      <c r="T335" s="113">
        <f>Gasto_o_ing_per_capita!T335*100/Gasto_o_ing_per_capita!$D335</f>
        <v>142.8437003374541</v>
      </c>
      <c r="U335" s="113">
        <f>Gasto_o_ing_per_capita!U335*100/Gasto_o_ing_per_capita!$D335</f>
        <v>135.22860041507442</v>
      </c>
      <c r="V335" s="113">
        <f>Gasto_o_ing_per_capita!V335*100/Gasto_o_ing_per_capita!$D335</f>
        <v>244.46983871349829</v>
      </c>
    </row>
    <row r="336" spans="1:22" s="102" customFormat="1">
      <c r="A336" s="351" t="str">
        <f>IF(B336="","",(IF(ISERROR(MATCH(B336,Tot_res!C:C,0)),"Eliminar!!!","")))</f>
        <v/>
      </c>
      <c r="B336" s="115" t="s">
        <v>313</v>
      </c>
      <c r="C336" s="329" t="str">
        <f>VLOOKUP(B336,Tot_res!C:D,2,FALSE)</f>
        <v>Dirección y servicios generales de justicia</v>
      </c>
      <c r="D336" s="333">
        <f>Gasto_o_ing_per_capita!D336*100/Gasto_o_ing_per_capita!$D336</f>
        <v>100</v>
      </c>
      <c r="E336" s="333">
        <f>Gasto_o_ing_per_capita!E336*100/Gasto_o_ing_per_capita!$D336</f>
        <v>87.063140872179346</v>
      </c>
      <c r="F336" s="333">
        <f>Gasto_o_ing_per_capita!F336*100/Gasto_o_ing_per_capita!$D336</f>
        <v>89.461276761570431</v>
      </c>
      <c r="G336" s="333">
        <f>Gasto_o_ing_per_capita!G336*100/Gasto_o_ing_per_capita!$D336</f>
        <v>92.636506416770686</v>
      </c>
      <c r="H336" s="333">
        <f>Gasto_o_ing_per_capita!H336*100/Gasto_o_ing_per_capita!$D336</f>
        <v>154.98113229187464</v>
      </c>
      <c r="I336" s="333">
        <f>Gasto_o_ing_per_capita!I336*100/Gasto_o_ing_per_capita!$D336</f>
        <v>92.570130781840589</v>
      </c>
      <c r="J336" s="333">
        <f>Gasto_o_ing_per_capita!J336*100/Gasto_o_ing_per_capita!$D336</f>
        <v>90.994592609667166</v>
      </c>
      <c r="K336" s="333">
        <f>Gasto_o_ing_per_capita!K336*100/Gasto_o_ing_per_capita!$D336</f>
        <v>153.5294743530232</v>
      </c>
      <c r="L336" s="333">
        <f>Gasto_o_ing_per_capita!L336*100/Gasto_o_ing_per_capita!$D336</f>
        <v>132.79964487347411</v>
      </c>
      <c r="M336" s="333">
        <f>Gasto_o_ing_per_capita!M336*100/Gasto_o_ing_per_capita!$D336</f>
        <v>90.063321818601111</v>
      </c>
      <c r="N336" s="333">
        <f>Gasto_o_ing_per_capita!N336*100/Gasto_o_ing_per_capita!$D336</f>
        <v>87.66209892385551</v>
      </c>
      <c r="O336" s="333">
        <f>Gasto_o_ing_per_capita!O336*100/Gasto_o_ing_per_capita!$D336</f>
        <v>139.23230152477038</v>
      </c>
      <c r="P336" s="333">
        <f>Gasto_o_ing_per_capita!P336*100/Gasto_o_ing_per_capita!$D336</f>
        <v>90.540674004239136</v>
      </c>
      <c r="Q336" s="333">
        <f>Gasto_o_ing_per_capita!Q336*100/Gasto_o_ing_per_capita!$D336</f>
        <v>93.601843232652428</v>
      </c>
      <c r="R336" s="333">
        <f>Gasto_o_ing_per_capita!R336*100/Gasto_o_ing_per_capita!$D336</f>
        <v>140.33679214569031</v>
      </c>
      <c r="S336" s="333">
        <f>Gasto_o_ing_per_capita!S336*100/Gasto_o_ing_per_capita!$D336</f>
        <v>87.047759073770251</v>
      </c>
      <c r="T336" s="333">
        <f>Gasto_o_ing_per_capita!T336*100/Gasto_o_ing_per_capita!$D336</f>
        <v>89.77112021946796</v>
      </c>
      <c r="U336" s="333">
        <f>Gasto_o_ing_per_capita!U336*100/Gasto_o_ing_per_capita!$D336</f>
        <v>153.29269489358038</v>
      </c>
      <c r="V336" s="333">
        <f>Gasto_o_ing_per_capita!V336*100/Gasto_o_ing_per_capita!$D336</f>
        <v>128.16597324551807</v>
      </c>
    </row>
    <row r="337" spans="1:22" s="102" customFormat="1">
      <c r="A337" s="351" t="str">
        <f>IF(B337="","",(IF(ISERROR(MATCH(B337,Tot_res!C:C,0)),"Eliminar!!!","")))</f>
        <v/>
      </c>
      <c r="B337" s="115" t="s">
        <v>314</v>
      </c>
      <c r="C337" s="329" t="str">
        <f>VLOOKUP(B337,Tot_res!C:D,2,FALSE)</f>
        <v>Formación del personal de la administración de justicia</v>
      </c>
      <c r="D337" s="333">
        <f>Gasto_o_ing_per_capita!D337*100/Gasto_o_ing_per_capita!$D337</f>
        <v>100</v>
      </c>
      <c r="E337" s="333">
        <f>Gasto_o_ing_per_capita!E337*100/Gasto_o_ing_per_capita!$D337</f>
        <v>90.015167298859623</v>
      </c>
      <c r="F337" s="333">
        <f>Gasto_o_ing_per_capita!F337*100/Gasto_o_ing_per_capita!$D337</f>
        <v>101.16153803984656</v>
      </c>
      <c r="G337" s="333">
        <f>Gasto_o_ing_per_capita!G337*100/Gasto_o_ing_per_capita!$D337</f>
        <v>113.91619741671354</v>
      </c>
      <c r="H337" s="333">
        <f>Gasto_o_ing_per_capita!H337*100/Gasto_o_ing_per_capita!$D337</f>
        <v>108.13332169913821</v>
      </c>
      <c r="I337" s="333">
        <f>Gasto_o_ing_per_capita!I337*100/Gasto_o_ing_per_capita!$D337</f>
        <v>106.99586371922908</v>
      </c>
      <c r="J337" s="333">
        <f>Gasto_o_ing_per_capita!J337*100/Gasto_o_ing_per_capita!$D337</f>
        <v>109.56705271828243</v>
      </c>
      <c r="K337" s="333">
        <f>Gasto_o_ing_per_capita!K337*100/Gasto_o_ing_per_capita!$D337</f>
        <v>107.96209105041012</v>
      </c>
      <c r="L337" s="333">
        <f>Gasto_o_ing_per_capita!L337*100/Gasto_o_ing_per_capita!$D337</f>
        <v>87.450913063822696</v>
      </c>
      <c r="M337" s="333">
        <f>Gasto_o_ing_per_capita!M337*100/Gasto_o_ing_per_capita!$D337</f>
        <v>100.65570488273848</v>
      </c>
      <c r="N337" s="333">
        <f>Gasto_o_ing_per_capita!N337*100/Gasto_o_ing_per_capita!$D337</f>
        <v>95.042670141951078</v>
      </c>
      <c r="O337" s="333">
        <f>Gasto_o_ing_per_capita!O337*100/Gasto_o_ing_per_capita!$D337</f>
        <v>92.358099443618187</v>
      </c>
      <c r="P337" s="333">
        <f>Gasto_o_ing_per_capita!P337*100/Gasto_o_ing_per_capita!$D337</f>
        <v>104.44606891693735</v>
      </c>
      <c r="Q337" s="333">
        <f>Gasto_o_ing_per_capita!Q337*100/Gasto_o_ing_per_capita!$D337</f>
        <v>106.17589672136774</v>
      </c>
      <c r="R337" s="333">
        <f>Gasto_o_ing_per_capita!R337*100/Gasto_o_ing_per_capita!$D337</f>
        <v>96.352668619838269</v>
      </c>
      <c r="S337" s="333">
        <f>Gasto_o_ing_per_capita!S337*100/Gasto_o_ing_per_capita!$D337</f>
        <v>95.243274934638791</v>
      </c>
      <c r="T337" s="333">
        <f>Gasto_o_ing_per_capita!T337*100/Gasto_o_ing_per_capita!$D337</f>
        <v>101.44323247168852</v>
      </c>
      <c r="U337" s="333">
        <f>Gasto_o_ing_per_capita!U337*100/Gasto_o_ing_per_capita!$D337</f>
        <v>106.75683007542877</v>
      </c>
      <c r="V337" s="333">
        <f>Gasto_o_ing_per_capita!V337*100/Gasto_o_ing_per_capita!$D337</f>
        <v>240.44369269496394</v>
      </c>
    </row>
    <row r="338" spans="1:22" s="102" customFormat="1">
      <c r="A338" s="351" t="str">
        <f>IF(B338="","",(IF(ISERROR(MATCH(B338,Tot_res!C:C,0)),"Eliminar!!!","")))</f>
        <v/>
      </c>
      <c r="B338" s="115" t="s">
        <v>315</v>
      </c>
      <c r="C338" s="329" t="str">
        <f>VLOOKUP(B338,Tot_res!C:D,2,FALSE)</f>
        <v>Formación de la carrera fiscal</v>
      </c>
      <c r="D338" s="333">
        <f>Gasto_o_ing_per_capita!D338*100/Gasto_o_ing_per_capita!$D338</f>
        <v>100</v>
      </c>
      <c r="E338" s="333">
        <f>Gasto_o_ing_per_capita!E338*100/Gasto_o_ing_per_capita!$D338</f>
        <v>99.474582995707053</v>
      </c>
      <c r="F338" s="333">
        <f>Gasto_o_ing_per_capita!F338*100/Gasto_o_ing_per_capita!$D338</f>
        <v>97.656477640048337</v>
      </c>
      <c r="G338" s="333">
        <f>Gasto_o_ing_per_capita!G338*100/Gasto_o_ing_per_capita!$D338</f>
        <v>96.88830903532704</v>
      </c>
      <c r="H338" s="333">
        <f>Gasto_o_ing_per_capita!H338*100/Gasto_o_ing_per_capita!$D338</f>
        <v>107.38399982347286</v>
      </c>
      <c r="I338" s="333">
        <f>Gasto_o_ing_per_capita!I338*100/Gasto_o_ing_per_capita!$D338</f>
        <v>110.00093114295245</v>
      </c>
      <c r="J338" s="333">
        <f>Gasto_o_ing_per_capita!J338*100/Gasto_o_ing_per_capita!$D338</f>
        <v>98.03177072673931</v>
      </c>
      <c r="K338" s="333">
        <f>Gasto_o_ing_per_capita!K338*100/Gasto_o_ing_per_capita!$D338</f>
        <v>103.39929371091223</v>
      </c>
      <c r="L338" s="333">
        <f>Gasto_o_ing_per_capita!L338*100/Gasto_o_ing_per_capita!$D338</f>
        <v>84.211446689716851</v>
      </c>
      <c r="M338" s="333">
        <f>Gasto_o_ing_per_capita!M338*100/Gasto_o_ing_per_capita!$D338</f>
        <v>105.16973632567064</v>
      </c>
      <c r="N338" s="333">
        <f>Gasto_o_ing_per_capita!N338*100/Gasto_o_ing_per_capita!$D338</f>
        <v>99.729107823529404</v>
      </c>
      <c r="O338" s="333">
        <f>Gasto_o_ing_per_capita!O338*100/Gasto_o_ing_per_capita!$D338</f>
        <v>99.475735436019207</v>
      </c>
      <c r="P338" s="333">
        <f>Gasto_o_ing_per_capita!P338*100/Gasto_o_ing_per_capita!$D338</f>
        <v>104.61170032443113</v>
      </c>
      <c r="Q338" s="333">
        <f>Gasto_o_ing_per_capita!Q338*100/Gasto_o_ing_per_capita!$D338</f>
        <v>101.01572890910936</v>
      </c>
      <c r="R338" s="333">
        <f>Gasto_o_ing_per_capita!R338*100/Gasto_o_ing_per_capita!$D338</f>
        <v>85.629947188238276</v>
      </c>
      <c r="S338" s="333">
        <f>Gasto_o_ing_per_capita!S338*100/Gasto_o_ing_per_capita!$D338</f>
        <v>81.358232885135408</v>
      </c>
      <c r="T338" s="333">
        <f>Gasto_o_ing_per_capita!T338*100/Gasto_o_ing_per_capita!$D338</f>
        <v>97.053704587007246</v>
      </c>
      <c r="U338" s="333">
        <f>Gasto_o_ing_per_capita!U338*100/Gasto_o_ing_per_capita!$D338</f>
        <v>90.56400338498193</v>
      </c>
      <c r="V338" s="333">
        <f>Gasto_o_ing_per_capita!V338*100/Gasto_o_ing_per_capita!$D338</f>
        <v>60.929701232400504</v>
      </c>
    </row>
    <row r="339" spans="1:22" s="102" customFormat="1">
      <c r="A339" s="351" t="str">
        <f>IF(B339="","",(IF(ISERROR(MATCH(B339,Tot_res!C:C,0)),"Eliminar!!!","")))</f>
        <v/>
      </c>
      <c r="B339" s="115" t="s">
        <v>317</v>
      </c>
      <c r="C339" s="329" t="str">
        <f>VLOOKUP(B339,Tot_res!C:D,2,FALSE)</f>
        <v>Tribunales de justicia y ministerio fiscal</v>
      </c>
      <c r="D339" s="333">
        <f>Gasto_o_ing_per_capita!D339*100/Gasto_o_ing_per_capita!$D339</f>
        <v>100</v>
      </c>
      <c r="E339" s="333">
        <f>Gasto_o_ing_per_capita!E339*100/Gasto_o_ing_per_capita!$D339</f>
        <v>73.104463710744966</v>
      </c>
      <c r="F339" s="333">
        <f>Gasto_o_ing_per_capita!F339*100/Gasto_o_ing_per_capita!$D339</f>
        <v>78.060278394324328</v>
      </c>
      <c r="G339" s="333">
        <f>Gasto_o_ing_per_capita!G339*100/Gasto_o_ing_per_capita!$D339</f>
        <v>84.627220367593381</v>
      </c>
      <c r="H339" s="333">
        <f>Gasto_o_ing_per_capita!H339*100/Gasto_o_ing_per_capita!$D339</f>
        <v>214.41706311857664</v>
      </c>
      <c r="I339" s="333">
        <f>Gasto_o_ing_per_capita!I339*100/Gasto_o_ing_per_capita!$D339</f>
        <v>84.49987348061012</v>
      </c>
      <c r="J339" s="333">
        <f>Gasto_o_ing_per_capita!J339*100/Gasto_o_ing_per_capita!$D339</f>
        <v>81.22304905543308</v>
      </c>
      <c r="K339" s="333">
        <f>Gasto_o_ing_per_capita!K339*100/Gasto_o_ing_per_capita!$D339</f>
        <v>211.39968133725884</v>
      </c>
      <c r="L339" s="333">
        <f>Gasto_o_ing_per_capita!L339*100/Gasto_o_ing_per_capita!$D339</f>
        <v>168.33600543528462</v>
      </c>
      <c r="M339" s="333">
        <f>Gasto_o_ing_per_capita!M339*100/Gasto_o_ing_per_capita!$D339</f>
        <v>79.307919961814008</v>
      </c>
      <c r="N339" s="333">
        <f>Gasto_o_ing_per_capita!N339*100/Gasto_o_ing_per_capita!$D339</f>
        <v>74.333872907027427</v>
      </c>
      <c r="O339" s="333">
        <f>Gasto_o_ing_per_capita!O339*100/Gasto_o_ing_per_capita!$D339</f>
        <v>181.69494327580293</v>
      </c>
      <c r="P339" s="333">
        <f>Gasto_o_ing_per_capita!P339*100/Gasto_o_ing_per_capita!$D339</f>
        <v>80.289205750159866</v>
      </c>
      <c r="Q339" s="333">
        <f>Gasto_o_ing_per_capita!Q339*100/Gasto_o_ing_per_capita!$D339</f>
        <v>86.65912604581959</v>
      </c>
      <c r="R339" s="333">
        <f>Gasto_o_ing_per_capita!R339*100/Gasto_o_ing_per_capita!$D339</f>
        <v>183.99400116034445</v>
      </c>
      <c r="S339" s="333">
        <f>Gasto_o_ing_per_capita!S339*100/Gasto_o_ing_per_capita!$D339</f>
        <v>73.072286421615004</v>
      </c>
      <c r="T339" s="333">
        <f>Gasto_o_ing_per_capita!T339*100/Gasto_o_ing_per_capita!$D339</f>
        <v>78.704894088736225</v>
      </c>
      <c r="U339" s="333">
        <f>Gasto_o_ing_per_capita!U339*100/Gasto_o_ing_per_capita!$D339</f>
        <v>210.92344116048341</v>
      </c>
      <c r="V339" s="333">
        <f>Gasto_o_ing_per_capita!V339*100/Gasto_o_ing_per_capita!$D339</f>
        <v>158.19052902987835</v>
      </c>
    </row>
    <row r="340" spans="1:22" s="102" customFormat="1">
      <c r="A340" s="351" t="str">
        <f>IF(B340="","",(IF(ISERROR(MATCH(B340,Tot_res!C:C,0)),"Eliminar!!!","")))</f>
        <v/>
      </c>
      <c r="B340" s="115" t="s">
        <v>318</v>
      </c>
      <c r="C340" s="329" t="str">
        <f>VLOOKUP(B340,Tot_res!C:D,2,FALSE)</f>
        <v>Dirección y serv. grales. seguridad y protecc. civil</v>
      </c>
      <c r="D340" s="333">
        <f>Gasto_o_ing_per_capita!D340*100/Gasto_o_ing_per_capita!$D340</f>
        <v>100</v>
      </c>
      <c r="E340" s="333">
        <f>Gasto_o_ing_per_capita!E340*100/Gasto_o_ing_per_capita!$D340</f>
        <v>100.50301950116742</v>
      </c>
      <c r="F340" s="333">
        <f>Gasto_o_ing_per_capita!F340*100/Gasto_o_ing_per_capita!$D340</f>
        <v>103.24093066809246</v>
      </c>
      <c r="G340" s="333">
        <f>Gasto_o_ing_per_capita!G340*100/Gasto_o_ing_per_capita!$D340</f>
        <v>100.30702907619519</v>
      </c>
      <c r="H340" s="333">
        <f>Gasto_o_ing_per_capita!H340*100/Gasto_o_ing_per_capita!$D340</f>
        <v>100.66243507307495</v>
      </c>
      <c r="I340" s="333">
        <f>Gasto_o_ing_per_capita!I340*100/Gasto_o_ing_per_capita!$D340</f>
        <v>101.04427698703296</v>
      </c>
      <c r="J340" s="333">
        <f>Gasto_o_ing_per_capita!J340*100/Gasto_o_ing_per_capita!$D340</f>
        <v>99.045247922944611</v>
      </c>
      <c r="K340" s="333">
        <f>Gasto_o_ing_per_capita!K340*100/Gasto_o_ing_per_capita!$D340</f>
        <v>104.4211764947876</v>
      </c>
      <c r="L340" s="333">
        <f>Gasto_o_ing_per_capita!L340*100/Gasto_o_ing_per_capita!$D340</f>
        <v>98.816753515861606</v>
      </c>
      <c r="M340" s="333">
        <f>Gasto_o_ing_per_capita!M340*100/Gasto_o_ing_per_capita!$D340</f>
        <v>90.425265269879716</v>
      </c>
      <c r="N340" s="333">
        <f>Gasto_o_ing_per_capita!N340*100/Gasto_o_ing_per_capita!$D340</f>
        <v>97.980775176163704</v>
      </c>
      <c r="O340" s="333">
        <f>Gasto_o_ing_per_capita!O340*100/Gasto_o_ing_per_capita!$D340</f>
        <v>101.74712698006485</v>
      </c>
      <c r="P340" s="333">
        <f>Gasto_o_ing_per_capita!P340*100/Gasto_o_ing_per_capita!$D340</f>
        <v>99.814853901422495</v>
      </c>
      <c r="Q340" s="333">
        <f>Gasto_o_ing_per_capita!Q340*100/Gasto_o_ing_per_capita!$D340</f>
        <v>102.05663246065157</v>
      </c>
      <c r="R340" s="333">
        <f>Gasto_o_ing_per_capita!R340*100/Gasto_o_ing_per_capita!$D340</f>
        <v>96.677704783488167</v>
      </c>
      <c r="S340" s="333">
        <f>Gasto_o_ing_per_capita!S340*100/Gasto_o_ing_per_capita!$D340</f>
        <v>183.21452617689914</v>
      </c>
      <c r="T340" s="333">
        <f>Gasto_o_ing_per_capita!T340*100/Gasto_o_ing_per_capita!$D340</f>
        <v>95.158805566430473</v>
      </c>
      <c r="U340" s="333">
        <f>Gasto_o_ing_per_capita!U340*100/Gasto_o_ing_per_capita!$D340</f>
        <v>106.78192398420215</v>
      </c>
      <c r="V340" s="333">
        <f>Gasto_o_ing_per_capita!V340*100/Gasto_o_ing_per_capita!$D340</f>
        <v>144.97493615662563</v>
      </c>
    </row>
    <row r="341" spans="1:22" s="102" customFormat="1">
      <c r="A341" s="351" t="str">
        <f>IF(B341="","",(IF(ISERROR(MATCH(B341,Tot_res!C:C,0)),"Eliminar!!!","")))</f>
        <v/>
      </c>
      <c r="B341" s="115" t="s">
        <v>319</v>
      </c>
      <c r="C341" s="329" t="str">
        <f>VLOOKUP(B341,Tot_res!C:D,2,FALSE)</f>
        <v>Formac. fuerzas y cuerpos de segur. del estado</v>
      </c>
      <c r="D341" s="333">
        <f>Gasto_o_ing_per_capita!D341*100/Gasto_o_ing_per_capita!$D341</f>
        <v>100</v>
      </c>
      <c r="E341" s="333">
        <f>Gasto_o_ing_per_capita!E341*100/Gasto_o_ing_per_capita!$D341</f>
        <v>104.25591467999814</v>
      </c>
      <c r="F341" s="333">
        <f>Gasto_o_ing_per_capita!F341*100/Gasto_o_ing_per_capita!$D341</f>
        <v>125.17857446625506</v>
      </c>
      <c r="G341" s="333">
        <f>Gasto_o_ing_per_capita!G341*100/Gasto_o_ing_per_capita!$D341</f>
        <v>109.09572644360267</v>
      </c>
      <c r="H341" s="333">
        <f>Gasto_o_ing_per_capita!H341*100/Gasto_o_ing_per_capita!$D341</f>
        <v>113.87789580621619</v>
      </c>
      <c r="I341" s="333">
        <f>Gasto_o_ing_per_capita!I341*100/Gasto_o_ing_per_capita!$D341</f>
        <v>113.58192210142538</v>
      </c>
      <c r="J341" s="333">
        <f>Gasto_o_ing_per_capita!J341*100/Gasto_o_ing_per_capita!$D341</f>
        <v>100.44084881406746</v>
      </c>
      <c r="K341" s="333">
        <f>Gasto_o_ing_per_capita!K341*100/Gasto_o_ing_per_capita!$D341</f>
        <v>125.3231128065718</v>
      </c>
      <c r="L341" s="333">
        <f>Gasto_o_ing_per_capita!L341*100/Gasto_o_ing_per_capita!$D341</f>
        <v>105.53861481357741</v>
      </c>
      <c r="M341" s="333">
        <f>Gasto_o_ing_per_capita!M341*100/Gasto_o_ing_per_capita!$D341</f>
        <v>58.202008414420142</v>
      </c>
      <c r="N341" s="333">
        <f>Gasto_o_ing_per_capita!N341*100/Gasto_o_ing_per_capita!$D341</f>
        <v>96.448255404736074</v>
      </c>
      <c r="O341" s="333">
        <f>Gasto_o_ing_per_capita!O341*100/Gasto_o_ing_per_capita!$D341</f>
        <v>112.84668888503208</v>
      </c>
      <c r="P341" s="333">
        <f>Gasto_o_ing_per_capita!P341*100/Gasto_o_ing_per_capita!$D341</f>
        <v>104.11626741304909</v>
      </c>
      <c r="Q341" s="333">
        <f>Gasto_o_ing_per_capita!Q341*100/Gasto_o_ing_per_capita!$D341</f>
        <v>114.02589615834276</v>
      </c>
      <c r="R341" s="333">
        <f>Gasto_o_ing_per_capita!R341*100/Gasto_o_ing_per_capita!$D341</f>
        <v>87.043581868606225</v>
      </c>
      <c r="S341" s="333">
        <f>Gasto_o_ing_per_capita!S341*100/Gasto_o_ing_per_capita!$D341</f>
        <v>123.3952539678272</v>
      </c>
      <c r="T341" s="333">
        <f>Gasto_o_ing_per_capita!T341*100/Gasto_o_ing_per_capita!$D341</f>
        <v>84.352501756437277</v>
      </c>
      <c r="U341" s="333">
        <f>Gasto_o_ing_per_capita!U341*100/Gasto_o_ing_per_capita!$D341</f>
        <v>153.72598185425031</v>
      </c>
      <c r="V341" s="333">
        <f>Gasto_o_ing_per_capita!V341*100/Gasto_o_ing_per_capita!$D341</f>
        <v>336.2208549664997</v>
      </c>
    </row>
    <row r="342" spans="1:22" s="102" customFormat="1">
      <c r="A342" s="351" t="str">
        <f>IF(B342="","",(IF(ISERROR(MATCH(B342,Tot_res!C:C,0)),"Eliminar!!!","")))</f>
        <v/>
      </c>
      <c r="B342" s="115" t="s">
        <v>320</v>
      </c>
      <c r="C342" s="329" t="str">
        <f>VLOOKUP(B342,Tot_res!C:D,2,FALSE)</f>
        <v>Fuerzas y cuerpos en reserva</v>
      </c>
      <c r="D342" s="333">
        <f>Gasto_o_ing_per_capita!D342*100/Gasto_o_ing_per_capita!$D342</f>
        <v>100</v>
      </c>
      <c r="E342" s="333">
        <f>Gasto_o_ing_per_capita!E342*100/Gasto_o_ing_per_capita!$D342</f>
        <v>147.28632445758913</v>
      </c>
      <c r="F342" s="333">
        <f>Gasto_o_ing_per_capita!F342*100/Gasto_o_ing_per_capita!$D342</f>
        <v>100.91132157743618</v>
      </c>
      <c r="G342" s="333">
        <f>Gasto_o_ing_per_capita!G342*100/Gasto_o_ing_per_capita!$D342</f>
        <v>113.27772864134104</v>
      </c>
      <c r="H342" s="333">
        <f>Gasto_o_ing_per_capita!H342*100/Gasto_o_ing_per_capita!$D342</f>
        <v>72.116805773716223</v>
      </c>
      <c r="I342" s="333">
        <f>Gasto_o_ing_per_capita!I342*100/Gasto_o_ing_per_capita!$D342</f>
        <v>104.04784729050513</v>
      </c>
      <c r="J342" s="333">
        <f>Gasto_o_ing_per_capita!J342*100/Gasto_o_ing_per_capita!$D342</f>
        <v>107.00538620819584</v>
      </c>
      <c r="K342" s="333">
        <f>Gasto_o_ing_per_capita!K342*100/Gasto_o_ing_per_capita!$D342</f>
        <v>110.99998329036328</v>
      </c>
      <c r="L342" s="333">
        <f>Gasto_o_ing_per_capita!L342*100/Gasto_o_ing_per_capita!$D342</f>
        <v>76.966126938759018</v>
      </c>
      <c r="M342" s="333">
        <f>Gasto_o_ing_per_capita!M342*100/Gasto_o_ing_per_capita!$D342</f>
        <v>54.297119252352481</v>
      </c>
      <c r="N342" s="333">
        <f>Gasto_o_ing_per_capita!N342*100/Gasto_o_ing_per_capita!$D342</f>
        <v>96.377514475427361</v>
      </c>
      <c r="O342" s="333">
        <f>Gasto_o_ing_per_capita!O342*100/Gasto_o_ing_per_capita!$D342</f>
        <v>94.062859319921472</v>
      </c>
      <c r="P342" s="333">
        <f>Gasto_o_ing_per_capita!P342*100/Gasto_o_ing_per_capita!$D342</f>
        <v>115.24834044736214</v>
      </c>
      <c r="Q342" s="333">
        <f>Gasto_o_ing_per_capita!Q342*100/Gasto_o_ing_per_capita!$D342</f>
        <v>89.161225373483731</v>
      </c>
      <c r="R342" s="333">
        <f>Gasto_o_ing_per_capita!R342*100/Gasto_o_ing_per_capita!$D342</f>
        <v>90.080954856912498</v>
      </c>
      <c r="S342" s="333">
        <f>Gasto_o_ing_per_capita!S342*100/Gasto_o_ing_per_capita!$D342</f>
        <v>87.728926343506288</v>
      </c>
      <c r="T342" s="333">
        <f>Gasto_o_ing_per_capita!T342*100/Gasto_o_ing_per_capita!$D342</f>
        <v>73.228370196402224</v>
      </c>
      <c r="U342" s="333">
        <f>Gasto_o_ing_per_capita!U342*100/Gasto_o_ing_per_capita!$D342</f>
        <v>169.88471016238032</v>
      </c>
      <c r="V342" s="333">
        <f>Gasto_o_ing_per_capita!V342*100/Gasto_o_ing_per_capita!$D342</f>
        <v>576.72472859244772</v>
      </c>
    </row>
    <row r="343" spans="1:22" s="102" customFormat="1">
      <c r="A343" s="351" t="str">
        <f>IF(B343="","",(IF(ISERROR(MATCH(B343,Tot_res!C:C,0)),"Eliminar!!!","")))</f>
        <v/>
      </c>
      <c r="B343" s="115" t="s">
        <v>321</v>
      </c>
      <c r="C343" s="329" t="str">
        <f>VLOOKUP(B343,Tot_res!C:D,2,FALSE)</f>
        <v>Seguridad ciudadana</v>
      </c>
      <c r="D343" s="333">
        <f>Gasto_o_ing_per_capita!D343*100/Gasto_o_ing_per_capita!$D343</f>
        <v>100</v>
      </c>
      <c r="E343" s="333">
        <f>Gasto_o_ing_per_capita!E343*100/Gasto_o_ing_per_capita!$D343</f>
        <v>104.18171183943798</v>
      </c>
      <c r="F343" s="333">
        <f>Gasto_o_ing_per_capita!F343*100/Gasto_o_ing_per_capita!$D343</f>
        <v>119.87723343660718</v>
      </c>
      <c r="G343" s="333">
        <f>Gasto_o_ing_per_capita!G343*100/Gasto_o_ing_per_capita!$D343</f>
        <v>108.3486652759358</v>
      </c>
      <c r="H343" s="333">
        <f>Gasto_o_ing_per_capita!H343*100/Gasto_o_ing_per_capita!$D343</f>
        <v>113.9239730496366</v>
      </c>
      <c r="I343" s="333">
        <f>Gasto_o_ing_per_capita!I343*100/Gasto_o_ing_per_capita!$D343</f>
        <v>113.67904818028815</v>
      </c>
      <c r="J343" s="333">
        <f>Gasto_o_ing_per_capita!J343*100/Gasto_o_ing_per_capita!$D343</f>
        <v>98.72171850020689</v>
      </c>
      <c r="K343" s="333">
        <f>Gasto_o_ing_per_capita!K343*100/Gasto_o_ing_per_capita!$D343</f>
        <v>118.02014388873685</v>
      </c>
      <c r="L343" s="333">
        <f>Gasto_o_ing_per_capita!L343*100/Gasto_o_ing_per_capita!$D343</f>
        <v>101.5736421155233</v>
      </c>
      <c r="M343" s="333">
        <f>Gasto_o_ing_per_capita!M343*100/Gasto_o_ing_per_capita!$D343</f>
        <v>60.906997944288754</v>
      </c>
      <c r="N343" s="333">
        <f>Gasto_o_ing_per_capita!N343*100/Gasto_o_ing_per_capita!$D343</f>
        <v>96.184958628580262</v>
      </c>
      <c r="O343" s="333">
        <f>Gasto_o_ing_per_capita!O343*100/Gasto_o_ing_per_capita!$D343</f>
        <v>108.70859504532264</v>
      </c>
      <c r="P343" s="333">
        <f>Gasto_o_ing_per_capita!P343*100/Gasto_o_ing_per_capita!$D343</f>
        <v>100.7998612993914</v>
      </c>
      <c r="Q343" s="333">
        <f>Gasto_o_ing_per_capita!Q343*100/Gasto_o_ing_per_capita!$D343</f>
        <v>116.42329267608132</v>
      </c>
      <c r="R343" s="333">
        <f>Gasto_o_ing_per_capita!R343*100/Gasto_o_ing_per_capita!$D343</f>
        <v>86.861997257754766</v>
      </c>
      <c r="S343" s="333">
        <f>Gasto_o_ing_per_capita!S343*100/Gasto_o_ing_per_capita!$D343</f>
        <v>122.69580381440947</v>
      </c>
      <c r="T343" s="333">
        <f>Gasto_o_ing_per_capita!T343*100/Gasto_o_ing_per_capita!$D343</f>
        <v>88.322775202755381</v>
      </c>
      <c r="U343" s="333">
        <f>Gasto_o_ing_per_capita!U343*100/Gasto_o_ing_per_capita!$D343</f>
        <v>151.08549914818585</v>
      </c>
      <c r="V343" s="333">
        <f>Gasto_o_ing_per_capita!V343*100/Gasto_o_ing_per_capita!$D343</f>
        <v>380.65211976032037</v>
      </c>
    </row>
    <row r="344" spans="1:22" s="102" customFormat="1">
      <c r="A344" s="351" t="str">
        <f>IF(B344="","",(IF(ISERROR(MATCH(B344,Tot_res!C:C,0)),"Eliminar!!!","")))</f>
        <v/>
      </c>
      <c r="B344" s="115" t="s">
        <v>323</v>
      </c>
      <c r="C344" s="329" t="str">
        <f>VLOOKUP(B344,Tot_res!C:D,2,FALSE)</f>
        <v>Seguridad vial</v>
      </c>
      <c r="D344" s="333">
        <f>Gasto_o_ing_per_capita!D344*100/Gasto_o_ing_per_capita!$D344</f>
        <v>100</v>
      </c>
      <c r="E344" s="333">
        <f>Gasto_o_ing_per_capita!E344*100/Gasto_o_ing_per_capita!$D344</f>
        <v>95.74980888905705</v>
      </c>
      <c r="F344" s="333">
        <f>Gasto_o_ing_per_capita!F344*100/Gasto_o_ing_per_capita!$D344</f>
        <v>176.1908880565876</v>
      </c>
      <c r="G344" s="333">
        <f>Gasto_o_ing_per_capita!G344*100/Gasto_o_ing_per_capita!$D344</f>
        <v>130.6760193159204</v>
      </c>
      <c r="H344" s="333">
        <f>Gasto_o_ing_per_capita!H344*100/Gasto_o_ing_per_capita!$D344</f>
        <v>111.00409249105158</v>
      </c>
      <c r="I344" s="333">
        <f>Gasto_o_ing_per_capita!I344*100/Gasto_o_ing_per_capita!$D344</f>
        <v>103.76329987407489</v>
      </c>
      <c r="J344" s="333">
        <f>Gasto_o_ing_per_capita!J344*100/Gasto_o_ing_per_capita!$D344</f>
        <v>130.06894985111833</v>
      </c>
      <c r="K344" s="333">
        <f>Gasto_o_ing_per_capita!K344*100/Gasto_o_ing_per_capita!$D344</f>
        <v>202.53170608958089</v>
      </c>
      <c r="L344" s="333">
        <f>Gasto_o_ing_per_capita!L344*100/Gasto_o_ing_per_capita!$D344</f>
        <v>151.11534916243642</v>
      </c>
      <c r="M344" s="333">
        <f>Gasto_o_ing_per_capita!M344*100/Gasto_o_ing_per_capita!$D344</f>
        <v>40.577298138854133</v>
      </c>
      <c r="N344" s="333">
        <f>Gasto_o_ing_per_capita!N344*100/Gasto_o_ing_per_capita!$D344</f>
        <v>91.750315316278304</v>
      </c>
      <c r="O344" s="333">
        <f>Gasto_o_ing_per_capita!O344*100/Gasto_o_ing_per_capita!$D344</f>
        <v>161.42218891051024</v>
      </c>
      <c r="P344" s="333">
        <f>Gasto_o_ing_per_capita!P344*100/Gasto_o_ing_per_capita!$D344</f>
        <v>146.40480681291481</v>
      </c>
      <c r="Q344" s="333">
        <f>Gasto_o_ing_per_capita!Q344*100/Gasto_o_ing_per_capita!$D344</f>
        <v>86.477799996428658</v>
      </c>
      <c r="R344" s="333">
        <f>Gasto_o_ing_per_capita!R344*100/Gasto_o_ing_per_capita!$D344</f>
        <v>86.777742534274481</v>
      </c>
      <c r="S344" s="333">
        <f>Gasto_o_ing_per_capita!S344*100/Gasto_o_ing_per_capita!$D344</f>
        <v>122.05129042835287</v>
      </c>
      <c r="T344" s="333">
        <f>Gasto_o_ing_per_capita!T344*100/Gasto_o_ing_per_capita!$D344</f>
        <v>43.227589383473934</v>
      </c>
      <c r="U344" s="333">
        <f>Gasto_o_ing_per_capita!U344*100/Gasto_o_ing_per_capita!$D344</f>
        <v>164.36798511730396</v>
      </c>
      <c r="V344" s="333">
        <f>Gasto_o_ing_per_capita!V344*100/Gasto_o_ing_per_capita!$D344</f>
        <v>64.057445307394161</v>
      </c>
    </row>
    <row r="345" spans="1:22" s="102" customFormat="1">
      <c r="A345" s="351" t="str">
        <f>IF(B345="","",(IF(ISERROR(MATCH(B345,Tot_res!C:C,0)),"Eliminar!!!","")))</f>
        <v/>
      </c>
      <c r="B345" s="115" t="s">
        <v>324</v>
      </c>
      <c r="C345" s="329" t="str">
        <f>VLOOKUP(B345,Tot_res!C:D,2,FALSE)</f>
        <v>Actuaciones policiales en materia de droga</v>
      </c>
      <c r="D345" s="333">
        <f>Gasto_o_ing_per_capita!D345*100/Gasto_o_ing_per_capita!$D345</f>
        <v>100.00000000000001</v>
      </c>
      <c r="E345" s="333">
        <f>Gasto_o_ing_per_capita!E345*100/Gasto_o_ing_per_capita!$D345</f>
        <v>106.81956585433093</v>
      </c>
      <c r="F345" s="333">
        <f>Gasto_o_ing_per_capita!F345*100/Gasto_o_ing_per_capita!$D345</f>
        <v>113.99365610634014</v>
      </c>
      <c r="G345" s="333">
        <f>Gasto_o_ing_per_capita!G345*100/Gasto_o_ing_per_capita!$D345</f>
        <v>106.68965522484996</v>
      </c>
      <c r="H345" s="333">
        <f>Gasto_o_ing_per_capita!H345*100/Gasto_o_ing_per_capita!$D345</f>
        <v>109.93948198104526</v>
      </c>
      <c r="I345" s="333">
        <f>Gasto_o_ing_per_capita!I345*100/Gasto_o_ing_per_capita!$D345</f>
        <v>112.84509939891065</v>
      </c>
      <c r="J345" s="333">
        <f>Gasto_o_ing_per_capita!J345*100/Gasto_o_ing_per_capita!$D345</f>
        <v>98.640776097809407</v>
      </c>
      <c r="K345" s="333">
        <f>Gasto_o_ing_per_capita!K345*100/Gasto_o_ing_per_capita!$D345</f>
        <v>114.2956953819988</v>
      </c>
      <c r="L345" s="333">
        <f>Gasto_o_ing_per_capita!L345*100/Gasto_o_ing_per_capita!$D345</f>
        <v>103.65840944217032</v>
      </c>
      <c r="M345" s="333">
        <f>Gasto_o_ing_per_capita!M345*100/Gasto_o_ing_per_capita!$D345</f>
        <v>67.561608825450946</v>
      </c>
      <c r="N345" s="333">
        <f>Gasto_o_ing_per_capita!N345*100/Gasto_o_ing_per_capita!$D345</f>
        <v>99.185700427807078</v>
      </c>
      <c r="O345" s="333">
        <f>Gasto_o_ing_per_capita!O345*100/Gasto_o_ing_per_capita!$D345</f>
        <v>111.17182841150449</v>
      </c>
      <c r="P345" s="333">
        <f>Gasto_o_ing_per_capita!P345*100/Gasto_o_ing_per_capita!$D345</f>
        <v>102.12100802780994</v>
      </c>
      <c r="Q345" s="333">
        <f>Gasto_o_ing_per_capita!Q345*100/Gasto_o_ing_per_capita!$D345</f>
        <v>108.00475663473109</v>
      </c>
      <c r="R345" s="333">
        <f>Gasto_o_ing_per_capita!R345*100/Gasto_o_ing_per_capita!$D345</f>
        <v>92.630355183371208</v>
      </c>
      <c r="S345" s="333">
        <f>Gasto_o_ing_per_capita!S345*100/Gasto_o_ing_per_capita!$D345</f>
        <v>113.81147157879693</v>
      </c>
      <c r="T345" s="333">
        <f>Gasto_o_ing_per_capita!T345*100/Gasto_o_ing_per_capita!$D345</f>
        <v>86.868570234010704</v>
      </c>
      <c r="U345" s="333">
        <f>Gasto_o_ing_per_capita!U345*100/Gasto_o_ing_per_capita!$D345</f>
        <v>138.34722323984298</v>
      </c>
      <c r="V345" s="333">
        <f>Gasto_o_ing_per_capita!V345*100/Gasto_o_ing_per_capita!$D345</f>
        <v>297.71701903531454</v>
      </c>
    </row>
    <row r="346" spans="1:22" s="102" customFormat="1">
      <c r="A346" s="351" t="str">
        <f>IF(B346="","",(IF(ISERROR(MATCH(B346,Tot_res!C:C,0)),"Eliminar!!!","")))</f>
        <v/>
      </c>
      <c r="B346" s="115" t="s">
        <v>326</v>
      </c>
      <c r="C346" s="329" t="str">
        <f>VLOOKUP(B346,Tot_res!C:D,2,FALSE)</f>
        <v>Centros e instituciones penitenciarias</v>
      </c>
      <c r="D346" s="333">
        <f>Gasto_o_ing_per_capita!D346*100/Gasto_o_ing_per_capita!$D346</f>
        <v>100</v>
      </c>
      <c r="E346" s="333">
        <f>Gasto_o_ing_per_capita!E346*100/Gasto_o_ing_per_capita!$D346</f>
        <v>123.86748271833545</v>
      </c>
      <c r="F346" s="333">
        <f>Gasto_o_ing_per_capita!F346*100/Gasto_o_ing_per_capita!$D346</f>
        <v>122.63524556725686</v>
      </c>
      <c r="G346" s="333">
        <f>Gasto_o_ing_per_capita!G346*100/Gasto_o_ing_per_capita!$D346</f>
        <v>89.359375050785602</v>
      </c>
      <c r="H346" s="333">
        <f>Gasto_o_ing_per_capita!H346*100/Gasto_o_ing_per_capita!$D346</f>
        <v>121.63137493739528</v>
      </c>
      <c r="I346" s="333">
        <f>Gasto_o_ing_per_capita!I346*100/Gasto_o_ing_per_capita!$D346</f>
        <v>125.53291529083216</v>
      </c>
      <c r="J346" s="333">
        <f>Gasto_o_ing_per_capita!J346*100/Gasto_o_ing_per_capita!$D346</f>
        <v>102.45793964088534</v>
      </c>
      <c r="K346" s="333">
        <f>Gasto_o_ing_per_capita!K346*100/Gasto_o_ing_per_capita!$D346</f>
        <v>172.52991149590099</v>
      </c>
      <c r="L346" s="333">
        <f>Gasto_o_ing_per_capita!L346*100/Gasto_o_ing_per_capita!$D346</f>
        <v>85.208793598383167</v>
      </c>
      <c r="M346" s="333">
        <f>Gasto_o_ing_per_capita!M346*100/Gasto_o_ing_per_capita!$D346</f>
        <v>28.406984187083307</v>
      </c>
      <c r="N346" s="333">
        <f>Gasto_o_ing_per_capita!N346*100/Gasto_o_ing_per_capita!$D346</f>
        <v>104.72026683150725</v>
      </c>
      <c r="O346" s="333">
        <f>Gasto_o_ing_per_capita!O346*100/Gasto_o_ing_per_capita!$D346</f>
        <v>89.36867534554834</v>
      </c>
      <c r="P346" s="333">
        <f>Gasto_o_ing_per_capita!P346*100/Gasto_o_ing_per_capita!$D346</f>
        <v>111.67194869926288</v>
      </c>
      <c r="Q346" s="333">
        <f>Gasto_o_ing_per_capita!Q346*100/Gasto_o_ing_per_capita!$D346</f>
        <v>114.78490673599423</v>
      </c>
      <c r="R346" s="333">
        <f>Gasto_o_ing_per_capita!R346*100/Gasto_o_ing_per_capita!$D346</f>
        <v>90.02919091968289</v>
      </c>
      <c r="S346" s="333">
        <f>Gasto_o_ing_per_capita!S346*100/Gasto_o_ing_per_capita!$D346</f>
        <v>78.851052277170126</v>
      </c>
      <c r="T346" s="333">
        <f>Gasto_o_ing_per_capita!T346*100/Gasto_o_ing_per_capita!$D346</f>
        <v>70.126439973494399</v>
      </c>
      <c r="U346" s="333">
        <f>Gasto_o_ing_per_capita!U346*100/Gasto_o_ing_per_capita!$D346</f>
        <v>104.77581588691839</v>
      </c>
      <c r="V346" s="333">
        <f>Gasto_o_ing_per_capita!V346*100/Gasto_o_ing_per_capita!$D346</f>
        <v>353.83801052798395</v>
      </c>
    </row>
    <row r="347" spans="1:22" s="102" customFormat="1">
      <c r="A347" s="351" t="str">
        <f>IF(B347="","",(IF(ISERROR(MATCH(B347,Tot_res!C:C,0)),"Eliminar!!!","")))</f>
        <v/>
      </c>
      <c r="B347" s="115" t="s">
        <v>327</v>
      </c>
      <c r="C347" s="329" t="str">
        <f>VLOOKUP(B347,Tot_res!C:D,2,FALSE)</f>
        <v>Protección civil</v>
      </c>
      <c r="D347" s="333">
        <f>Gasto_o_ing_per_capita!D347*100/Gasto_o_ing_per_capita!$D347</f>
        <v>100.00000000000001</v>
      </c>
      <c r="E347" s="333">
        <f>Gasto_o_ing_per_capita!E347*100/Gasto_o_ing_per_capita!$D347</f>
        <v>114.47267370921415</v>
      </c>
      <c r="F347" s="333">
        <f>Gasto_o_ing_per_capita!F347*100/Gasto_o_ing_per_capita!$D347</f>
        <v>83.721847986097487</v>
      </c>
      <c r="G347" s="333">
        <f>Gasto_o_ing_per_capita!G347*100/Gasto_o_ing_per_capita!$D347</f>
        <v>100.50026028505845</v>
      </c>
      <c r="H347" s="333">
        <f>Gasto_o_ing_per_capita!H347*100/Gasto_o_ing_per_capita!$D347</f>
        <v>79.382256512566329</v>
      </c>
      <c r="I347" s="333">
        <f>Gasto_o_ing_per_capita!I347*100/Gasto_o_ing_per_capita!$D347</f>
        <v>80.057099576153533</v>
      </c>
      <c r="J347" s="333">
        <f>Gasto_o_ing_per_capita!J347*100/Gasto_o_ing_per_capita!$D347</f>
        <v>173.08899568987806</v>
      </c>
      <c r="K347" s="333">
        <f>Gasto_o_ing_per_capita!K347*100/Gasto_o_ing_per_capita!$D347</f>
        <v>135.84331416272269</v>
      </c>
      <c r="L347" s="333">
        <f>Gasto_o_ing_per_capita!L347*100/Gasto_o_ing_per_capita!$D347</f>
        <v>103.19328364336744</v>
      </c>
      <c r="M347" s="333">
        <f>Gasto_o_ing_per_capita!M347*100/Gasto_o_ing_per_capita!$D347</f>
        <v>90.011145400936257</v>
      </c>
      <c r="N347" s="333">
        <f>Gasto_o_ing_per_capita!N347*100/Gasto_o_ing_per_capita!$D347</f>
        <v>87.801793947990149</v>
      </c>
      <c r="O347" s="333">
        <f>Gasto_o_ing_per_capita!O347*100/Gasto_o_ing_per_capita!$D347</f>
        <v>146.36405946178039</v>
      </c>
      <c r="P347" s="333">
        <f>Gasto_o_ing_per_capita!P347*100/Gasto_o_ing_per_capita!$D347</f>
        <v>90.844941716973906</v>
      </c>
      <c r="Q347" s="333">
        <f>Gasto_o_ing_per_capita!Q347*100/Gasto_o_ing_per_capita!$D347</f>
        <v>80.364797120668811</v>
      </c>
      <c r="R347" s="333">
        <f>Gasto_o_ing_per_capita!R347*100/Gasto_o_ing_per_capita!$D347</f>
        <v>89.986882724307506</v>
      </c>
      <c r="S347" s="333">
        <f>Gasto_o_ing_per_capita!S347*100/Gasto_o_ing_per_capita!$D347</f>
        <v>77.643383023021073</v>
      </c>
      <c r="T347" s="333">
        <f>Gasto_o_ing_per_capita!T347*100/Gasto_o_ing_per_capita!$D347</f>
        <v>146.98448909517967</v>
      </c>
      <c r="U347" s="333">
        <f>Gasto_o_ing_per_capita!U347*100/Gasto_o_ing_per_capita!$D347</f>
        <v>76.447535756436409</v>
      </c>
      <c r="V347" s="333">
        <f>Gasto_o_ing_per_capita!V347*100/Gasto_o_ing_per_capita!$D347</f>
        <v>76.447535756436437</v>
      </c>
    </row>
    <row r="348" spans="1:22" s="102" customFormat="1">
      <c r="A348" s="351" t="str">
        <f>IF(B348="","",(IF(ISERROR(MATCH(B348,Tot_res!C:C,0)),"Eliminar!!!","")))</f>
        <v/>
      </c>
      <c r="B348" s="115" t="s">
        <v>819</v>
      </c>
      <c r="C348" s="329" t="str">
        <f>VLOOKUP(B348,Tot_res!C:D,2,FALSE)</f>
        <v>Otras transferencias a Comunidades Autónomas: Transferencias a PV para prejubilaciones policía autónoma</v>
      </c>
      <c r="D348" s="333">
        <f>Gasto_o_ing_per_capita!D348*100/Gasto_o_ing_per_capita!$D348</f>
        <v>100</v>
      </c>
      <c r="E348" s="333">
        <f>Gasto_o_ing_per_capita!E348*100/Gasto_o_ing_per_capita!$D348</f>
        <v>21.796432560784421</v>
      </c>
      <c r="F348" s="333">
        <f>Gasto_o_ing_per_capita!F348*100/Gasto_o_ing_per_capita!$D348</f>
        <v>26.454450188260026</v>
      </c>
      <c r="G348" s="333">
        <f>Gasto_o_ing_per_capita!G348*100/Gasto_o_ing_per_capita!$D348</f>
        <v>23.463300925755131</v>
      </c>
      <c r="H348" s="333">
        <f>Gasto_o_ing_per_capita!H348*100/Gasto_o_ing_per_capita!$D348</f>
        <v>25.901557564171771</v>
      </c>
      <c r="I348" s="333">
        <f>Gasto_o_ing_per_capita!I348*100/Gasto_o_ing_per_capita!$D348</f>
        <v>23.147138033059456</v>
      </c>
      <c r="J348" s="333">
        <f>Gasto_o_ing_per_capita!J348*100/Gasto_o_ing_per_capita!$D348</f>
        <v>23.957145353504853</v>
      </c>
      <c r="K348" s="333">
        <f>Gasto_o_ing_per_capita!K348*100/Gasto_o_ing_per_capita!$D348</f>
        <v>24.269733639711777</v>
      </c>
      <c r="L348" s="333">
        <f>Gasto_o_ing_per_capita!L348*100/Gasto_o_ing_per_capita!$D348</f>
        <v>22.220253982203346</v>
      </c>
      <c r="M348" s="333">
        <f>Gasto_o_ing_per_capita!M348*100/Gasto_o_ing_per_capita!$D348</f>
        <v>27.249156038029948</v>
      </c>
      <c r="N348" s="333">
        <f>Gasto_o_ing_per_capita!N348*100/Gasto_o_ing_per_capita!$D348</f>
        <v>23.472418838365236</v>
      </c>
      <c r="O348" s="333">
        <f>Gasto_o_ing_per_capita!O348*100/Gasto_o_ing_per_capita!$D348</f>
        <v>21.056616370927919</v>
      </c>
      <c r="P348" s="333">
        <f>Gasto_o_ing_per_capita!P348*100/Gasto_o_ing_per_capita!$D348</f>
        <v>23.572449248139748</v>
      </c>
      <c r="Q348" s="333">
        <f>Gasto_o_ing_per_capita!Q348*100/Gasto_o_ing_per_capita!$D348</f>
        <v>29.574733119957095</v>
      </c>
      <c r="R348" s="333">
        <f>Gasto_o_ing_per_capita!R348*100/Gasto_o_ing_per_capita!$D348</f>
        <v>22.698717887763848</v>
      </c>
      <c r="S348" s="333">
        <f>Gasto_o_ing_per_capita!S348*100/Gasto_o_ing_per_capita!$D348</f>
        <v>28.181669316671069</v>
      </c>
      <c r="T348" s="333">
        <f>Gasto_o_ing_per_capita!T348*100/Gasto_o_ing_per_capita!$D348</f>
        <v>1628.8297767315482</v>
      </c>
      <c r="U348" s="333">
        <f>Gasto_o_ing_per_capita!U348*100/Gasto_o_ing_per_capita!$D348</f>
        <v>26.025228253364471</v>
      </c>
      <c r="V348" s="333">
        <f>Gasto_o_ing_per_capita!V348*100/Gasto_o_ing_per_capita!$D348</f>
        <v>22.290229690483045</v>
      </c>
    </row>
    <row r="349" spans="1:22" s="102" customFormat="1">
      <c r="A349" s="351" t="str">
        <f>IF(B349="","",(IF(ISERROR(MATCH(B349,Tot_res!C:C,0)),"Eliminar!!!","")))</f>
        <v/>
      </c>
      <c r="B349" s="115" t="s">
        <v>329</v>
      </c>
      <c r="C349" s="329" t="str">
        <f>VLOOKUP(B349,Tot_res!C:D,2,FALSE)</f>
        <v>Administración de Justicia + AF13</v>
      </c>
      <c r="D349" s="333">
        <f>Gasto_o_ing_per_capita!D349*100/Gasto_o_ing_per_capita!$D349</f>
        <v>100</v>
      </c>
      <c r="E349" s="333">
        <f>Gasto_o_ing_per_capita!E349*100/Gasto_o_ing_per_capita!$D349</f>
        <v>111.32910572011636</v>
      </c>
      <c r="F349" s="333">
        <f>Gasto_o_ing_per_capita!F349*100/Gasto_o_ing_per_capita!$D349</f>
        <v>126.95687854886583</v>
      </c>
      <c r="G349" s="333">
        <f>Gasto_o_ing_per_capita!G349*100/Gasto_o_ing_per_capita!$D349</f>
        <v>168.77450835908314</v>
      </c>
      <c r="H349" s="333">
        <f>Gasto_o_ing_per_capita!H349*100/Gasto_o_ing_per_capita!$D349</f>
        <v>25.901557564171775</v>
      </c>
      <c r="I349" s="333">
        <f>Gasto_o_ing_per_capita!I349*100/Gasto_o_ing_per_capita!$D349</f>
        <v>115.08598116175672</v>
      </c>
      <c r="J349" s="333">
        <f>Gasto_o_ing_per_capita!J349*100/Gasto_o_ing_per_capita!$D349</f>
        <v>148.59286244720053</v>
      </c>
      <c r="K349" s="333">
        <f>Gasto_o_ing_per_capita!K349*100/Gasto_o_ing_per_capita!$D349</f>
        <v>24.269733639711777</v>
      </c>
      <c r="L349" s="333">
        <f>Gasto_o_ing_per_capita!L349*100/Gasto_o_ing_per_capita!$D349</f>
        <v>22.220253982203346</v>
      </c>
      <c r="M349" s="333">
        <f>Gasto_o_ing_per_capita!M349*100/Gasto_o_ing_per_capita!$D349</f>
        <v>124.94983912270609</v>
      </c>
      <c r="N349" s="333">
        <f>Gasto_o_ing_per_capita!N349*100/Gasto_o_ing_per_capita!$D349</f>
        <v>96.065342734848144</v>
      </c>
      <c r="O349" s="333">
        <f>Gasto_o_ing_per_capita!O349*100/Gasto_o_ing_per_capita!$D349</f>
        <v>21.056616370927923</v>
      </c>
      <c r="P349" s="333">
        <f>Gasto_o_ing_per_capita!P349*100/Gasto_o_ing_per_capita!$D349</f>
        <v>88.858694676904705</v>
      </c>
      <c r="Q349" s="333">
        <f>Gasto_o_ing_per_capita!Q349*100/Gasto_o_ing_per_capita!$D349</f>
        <v>125.76590873466041</v>
      </c>
      <c r="R349" s="333">
        <f>Gasto_o_ing_per_capita!R349*100/Gasto_o_ing_per_capita!$D349</f>
        <v>22.698717887763852</v>
      </c>
      <c r="S349" s="333">
        <f>Gasto_o_ing_per_capita!S349*100/Gasto_o_ing_per_capita!$D349</f>
        <v>119.24972668899323</v>
      </c>
      <c r="T349" s="333">
        <f>Gasto_o_ing_per_capita!T349*100/Gasto_o_ing_per_capita!$D349</f>
        <v>119.59949622759835</v>
      </c>
      <c r="U349" s="333">
        <f>Gasto_o_ing_per_capita!U349*100/Gasto_o_ing_per_capita!$D349</f>
        <v>168.00809953566227</v>
      </c>
      <c r="V349" s="333">
        <f>Gasto_o_ing_per_capita!V349*100/Gasto_o_ing_per_capita!$D349</f>
        <v>22.290229690483041</v>
      </c>
    </row>
    <row r="350" spans="1:22" s="102" customFormat="1">
      <c r="A350" s="351" t="str">
        <f>IF(B350="","",(IF(ISERROR(MATCH(B350,Tot_res!C:C,0)),"Eliminar!!!","")))</f>
        <v/>
      </c>
      <c r="B350" s="115" t="s">
        <v>331</v>
      </c>
      <c r="C350" s="329" t="str">
        <f>VLOOKUP(B350,Tot_res!C:D,2,FALSE)</f>
        <v>Instituciones Penitenciarias transferidas, Cataluña</v>
      </c>
      <c r="D350" s="333">
        <f>Gasto_o_ing_per_capita!D350*100/Gasto_o_ing_per_capita!$D350</f>
        <v>100</v>
      </c>
      <c r="E350" s="333">
        <f>Gasto_o_ing_per_capita!E350*100/Gasto_o_ing_per_capita!$D350</f>
        <v>21.796432560784417</v>
      </c>
      <c r="F350" s="333">
        <f>Gasto_o_ing_per_capita!F350*100/Gasto_o_ing_per_capita!$D350</f>
        <v>26.454450188260015</v>
      </c>
      <c r="G350" s="333">
        <f>Gasto_o_ing_per_capita!G350*100/Gasto_o_ing_per_capita!$D350</f>
        <v>23.463300925755128</v>
      </c>
      <c r="H350" s="333">
        <f>Gasto_o_ing_per_capita!H350*100/Gasto_o_ing_per_capita!$D350</f>
        <v>25.901557564171764</v>
      </c>
      <c r="I350" s="333">
        <f>Gasto_o_ing_per_capita!I350*100/Gasto_o_ing_per_capita!$D350</f>
        <v>23.147138033059449</v>
      </c>
      <c r="J350" s="333">
        <f>Gasto_o_ing_per_capita!J350*100/Gasto_o_ing_per_capita!$D350</f>
        <v>23.957145353504842</v>
      </c>
      <c r="K350" s="333">
        <f>Gasto_o_ing_per_capita!K350*100/Gasto_o_ing_per_capita!$D350</f>
        <v>24.269733639711767</v>
      </c>
      <c r="L350" s="333">
        <f>Gasto_o_ing_per_capita!L350*100/Gasto_o_ing_per_capita!$D350</f>
        <v>22.220253982203339</v>
      </c>
      <c r="M350" s="333">
        <f>Gasto_o_ing_per_capita!M350*100/Gasto_o_ing_per_capita!$D350</f>
        <v>493.38844064217164</v>
      </c>
      <c r="N350" s="333">
        <f>Gasto_o_ing_per_capita!N350*100/Gasto_o_ing_per_capita!$D350</f>
        <v>23.472418838365233</v>
      </c>
      <c r="O350" s="333">
        <f>Gasto_o_ing_per_capita!O350*100/Gasto_o_ing_per_capita!$D350</f>
        <v>21.056616370927916</v>
      </c>
      <c r="P350" s="333">
        <f>Gasto_o_ing_per_capita!P350*100/Gasto_o_ing_per_capita!$D350</f>
        <v>23.572449248139737</v>
      </c>
      <c r="Q350" s="333">
        <f>Gasto_o_ing_per_capita!Q350*100/Gasto_o_ing_per_capita!$D350</f>
        <v>29.574733119957088</v>
      </c>
      <c r="R350" s="333">
        <f>Gasto_o_ing_per_capita!R350*100/Gasto_o_ing_per_capita!$D350</f>
        <v>22.698717887763841</v>
      </c>
      <c r="S350" s="333">
        <f>Gasto_o_ing_per_capita!S350*100/Gasto_o_ing_per_capita!$D350</f>
        <v>28.181669316671059</v>
      </c>
      <c r="T350" s="333">
        <f>Gasto_o_ing_per_capita!T350*100/Gasto_o_ing_per_capita!$D350</f>
        <v>28.945799326918713</v>
      </c>
      <c r="U350" s="333">
        <f>Gasto_o_ing_per_capita!U350*100/Gasto_o_ing_per_capita!$D350</f>
        <v>26.02522825336446</v>
      </c>
      <c r="V350" s="333">
        <f>Gasto_o_ing_per_capita!V350*100/Gasto_o_ing_per_capita!$D350</f>
        <v>22.290229690483038</v>
      </c>
    </row>
    <row r="351" spans="1:22" s="102" customFormat="1">
      <c r="A351" s="351" t="str">
        <f>IF(B351="","",(IF(ISERROR(MATCH(B351,Tot_res!C:C,0)),"Eliminar!!!","")))</f>
        <v/>
      </c>
      <c r="B351" s="115" t="s">
        <v>332</v>
      </c>
      <c r="C351" s="329" t="str">
        <f>VLOOKUP(B351,Tot_res!C:D,2,FALSE)</f>
        <v>Policía áutonómica catalana y tráfico</v>
      </c>
      <c r="D351" s="333">
        <f>Gasto_o_ing_per_capita!D351*100/Gasto_o_ing_per_capita!$D351</f>
        <v>100</v>
      </c>
      <c r="E351" s="333">
        <f>Gasto_o_ing_per_capita!E351*100/Gasto_o_ing_per_capita!$D351</f>
        <v>21.796432560784424</v>
      </c>
      <c r="F351" s="333">
        <f>Gasto_o_ing_per_capita!F351*100/Gasto_o_ing_per_capita!$D351</f>
        <v>26.454450188260022</v>
      </c>
      <c r="G351" s="333">
        <f>Gasto_o_ing_per_capita!G351*100/Gasto_o_ing_per_capita!$D351</f>
        <v>23.463300925755135</v>
      </c>
      <c r="H351" s="333">
        <f>Gasto_o_ing_per_capita!H351*100/Gasto_o_ing_per_capita!$D351</f>
        <v>25.901557564171775</v>
      </c>
      <c r="I351" s="333">
        <f>Gasto_o_ing_per_capita!I351*100/Gasto_o_ing_per_capita!$D351</f>
        <v>23.147138033059459</v>
      </c>
      <c r="J351" s="333">
        <f>Gasto_o_ing_per_capita!J351*100/Gasto_o_ing_per_capita!$D351</f>
        <v>23.95714535350486</v>
      </c>
      <c r="K351" s="333">
        <f>Gasto_o_ing_per_capita!K351*100/Gasto_o_ing_per_capita!$D351</f>
        <v>24.269733639711781</v>
      </c>
      <c r="L351" s="333">
        <f>Gasto_o_ing_per_capita!L351*100/Gasto_o_ing_per_capita!$D351</f>
        <v>22.220253982203346</v>
      </c>
      <c r="M351" s="333">
        <f>Gasto_o_ing_per_capita!M351*100/Gasto_o_ing_per_capita!$D351</f>
        <v>493.38844064217182</v>
      </c>
      <c r="N351" s="333">
        <f>Gasto_o_ing_per_capita!N351*100/Gasto_o_ing_per_capita!$D351</f>
        <v>23.47241883836524</v>
      </c>
      <c r="O351" s="333">
        <f>Gasto_o_ing_per_capita!O351*100/Gasto_o_ing_per_capita!$D351</f>
        <v>21.056616370927923</v>
      </c>
      <c r="P351" s="333">
        <f>Gasto_o_ing_per_capita!P351*100/Gasto_o_ing_per_capita!$D351</f>
        <v>23.572449248139744</v>
      </c>
      <c r="Q351" s="333">
        <f>Gasto_o_ing_per_capita!Q351*100/Gasto_o_ing_per_capita!$D351</f>
        <v>29.574733119957099</v>
      </c>
      <c r="R351" s="333">
        <f>Gasto_o_ing_per_capita!R351*100/Gasto_o_ing_per_capita!$D351</f>
        <v>22.698717887763852</v>
      </c>
      <c r="S351" s="333">
        <f>Gasto_o_ing_per_capita!S351*100/Gasto_o_ing_per_capita!$D351</f>
        <v>28.181669316671069</v>
      </c>
      <c r="T351" s="333">
        <f>Gasto_o_ing_per_capita!T351*100/Gasto_o_ing_per_capita!$D351</f>
        <v>28.945799326918731</v>
      </c>
      <c r="U351" s="333">
        <f>Gasto_o_ing_per_capita!U351*100/Gasto_o_ing_per_capita!$D351</f>
        <v>26.025228253364471</v>
      </c>
      <c r="V351" s="333">
        <f>Gasto_o_ing_per_capita!V351*100/Gasto_o_ing_per_capita!$D351</f>
        <v>22.290229690483045</v>
      </c>
    </row>
    <row r="352" spans="1:22" s="102" customFormat="1">
      <c r="A352" s="351" t="str">
        <f>IF(B352="","",(IF(ISERROR(MATCH(B352,Tot_res!C:C,0)),"Eliminar!!!","")))</f>
        <v/>
      </c>
      <c r="B352" s="115" t="s">
        <v>225</v>
      </c>
      <c r="C352" s="329" t="str">
        <f>VLOOKUP(B352,Tot_res!C:D,2,FALSE)</f>
        <v>Ajuste forales, seguridad ciudadana y vial</v>
      </c>
      <c r="D352" s="333">
        <f>Gasto_o_ing_per_capita!D352*100/Gasto_o_ing_per_capita!$D352</f>
        <v>100</v>
      </c>
      <c r="E352" s="333">
        <f>Gasto_o_ing_per_capita!E352*100/Gasto_o_ing_per_capita!$D352</f>
        <v>21.796432560784424</v>
      </c>
      <c r="F352" s="333">
        <f>Gasto_o_ing_per_capita!F352*100/Gasto_o_ing_per_capita!$D352</f>
        <v>26.454450188260022</v>
      </c>
      <c r="G352" s="333">
        <f>Gasto_o_ing_per_capita!G352*100/Gasto_o_ing_per_capita!$D352</f>
        <v>23.463300925755124</v>
      </c>
      <c r="H352" s="333">
        <f>Gasto_o_ing_per_capita!H352*100/Gasto_o_ing_per_capita!$D352</f>
        <v>25.901557564171764</v>
      </c>
      <c r="I352" s="333">
        <f>Gasto_o_ing_per_capita!I352*100/Gasto_o_ing_per_capita!$D352</f>
        <v>23.147138033059449</v>
      </c>
      <c r="J352" s="333">
        <f>Gasto_o_ing_per_capita!J352*100/Gasto_o_ing_per_capita!$D352</f>
        <v>23.957145353504849</v>
      </c>
      <c r="K352" s="333">
        <f>Gasto_o_ing_per_capita!K352*100/Gasto_o_ing_per_capita!$D352</f>
        <v>24.269733639711767</v>
      </c>
      <c r="L352" s="333">
        <f>Gasto_o_ing_per_capita!L352*100/Gasto_o_ing_per_capita!$D352</f>
        <v>22.220253982203339</v>
      </c>
      <c r="M352" s="333">
        <f>Gasto_o_ing_per_capita!M352*100/Gasto_o_ing_per_capita!$D352</f>
        <v>27.249156038029938</v>
      </c>
      <c r="N352" s="333">
        <f>Gasto_o_ing_per_capita!N352*100/Gasto_o_ing_per_capita!$D352</f>
        <v>23.472418838365233</v>
      </c>
      <c r="O352" s="333">
        <f>Gasto_o_ing_per_capita!O352*100/Gasto_o_ing_per_capita!$D352</f>
        <v>21.056616370927916</v>
      </c>
      <c r="P352" s="333">
        <f>Gasto_o_ing_per_capita!P352*100/Gasto_o_ing_per_capita!$D352</f>
        <v>23.572449248139737</v>
      </c>
      <c r="Q352" s="333">
        <f>Gasto_o_ing_per_capita!Q352*100/Gasto_o_ing_per_capita!$D352</f>
        <v>29.574733119957084</v>
      </c>
      <c r="R352" s="333">
        <f>Gasto_o_ing_per_capita!R352*100/Gasto_o_ing_per_capita!$D352</f>
        <v>22.698717887763845</v>
      </c>
      <c r="S352" s="333">
        <f>Gasto_o_ing_per_capita!S352*100/Gasto_o_ing_per_capita!$D352</f>
        <v>687.06275387430992</v>
      </c>
      <c r="T352" s="333">
        <f>Gasto_o_ing_per_capita!T352*100/Gasto_o_ing_per_capita!$D352</f>
        <v>1436.0122185228358</v>
      </c>
      <c r="U352" s="333">
        <f>Gasto_o_ing_per_capita!U352*100/Gasto_o_ing_per_capita!$D352</f>
        <v>26.025228253364471</v>
      </c>
      <c r="V352" s="333">
        <f>Gasto_o_ing_per_capita!V352*100/Gasto_o_ing_per_capita!$D352</f>
        <v>22.290229690483041</v>
      </c>
    </row>
    <row r="353" spans="1:22" s="102" customFormat="1">
      <c r="A353" s="351" t="str">
        <f>IF(B353="","",(IF(ISERROR(MATCH(B353,Tot_res!C:C,0)),"Eliminar!!!","")))</f>
        <v/>
      </c>
      <c r="B353" s="115" t="s">
        <v>1218</v>
      </c>
      <c r="C353" s="329" t="str">
        <f>VLOOKUP(B353,Tot_res!C:D,2,FALSE)</f>
        <v>Administración de justicia, coste efectivo</v>
      </c>
      <c r="D353" s="333">
        <f>Gasto_o_ing_per_capita!D353*100/Gasto_o_ing_per_capita!$D353</f>
        <v>100</v>
      </c>
      <c r="E353" s="333">
        <f>Gasto_o_ing_per_capita!E353*100/Gasto_o_ing_per_capita!$D353</f>
        <v>21.796432560784424</v>
      </c>
      <c r="F353" s="333">
        <f>Gasto_o_ing_per_capita!F353*100/Gasto_o_ing_per_capita!$D353</f>
        <v>26.454450188260026</v>
      </c>
      <c r="G353" s="333">
        <f>Gasto_o_ing_per_capita!G353*100/Gasto_o_ing_per_capita!$D353</f>
        <v>23.463300925755131</v>
      </c>
      <c r="H353" s="333">
        <f>Gasto_o_ing_per_capita!H353*100/Gasto_o_ing_per_capita!$D353</f>
        <v>25.901557564171771</v>
      </c>
      <c r="I353" s="333">
        <f>Gasto_o_ing_per_capita!I353*100/Gasto_o_ing_per_capita!$D353</f>
        <v>23.147138033059456</v>
      </c>
      <c r="J353" s="333">
        <f>Gasto_o_ing_per_capita!J353*100/Gasto_o_ing_per_capita!$D353</f>
        <v>23.957145353504849</v>
      </c>
      <c r="K353" s="333">
        <f>Gasto_o_ing_per_capita!K353*100/Gasto_o_ing_per_capita!$D353</f>
        <v>24.269733639711774</v>
      </c>
      <c r="L353" s="333">
        <f>Gasto_o_ing_per_capita!L353*100/Gasto_o_ing_per_capita!$D353</f>
        <v>22.220253982203342</v>
      </c>
      <c r="M353" s="333">
        <f>Gasto_o_ing_per_capita!M353*100/Gasto_o_ing_per_capita!$D353</f>
        <v>27.249156038029941</v>
      </c>
      <c r="N353" s="333">
        <f>Gasto_o_ing_per_capita!N353*100/Gasto_o_ing_per_capita!$D353</f>
        <v>23.472418838365236</v>
      </c>
      <c r="O353" s="333">
        <f>Gasto_o_ing_per_capita!O353*100/Gasto_o_ing_per_capita!$D353</f>
        <v>21.056616370927923</v>
      </c>
      <c r="P353" s="333">
        <f>Gasto_o_ing_per_capita!P353*100/Gasto_o_ing_per_capita!$D353</f>
        <v>23.572449248139744</v>
      </c>
      <c r="Q353" s="333">
        <f>Gasto_o_ing_per_capita!Q353*100/Gasto_o_ing_per_capita!$D353</f>
        <v>572.93384571222396</v>
      </c>
      <c r="R353" s="333">
        <f>Gasto_o_ing_per_capita!R353*100/Gasto_o_ing_per_capita!$D353</f>
        <v>22.698717887763848</v>
      </c>
      <c r="S353" s="333">
        <f>Gasto_o_ing_per_capita!S353*100/Gasto_o_ing_per_capita!$D353</f>
        <v>28.181669316671062</v>
      </c>
      <c r="T353" s="333">
        <f>Gasto_o_ing_per_capita!T353*100/Gasto_o_ing_per_capita!$D353</f>
        <v>28.945799326918724</v>
      </c>
      <c r="U353" s="333">
        <f>Gasto_o_ing_per_capita!U353*100/Gasto_o_ing_per_capita!$D353</f>
        <v>26.02522825336446</v>
      </c>
      <c r="V353" s="333">
        <f>Gasto_o_ing_per_capita!V353*100/Gasto_o_ing_per_capita!$D353</f>
        <v>22.290229690483038</v>
      </c>
    </row>
    <row r="354" spans="1:22"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row>
    <row r="355" spans="1:22" s="102" customFormat="1" ht="13.5">
      <c r="A355" s="352"/>
      <c r="B355" s="115"/>
      <c r="C355" s="117" t="s">
        <v>6</v>
      </c>
      <c r="D355" s="113">
        <f>Gasto_o_ing_per_capita!D355*100/Gasto_o_ing_per_capita!$D355</f>
        <v>100</v>
      </c>
      <c r="E355" s="113">
        <f>Gasto_o_ing_per_capita!E355*100/Gasto_o_ing_per_capita!$D355</f>
        <v>116.40337261901011</v>
      </c>
      <c r="F355" s="113">
        <f>Gasto_o_ing_per_capita!F355*100/Gasto_o_ing_per_capita!$D355</f>
        <v>257.6815017762043</v>
      </c>
      <c r="G355" s="113">
        <f>Gasto_o_ing_per_capita!G355*100/Gasto_o_ing_per_capita!$D355</f>
        <v>155.68179067624337</v>
      </c>
      <c r="H355" s="113">
        <f>Gasto_o_ing_per_capita!H355*100/Gasto_o_ing_per_capita!$D355</f>
        <v>44.664903891971214</v>
      </c>
      <c r="I355" s="113">
        <f>Gasto_o_ing_per_capita!I355*100/Gasto_o_ing_per_capita!$D355</f>
        <v>70.744041054630301</v>
      </c>
      <c r="J355" s="113">
        <f>Gasto_o_ing_per_capita!J355*100/Gasto_o_ing_per_capita!$D355</f>
        <v>92.762938934779072</v>
      </c>
      <c r="K355" s="113">
        <f>Gasto_o_ing_per_capita!K355*100/Gasto_o_ing_per_capita!$D355</f>
        <v>94.739724786041478</v>
      </c>
      <c r="L355" s="113">
        <f>Gasto_o_ing_per_capita!L355*100/Gasto_o_ing_per_capita!$D355</f>
        <v>89.976657882969747</v>
      </c>
      <c r="M355" s="113">
        <f>Gasto_o_ing_per_capita!M355*100/Gasto_o_ing_per_capita!$D355</f>
        <v>132.27922347634058</v>
      </c>
      <c r="N355" s="113">
        <f>Gasto_o_ing_per_capita!N355*100/Gasto_o_ing_per_capita!$D355</f>
        <v>93.234520226001834</v>
      </c>
      <c r="O355" s="113">
        <f>Gasto_o_ing_per_capita!O355*100/Gasto_o_ing_per_capita!$D355</f>
        <v>83.124171432786952</v>
      </c>
      <c r="P355" s="113">
        <f>Gasto_o_ing_per_capita!P355*100/Gasto_o_ing_per_capita!$D355</f>
        <v>60.400050332530718</v>
      </c>
      <c r="Q355" s="113">
        <f>Gasto_o_ing_per_capita!Q355*100/Gasto_o_ing_per_capita!$D355</f>
        <v>50.258319882100103</v>
      </c>
      <c r="R355" s="113">
        <f>Gasto_o_ing_per_capita!R355*100/Gasto_o_ing_per_capita!$D355</f>
        <v>88.483342834531328</v>
      </c>
      <c r="S355" s="113">
        <f>Gasto_o_ing_per_capita!S355*100/Gasto_o_ing_per_capita!$D355</f>
        <v>100.146435584087</v>
      </c>
      <c r="T355" s="113">
        <f>Gasto_o_ing_per_capita!T355*100/Gasto_o_ing_per_capita!$D355</f>
        <v>100.15845293237609</v>
      </c>
      <c r="U355" s="113">
        <f>Gasto_o_ing_per_capita!U355*100/Gasto_o_ing_per_capita!$D355</f>
        <v>180.51386658977478</v>
      </c>
      <c r="V355" s="113">
        <f>Gasto_o_ing_per_capita!V355*100/Gasto_o_ing_per_capita!$D355</f>
        <v>13.777343355141031</v>
      </c>
    </row>
    <row r="356" spans="1:22"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Gasto_o_ing_per_capita!D356*100/Gasto_o_ing_per_capita!$D356</f>
        <v>100</v>
      </c>
      <c r="E356" s="332">
        <f>Gasto_o_ing_per_capita!E356*100/Gasto_o_ing_per_capita!$D356</f>
        <v>115.74069525291775</v>
      </c>
      <c r="F356" s="332">
        <f>Gasto_o_ing_per_capita!F356*100/Gasto_o_ing_per_capita!$D356</f>
        <v>262.7856910715235</v>
      </c>
      <c r="G356" s="332">
        <f>Gasto_o_ing_per_capita!G356*100/Gasto_o_ing_per_capita!$D356</f>
        <v>160.12687005370211</v>
      </c>
      <c r="H356" s="332">
        <f>Gasto_o_ing_per_capita!H356*100/Gasto_o_ing_per_capita!$D356</f>
        <v>35.527752633596904</v>
      </c>
      <c r="I356" s="332">
        <f>Gasto_o_ing_per_capita!I356*100/Gasto_o_ing_per_capita!$D356</f>
        <v>69.19945532562231</v>
      </c>
      <c r="J356" s="332">
        <f>Gasto_o_ing_per_capita!J356*100/Gasto_o_ing_per_capita!$D356</f>
        <v>95.161954185939635</v>
      </c>
      <c r="K356" s="332">
        <f>Gasto_o_ing_per_capita!K356*100/Gasto_o_ing_per_capita!$D356</f>
        <v>83.108852741686164</v>
      </c>
      <c r="L356" s="332">
        <f>Gasto_o_ing_per_capita!L356*100/Gasto_o_ing_per_capita!$D356</f>
        <v>90.196611208251156</v>
      </c>
      <c r="M356" s="332">
        <f>Gasto_o_ing_per_capita!M356*100/Gasto_o_ing_per_capita!$D356</f>
        <v>135.45003560421716</v>
      </c>
      <c r="N356" s="332">
        <f>Gasto_o_ing_per_capita!N356*100/Gasto_o_ing_per_capita!$D356</f>
        <v>95.324394617757491</v>
      </c>
      <c r="O356" s="332">
        <f>Gasto_o_ing_per_capita!O356*100/Gasto_o_ing_per_capita!$D356</f>
        <v>83.194220096310715</v>
      </c>
      <c r="P356" s="332">
        <f>Gasto_o_ing_per_capita!P356*100/Gasto_o_ing_per_capita!$D356</f>
        <v>57.100171862516042</v>
      </c>
      <c r="Q356" s="332">
        <f>Gasto_o_ing_per_capita!Q356*100/Gasto_o_ing_per_capita!$D356</f>
        <v>51.086535054990335</v>
      </c>
      <c r="R356" s="332">
        <f>Gasto_o_ing_per_capita!R356*100/Gasto_o_ing_per_capita!$D356</f>
        <v>90.758149078400223</v>
      </c>
      <c r="S356" s="332">
        <f>Gasto_o_ing_per_capita!S356*100/Gasto_o_ing_per_capita!$D356</f>
        <v>100</v>
      </c>
      <c r="T356" s="332">
        <f>Gasto_o_ing_per_capita!T356*100/Gasto_o_ing_per_capita!$D356</f>
        <v>100.00000000000003</v>
      </c>
      <c r="U356" s="332">
        <f>Gasto_o_ing_per_capita!U356*100/Gasto_o_ing_per_capita!$D356</f>
        <v>183.58806146886957</v>
      </c>
      <c r="V356" s="332">
        <f>Gasto_o_ing_per_capita!V356*100/Gasto_o_ing_per_capita!$D356</f>
        <v>13.639408995685228</v>
      </c>
    </row>
    <row r="357" spans="1:22"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Gasto_o_ing_per_capita!D357*100/Gasto_o_ing_per_capita!$D357</f>
        <v>100</v>
      </c>
      <c r="E357" s="332">
        <f>Gasto_o_ing_per_capita!E357*100/Gasto_o_ing_per_capita!$D357</f>
        <v>138.91995713904339</v>
      </c>
      <c r="F357" s="332">
        <f>Gasto_o_ing_per_capita!F357*100/Gasto_o_ing_per_capita!$D357</f>
        <v>99.620337618884264</v>
      </c>
      <c r="G357" s="332">
        <f>Gasto_o_ing_per_capita!G357*100/Gasto_o_ing_per_capita!$D357</f>
        <v>13.613427129602432</v>
      </c>
      <c r="H357" s="332">
        <f>Gasto_o_ing_per_capita!H357*100/Gasto_o_ing_per_capita!$D357</f>
        <v>339.89510721891554</v>
      </c>
      <c r="I357" s="332">
        <f>Gasto_o_ing_per_capita!I357*100/Gasto_o_ing_per_capita!$D357</f>
        <v>119.57411811776112</v>
      </c>
      <c r="J357" s="332">
        <f>Gasto_o_ing_per_capita!J357*100/Gasto_o_ing_per_capita!$D357</f>
        <v>14.070593022903111</v>
      </c>
      <c r="K357" s="332">
        <f>Gasto_o_ing_per_capita!K357*100/Gasto_o_ing_per_capita!$D357</f>
        <v>474.0714910155877</v>
      </c>
      <c r="L357" s="332">
        <f>Gasto_o_ing_per_capita!L357*100/Gasto_o_ing_per_capita!$D357</f>
        <v>82.255259406968506</v>
      </c>
      <c r="M357" s="332">
        <f>Gasto_o_ing_per_capita!M357*100/Gasto_o_ing_per_capita!$D357</f>
        <v>30.534850527626357</v>
      </c>
      <c r="N357" s="332">
        <f>Gasto_o_ing_per_capita!N357*100/Gasto_o_ing_per_capita!$D357</f>
        <v>24.657646399035848</v>
      </c>
      <c r="O357" s="332">
        <f>Gasto_o_ing_per_capita!O357*100/Gasto_o_ing_per_capita!$D357</f>
        <v>79.924644475026</v>
      </c>
      <c r="P357" s="332">
        <f>Gasto_o_ing_per_capita!P357*100/Gasto_o_ing_per_capita!$D357</f>
        <v>165.96082069806067</v>
      </c>
      <c r="Q357" s="332">
        <f>Gasto_o_ing_per_capita!Q357*100/Gasto_o_ing_per_capita!$D357</f>
        <v>20.534705810865738</v>
      </c>
      <c r="R357" s="332">
        <f>Gasto_o_ing_per_capita!R357*100/Gasto_o_ing_per_capita!$D357</f>
        <v>13.613427129602428</v>
      </c>
      <c r="S357" s="332">
        <f>Gasto_o_ing_per_capita!S357*100/Gasto_o_ing_per_capita!$D357</f>
        <v>104.93382550202226</v>
      </c>
      <c r="T357" s="332">
        <f>Gasto_o_ing_per_capita!T357*100/Gasto_o_ing_per_capita!$D357</f>
        <v>105.33872366816742</v>
      </c>
      <c r="U357" s="332">
        <f>Gasto_o_ing_per_capita!U357*100/Gasto_o_ing_per_capita!$D357</f>
        <v>84.533157177763002</v>
      </c>
      <c r="V357" s="332">
        <f>Gasto_o_ing_per_capita!V357*100/Gasto_o_ing_per_capita!$D357</f>
        <v>13.613427129602428</v>
      </c>
    </row>
    <row r="358" spans="1:22" s="102" customFormat="1">
      <c r="A358" s="351" t="str">
        <f>IF(B358="","",(IF(ISERROR(MATCH(B358,Tot_res!C:C,0)),"Eliminar!!!","")))</f>
        <v/>
      </c>
      <c r="B358" s="119" t="s">
        <v>334</v>
      </c>
      <c r="C358" s="329" t="str">
        <f>VLOOKUP(B358,Tot_res!C:D,2,FALSE)</f>
        <v>Suelo y políticas urbanas</v>
      </c>
      <c r="D358" s="332">
        <f>Gasto_o_ing_per_capita!D358*100/Gasto_o_ing_per_capita!$D358</f>
        <v>100</v>
      </c>
      <c r="E358" s="332">
        <f>Gasto_o_ing_per_capita!E358*100/Gasto_o_ing_per_capita!$D358</f>
        <v>100</v>
      </c>
      <c r="F358" s="332">
        <f>Gasto_o_ing_per_capita!F358*100/Gasto_o_ing_per_capita!$D358</f>
        <v>100.00000000000001</v>
      </c>
      <c r="G358" s="332">
        <f>Gasto_o_ing_per_capita!G358*100/Gasto_o_ing_per_capita!$D358</f>
        <v>100.00000000000001</v>
      </c>
      <c r="H358" s="332">
        <f>Gasto_o_ing_per_capita!H358*100/Gasto_o_ing_per_capita!$D358</f>
        <v>100.00000000000001</v>
      </c>
      <c r="I358" s="332">
        <f>Gasto_o_ing_per_capita!I358*100/Gasto_o_ing_per_capita!$D358</f>
        <v>100.00000000000001</v>
      </c>
      <c r="J358" s="332">
        <f>Gasto_o_ing_per_capita!J358*100/Gasto_o_ing_per_capita!$D358</f>
        <v>100.00000000000003</v>
      </c>
      <c r="K358" s="332">
        <f>Gasto_o_ing_per_capita!K358*100/Gasto_o_ing_per_capita!$D358</f>
        <v>100</v>
      </c>
      <c r="L358" s="332">
        <f>Gasto_o_ing_per_capita!L358*100/Gasto_o_ing_per_capita!$D358</f>
        <v>100</v>
      </c>
      <c r="M358" s="332">
        <f>Gasto_o_ing_per_capita!M358*100/Gasto_o_ing_per_capita!$D358</f>
        <v>100.00000000000001</v>
      </c>
      <c r="N358" s="332">
        <f>Gasto_o_ing_per_capita!N358*100/Gasto_o_ing_per_capita!$D358</f>
        <v>100.00000000000001</v>
      </c>
      <c r="O358" s="332">
        <f>Gasto_o_ing_per_capita!O358*100/Gasto_o_ing_per_capita!$D358</f>
        <v>100.00000000000001</v>
      </c>
      <c r="P358" s="332">
        <f>Gasto_o_ing_per_capita!P358*100/Gasto_o_ing_per_capita!$D358</f>
        <v>100.00000000000001</v>
      </c>
      <c r="Q358" s="332">
        <f>Gasto_o_ing_per_capita!Q358*100/Gasto_o_ing_per_capita!$D358</f>
        <v>100</v>
      </c>
      <c r="R358" s="332">
        <f>Gasto_o_ing_per_capita!R358*100/Gasto_o_ing_per_capita!$D358</f>
        <v>100</v>
      </c>
      <c r="S358" s="332">
        <f>Gasto_o_ing_per_capita!S358*100/Gasto_o_ing_per_capita!$D358</f>
        <v>100.00000000000001</v>
      </c>
      <c r="T358" s="332">
        <f>Gasto_o_ing_per_capita!T358*100/Gasto_o_ing_per_capita!$D358</f>
        <v>100.00000000000001</v>
      </c>
      <c r="U358" s="332">
        <f>Gasto_o_ing_per_capita!U358*100/Gasto_o_ing_per_capita!$D358</f>
        <v>100</v>
      </c>
      <c r="V358" s="332">
        <f>Gasto_o_ing_per_capita!V358*100/Gasto_o_ing_per_capita!$D358</f>
        <v>100</v>
      </c>
    </row>
    <row r="359" spans="1:22">
      <c r="A359" s="352"/>
      <c r="B359" s="9"/>
      <c r="D359" s="19"/>
      <c r="E359" s="19"/>
      <c r="F359" s="19"/>
      <c r="G359" s="19"/>
      <c r="H359" s="19"/>
      <c r="I359" s="19"/>
      <c r="J359" s="19"/>
      <c r="K359" s="19"/>
      <c r="L359" s="19"/>
      <c r="M359" s="19"/>
      <c r="N359" s="19"/>
      <c r="O359" s="19"/>
      <c r="P359" s="19"/>
      <c r="Q359" s="19"/>
      <c r="R359" s="19"/>
      <c r="S359" s="19"/>
      <c r="T359" s="19"/>
      <c r="U359" s="19"/>
      <c r="V359" s="19"/>
    </row>
    <row r="360" spans="1:22" s="102" customFormat="1" ht="13.5">
      <c r="A360" s="352"/>
      <c r="B360" s="115"/>
      <c r="C360" s="117" t="s">
        <v>45</v>
      </c>
      <c r="D360" s="113">
        <f>Gasto_o_ing_per_capita!D360*100/Gasto_o_ing_per_capita!$D360</f>
        <v>100</v>
      </c>
      <c r="E360" s="113">
        <f>Gasto_o_ing_per_capita!E360*100/Gasto_o_ing_per_capita!$D360</f>
        <v>63.502779751204677</v>
      </c>
      <c r="F360" s="113">
        <f>Gasto_o_ing_per_capita!F360*100/Gasto_o_ing_per_capita!$D360</f>
        <v>73.010554579616255</v>
      </c>
      <c r="G360" s="113">
        <f>Gasto_o_ing_per_capita!G360*100/Gasto_o_ing_per_capita!$D360</f>
        <v>67.818317325652444</v>
      </c>
      <c r="H360" s="113">
        <f>Gasto_o_ing_per_capita!H360*100/Gasto_o_ing_per_capita!$D360</f>
        <v>127.57287830259357</v>
      </c>
      <c r="I360" s="113">
        <f>Gasto_o_ing_per_capita!I360*100/Gasto_o_ing_per_capita!$D360</f>
        <v>60.509778326058466</v>
      </c>
      <c r="J360" s="113">
        <f>Gasto_o_ing_per_capita!J360*100/Gasto_o_ing_per_capita!$D360</f>
        <v>106.89848524064567</v>
      </c>
      <c r="K360" s="113">
        <f>Gasto_o_ing_per_capita!K360*100/Gasto_o_ing_per_capita!$D360</f>
        <v>92.873502056498168</v>
      </c>
      <c r="L360" s="113">
        <f>Gasto_o_ing_per_capita!L360*100/Gasto_o_ing_per_capita!$D360</f>
        <v>78.416097782172699</v>
      </c>
      <c r="M360" s="113">
        <f>Gasto_o_ing_per_capita!M360*100/Gasto_o_ing_per_capita!$D360</f>
        <v>96.657019637685252</v>
      </c>
      <c r="N360" s="113">
        <f>Gasto_o_ing_per_capita!N360*100/Gasto_o_ing_per_capita!$D360</f>
        <v>93.763165337602388</v>
      </c>
      <c r="O360" s="113">
        <f>Gasto_o_ing_per_capita!O360*100/Gasto_o_ing_per_capita!$D360</f>
        <v>76.957747607313863</v>
      </c>
      <c r="P360" s="113">
        <f>Gasto_o_ing_per_capita!P360*100/Gasto_o_ing_per_capita!$D360</f>
        <v>114.61978441237422</v>
      </c>
      <c r="Q360" s="113">
        <f>Gasto_o_ing_per_capita!Q360*100/Gasto_o_ing_per_capita!$D360</f>
        <v>189.23072581420627</v>
      </c>
      <c r="R360" s="113">
        <f>Gasto_o_ing_per_capita!R360*100/Gasto_o_ing_per_capita!$D360</f>
        <v>72.384291198379486</v>
      </c>
      <c r="S360" s="113">
        <f>Gasto_o_ing_per_capita!S360*100/Gasto_o_ing_per_capita!$D360</f>
        <v>105.6541642386977</v>
      </c>
      <c r="T360" s="113">
        <f>Gasto_o_ing_per_capita!T360*100/Gasto_o_ing_per_capita!$D360</f>
        <v>103.77445907508759</v>
      </c>
      <c r="U360" s="113">
        <f>Gasto_o_ing_per_capita!U360*100/Gasto_o_ing_per_capita!$D360</f>
        <v>68.069371395850965</v>
      </c>
      <c r="V360" s="113">
        <f>Gasto_o_ing_per_capita!V360*100/Gasto_o_ing_per_capita!$D360</f>
        <v>54.295429856634293</v>
      </c>
    </row>
    <row r="361" spans="1:22" s="102" customFormat="1">
      <c r="A361" s="351" t="str">
        <f>IF(B361="","",(IF(ISERROR(MATCH(B361,Tot_res!C:C,0)),"Eliminar!!!","")))</f>
        <v/>
      </c>
      <c r="B361" s="115" t="s">
        <v>648</v>
      </c>
      <c r="C361" s="329" t="str">
        <f>VLOOKUP(B361,Tot_res!C:D,2,FALSE)</f>
        <v>Dirección y servicios generales de Cultura</v>
      </c>
      <c r="D361" s="332">
        <f>Gasto_o_ing_per_capita!D361*100/Gasto_o_ing_per_capita!$D361</f>
        <v>100</v>
      </c>
      <c r="E361" s="332">
        <f>Gasto_o_ing_per_capita!E361*100/Gasto_o_ing_per_capita!$D361</f>
        <v>74.388313485398172</v>
      </c>
      <c r="F361" s="332">
        <f>Gasto_o_ing_per_capita!F361*100/Gasto_o_ing_per_capita!$D361</f>
        <v>82.424801605565918</v>
      </c>
      <c r="G361" s="332">
        <f>Gasto_o_ing_per_capita!G361*100/Gasto_o_ing_per_capita!$D361</f>
        <v>76.773988578315993</v>
      </c>
      <c r="H361" s="332">
        <f>Gasto_o_ing_per_capita!H361*100/Gasto_o_ing_per_capita!$D361</f>
        <v>81.320941345387794</v>
      </c>
      <c r="I361" s="332">
        <f>Gasto_o_ing_per_capita!I361*100/Gasto_o_ing_per_capita!$D361</f>
        <v>74.412108599488576</v>
      </c>
      <c r="J361" s="332">
        <f>Gasto_o_ing_per_capita!J361*100/Gasto_o_ing_per_capita!$D361</f>
        <v>107.38720573000658</v>
      </c>
      <c r="K361" s="332">
        <f>Gasto_o_ing_per_capita!K361*100/Gasto_o_ing_per_capita!$D361</f>
        <v>98.684183893309978</v>
      </c>
      <c r="L361" s="332">
        <f>Gasto_o_ing_per_capita!L361*100/Gasto_o_ing_per_capita!$D361</f>
        <v>86.488258012081033</v>
      </c>
      <c r="M361" s="332">
        <f>Gasto_o_ing_per_capita!M361*100/Gasto_o_ing_per_capita!$D361</f>
        <v>83.822735272329609</v>
      </c>
      <c r="N361" s="332">
        <f>Gasto_o_ing_per_capita!N361*100/Gasto_o_ing_per_capita!$D361</f>
        <v>78.566834045855302</v>
      </c>
      <c r="O361" s="332">
        <f>Gasto_o_ing_per_capita!O361*100/Gasto_o_ing_per_capita!$D361</f>
        <v>82.367245190966713</v>
      </c>
      <c r="P361" s="332">
        <f>Gasto_o_ing_per_capita!P361*100/Gasto_o_ing_per_capita!$D361</f>
        <v>83.423707183928528</v>
      </c>
      <c r="Q361" s="332">
        <f>Gasto_o_ing_per_capita!Q361*100/Gasto_o_ing_per_capita!$D361</f>
        <v>214.36460608279071</v>
      </c>
      <c r="R361" s="332">
        <f>Gasto_o_ing_per_capita!R361*100/Gasto_o_ing_per_capita!$D361</f>
        <v>79.824291626805945</v>
      </c>
      <c r="S361" s="332">
        <f>Gasto_o_ing_per_capita!S361*100/Gasto_o_ing_per_capita!$D361</f>
        <v>83.507223093224894</v>
      </c>
      <c r="T361" s="332">
        <f>Gasto_o_ing_per_capita!T361*100/Gasto_o_ing_per_capita!$D361</f>
        <v>86.225357682606003</v>
      </c>
      <c r="U361" s="332">
        <f>Gasto_o_ing_per_capita!U361*100/Gasto_o_ing_per_capita!$D361</f>
        <v>84.777946354318175</v>
      </c>
      <c r="V361" s="332">
        <f>Gasto_o_ing_per_capita!V361*100/Gasto_o_ing_per_capita!$D361</f>
        <v>73.737056861691087</v>
      </c>
    </row>
    <row r="362" spans="1:22" s="102" customFormat="1">
      <c r="A362" s="351" t="str">
        <f>IF(B362="","",(IF(ISERROR(MATCH(B362,Tot_res!C:C,0)),"Eliminar!!!","")))</f>
        <v/>
      </c>
      <c r="B362" s="115" t="s">
        <v>335</v>
      </c>
      <c r="C362" s="329" t="str">
        <f>VLOOKUP(B362,Tot_res!C:D,2,FALSE)</f>
        <v>Archivos</v>
      </c>
      <c r="D362" s="332">
        <f>Gasto_o_ing_per_capita!D362*100/Gasto_o_ing_per_capita!$D362</f>
        <v>100</v>
      </c>
      <c r="E362" s="332">
        <f>Gasto_o_ing_per_capita!E362*100/Gasto_o_ing_per_capita!$D362</f>
        <v>69.803088293926677</v>
      </c>
      <c r="F362" s="332">
        <f>Gasto_o_ing_per_capita!F362*100/Gasto_o_ing_per_capita!$D362</f>
        <v>54.528919151197755</v>
      </c>
      <c r="G362" s="332">
        <f>Gasto_o_ing_per_capita!G362*100/Gasto_o_ing_per_capita!$D362</f>
        <v>47.417444465014377</v>
      </c>
      <c r="H362" s="332">
        <f>Gasto_o_ing_per_capita!H362*100/Gasto_o_ing_per_capita!$D362</f>
        <v>152.432094354855</v>
      </c>
      <c r="I362" s="332">
        <f>Gasto_o_ing_per_capita!I362*100/Gasto_o_ing_per_capita!$D362</f>
        <v>51.070795545494519</v>
      </c>
      <c r="J362" s="332">
        <f>Gasto_o_ing_per_capita!J362*100/Gasto_o_ing_per_capita!$D362</f>
        <v>57.487942361407633</v>
      </c>
      <c r="K362" s="332">
        <f>Gasto_o_ing_per_capita!K362*100/Gasto_o_ing_per_capita!$D362</f>
        <v>281.00718188774277</v>
      </c>
      <c r="L362" s="332">
        <f>Gasto_o_ing_per_capita!L362*100/Gasto_o_ing_per_capita!$D362</f>
        <v>73.289246573430276</v>
      </c>
      <c r="M362" s="332">
        <f>Gasto_o_ing_per_capita!M362*100/Gasto_o_ing_per_capita!$D362</f>
        <v>76.012421521148468</v>
      </c>
      <c r="N362" s="332">
        <f>Gasto_o_ing_per_capita!N362*100/Gasto_o_ing_per_capita!$D362</f>
        <v>50.022266075914807</v>
      </c>
      <c r="O362" s="332">
        <f>Gasto_o_ing_per_capita!O362*100/Gasto_o_ing_per_capita!$D362</f>
        <v>51.900090569779998</v>
      </c>
      <c r="P362" s="332">
        <f>Gasto_o_ing_per_capita!P362*100/Gasto_o_ing_per_capita!$D362</f>
        <v>135.23840549022515</v>
      </c>
      <c r="Q362" s="332">
        <f>Gasto_o_ing_per_capita!Q362*100/Gasto_o_ing_per_capita!$D362</f>
        <v>201.28933248808318</v>
      </c>
      <c r="R362" s="332">
        <f>Gasto_o_ing_per_capita!R362*100/Gasto_o_ing_per_capita!$D362</f>
        <v>45.529438594258785</v>
      </c>
      <c r="S362" s="332">
        <f>Gasto_o_ing_per_capita!S362*100/Gasto_o_ing_per_capita!$D362</f>
        <v>56.49534145207322</v>
      </c>
      <c r="T362" s="332">
        <f>Gasto_o_ing_per_capita!T362*100/Gasto_o_ing_per_capita!$D362</f>
        <v>59.078530912082385</v>
      </c>
      <c r="U362" s="332">
        <f>Gasto_o_ing_per_capita!U362*100/Gasto_o_ing_per_capita!$D362</f>
        <v>52.182459325460009</v>
      </c>
      <c r="V362" s="332">
        <f>Gasto_o_ing_per_capita!V362*100/Gasto_o_ing_per_capita!$D362</f>
        <v>44.712462199697171</v>
      </c>
    </row>
    <row r="363" spans="1:22" s="102" customFormat="1">
      <c r="A363" s="351" t="str">
        <f>IF(B363="","",(IF(ISERROR(MATCH(B363,Tot_res!C:C,0)),"Eliminar!!!","")))</f>
        <v/>
      </c>
      <c r="B363" s="115" t="s">
        <v>337</v>
      </c>
      <c r="C363" s="329" t="str">
        <f>VLOOKUP(B363,Tot_res!C:D,2,FALSE)</f>
        <v>Bibliotecas</v>
      </c>
      <c r="D363" s="332">
        <f>Gasto_o_ing_per_capita!D363*100/Gasto_o_ing_per_capita!$D363</f>
        <v>100</v>
      </c>
      <c r="E363" s="332">
        <f>Gasto_o_ing_per_capita!E363*100/Gasto_o_ing_per_capita!$D363</f>
        <v>32.3785701857405</v>
      </c>
      <c r="F363" s="332">
        <f>Gasto_o_ing_per_capita!F363*100/Gasto_o_ing_per_capita!$D363</f>
        <v>28.244448896613999</v>
      </c>
      <c r="G363" s="332">
        <f>Gasto_o_ing_per_capita!G363*100/Gasto_o_ing_per_capita!$D363</f>
        <v>31.373608140549724</v>
      </c>
      <c r="H363" s="332">
        <f>Gasto_o_ing_per_capita!H363*100/Gasto_o_ing_per_capita!$D363</f>
        <v>53.621968240444396</v>
      </c>
      <c r="I363" s="332">
        <f>Gasto_o_ing_per_capita!I363*100/Gasto_o_ing_per_capita!$D363</f>
        <v>27.532716916874794</v>
      </c>
      <c r="J363" s="332">
        <f>Gasto_o_ing_per_capita!J363*100/Gasto_o_ing_per_capita!$D363</f>
        <v>20.846621656268628</v>
      </c>
      <c r="K363" s="332">
        <f>Gasto_o_ing_per_capita!K363*100/Gasto_o_ing_per_capita!$D363</f>
        <v>251.12985363761015</v>
      </c>
      <c r="L363" s="332">
        <f>Gasto_o_ing_per_capita!L363*100/Gasto_o_ing_per_capita!$D363</f>
        <v>34.759388077459228</v>
      </c>
      <c r="M363" s="332">
        <f>Gasto_o_ing_per_capita!M363*100/Gasto_o_ing_per_capita!$D363</f>
        <v>34.713712383211252</v>
      </c>
      <c r="N363" s="332">
        <f>Gasto_o_ing_per_capita!N363*100/Gasto_o_ing_per_capita!$D363</f>
        <v>22.67923382014914</v>
      </c>
      <c r="O363" s="332">
        <f>Gasto_o_ing_per_capita!O363*100/Gasto_o_ing_per_capita!$D363</f>
        <v>65.151317339855694</v>
      </c>
      <c r="P363" s="332">
        <f>Gasto_o_ing_per_capita!P363*100/Gasto_o_ing_per_capita!$D363</f>
        <v>125.21196385671601</v>
      </c>
      <c r="Q363" s="332">
        <f>Gasto_o_ing_per_capita!Q363*100/Gasto_o_ing_per_capita!$D363</f>
        <v>394.92347074453988</v>
      </c>
      <c r="R363" s="332">
        <f>Gasto_o_ing_per_capita!R363*100/Gasto_o_ing_per_capita!$D363</f>
        <v>31.039272532922396</v>
      </c>
      <c r="S363" s="332">
        <f>Gasto_o_ing_per_capita!S363*100/Gasto_o_ing_per_capita!$D363</f>
        <v>22.067572154723095</v>
      </c>
      <c r="T363" s="332">
        <f>Gasto_o_ing_per_capita!T363*100/Gasto_o_ing_per_capita!$D363</f>
        <v>24.51669547694339</v>
      </c>
      <c r="U363" s="332">
        <f>Gasto_o_ing_per_capita!U363*100/Gasto_o_ing_per_capita!$D363</f>
        <v>114.94483944599067</v>
      </c>
      <c r="V363" s="332">
        <f>Gasto_o_ing_per_capita!V363*100/Gasto_o_ing_per_capita!$D363</f>
        <v>108.00242237908141</v>
      </c>
    </row>
    <row r="364" spans="1:22" s="102" customFormat="1">
      <c r="A364" s="351" t="str">
        <f>IF(B364="","",(IF(ISERROR(MATCH(B364,Tot_res!C:C,0)),"Eliminar!!!","")))</f>
        <v/>
      </c>
      <c r="B364" s="115" t="s">
        <v>338</v>
      </c>
      <c r="C364" s="329" t="str">
        <f>VLOOKUP(B364,Tot_res!C:D,2,FALSE)</f>
        <v>Museos</v>
      </c>
      <c r="D364" s="332">
        <f>Gasto_o_ing_per_capita!D364*100/Gasto_o_ing_per_capita!$D364</f>
        <v>100</v>
      </c>
      <c r="E364" s="332">
        <f>Gasto_o_ing_per_capita!E364*100/Gasto_o_ing_per_capita!$D364</f>
        <v>28.528127108422154</v>
      </c>
      <c r="F364" s="332">
        <f>Gasto_o_ing_per_capita!F364*100/Gasto_o_ing_per_capita!$D364</f>
        <v>30.254624970349646</v>
      </c>
      <c r="G364" s="332">
        <f>Gasto_o_ing_per_capita!G364*100/Gasto_o_ing_per_capita!$D364</f>
        <v>25.412599025735918</v>
      </c>
      <c r="H364" s="332">
        <f>Gasto_o_ing_per_capita!H364*100/Gasto_o_ing_per_capita!$D364</f>
        <v>40.638966742077471</v>
      </c>
      <c r="I364" s="332">
        <f>Gasto_o_ing_per_capita!I364*100/Gasto_o_ing_per_capita!$D364</f>
        <v>24.130714351431209</v>
      </c>
      <c r="J364" s="332">
        <f>Gasto_o_ing_per_capita!J364*100/Gasto_o_ing_per_capita!$D364</f>
        <v>272.29908817061698</v>
      </c>
      <c r="K364" s="332">
        <f>Gasto_o_ing_per_capita!K364*100/Gasto_o_ing_per_capita!$D364</f>
        <v>81.272378581829955</v>
      </c>
      <c r="L364" s="332">
        <f>Gasto_o_ing_per_capita!L364*100/Gasto_o_ing_per_capita!$D364</f>
        <v>109.88917115036071</v>
      </c>
      <c r="M364" s="332">
        <f>Gasto_o_ing_per_capita!M364*100/Gasto_o_ing_per_capita!$D364</f>
        <v>43.187609032083081</v>
      </c>
      <c r="N364" s="332">
        <f>Gasto_o_ing_per_capita!N364*100/Gasto_o_ing_per_capita!$D364</f>
        <v>66.338191697003282</v>
      </c>
      <c r="O364" s="332">
        <f>Gasto_o_ing_per_capita!O364*100/Gasto_o_ing_per_capita!$D364</f>
        <v>108.38989203873126</v>
      </c>
      <c r="P364" s="332">
        <f>Gasto_o_ing_per_capita!P364*100/Gasto_o_ing_per_capita!$D364</f>
        <v>25.963580976841186</v>
      </c>
      <c r="Q364" s="332">
        <f>Gasto_o_ing_per_capita!Q364*100/Gasto_o_ing_per_capita!$D364</f>
        <v>400.53065563983625</v>
      </c>
      <c r="R364" s="332">
        <f>Gasto_o_ing_per_capita!R364*100/Gasto_o_ing_per_capita!$D364</f>
        <v>90.303438041873065</v>
      </c>
      <c r="S364" s="332">
        <f>Gasto_o_ing_per_capita!S364*100/Gasto_o_ing_per_capita!$D364</f>
        <v>29.121816980345542</v>
      </c>
      <c r="T364" s="332">
        <f>Gasto_o_ing_per_capita!T364*100/Gasto_o_ing_per_capita!$D364</f>
        <v>36.450158625693355</v>
      </c>
      <c r="U364" s="332">
        <f>Gasto_o_ing_per_capita!U364*100/Gasto_o_ing_per_capita!$D364</f>
        <v>51.672570852019305</v>
      </c>
      <c r="V364" s="332">
        <f>Gasto_o_ing_per_capita!V364*100/Gasto_o_ing_per_capita!$D364</f>
        <v>23.230377354157522</v>
      </c>
    </row>
    <row r="365" spans="1:22" s="102" customFormat="1">
      <c r="A365" s="351" t="str">
        <f>IF(B365="","",(IF(ISERROR(MATCH(B365,Tot_res!C:C,0)),"Eliminar!!!","")))</f>
        <v/>
      </c>
      <c r="B365" s="115" t="s">
        <v>340</v>
      </c>
      <c r="C365" s="329" t="str">
        <f>VLOOKUP(B365,Tot_res!C:D,2,FALSE)</f>
        <v>Exposiciones</v>
      </c>
      <c r="D365" s="332">
        <f>Gasto_o_ing_per_capita!D365*100/Gasto_o_ing_per_capita!$D365</f>
        <v>100</v>
      </c>
      <c r="E365" s="332">
        <f>Gasto_o_ing_per_capita!E365*100/Gasto_o_ing_per_capita!$D365</f>
        <v>8.5063398225533664</v>
      </c>
      <c r="F365" s="332">
        <f>Gasto_o_ing_per_capita!F365*100/Gasto_o_ing_per_capita!$D365</f>
        <v>33.297754608991184</v>
      </c>
      <c r="G365" s="332">
        <f>Gasto_o_ing_per_capita!G365*100/Gasto_o_ing_per_capita!$D365</f>
        <v>8.5063398225533664</v>
      </c>
      <c r="H365" s="332">
        <f>Gasto_o_ing_per_capita!H365*100/Gasto_o_ing_per_capita!$D365</f>
        <v>8.5063398225533664</v>
      </c>
      <c r="I365" s="332">
        <f>Gasto_o_ing_per_capita!I365*100/Gasto_o_ing_per_capita!$D365</f>
        <v>8.5063398225533664</v>
      </c>
      <c r="J365" s="332">
        <f>Gasto_o_ing_per_capita!J365*100/Gasto_o_ing_per_capita!$D365</f>
        <v>8.5063398225533664</v>
      </c>
      <c r="K365" s="332">
        <f>Gasto_o_ing_per_capita!K365*100/Gasto_o_ing_per_capita!$D365</f>
        <v>297.90028790293167</v>
      </c>
      <c r="L365" s="332">
        <f>Gasto_o_ing_per_capita!L365*100/Gasto_o_ing_per_capita!$D365</f>
        <v>109.32293555938671</v>
      </c>
      <c r="M365" s="332">
        <f>Gasto_o_ing_per_capita!M365*100/Gasto_o_ing_per_capita!$D365</f>
        <v>257.39161121823759</v>
      </c>
      <c r="N365" s="332">
        <f>Gasto_o_ing_per_capita!N365*100/Gasto_o_ing_per_capita!$D365</f>
        <v>59.171208129282583</v>
      </c>
      <c r="O365" s="332">
        <f>Gasto_o_ing_per_capita!O365*100/Gasto_o_ing_per_capita!$D365</f>
        <v>8.5063398225533664</v>
      </c>
      <c r="P365" s="332">
        <f>Gasto_o_ing_per_capita!P365*100/Gasto_o_ing_per_capita!$D365</f>
        <v>8.5063398225533646</v>
      </c>
      <c r="Q365" s="332">
        <f>Gasto_o_ing_per_capita!Q365*100/Gasto_o_ing_per_capita!$D365</f>
        <v>184.39017702300833</v>
      </c>
      <c r="R365" s="332">
        <f>Gasto_o_ing_per_capita!R365*100/Gasto_o_ing_per_capita!$D365</f>
        <v>8.5063398225533664</v>
      </c>
      <c r="S365" s="332">
        <f>Gasto_o_ing_per_capita!S365*100/Gasto_o_ing_per_capita!$D365</f>
        <v>8.5063398225533664</v>
      </c>
      <c r="T365" s="332">
        <f>Gasto_o_ing_per_capita!T365*100/Gasto_o_ing_per_capita!$D365</f>
        <v>34.028409092291717</v>
      </c>
      <c r="U365" s="332">
        <f>Gasto_o_ing_per_capita!U365*100/Gasto_o_ing_per_capita!$D365</f>
        <v>8.5063398225533664</v>
      </c>
      <c r="V365" s="332">
        <f>Gasto_o_ing_per_capita!V365*100/Gasto_o_ing_per_capita!$D365</f>
        <v>8.5063398225533664</v>
      </c>
    </row>
    <row r="366" spans="1:22" s="102" customFormat="1">
      <c r="A366" s="351" t="str">
        <f>IF(B366="","",(IF(ISERROR(MATCH(B366,Tot_res!C:C,0)),"Eliminar!!!","")))</f>
        <v/>
      </c>
      <c r="B366" s="119" t="s">
        <v>341</v>
      </c>
      <c r="C366" s="329" t="str">
        <f>VLOOKUP(B366,Tot_res!C:D,2,FALSE)</f>
        <v>Promoción y cooperación cultural</v>
      </c>
      <c r="D366" s="332">
        <f>Gasto_o_ing_per_capita!D366*100/Gasto_o_ing_per_capita!$D366</f>
        <v>100</v>
      </c>
      <c r="E366" s="332">
        <f>Gasto_o_ing_per_capita!E366*100/Gasto_o_ing_per_capita!$D366</f>
        <v>60.496159593531942</v>
      </c>
      <c r="F366" s="332">
        <f>Gasto_o_ing_per_capita!F366*100/Gasto_o_ing_per_capita!$D366</f>
        <v>83.574174529594018</v>
      </c>
      <c r="G366" s="332">
        <f>Gasto_o_ing_per_capita!G366*100/Gasto_o_ing_per_capita!$D366</f>
        <v>134.76810306455772</v>
      </c>
      <c r="H366" s="332">
        <f>Gasto_o_ing_per_capita!H366*100/Gasto_o_ing_per_capita!$D366</f>
        <v>60.555624866804138</v>
      </c>
      <c r="I366" s="332">
        <f>Gasto_o_ing_per_capita!I366*100/Gasto_o_ing_per_capita!$D366</f>
        <v>36.145444892363088</v>
      </c>
      <c r="J366" s="332">
        <f>Gasto_o_ing_per_capita!J366*100/Gasto_o_ing_per_capita!$D366</f>
        <v>386.10883387619776</v>
      </c>
      <c r="K366" s="332">
        <f>Gasto_o_ing_per_capita!K366*100/Gasto_o_ing_per_capita!$D366</f>
        <v>84.603569239513689</v>
      </c>
      <c r="L366" s="332">
        <f>Gasto_o_ing_per_capita!L366*100/Gasto_o_ing_per_capita!$D366</f>
        <v>38.133954971694763</v>
      </c>
      <c r="M366" s="332">
        <f>Gasto_o_ing_per_capita!M366*100/Gasto_o_ing_per_capita!$D366</f>
        <v>59.884694264450026</v>
      </c>
      <c r="N366" s="332">
        <f>Gasto_o_ing_per_capita!N366*100/Gasto_o_ing_per_capita!$D366</f>
        <v>37.727459993124072</v>
      </c>
      <c r="O366" s="332">
        <f>Gasto_o_ing_per_capita!O366*100/Gasto_o_ing_per_capita!$D366</f>
        <v>66.43875762086698</v>
      </c>
      <c r="P366" s="332">
        <f>Gasto_o_ing_per_capita!P366*100/Gasto_o_ing_per_capita!$D366</f>
        <v>65.060134325458222</v>
      </c>
      <c r="Q366" s="332">
        <f>Gasto_o_ing_per_capita!Q366*100/Gasto_o_ing_per_capita!$D366</f>
        <v>184.78464543659481</v>
      </c>
      <c r="R366" s="332">
        <f>Gasto_o_ing_per_capita!R366*100/Gasto_o_ing_per_capita!$D366</f>
        <v>32.563634320321071</v>
      </c>
      <c r="S366" s="332">
        <f>Gasto_o_ing_per_capita!S366*100/Gasto_o_ing_per_capita!$D366</f>
        <v>80.186154908088952</v>
      </c>
      <c r="T366" s="332">
        <f>Gasto_o_ing_per_capita!T366*100/Gasto_o_ing_per_capita!$D366</f>
        <v>480.59533561474262</v>
      </c>
      <c r="U366" s="332">
        <f>Gasto_o_ing_per_capita!U366*100/Gasto_o_ing_per_capita!$D366</f>
        <v>26.261997854742091</v>
      </c>
      <c r="V366" s="332">
        <f>Gasto_o_ing_per_capita!V366*100/Gasto_o_ing_per_capita!$D366</f>
        <v>60.050640595898024</v>
      </c>
    </row>
    <row r="367" spans="1:22" s="102" customFormat="1">
      <c r="A367" s="351" t="str">
        <f>IF(B367="","",(IF(ISERROR(MATCH(B367,Tot_res!C:C,0)),"Eliminar!!!","")))</f>
        <v/>
      </c>
      <c r="B367" s="115" t="s">
        <v>343</v>
      </c>
      <c r="C367" s="329" t="str">
        <f>VLOOKUP(B367,Tot_res!C:D,2,FALSE)</f>
        <v>Promoción del libro y publicaciones culturales</v>
      </c>
      <c r="D367" s="332">
        <f>Gasto_o_ing_per_capita!D367*100/Gasto_o_ing_per_capita!$D367</f>
        <v>100</v>
      </c>
      <c r="E367" s="332">
        <f>Gasto_o_ing_per_capita!E367*100/Gasto_o_ing_per_capita!$D367</f>
        <v>99.999999999999986</v>
      </c>
      <c r="F367" s="332">
        <f>Gasto_o_ing_per_capita!F367*100/Gasto_o_ing_per_capita!$D367</f>
        <v>100</v>
      </c>
      <c r="G367" s="332">
        <f>Gasto_o_ing_per_capita!G367*100/Gasto_o_ing_per_capita!$D367</f>
        <v>100</v>
      </c>
      <c r="H367" s="332">
        <f>Gasto_o_ing_per_capita!H367*100/Gasto_o_ing_per_capita!$D367</f>
        <v>100</v>
      </c>
      <c r="I367" s="332">
        <f>Gasto_o_ing_per_capita!I367*100/Gasto_o_ing_per_capita!$D367</f>
        <v>99.999999999999986</v>
      </c>
      <c r="J367" s="332">
        <f>Gasto_o_ing_per_capita!J367*100/Gasto_o_ing_per_capita!$D367</f>
        <v>99.999999999999986</v>
      </c>
      <c r="K367" s="332">
        <f>Gasto_o_ing_per_capita!K367*100/Gasto_o_ing_per_capita!$D367</f>
        <v>99.999999999999986</v>
      </c>
      <c r="L367" s="332">
        <f>Gasto_o_ing_per_capita!L367*100/Gasto_o_ing_per_capita!$D367</f>
        <v>100</v>
      </c>
      <c r="M367" s="332">
        <f>Gasto_o_ing_per_capita!M367*100/Gasto_o_ing_per_capita!$D367</f>
        <v>100</v>
      </c>
      <c r="N367" s="332">
        <f>Gasto_o_ing_per_capita!N367*100/Gasto_o_ing_per_capita!$D367</f>
        <v>100</v>
      </c>
      <c r="O367" s="332">
        <f>Gasto_o_ing_per_capita!O367*100/Gasto_o_ing_per_capita!$D367</f>
        <v>99.999999999999986</v>
      </c>
      <c r="P367" s="332">
        <f>Gasto_o_ing_per_capita!P367*100/Gasto_o_ing_per_capita!$D367</f>
        <v>100</v>
      </c>
      <c r="Q367" s="332">
        <f>Gasto_o_ing_per_capita!Q367*100/Gasto_o_ing_per_capita!$D367</f>
        <v>100</v>
      </c>
      <c r="R367" s="332">
        <f>Gasto_o_ing_per_capita!R367*100/Gasto_o_ing_per_capita!$D367</f>
        <v>100</v>
      </c>
      <c r="S367" s="332">
        <f>Gasto_o_ing_per_capita!S367*100/Gasto_o_ing_per_capita!$D367</f>
        <v>100</v>
      </c>
      <c r="T367" s="332">
        <f>Gasto_o_ing_per_capita!T367*100/Gasto_o_ing_per_capita!$D367</f>
        <v>100</v>
      </c>
      <c r="U367" s="332">
        <f>Gasto_o_ing_per_capita!U367*100/Gasto_o_ing_per_capita!$D367</f>
        <v>100</v>
      </c>
      <c r="V367" s="332">
        <f>Gasto_o_ing_per_capita!V367*100/Gasto_o_ing_per_capita!$D367</f>
        <v>100</v>
      </c>
    </row>
    <row r="368" spans="1:22" s="102" customFormat="1">
      <c r="A368" s="351" t="str">
        <f>IF(B368="","",(IF(ISERROR(MATCH(B368,Tot_res!C:C,0)),"Eliminar!!!","")))</f>
        <v/>
      </c>
      <c r="B368" s="115" t="s">
        <v>345</v>
      </c>
      <c r="C368" s="329" t="str">
        <f>VLOOKUP(B368,Tot_res!C:D,2,FALSE)</f>
        <v>Fomento de las industrias culturales</v>
      </c>
      <c r="D368" s="332">
        <f>Gasto_o_ing_per_capita!D368*100/Gasto_o_ing_per_capita!$D368</f>
        <v>100</v>
      </c>
      <c r="E368" s="332">
        <f>Gasto_o_ing_per_capita!E368*100/Gasto_o_ing_per_capita!$D368</f>
        <v>45.187607409770322</v>
      </c>
      <c r="F368" s="332">
        <f>Gasto_o_ing_per_capita!F368*100/Gasto_o_ing_per_capita!$D368</f>
        <v>96.830766454562436</v>
      </c>
      <c r="G368" s="332">
        <f>Gasto_o_ing_per_capita!G368*100/Gasto_o_ing_per_capita!$D368</f>
        <v>63.245215747597044</v>
      </c>
      <c r="H368" s="332">
        <f>Gasto_o_ing_per_capita!H368*100/Gasto_o_ing_per_capita!$D368</f>
        <v>47.35224547114877</v>
      </c>
      <c r="I368" s="332">
        <f>Gasto_o_ing_per_capita!I368*100/Gasto_o_ing_per_capita!$D368</f>
        <v>108.66438760879571</v>
      </c>
      <c r="J368" s="332">
        <f>Gasto_o_ing_per_capita!J368*100/Gasto_o_ing_per_capita!$D368</f>
        <v>19.458069681772066</v>
      </c>
      <c r="K368" s="332">
        <f>Gasto_o_ing_per_capita!K368*100/Gasto_o_ing_per_capita!$D368</f>
        <v>51.181730038531171</v>
      </c>
      <c r="L368" s="332">
        <f>Gasto_o_ing_per_capita!L368*100/Gasto_o_ing_per_capita!$D368</f>
        <v>21.9048438967043</v>
      </c>
      <c r="M368" s="332">
        <f>Gasto_o_ing_per_capita!M368*100/Gasto_o_ing_per_capita!$D368</f>
        <v>104.49103342114012</v>
      </c>
      <c r="N368" s="332">
        <f>Gasto_o_ing_per_capita!N368*100/Gasto_o_ing_per_capita!$D368</f>
        <v>75.740885113993741</v>
      </c>
      <c r="O368" s="332">
        <f>Gasto_o_ing_per_capita!O368*100/Gasto_o_ing_per_capita!$D368</f>
        <v>48.190583175060567</v>
      </c>
      <c r="P368" s="332">
        <f>Gasto_o_ing_per_capita!P368*100/Gasto_o_ing_per_capita!$D368</f>
        <v>48.756825171448178</v>
      </c>
      <c r="Q368" s="332">
        <f>Gasto_o_ing_per_capita!Q368*100/Gasto_o_ing_per_capita!$D368</f>
        <v>306.22632134067868</v>
      </c>
      <c r="R368" s="332">
        <f>Gasto_o_ing_per_capita!R368*100/Gasto_o_ing_per_capita!$D368</f>
        <v>15.805307776044589</v>
      </c>
      <c r="S368" s="332">
        <f>Gasto_o_ing_per_capita!S368*100/Gasto_o_ing_per_capita!$D368</f>
        <v>78.084200739722363</v>
      </c>
      <c r="T368" s="332">
        <f>Gasto_o_ing_per_capita!T368*100/Gasto_o_ing_per_capita!$D368</f>
        <v>103.52452373073388</v>
      </c>
      <c r="U368" s="332">
        <f>Gasto_o_ing_per_capita!U368*100/Gasto_o_ing_per_capita!$D368</f>
        <v>20.480367520617584</v>
      </c>
      <c r="V368" s="332">
        <f>Gasto_o_ing_per_capita!V368*100/Gasto_o_ing_per_capita!$D368</f>
        <v>5.2664685914686666</v>
      </c>
    </row>
    <row r="369" spans="1:22" s="102" customFormat="1">
      <c r="A369" s="351" t="str">
        <f>IF(B369="","",(IF(ISERROR(MATCH(B369,Tot_res!C:C,0)),"Eliminar!!!","")))</f>
        <v/>
      </c>
      <c r="B369" s="119" t="s">
        <v>347</v>
      </c>
      <c r="C369" s="329" t="str">
        <f>VLOOKUP(B369,Tot_res!C:D,2,FALSE)</f>
        <v>Música y danza</v>
      </c>
      <c r="D369" s="332">
        <f>Gasto_o_ing_per_capita!D369*100/Gasto_o_ing_per_capita!$D369</f>
        <v>100</v>
      </c>
      <c r="E369" s="332">
        <f>Gasto_o_ing_per_capita!E369*100/Gasto_o_ing_per_capita!$D369</f>
        <v>35.411855797755855</v>
      </c>
      <c r="F369" s="332">
        <f>Gasto_o_ing_per_capita!F369*100/Gasto_o_ing_per_capita!$D369</f>
        <v>34.150854054952276</v>
      </c>
      <c r="G369" s="332">
        <f>Gasto_o_ing_per_capita!G369*100/Gasto_o_ing_per_capita!$D369</f>
        <v>36.536072921213488</v>
      </c>
      <c r="H369" s="332">
        <f>Gasto_o_ing_per_capita!H369*100/Gasto_o_ing_per_capita!$D369</f>
        <v>29.670385034010447</v>
      </c>
      <c r="I369" s="332">
        <f>Gasto_o_ing_per_capita!I369*100/Gasto_o_ing_per_capita!$D369</f>
        <v>29.003383140497373</v>
      </c>
      <c r="J369" s="332">
        <f>Gasto_o_ing_per_capita!J369*100/Gasto_o_ing_per_capita!$D369</f>
        <v>34.058773326077279</v>
      </c>
      <c r="K369" s="332">
        <f>Gasto_o_ing_per_capita!K369*100/Gasto_o_ing_per_capita!$D369</f>
        <v>28.390559287023446</v>
      </c>
      <c r="L369" s="332">
        <f>Gasto_o_ing_per_capita!L369*100/Gasto_o_ing_per_capita!$D369</f>
        <v>27.685670451800981</v>
      </c>
      <c r="M369" s="332">
        <f>Gasto_o_ing_per_capita!M369*100/Gasto_o_ing_per_capita!$D369</f>
        <v>92.662348545839777</v>
      </c>
      <c r="N369" s="332">
        <f>Gasto_o_ing_per_capita!N369*100/Gasto_o_ing_per_capita!$D369</f>
        <v>30.301330230790526</v>
      </c>
      <c r="O369" s="332">
        <f>Gasto_o_ing_per_capita!O369*100/Gasto_o_ing_per_capita!$D369</f>
        <v>25.75121671929849</v>
      </c>
      <c r="P369" s="332">
        <f>Gasto_o_ing_per_capita!P369*100/Gasto_o_ing_per_capita!$D369</f>
        <v>27.172626315588374</v>
      </c>
      <c r="Q369" s="332">
        <f>Gasto_o_ing_per_capita!Q369*100/Gasto_o_ing_per_capita!$D369</f>
        <v>453.43185545403981</v>
      </c>
      <c r="R369" s="332">
        <f>Gasto_o_ing_per_capita!R369*100/Gasto_o_ing_per_capita!$D369</f>
        <v>26.936316584769763</v>
      </c>
      <c r="S369" s="332">
        <f>Gasto_o_ing_per_capita!S369*100/Gasto_o_ing_per_capita!$D369</f>
        <v>36.958611107067377</v>
      </c>
      <c r="T369" s="332">
        <f>Gasto_o_ing_per_capita!T369*100/Gasto_o_ing_per_capita!$D369</f>
        <v>44.803380679841155</v>
      </c>
      <c r="U369" s="332">
        <f>Gasto_o_ing_per_capita!U369*100/Gasto_o_ing_per_capita!$D369</f>
        <v>28.110907920446</v>
      </c>
      <c r="V369" s="332">
        <f>Gasto_o_ing_per_capita!V369*100/Gasto_o_ing_per_capita!$D369</f>
        <v>23.251323254416853</v>
      </c>
    </row>
    <row r="370" spans="1:22" s="102" customFormat="1">
      <c r="A370" s="351" t="str">
        <f>IF(B370="","",(IF(ISERROR(MATCH(B370,Tot_res!C:C,0)),"Eliminar!!!","")))</f>
        <v/>
      </c>
      <c r="B370" s="119" t="s">
        <v>348</v>
      </c>
      <c r="C370" s="329" t="str">
        <f>VLOOKUP(B370,Tot_res!C:D,2,FALSE)</f>
        <v>Teatro</v>
      </c>
      <c r="D370" s="332">
        <f>Gasto_o_ing_per_capita!D370*100/Gasto_o_ing_per_capita!$D370</f>
        <v>100</v>
      </c>
      <c r="E370" s="332">
        <f>Gasto_o_ing_per_capita!E370*100/Gasto_o_ing_per_capita!$D370</f>
        <v>38.46858760922278</v>
      </c>
      <c r="F370" s="332">
        <f>Gasto_o_ing_per_capita!F370*100/Gasto_o_ing_per_capita!$D370</f>
        <v>54.375018130122548</v>
      </c>
      <c r="G370" s="332">
        <f>Gasto_o_ing_per_capita!G370*100/Gasto_o_ing_per_capita!$D370</f>
        <v>40.681883572248651</v>
      </c>
      <c r="H370" s="332">
        <f>Gasto_o_ing_per_capita!H370*100/Gasto_o_ing_per_capita!$D370</f>
        <v>51.481090558422956</v>
      </c>
      <c r="I370" s="332">
        <f>Gasto_o_ing_per_capita!I370*100/Gasto_o_ing_per_capita!$D370</f>
        <v>32.851170031952542</v>
      </c>
      <c r="J370" s="332">
        <f>Gasto_o_ing_per_capita!J370*100/Gasto_o_ing_per_capita!$D370</f>
        <v>40.034983110575922</v>
      </c>
      <c r="K370" s="332">
        <f>Gasto_o_ing_per_capita!K370*100/Gasto_o_ing_per_capita!$D370</f>
        <v>47.700740175337195</v>
      </c>
      <c r="L370" s="332">
        <f>Gasto_o_ing_per_capita!L370*100/Gasto_o_ing_per_capita!$D370</f>
        <v>39.878491949628845</v>
      </c>
      <c r="M370" s="332">
        <f>Gasto_o_ing_per_capita!M370*100/Gasto_o_ing_per_capita!$D370</f>
        <v>63.182283436018984</v>
      </c>
      <c r="N370" s="332">
        <f>Gasto_o_ing_per_capita!N370*100/Gasto_o_ing_per_capita!$D370</f>
        <v>48.380300091489225</v>
      </c>
      <c r="O370" s="332">
        <f>Gasto_o_ing_per_capita!O370*100/Gasto_o_ing_per_capita!$D370</f>
        <v>53.679352199575987</v>
      </c>
      <c r="P370" s="332">
        <f>Gasto_o_ing_per_capita!P370*100/Gasto_o_ing_per_capita!$D370</f>
        <v>40.120425269504118</v>
      </c>
      <c r="Q370" s="332">
        <f>Gasto_o_ing_per_capita!Q370*100/Gasto_o_ing_per_capita!$D370</f>
        <v>427.14293116715544</v>
      </c>
      <c r="R370" s="332">
        <f>Gasto_o_ing_per_capita!R370*100/Gasto_o_ing_per_capita!$D370</f>
        <v>43.023019762618055</v>
      </c>
      <c r="S370" s="332">
        <f>Gasto_o_ing_per_capita!S370*100/Gasto_o_ing_per_capita!$D370</f>
        <v>36.549741583552454</v>
      </c>
      <c r="T370" s="332">
        <f>Gasto_o_ing_per_capita!T370*100/Gasto_o_ing_per_capita!$D370</f>
        <v>62.53122302782031</v>
      </c>
      <c r="U370" s="332">
        <f>Gasto_o_ing_per_capita!U370*100/Gasto_o_ing_per_capita!$D370</f>
        <v>46.452893559265334</v>
      </c>
      <c r="V370" s="332">
        <f>Gasto_o_ing_per_capita!V370*100/Gasto_o_ing_per_capita!$D370</f>
        <v>28.908938142398856</v>
      </c>
    </row>
    <row r="371" spans="1:22" s="102" customFormat="1">
      <c r="A371" s="351" t="str">
        <f>IF(B371="","",(IF(ISERROR(MATCH(B371,Tot_res!C:C,0)),"Eliminar!!!","")))</f>
        <v/>
      </c>
      <c r="B371" s="115" t="s">
        <v>350</v>
      </c>
      <c r="C371" s="329" t="str">
        <f>VLOOKUP(B371,Tot_res!C:D,2,FALSE)</f>
        <v>Cinematografía</v>
      </c>
      <c r="D371" s="332">
        <f>Gasto_o_ing_per_capita!D371*100/Gasto_o_ing_per_capita!$D371</f>
        <v>100</v>
      </c>
      <c r="E371" s="332">
        <f>Gasto_o_ing_per_capita!E371*100/Gasto_o_ing_per_capita!$D371</f>
        <v>92.2315956420627</v>
      </c>
      <c r="F371" s="332">
        <f>Gasto_o_ing_per_capita!F371*100/Gasto_o_ing_per_capita!$D371</f>
        <v>95.068817571509001</v>
      </c>
      <c r="G371" s="332">
        <f>Gasto_o_ing_per_capita!G371*100/Gasto_o_ing_per_capita!$D371</f>
        <v>79.284027353775159</v>
      </c>
      <c r="H371" s="332">
        <f>Gasto_o_ing_per_capita!H371*100/Gasto_o_ing_per_capita!$D371</f>
        <v>94.84372433282067</v>
      </c>
      <c r="I371" s="332">
        <f>Gasto_o_ing_per_capita!I371*100/Gasto_o_ing_per_capita!$D371</f>
        <v>79.677117751482811</v>
      </c>
      <c r="J371" s="332">
        <f>Gasto_o_ing_per_capita!J371*100/Gasto_o_ing_per_capita!$D371</f>
        <v>107.03759080585213</v>
      </c>
      <c r="K371" s="332">
        <f>Gasto_o_ing_per_capita!K371*100/Gasto_o_ing_per_capita!$D371</f>
        <v>101.18660541534233</v>
      </c>
      <c r="L371" s="332">
        <f>Gasto_o_ing_per_capita!L371*100/Gasto_o_ing_per_capita!$D371</f>
        <v>70.851730204032009</v>
      </c>
      <c r="M371" s="332">
        <f>Gasto_o_ing_per_capita!M371*100/Gasto_o_ing_per_capita!$D371</f>
        <v>100.33491327802155</v>
      </c>
      <c r="N371" s="332">
        <f>Gasto_o_ing_per_capita!N371*100/Gasto_o_ing_per_capita!$D371</f>
        <v>96.466986098205325</v>
      </c>
      <c r="O371" s="332">
        <f>Gasto_o_ing_per_capita!O371*100/Gasto_o_ing_per_capita!$D371</f>
        <v>57.303114390800928</v>
      </c>
      <c r="P371" s="332">
        <f>Gasto_o_ing_per_capita!P371*100/Gasto_o_ing_per_capita!$D371</f>
        <v>68.770392784941691</v>
      </c>
      <c r="Q371" s="332">
        <f>Gasto_o_ing_per_capita!Q371*100/Gasto_o_ing_per_capita!$D371</f>
        <v>136.44892513527773</v>
      </c>
      <c r="R371" s="332">
        <f>Gasto_o_ing_per_capita!R371*100/Gasto_o_ing_per_capita!$D371</f>
        <v>85.644124924994159</v>
      </c>
      <c r="S371" s="332">
        <f>Gasto_o_ing_per_capita!S371*100/Gasto_o_ing_per_capita!$D371</f>
        <v>163.43792051974043</v>
      </c>
      <c r="T371" s="332">
        <f>Gasto_o_ing_per_capita!T371*100/Gasto_o_ing_per_capita!$D371</f>
        <v>143.48735223359907</v>
      </c>
      <c r="U371" s="332">
        <f>Gasto_o_ing_per_capita!U371*100/Gasto_o_ing_per_capita!$D371</f>
        <v>131.69141075702305</v>
      </c>
      <c r="V371" s="332">
        <f>Gasto_o_ing_per_capita!V371*100/Gasto_o_ing_per_capita!$D371</f>
        <v>0</v>
      </c>
    </row>
    <row r="372" spans="1:22" s="102" customFormat="1">
      <c r="A372" s="351" t="str">
        <f>IF(B372="","",(IF(ISERROR(MATCH(B372,Tot_res!C:C,0)),"Eliminar!!!","")))</f>
        <v/>
      </c>
      <c r="B372" s="115" t="s">
        <v>831</v>
      </c>
      <c r="C372" s="329" t="str">
        <f>VLOOKUP(B372,Tot_res!C:D,2,FALSE)</f>
        <v>Fomento y apoyo de las actividades deportivas</v>
      </c>
      <c r="D372" s="332">
        <f>Gasto_o_ing_per_capita!D372*100/Gasto_o_ing_per_capita!$D372</f>
        <v>100</v>
      </c>
      <c r="E372" s="332">
        <f>Gasto_o_ing_per_capita!E372*100/Gasto_o_ing_per_capita!$D372</f>
        <v>84.040719116422679</v>
      </c>
      <c r="F372" s="332">
        <f>Gasto_o_ing_per_capita!F372*100/Gasto_o_ing_per_capita!$D372</f>
        <v>140.3130019414819</v>
      </c>
      <c r="G372" s="332">
        <f>Gasto_o_ing_per_capita!G372*100/Gasto_o_ing_per_capita!$D372</f>
        <v>112.92791574689011</v>
      </c>
      <c r="H372" s="332">
        <f>Gasto_o_ing_per_capita!H372*100/Gasto_o_ing_per_capita!$D372</f>
        <v>105.72713986170308</v>
      </c>
      <c r="I372" s="332">
        <f>Gasto_o_ing_per_capita!I372*100/Gasto_o_ing_per_capita!$D372</f>
        <v>98.986060092070261</v>
      </c>
      <c r="J372" s="332">
        <f>Gasto_o_ing_per_capita!J372*100/Gasto_o_ing_per_capita!$D372</f>
        <v>147.55613111396508</v>
      </c>
      <c r="K372" s="332">
        <f>Gasto_o_ing_per_capita!K372*100/Gasto_o_ing_per_capita!$D372</f>
        <v>94.603585993634695</v>
      </c>
      <c r="L372" s="332">
        <f>Gasto_o_ing_per_capita!L372*100/Gasto_o_ing_per_capita!$D372</f>
        <v>86.206196549219925</v>
      </c>
      <c r="M372" s="332">
        <f>Gasto_o_ing_per_capita!M372*100/Gasto_o_ing_per_capita!$D372</f>
        <v>105.06274030861036</v>
      </c>
      <c r="N372" s="332">
        <f>Gasto_o_ing_per_capita!N372*100/Gasto_o_ing_per_capita!$D372</f>
        <v>94.620898104406848</v>
      </c>
      <c r="O372" s="332">
        <f>Gasto_o_ing_per_capita!O372*100/Gasto_o_ing_per_capita!$D372</f>
        <v>91.265665570007457</v>
      </c>
      <c r="P372" s="332">
        <f>Gasto_o_ing_per_capita!P372*100/Gasto_o_ing_per_capita!$D372</f>
        <v>101.28037446815914</v>
      </c>
      <c r="Q372" s="332">
        <f>Gasto_o_ing_per_capita!Q372*100/Gasto_o_ing_per_capita!$D372</f>
        <v>99.421083588749553</v>
      </c>
      <c r="R372" s="332">
        <f>Gasto_o_ing_per_capita!R372*100/Gasto_o_ing_per_capita!$D372</f>
        <v>84.009050914490231</v>
      </c>
      <c r="S372" s="332">
        <f>Gasto_o_ing_per_capita!S372*100/Gasto_o_ing_per_capita!$D372</f>
        <v>148.36503758503355</v>
      </c>
      <c r="T372" s="332">
        <f>Gasto_o_ing_per_capita!T372*100/Gasto_o_ing_per_capita!$D372</f>
        <v>123.07730846821565</v>
      </c>
      <c r="U372" s="332">
        <f>Gasto_o_ing_per_capita!U372*100/Gasto_o_ing_per_capita!$D372</f>
        <v>132.4495938752753</v>
      </c>
      <c r="V372" s="332">
        <f>Gasto_o_ing_per_capita!V372*100/Gasto_o_ing_per_capita!$D372</f>
        <v>142.56697843867829</v>
      </c>
    </row>
    <row r="373" spans="1:22" s="102" customFormat="1">
      <c r="A373" s="351" t="str">
        <f>IF(B373="","",(IF(ISERROR(MATCH(B373,Tot_res!C:C,0)),"Eliminar!!!","")))</f>
        <v/>
      </c>
      <c r="B373" s="115" t="s">
        <v>353</v>
      </c>
      <c r="C373" s="329" t="str">
        <f>VLOOKUP(B373,Tot_res!C:D,2,FALSE)</f>
        <v>Administración del patrimonio histórico-nacional</v>
      </c>
      <c r="D373" s="332">
        <f>Gasto_o_ing_per_capita!D373*100/Gasto_o_ing_per_capita!$D373</f>
        <v>100</v>
      </c>
      <c r="E373" s="332">
        <f>Gasto_o_ing_per_capita!E373*100/Gasto_o_ing_per_capita!$D373</f>
        <v>22.766762525754913</v>
      </c>
      <c r="F373" s="332">
        <f>Gasto_o_ing_per_capita!F373*100/Gasto_o_ing_per_capita!$D373</f>
        <v>26.454450188260015</v>
      </c>
      <c r="G373" s="332">
        <f>Gasto_o_ing_per_capita!G373*100/Gasto_o_ing_per_capita!$D373</f>
        <v>23.463300925755124</v>
      </c>
      <c r="H373" s="332">
        <f>Gasto_o_ing_per_capita!H373*100/Gasto_o_ing_per_capita!$D373</f>
        <v>39.885674118111076</v>
      </c>
      <c r="I373" s="332">
        <f>Gasto_o_ing_per_capita!I373*100/Gasto_o_ing_per_capita!$D373</f>
        <v>25.558374281947522</v>
      </c>
      <c r="J373" s="332">
        <f>Gasto_o_ing_per_capita!J373*100/Gasto_o_ing_per_capita!$D373</f>
        <v>23.957145353504842</v>
      </c>
      <c r="K373" s="332">
        <f>Gasto_o_ing_per_capita!K373*100/Gasto_o_ing_per_capita!$D373</f>
        <v>70.064379094489951</v>
      </c>
      <c r="L373" s="332">
        <f>Gasto_o_ing_per_capita!L373*100/Gasto_o_ing_per_capita!$D373</f>
        <v>22.220253982203335</v>
      </c>
      <c r="M373" s="332">
        <f>Gasto_o_ing_per_capita!M373*100/Gasto_o_ing_per_capita!$D373</f>
        <v>27.24915603802993</v>
      </c>
      <c r="N373" s="332">
        <f>Gasto_o_ing_per_capita!N373*100/Gasto_o_ing_per_capita!$D373</f>
        <v>23.472418838365233</v>
      </c>
      <c r="O373" s="332">
        <f>Gasto_o_ing_per_capita!O373*100/Gasto_o_ing_per_capita!$D373</f>
        <v>36.903985144033129</v>
      </c>
      <c r="P373" s="332">
        <f>Gasto_o_ing_per_capita!P373*100/Gasto_o_ing_per_capita!$D373</f>
        <v>23.572449248139733</v>
      </c>
      <c r="Q373" s="332">
        <f>Gasto_o_ing_per_capita!Q373*100/Gasto_o_ing_per_capita!$D373</f>
        <v>548.14836913895033</v>
      </c>
      <c r="R373" s="332">
        <f>Gasto_o_ing_per_capita!R373*100/Gasto_o_ing_per_capita!$D373</f>
        <v>22.698717887763841</v>
      </c>
      <c r="S373" s="332">
        <f>Gasto_o_ing_per_capita!S373*100/Gasto_o_ing_per_capita!$D373</f>
        <v>28.181669316671062</v>
      </c>
      <c r="T373" s="332">
        <f>Gasto_o_ing_per_capita!T373*100/Gasto_o_ing_per_capita!$D373</f>
        <v>28.945799326918717</v>
      </c>
      <c r="U373" s="332">
        <f>Gasto_o_ing_per_capita!U373*100/Gasto_o_ing_per_capita!$D373</f>
        <v>26.025228253364457</v>
      </c>
      <c r="V373" s="332">
        <f>Gasto_o_ing_per_capita!V373*100/Gasto_o_ing_per_capita!$D373</f>
        <v>22.290229690483038</v>
      </c>
    </row>
    <row r="374" spans="1:22" s="102" customFormat="1">
      <c r="A374" s="351" t="str">
        <f>IF(B374="","",(IF(ISERROR(MATCH(B374,Tot_res!C:C,0)),"Eliminar!!!","")))</f>
        <v/>
      </c>
      <c r="B374" s="119" t="s">
        <v>354</v>
      </c>
      <c r="C374" s="329" t="str">
        <f>VLOOKUP(B374,Tot_res!C:D,2,FALSE)</f>
        <v>Conservación y restauración de bienes culturales + AF17/1</v>
      </c>
      <c r="D374" s="332">
        <f>Gasto_o_ing_per_capita!D374*100/Gasto_o_ing_per_capita!$D374</f>
        <v>100</v>
      </c>
      <c r="E374" s="332">
        <f>Gasto_o_ing_per_capita!E374*100/Gasto_o_ing_per_capita!$D374</f>
        <v>39.036600634818974</v>
      </c>
      <c r="F374" s="332">
        <f>Gasto_o_ing_per_capita!F374*100/Gasto_o_ing_per_capita!$D374</f>
        <v>183.28595022299231</v>
      </c>
      <c r="G374" s="332">
        <f>Gasto_o_ing_per_capita!G374*100/Gasto_o_ing_per_capita!$D374</f>
        <v>82.66960224756069</v>
      </c>
      <c r="H374" s="332">
        <f>Gasto_o_ing_per_capita!H374*100/Gasto_o_ing_per_capita!$D374</f>
        <v>57.377054273179191</v>
      </c>
      <c r="I374" s="332">
        <f>Gasto_o_ing_per_capita!I374*100/Gasto_o_ing_per_capita!$D374</f>
        <v>97.312397634024549</v>
      </c>
      <c r="J374" s="332">
        <f>Gasto_o_ing_per_capita!J374*100/Gasto_o_ing_per_capita!$D374</f>
        <v>143.70680101479135</v>
      </c>
      <c r="K374" s="332">
        <f>Gasto_o_ing_per_capita!K374*100/Gasto_o_ing_per_capita!$D374</f>
        <v>121.39078385762768</v>
      </c>
      <c r="L374" s="332">
        <f>Gasto_o_ing_per_capita!L374*100/Gasto_o_ing_per_capita!$D374</f>
        <v>371.41819738105607</v>
      </c>
      <c r="M374" s="332">
        <f>Gasto_o_ing_per_capita!M374*100/Gasto_o_ing_per_capita!$D374</f>
        <v>50.1605344742797</v>
      </c>
      <c r="N374" s="332">
        <f>Gasto_o_ing_per_capita!N374*100/Gasto_o_ing_per_capita!$D374</f>
        <v>42.6137224197549</v>
      </c>
      <c r="O374" s="332">
        <f>Gasto_o_ing_per_capita!O374*100/Gasto_o_ing_per_capita!$D374</f>
        <v>36.970655039912643</v>
      </c>
      <c r="P374" s="332">
        <f>Gasto_o_ing_per_capita!P374*100/Gasto_o_ing_per_capita!$D374</f>
        <v>360.75600896151565</v>
      </c>
      <c r="Q374" s="332">
        <f>Gasto_o_ing_per_capita!Q374*100/Gasto_o_ing_per_capita!$D374</f>
        <v>92.295653346686905</v>
      </c>
      <c r="R374" s="332">
        <f>Gasto_o_ing_per_capita!R374*100/Gasto_o_ing_per_capita!$D374</f>
        <v>89.230454291825396</v>
      </c>
      <c r="S374" s="332">
        <f>Gasto_o_ing_per_capita!S374*100/Gasto_o_ing_per_capita!$D374</f>
        <v>104.82130774226488</v>
      </c>
      <c r="T374" s="332">
        <f>Gasto_o_ing_per_capita!T374*100/Gasto_o_ing_per_capita!$D374</f>
        <v>70.609021141253038</v>
      </c>
      <c r="U374" s="332">
        <f>Gasto_o_ing_per_capita!U374*100/Gasto_o_ing_per_capita!$D374</f>
        <v>45.919065282734891</v>
      </c>
      <c r="V374" s="332">
        <f>Gasto_o_ing_per_capita!V374*100/Gasto_o_ing_per_capita!$D374</f>
        <v>53.745152707163484</v>
      </c>
    </row>
    <row r="375" spans="1:22" s="102" customFormat="1">
      <c r="A375" s="351" t="str">
        <f>IF(B375="","",(IF(ISERROR(MATCH(B375,Tot_res!C:C,0)),"Eliminar!!!","")))</f>
        <v/>
      </c>
      <c r="B375" s="119" t="s">
        <v>356</v>
      </c>
      <c r="C375" s="329" t="str">
        <f>VLOOKUP(B375,Tot_res!C:D,2,FALSE)</f>
        <v>Protección del patrimonio histórico + AF17/2</v>
      </c>
      <c r="D375" s="332">
        <f>Gasto_o_ing_per_capita!D375*100/Gasto_o_ing_per_capita!$D375</f>
        <v>100</v>
      </c>
      <c r="E375" s="332">
        <f>Gasto_o_ing_per_capita!E375*100/Gasto_o_ing_per_capita!$D375</f>
        <v>44.138604957142498</v>
      </c>
      <c r="F375" s="332">
        <f>Gasto_o_ing_per_capita!F375*100/Gasto_o_ing_per_capita!$D375</f>
        <v>85.205749002067094</v>
      </c>
      <c r="G375" s="332">
        <f>Gasto_o_ing_per_capita!G375*100/Gasto_o_ing_per_capita!$D375</f>
        <v>72.277892607492618</v>
      </c>
      <c r="H375" s="332">
        <f>Gasto_o_ing_per_capita!H375*100/Gasto_o_ing_per_capita!$D375</f>
        <v>38.556307021191749</v>
      </c>
      <c r="I375" s="332">
        <f>Gasto_o_ing_per_capita!I375*100/Gasto_o_ing_per_capita!$D375</f>
        <v>35.801887490079437</v>
      </c>
      <c r="J375" s="332">
        <f>Gasto_o_ing_per_capita!J375*100/Gasto_o_ing_per_capita!$D375</f>
        <v>108.94511461108404</v>
      </c>
      <c r="K375" s="332">
        <f>Gasto_o_ing_per_capita!K375*100/Gasto_o_ing_per_capita!$D375</f>
        <v>306.64574350873198</v>
      </c>
      <c r="L375" s="332">
        <f>Gasto_o_ing_per_capita!L375*100/Gasto_o_ing_per_capita!$D375</f>
        <v>58.130953219033856</v>
      </c>
      <c r="M375" s="332">
        <f>Gasto_o_ing_per_capita!M375*100/Gasto_o_ing_per_capita!$D375</f>
        <v>47.365472025727591</v>
      </c>
      <c r="N375" s="332">
        <f>Gasto_o_ing_per_capita!N375*100/Gasto_o_ing_per_capita!$D375</f>
        <v>56.618796736767834</v>
      </c>
      <c r="O375" s="332">
        <f>Gasto_o_ing_per_capita!O375*100/Gasto_o_ing_per_capita!$D375</f>
        <v>72.051994417955896</v>
      </c>
      <c r="P375" s="332">
        <f>Gasto_o_ing_per_capita!P375*100/Gasto_o_ing_per_capita!$D375</f>
        <v>56.759261685014664</v>
      </c>
      <c r="Q375" s="332">
        <f>Gasto_o_ing_per_capita!Q375*100/Gasto_o_ing_per_capita!$D375</f>
        <v>268.81590283178195</v>
      </c>
      <c r="R375" s="332">
        <f>Gasto_o_ing_per_capita!R375*100/Gasto_o_ing_per_capita!$D375</f>
        <v>84.003118416389583</v>
      </c>
      <c r="S375" s="332">
        <f>Gasto_o_ing_per_capita!S375*100/Gasto_o_ing_per_capita!$D375</f>
        <v>103.18166931667105</v>
      </c>
      <c r="T375" s="332">
        <f>Gasto_o_ing_per_capita!T375*100/Gasto_o_ing_per_capita!$D375</f>
        <v>103.94579932691872</v>
      </c>
      <c r="U375" s="332">
        <f>Gasto_o_ing_per_capita!U375*100/Gasto_o_ing_per_capita!$D375</f>
        <v>55.990582602700563</v>
      </c>
      <c r="V375" s="332">
        <f>Gasto_o_ing_per_capita!V375*100/Gasto_o_ing_per_capita!$D375</f>
        <v>34.944979147503027</v>
      </c>
    </row>
    <row r="376" spans="1:22" s="102" customFormat="1">
      <c r="A376" s="351" t="str">
        <f>IF(B376="","",(IF(ISERROR(MATCH(B376,Tot_res!C:C,0)),"Eliminar!!!","")))</f>
        <v/>
      </c>
      <c r="B376" s="115" t="s">
        <v>834</v>
      </c>
      <c r="C376" s="329" t="str">
        <f>VLOOKUP(B376,Tot_res!C:D,2,FALSE)</f>
        <v>Dirección y Servicios Generales de Economía y Hacienda, transferencias a RTVE</v>
      </c>
      <c r="D376" s="332">
        <f>Gasto_o_ing_per_capita!D376*100/Gasto_o_ing_per_capita!$D376</f>
        <v>100</v>
      </c>
      <c r="E376" s="332">
        <f>Gasto_o_ing_per_capita!E376*100/Gasto_o_ing_per_capita!$D376</f>
        <v>100</v>
      </c>
      <c r="F376" s="332">
        <f>Gasto_o_ing_per_capita!F376*100/Gasto_o_ing_per_capita!$D376</f>
        <v>100</v>
      </c>
      <c r="G376" s="332">
        <f>Gasto_o_ing_per_capita!G376*100/Gasto_o_ing_per_capita!$D376</f>
        <v>100</v>
      </c>
      <c r="H376" s="332">
        <f>Gasto_o_ing_per_capita!H376*100/Gasto_o_ing_per_capita!$D376</f>
        <v>99.999999999999986</v>
      </c>
      <c r="I376" s="332">
        <f>Gasto_o_ing_per_capita!I376*100/Gasto_o_ing_per_capita!$D376</f>
        <v>100</v>
      </c>
      <c r="J376" s="332">
        <f>Gasto_o_ing_per_capita!J376*100/Gasto_o_ing_per_capita!$D376</f>
        <v>100</v>
      </c>
      <c r="K376" s="332">
        <f>Gasto_o_ing_per_capita!K376*100/Gasto_o_ing_per_capita!$D376</f>
        <v>100.00000000000001</v>
      </c>
      <c r="L376" s="332">
        <f>Gasto_o_ing_per_capita!L376*100/Gasto_o_ing_per_capita!$D376</f>
        <v>100</v>
      </c>
      <c r="M376" s="332">
        <f>Gasto_o_ing_per_capita!M376*100/Gasto_o_ing_per_capita!$D376</f>
        <v>100</v>
      </c>
      <c r="N376" s="332">
        <f>Gasto_o_ing_per_capita!N376*100/Gasto_o_ing_per_capita!$D376</f>
        <v>99.999999999999986</v>
      </c>
      <c r="O376" s="332">
        <f>Gasto_o_ing_per_capita!O376*100/Gasto_o_ing_per_capita!$D376</f>
        <v>99.999999999999986</v>
      </c>
      <c r="P376" s="332">
        <f>Gasto_o_ing_per_capita!P376*100/Gasto_o_ing_per_capita!$D376</f>
        <v>99.999999999999986</v>
      </c>
      <c r="Q376" s="332">
        <f>Gasto_o_ing_per_capita!Q376*100/Gasto_o_ing_per_capita!$D376</f>
        <v>100</v>
      </c>
      <c r="R376" s="332">
        <f>Gasto_o_ing_per_capita!R376*100/Gasto_o_ing_per_capita!$D376</f>
        <v>100</v>
      </c>
      <c r="S376" s="332">
        <f>Gasto_o_ing_per_capita!S376*100/Gasto_o_ing_per_capita!$D376</f>
        <v>99.999999999999972</v>
      </c>
      <c r="T376" s="332">
        <f>Gasto_o_ing_per_capita!T376*100/Gasto_o_ing_per_capita!$D376</f>
        <v>99.999999999999986</v>
      </c>
      <c r="U376" s="332">
        <f>Gasto_o_ing_per_capita!U376*100/Gasto_o_ing_per_capita!$D376</f>
        <v>99.999999999999986</v>
      </c>
      <c r="V376" s="332">
        <f>Gasto_o_ing_per_capita!V376*100/Gasto_o_ing_per_capita!$D376</f>
        <v>100.00000000000001</v>
      </c>
    </row>
    <row r="377" spans="1:22" s="102" customFormat="1">
      <c r="A377" s="351" t="str">
        <f>IF(B377="","",(IF(ISERROR(MATCH(B377,Tot_res!C:C,0)),"Eliminar!!!","")))</f>
        <v/>
      </c>
      <c r="B377" s="115" t="s">
        <v>358</v>
      </c>
      <c r="C377" s="329" t="str">
        <f>VLOOKUP(B377,Tot_res!C:D,2,FALSE)</f>
        <v>Normalización lingüística + AF08</v>
      </c>
      <c r="D377" s="332">
        <f>Gasto_o_ing_per_capita!D377*100/Gasto_o_ing_per_capita!$D377</f>
        <v>100</v>
      </c>
      <c r="E377" s="332">
        <f>Gasto_o_ing_per_capita!E377*100/Gasto_o_ing_per_capita!$D377</f>
        <v>0</v>
      </c>
      <c r="F377" s="332">
        <f>Gasto_o_ing_per_capita!F377*100/Gasto_o_ing_per_capita!$D377</f>
        <v>0</v>
      </c>
      <c r="G377" s="332">
        <f>Gasto_o_ing_per_capita!G377*100/Gasto_o_ing_per_capita!$D377</f>
        <v>0</v>
      </c>
      <c r="H377" s="332">
        <f>Gasto_o_ing_per_capita!H377*100/Gasto_o_ing_per_capita!$D377</f>
        <v>457.55582935886389</v>
      </c>
      <c r="I377" s="332">
        <f>Gasto_o_ing_per_capita!I377*100/Gasto_o_ing_per_capita!$D377</f>
        <v>0</v>
      </c>
      <c r="J377" s="332">
        <f>Gasto_o_ing_per_capita!J377*100/Gasto_o_ing_per_capita!$D377</f>
        <v>0</v>
      </c>
      <c r="K377" s="332">
        <f>Gasto_o_ing_per_capita!K377*100/Gasto_o_ing_per_capita!$D377</f>
        <v>0</v>
      </c>
      <c r="L377" s="332">
        <f>Gasto_o_ing_per_capita!L377*100/Gasto_o_ing_per_capita!$D377</f>
        <v>0</v>
      </c>
      <c r="M377" s="332">
        <f>Gasto_o_ing_per_capita!M377*100/Gasto_o_ing_per_capita!$D377</f>
        <v>217.98891514717423</v>
      </c>
      <c r="N377" s="332">
        <f>Gasto_o_ing_per_capita!N377*100/Gasto_o_ing_per_capita!$D377</f>
        <v>209.61858917431178</v>
      </c>
      <c r="O377" s="332">
        <f>Gasto_o_ing_per_capita!O377*100/Gasto_o_ing_per_capita!$D377</f>
        <v>0</v>
      </c>
      <c r="P377" s="332">
        <f>Gasto_o_ing_per_capita!P377*100/Gasto_o_ing_per_capita!$D377</f>
        <v>288.73289256789184</v>
      </c>
      <c r="Q377" s="332">
        <f>Gasto_o_ing_per_capita!Q377*100/Gasto_o_ing_per_capita!$D377</f>
        <v>0</v>
      </c>
      <c r="R377" s="332">
        <f>Gasto_o_ing_per_capita!R377*100/Gasto_o_ing_per_capita!$D377</f>
        <v>0</v>
      </c>
      <c r="S377" s="332">
        <f>Gasto_o_ing_per_capita!S377*100/Gasto_o_ing_per_capita!$D377</f>
        <v>243.46521558228926</v>
      </c>
      <c r="T377" s="332">
        <f>Gasto_o_ing_per_capita!T377*100/Gasto_o_ing_per_capita!$D377</f>
        <v>243.46521558228926</v>
      </c>
      <c r="U377" s="332">
        <f>Gasto_o_ing_per_capita!U377*100/Gasto_o_ing_per_capita!$D377</f>
        <v>0</v>
      </c>
      <c r="V377" s="332">
        <f>Gasto_o_ing_per_capita!V377*100/Gasto_o_ing_per_capita!$D377</f>
        <v>0</v>
      </c>
    </row>
    <row r="378" spans="1:22" s="102" customFormat="1">
      <c r="A378" s="351" t="str">
        <f>IF(B378="","",(IF(ISERROR(MATCH(B378,Tot_res!C:C,0)),"Eliminar!!!","")))</f>
        <v/>
      </c>
      <c r="B378" s="115" t="s">
        <v>359</v>
      </c>
      <c r="C378" s="329" t="str">
        <f>VLOOKUP(B378,Tot_res!C:D,2,FALSE)</f>
        <v>Aportación a la Iglesia Católica ligadas a la casilla del IRPF</v>
      </c>
      <c r="D378" s="332">
        <f>Gasto_o_ing_per_capita!D378*100/Gasto_o_ing_per_capita!$D378</f>
        <v>100.00000000000001</v>
      </c>
      <c r="E378" s="332">
        <f>Gasto_o_ing_per_capita!E378*100/Gasto_o_ing_per_capita!$D378</f>
        <v>98.713736283657582</v>
      </c>
      <c r="F378" s="332">
        <f>Gasto_o_ing_per_capita!F378*100/Gasto_o_ing_per_capita!$D378</f>
        <v>114.03410287353842</v>
      </c>
      <c r="G378" s="332">
        <f>Gasto_o_ing_per_capita!G378*100/Gasto_o_ing_per_capita!$D378</f>
        <v>114.73342939518217</v>
      </c>
      <c r="H378" s="332">
        <f>Gasto_o_ing_per_capita!H378*100/Gasto_o_ing_per_capita!$D378</f>
        <v>96.62246724434894</v>
      </c>
      <c r="I378" s="332">
        <f>Gasto_o_ing_per_capita!I378*100/Gasto_o_ing_per_capita!$D378</f>
        <v>84.936748702234311</v>
      </c>
      <c r="J378" s="332">
        <f>Gasto_o_ing_per_capita!J378*100/Gasto_o_ing_per_capita!$D378</f>
        <v>170.93020502162116</v>
      </c>
      <c r="K378" s="332">
        <f>Gasto_o_ing_per_capita!K378*100/Gasto_o_ing_per_capita!$D378</f>
        <v>140.66691726663257</v>
      </c>
      <c r="L378" s="332">
        <f>Gasto_o_ing_per_capita!L378*100/Gasto_o_ing_per_capita!$D378</f>
        <v>122.14403221416947</v>
      </c>
      <c r="M378" s="332">
        <f>Gasto_o_ing_per_capita!M378*100/Gasto_o_ing_per_capita!$D378</f>
        <v>79.49550224463718</v>
      </c>
      <c r="N378" s="332">
        <f>Gasto_o_ing_per_capita!N378*100/Gasto_o_ing_per_capita!$D378</f>
        <v>97.469055003168151</v>
      </c>
      <c r="O378" s="332">
        <f>Gasto_o_ing_per_capita!O378*100/Gasto_o_ing_per_capita!$D378</f>
        <v>137.73495309866735</v>
      </c>
      <c r="P378" s="332">
        <f>Gasto_o_ing_per_capita!P378*100/Gasto_o_ing_per_capita!$D378</f>
        <v>134.01901611668535</v>
      </c>
      <c r="Q378" s="332">
        <f>Gasto_o_ing_per_capita!Q378*100/Gasto_o_ing_per_capita!$D378</f>
        <v>78.418196131927516</v>
      </c>
      <c r="R378" s="332">
        <f>Gasto_o_ing_per_capita!R378*100/Gasto_o_ing_per_capita!$D378</f>
        <v>124.84205374922017</v>
      </c>
      <c r="S378" s="332">
        <f>Gasto_o_ing_per_capita!S378*100/Gasto_o_ing_per_capita!$D378</f>
        <v>102.35471311173687</v>
      </c>
      <c r="T378" s="332">
        <f>Gasto_o_ing_per_capita!T378*100/Gasto_o_ing_per_capita!$D378</f>
        <v>89.120926364115519</v>
      </c>
      <c r="U378" s="332">
        <f>Gasto_o_ing_per_capita!U378*100/Gasto_o_ing_per_capita!$D378</f>
        <v>72.957798161284188</v>
      </c>
      <c r="V378" s="332">
        <f>Gasto_o_ing_per_capita!V378*100/Gasto_o_ing_per_capita!$D378</f>
        <v>37.084284070665291</v>
      </c>
    </row>
    <row r="379" spans="1:22" s="102" customFormat="1">
      <c r="A379" s="351" t="str">
        <f>IF(B379="","",(IF(ISERROR(MATCH(B379,Tot_res!C:C,0)),"Eliminar!!!","")))</f>
        <v/>
      </c>
      <c r="B379" s="115" t="s">
        <v>837</v>
      </c>
      <c r="C379" s="329" t="str">
        <f>VLOOKUP(B379,Tot_res!C:D,2,FALSE)</f>
        <v>Ordenación y fomento de la edificación, actuaciones relacionadas con el 1% cultural</v>
      </c>
      <c r="D379" s="332">
        <f>Gasto_o_ing_per_capita!D379*100/Gasto_o_ing_per_capita!$D379</f>
        <v>100</v>
      </c>
      <c r="E379" s="332">
        <f>Gasto_o_ing_per_capita!E379*100/Gasto_o_ing_per_capita!$D379</f>
        <v>210.67736344989049</v>
      </c>
      <c r="F379" s="332">
        <f>Gasto_o_ing_per_capita!F379*100/Gasto_o_ing_per_capita!$D379</f>
        <v>22.66406143140151</v>
      </c>
      <c r="G379" s="332">
        <f>Gasto_o_ing_per_capita!G379*100/Gasto_o_ing_per_capita!$D379</f>
        <v>0</v>
      </c>
      <c r="H379" s="332">
        <f>Gasto_o_ing_per_capita!H379*100/Gasto_o_ing_per_capita!$D379</f>
        <v>0</v>
      </c>
      <c r="I379" s="332">
        <f>Gasto_o_ing_per_capita!I379*100/Gasto_o_ing_per_capita!$D379</f>
        <v>0</v>
      </c>
      <c r="J379" s="332">
        <f>Gasto_o_ing_per_capita!J379*100/Gasto_o_ing_per_capita!$D379</f>
        <v>333.56586269774635</v>
      </c>
      <c r="K379" s="332">
        <f>Gasto_o_ing_per_capita!K379*100/Gasto_o_ing_per_capita!$D379</f>
        <v>89.020288885008469</v>
      </c>
      <c r="L379" s="332">
        <f>Gasto_o_ing_per_capita!L379*100/Gasto_o_ing_per_capita!$D379</f>
        <v>101.50627518002923</v>
      </c>
      <c r="M379" s="332">
        <f>Gasto_o_ing_per_capita!M379*100/Gasto_o_ing_per_capita!$D379</f>
        <v>133.30249723049309</v>
      </c>
      <c r="N379" s="332">
        <f>Gasto_o_ing_per_capita!N379*100/Gasto_o_ing_per_capita!$D379</f>
        <v>123.02755625956257</v>
      </c>
      <c r="O379" s="332">
        <f>Gasto_o_ing_per_capita!O379*100/Gasto_o_ing_per_capita!$D379</f>
        <v>0</v>
      </c>
      <c r="P379" s="332">
        <f>Gasto_o_ing_per_capita!P379*100/Gasto_o_ing_per_capita!$D379</f>
        <v>101.3383972793781</v>
      </c>
      <c r="Q379" s="332">
        <f>Gasto_o_ing_per_capita!Q379*100/Gasto_o_ing_per_capita!$D379</f>
        <v>0</v>
      </c>
      <c r="R379" s="332">
        <f>Gasto_o_ing_per_capita!R379*100/Gasto_o_ing_per_capita!$D379</f>
        <v>0</v>
      </c>
      <c r="S379" s="332">
        <f>Gasto_o_ing_per_capita!S379*100/Gasto_o_ing_per_capita!$D379</f>
        <v>319.61052548310238</v>
      </c>
      <c r="T379" s="332">
        <f>Gasto_o_ing_per_capita!T379*100/Gasto_o_ing_per_capita!$D379</f>
        <v>0</v>
      </c>
      <c r="U379" s="332">
        <f>Gasto_o_ing_per_capita!U379*100/Gasto_o_ing_per_capita!$D379</f>
        <v>0</v>
      </c>
      <c r="V379" s="332">
        <f>Gasto_o_ing_per_capita!V379*100/Gasto_o_ing_per_capita!$D379</f>
        <v>853.79453011202452</v>
      </c>
    </row>
    <row r="380" spans="1:22" s="102" customFormat="1">
      <c r="A380" s="352"/>
      <c r="B380" s="115"/>
      <c r="D380" s="110"/>
      <c r="E380" s="110"/>
      <c r="F380" s="110"/>
      <c r="G380" s="110"/>
      <c r="H380" s="110"/>
      <c r="I380" s="110"/>
      <c r="J380" s="110"/>
      <c r="K380" s="110"/>
      <c r="L380" s="110"/>
      <c r="M380" s="110"/>
      <c r="N380" s="110"/>
      <c r="O380" s="110"/>
      <c r="P380" s="110"/>
      <c r="Q380" s="110"/>
      <c r="R380" s="110"/>
      <c r="S380" s="110"/>
      <c r="T380" s="110"/>
      <c r="U380" s="110"/>
      <c r="V380" s="110"/>
    </row>
    <row r="381" spans="1:22" s="102" customFormat="1">
      <c r="A381" s="352"/>
      <c r="B381" s="115"/>
      <c r="C381" s="147" t="s">
        <v>68</v>
      </c>
      <c r="D381" s="110">
        <f>Gasto_o_ing_per_capita!D381*100/Gasto_o_ing_per_capita!$D381</f>
        <v>100</v>
      </c>
      <c r="E381" s="110">
        <f>Gasto_o_ing_per_capita!E381*100/Gasto_o_ing_per_capita!$D381</f>
        <v>85.964645820473109</v>
      </c>
      <c r="F381" s="110">
        <f>Gasto_o_ing_per_capita!F381*100/Gasto_o_ing_per_capita!$D381</f>
        <v>112.2262602900294</v>
      </c>
      <c r="G381" s="110">
        <f>Gasto_o_ing_per_capita!G381*100/Gasto_o_ing_per_capita!$D381</f>
        <v>147.93423713134152</v>
      </c>
      <c r="H381" s="110">
        <f>Gasto_o_ing_per_capita!H381*100/Gasto_o_ing_per_capita!$D381</f>
        <v>81.346677384397822</v>
      </c>
      <c r="I381" s="110">
        <f>Gasto_o_ing_per_capita!I381*100/Gasto_o_ing_per_capita!$D381</f>
        <v>76.52441201513777</v>
      </c>
      <c r="J381" s="110">
        <f>Gasto_o_ing_per_capita!J381*100/Gasto_o_ing_per_capita!$D381</f>
        <v>114.95336600177662</v>
      </c>
      <c r="K381" s="110">
        <f>Gasto_o_ing_per_capita!K381*100/Gasto_o_ing_per_capita!$D381</f>
        <v>115.81193587449101</v>
      </c>
      <c r="L381" s="110">
        <f>Gasto_o_ing_per_capita!L381*100/Gasto_o_ing_per_capita!$D381</f>
        <v>86.062577716131685</v>
      </c>
      <c r="M381" s="110">
        <f>Gasto_o_ing_per_capita!M381*100/Gasto_o_ing_per_capita!$D381</f>
        <v>107.46674711784279</v>
      </c>
      <c r="N381" s="110">
        <f>Gasto_o_ing_per_capita!N381*100/Gasto_o_ing_per_capita!$D381</f>
        <v>90.042139609885936</v>
      </c>
      <c r="O381" s="110">
        <f>Gasto_o_ing_per_capita!O381*100/Gasto_o_ing_per_capita!$D381</f>
        <v>91.323017890425461</v>
      </c>
      <c r="P381" s="110">
        <f>Gasto_o_ing_per_capita!P381*100/Gasto_o_ing_per_capita!$D381</f>
        <v>113.13671577946748</v>
      </c>
      <c r="Q381" s="110">
        <f>Gasto_o_ing_per_capita!Q381*100/Gasto_o_ing_per_capita!$D381</f>
        <v>104.23096166537597</v>
      </c>
      <c r="R381" s="110">
        <f>Gasto_o_ing_per_capita!R381*100/Gasto_o_ing_per_capita!$D381</f>
        <v>82.659240120626905</v>
      </c>
      <c r="S381" s="110">
        <f>Gasto_o_ing_per_capita!S381*100/Gasto_o_ing_per_capita!$D381</f>
        <v>108.24224011501153</v>
      </c>
      <c r="T381" s="110">
        <f>Gasto_o_ing_per_capita!T381*100/Gasto_o_ing_per_capita!$D381</f>
        <v>130.58039462945379</v>
      </c>
      <c r="U381" s="110">
        <f>Gasto_o_ing_per_capita!U381*100/Gasto_o_ing_per_capita!$D381</f>
        <v>100.01336058312417</v>
      </c>
      <c r="V381" s="110">
        <f>Gasto_o_ing_per_capita!V381*100/Gasto_o_ing_per_capita!$D381</f>
        <v>70.027741653776914</v>
      </c>
    </row>
    <row r="382" spans="1:22"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row>
    <row r="383" spans="1:22" s="102" customFormat="1" ht="13.5">
      <c r="A383" s="352"/>
      <c r="B383" s="115"/>
      <c r="C383" s="117" t="s">
        <v>3</v>
      </c>
      <c r="D383" s="113">
        <f>Gasto_o_ing_per_capita!D383*100/Gasto_o_ing_per_capita!$D383</f>
        <v>100</v>
      </c>
      <c r="E383" s="113">
        <f>Gasto_o_ing_per_capita!E383*100/Gasto_o_ing_per_capita!$D383</f>
        <v>85.688535813291551</v>
      </c>
      <c r="F383" s="113">
        <f>Gasto_o_ing_per_capita!F383*100/Gasto_o_ing_per_capita!$D383</f>
        <v>112.46965083202169</v>
      </c>
      <c r="G383" s="113">
        <f>Gasto_o_ing_per_capita!G383*100/Gasto_o_ing_per_capita!$D383</f>
        <v>148.67247733912163</v>
      </c>
      <c r="H383" s="113">
        <f>Gasto_o_ing_per_capita!H383*100/Gasto_o_ing_per_capita!$D383</f>
        <v>81.1702328368537</v>
      </c>
      <c r="I383" s="113">
        <f>Gasto_o_ing_per_capita!I383*100/Gasto_o_ing_per_capita!$D383</f>
        <v>76.595271377090512</v>
      </c>
      <c r="J383" s="113">
        <f>Gasto_o_ing_per_capita!J383*100/Gasto_o_ing_per_capita!$D383</f>
        <v>114.94975153939457</v>
      </c>
      <c r="K383" s="113">
        <f>Gasto_o_ing_per_capita!K383*100/Gasto_o_ing_per_capita!$D383</f>
        <v>115.63968974901907</v>
      </c>
      <c r="L383" s="113">
        <f>Gasto_o_ing_per_capita!L383*100/Gasto_o_ing_per_capita!$D383</f>
        <v>85.710863776956245</v>
      </c>
      <c r="M383" s="113">
        <f>Gasto_o_ing_per_capita!M383*100/Gasto_o_ing_per_capita!$D383</f>
        <v>107.66059098975877</v>
      </c>
      <c r="N383" s="113">
        <f>Gasto_o_ing_per_capita!N383*100/Gasto_o_ing_per_capita!$D383</f>
        <v>90.232763539788976</v>
      </c>
      <c r="O383" s="113">
        <f>Gasto_o_ing_per_capita!O383*100/Gasto_o_ing_per_capita!$D383</f>
        <v>90.929480925411681</v>
      </c>
      <c r="P383" s="113">
        <f>Gasto_o_ing_per_capita!P383*100/Gasto_o_ing_per_capita!$D383</f>
        <v>113.2598824044386</v>
      </c>
      <c r="Q383" s="113">
        <f>Gasto_o_ing_per_capita!Q383*100/Gasto_o_ing_per_capita!$D383</f>
        <v>104.32808127931987</v>
      </c>
      <c r="R383" s="113">
        <f>Gasto_o_ing_per_capita!R383*100/Gasto_o_ing_per_capita!$D383</f>
        <v>82.016071610443376</v>
      </c>
      <c r="S383" s="113">
        <f>Gasto_o_ing_per_capita!S383*100/Gasto_o_ing_per_capita!$D383</f>
        <v>108.48592867215169</v>
      </c>
      <c r="T383" s="113">
        <f>Gasto_o_ing_per_capita!T383*100/Gasto_o_ing_per_capita!$D383</f>
        <v>131.01911262625734</v>
      </c>
      <c r="U383" s="113">
        <f>Gasto_o_ing_per_capita!U383*100/Gasto_o_ing_per_capita!$D383</f>
        <v>99.601221524669583</v>
      </c>
      <c r="V383" s="113">
        <f>Gasto_o_ing_per_capita!V383*100/Gasto_o_ing_per_capita!$D383</f>
        <v>66.721464249736584</v>
      </c>
    </row>
    <row r="384" spans="1:22" s="102" customFormat="1">
      <c r="A384" s="351" t="str">
        <f>IF(B384="","",(IF(ISERROR(MATCH(B384,Tot_res!C:C,0)),"Eliminar!!!","")))</f>
        <v/>
      </c>
      <c r="B384" s="115" t="s">
        <v>360</v>
      </c>
      <c r="C384" s="329" t="str">
        <f>VLOOKUP(B384,Tot_res!C:D,2,FALSE)</f>
        <v>Pensiones de clases pasivas</v>
      </c>
      <c r="D384" s="332">
        <f>Gasto_o_ing_per_capita!D384*100/Gasto_o_ing_per_capita!$D384</f>
        <v>100</v>
      </c>
      <c r="E384" s="332">
        <f>Gasto_o_ing_per_capita!E384*100/Gasto_o_ing_per_capita!$D384</f>
        <v>110.54091699857237</v>
      </c>
      <c r="F384" s="332">
        <f>Gasto_o_ing_per_capita!F384*100/Gasto_o_ing_per_capita!$D384</f>
        <v>129.01533859116751</v>
      </c>
      <c r="G384" s="332">
        <f>Gasto_o_ing_per_capita!G384*100/Gasto_o_ing_per_capita!$D384</f>
        <v>118.8795148850575</v>
      </c>
      <c r="H384" s="332">
        <f>Gasto_o_ing_per_capita!H384*100/Gasto_o_ing_per_capita!$D384</f>
        <v>63.380987289447155</v>
      </c>
      <c r="I384" s="332">
        <f>Gasto_o_ing_per_capita!I384*100/Gasto_o_ing_per_capita!$D384</f>
        <v>89.949361239543364</v>
      </c>
      <c r="J384" s="332">
        <f>Gasto_o_ing_per_capita!J384*100/Gasto_o_ing_per_capita!$D384</f>
        <v>99.001988937759037</v>
      </c>
      <c r="K384" s="332">
        <f>Gasto_o_ing_per_capita!K384*100/Gasto_o_ing_per_capita!$D384</f>
        <v>164.6826300729644</v>
      </c>
      <c r="L384" s="332">
        <f>Gasto_o_ing_per_capita!L384*100/Gasto_o_ing_per_capita!$D384</f>
        <v>94.17297511201825</v>
      </c>
      <c r="M384" s="332">
        <f>Gasto_o_ing_per_capita!M384*100/Gasto_o_ing_per_capita!$D384</f>
        <v>54.597413214863991</v>
      </c>
      <c r="N384" s="332">
        <f>Gasto_o_ing_per_capita!N384*100/Gasto_o_ing_per_capita!$D384</f>
        <v>78.237092284845872</v>
      </c>
      <c r="O384" s="332">
        <f>Gasto_o_ing_per_capita!O384*100/Gasto_o_ing_per_capita!$D384</f>
        <v>132.6235595592743</v>
      </c>
      <c r="P384" s="332">
        <f>Gasto_o_ing_per_capita!P384*100/Gasto_o_ing_per_capita!$D384</f>
        <v>122.94470009865809</v>
      </c>
      <c r="Q384" s="332">
        <f>Gasto_o_ing_per_capita!Q384*100/Gasto_o_ing_per_capita!$D384</f>
        <v>130.67894691608058</v>
      </c>
      <c r="R384" s="332">
        <f>Gasto_o_ing_per_capita!R384*100/Gasto_o_ing_per_capita!$D384</f>
        <v>111.32948335340458</v>
      </c>
      <c r="S384" s="332">
        <f>Gasto_o_ing_per_capita!S384*100/Gasto_o_ing_per_capita!$D384</f>
        <v>73.036934339134163</v>
      </c>
      <c r="T384" s="332">
        <f>Gasto_o_ing_per_capita!T384*100/Gasto_o_ing_per_capita!$D384</f>
        <v>53.985797876000582</v>
      </c>
      <c r="U384" s="332">
        <f>Gasto_o_ing_per_capita!U384*100/Gasto_o_ing_per_capita!$D384</f>
        <v>115.5666928002949</v>
      </c>
      <c r="V384" s="332">
        <f>Gasto_o_ing_per_capita!V384*100/Gasto_o_ing_per_capita!$D384</f>
        <v>197.54417500036053</v>
      </c>
    </row>
    <row r="385" spans="1:22" s="102" customFormat="1">
      <c r="A385" s="351" t="str">
        <f>IF(B385="","",(IF(ISERROR(MATCH(B385,Tot_res!C:C,0)),"Eliminar!!!","")))</f>
        <v/>
      </c>
      <c r="B385" s="115" t="s">
        <v>361</v>
      </c>
      <c r="C385" s="329" t="str">
        <f>VLOOKUP(B385,Tot_res!C:D,2,FALSE)</f>
        <v>Otras pensiones y prestac. de clases pasivas</v>
      </c>
      <c r="D385" s="332">
        <f>Gasto_o_ing_per_capita!D385*100/Gasto_o_ing_per_capita!$D385</f>
        <v>100</v>
      </c>
      <c r="E385" s="332">
        <f>Gasto_o_ing_per_capita!E385*100/Gasto_o_ing_per_capita!$D385</f>
        <v>60.486697725309661</v>
      </c>
      <c r="F385" s="332">
        <f>Gasto_o_ing_per_capita!F385*100/Gasto_o_ing_per_capita!$D385</f>
        <v>45.753849314724128</v>
      </c>
      <c r="G385" s="332">
        <f>Gasto_o_ing_per_capita!G385*100/Gasto_o_ing_per_capita!$D385</f>
        <v>50.965377222476747</v>
      </c>
      <c r="H385" s="332">
        <f>Gasto_o_ing_per_capita!H385*100/Gasto_o_ing_per_capita!$D385</f>
        <v>32.050589418789414</v>
      </c>
      <c r="I385" s="332">
        <f>Gasto_o_ing_per_capita!I385*100/Gasto_o_ing_per_capita!$D385</f>
        <v>669.08935950948569</v>
      </c>
      <c r="J385" s="332">
        <f>Gasto_o_ing_per_capita!J385*100/Gasto_o_ing_per_capita!$D385</f>
        <v>56.660256565854539</v>
      </c>
      <c r="K385" s="332">
        <f>Gasto_o_ing_per_capita!K385*100/Gasto_o_ing_per_capita!$D385</f>
        <v>52.730932916805877</v>
      </c>
      <c r="L385" s="332">
        <f>Gasto_o_ing_per_capita!L385*100/Gasto_o_ing_per_capita!$D385</f>
        <v>53.580090899333761</v>
      </c>
      <c r="M385" s="332">
        <f>Gasto_o_ing_per_capita!M385*100/Gasto_o_ing_per_capita!$D385</f>
        <v>42.67583179658557</v>
      </c>
      <c r="N385" s="332">
        <f>Gasto_o_ing_per_capita!N385*100/Gasto_o_ing_per_capita!$D385</f>
        <v>46.249858723431196</v>
      </c>
      <c r="O385" s="332">
        <f>Gasto_o_ing_per_capita!O385*100/Gasto_o_ing_per_capita!$D385</f>
        <v>54.740941294129833</v>
      </c>
      <c r="P385" s="332">
        <f>Gasto_o_ing_per_capita!P385*100/Gasto_o_ing_per_capita!$D385</f>
        <v>49.627894596349876</v>
      </c>
      <c r="Q385" s="332">
        <f>Gasto_o_ing_per_capita!Q385*100/Gasto_o_ing_per_capita!$D385</f>
        <v>197.76524647994972</v>
      </c>
      <c r="R385" s="332">
        <f>Gasto_o_ing_per_capita!R385*100/Gasto_o_ing_per_capita!$D385</f>
        <v>51.171539612176652</v>
      </c>
      <c r="S385" s="332">
        <f>Gasto_o_ing_per_capita!S385*100/Gasto_o_ing_per_capita!$D385</f>
        <v>24.966870543038269</v>
      </c>
      <c r="T385" s="332">
        <f>Gasto_o_ing_per_capita!T385*100/Gasto_o_ing_per_capita!$D385</f>
        <v>63.153954995777255</v>
      </c>
      <c r="U385" s="332">
        <f>Gasto_o_ing_per_capita!U385*100/Gasto_o_ing_per_capita!$D385</f>
        <v>45.682511265760105</v>
      </c>
      <c r="V385" s="332">
        <f>Gasto_o_ing_per_capita!V385*100/Gasto_o_ing_per_capita!$D385</f>
        <v>376.8484798153674</v>
      </c>
    </row>
    <row r="386" spans="1:22" s="102" customFormat="1">
      <c r="A386" s="351" t="str">
        <f>IF(B386="","",(IF(ISERROR(MATCH(B386,Tot_res!C:C,0)),"Eliminar!!!","")))</f>
        <v/>
      </c>
      <c r="B386" s="115" t="s">
        <v>362</v>
      </c>
      <c r="C386" s="329" t="str">
        <f>VLOOKUP(B386,Tot_res!C:D,2,FALSE)</f>
        <v>Pensiones no contrib. y prestac. asistenciales</v>
      </c>
      <c r="D386" s="332">
        <f>Gasto_o_ing_per_capita!D386*100/Gasto_o_ing_per_capita!$D386</f>
        <v>100</v>
      </c>
      <c r="E386" s="332">
        <f>Gasto_o_ing_per_capita!E386*100/Gasto_o_ing_per_capita!$D386</f>
        <v>292.22633788623517</v>
      </c>
      <c r="F386" s="332">
        <f>Gasto_o_ing_per_capita!F386*100/Gasto_o_ing_per_capita!$D386</f>
        <v>9.1019136810350041</v>
      </c>
      <c r="G386" s="332">
        <f>Gasto_o_ing_per_capita!G386*100/Gasto_o_ing_per_capita!$D386</f>
        <v>8.7882314442818981</v>
      </c>
      <c r="H386" s="332">
        <f>Gasto_o_ing_per_capita!H386*100/Gasto_o_ing_per_capita!$D386</f>
        <v>2.4331847007868528</v>
      </c>
      <c r="I386" s="332">
        <f>Gasto_o_ing_per_capita!I386*100/Gasto_o_ing_per_capita!$D386</f>
        <v>639.27815519157218</v>
      </c>
      <c r="J386" s="332">
        <f>Gasto_o_ing_per_capita!J386*100/Gasto_o_ing_per_capita!$D386</f>
        <v>38.503896913289331</v>
      </c>
      <c r="K386" s="332">
        <f>Gasto_o_ing_per_capita!K386*100/Gasto_o_ing_per_capita!$D386</f>
        <v>15.330913257096618</v>
      </c>
      <c r="L386" s="332">
        <f>Gasto_o_ing_per_capita!L386*100/Gasto_o_ing_per_capita!$D386</f>
        <v>8.2416453414146922</v>
      </c>
      <c r="M386" s="332">
        <f>Gasto_o_ing_per_capita!M386*100/Gasto_o_ing_per_capita!$D386</f>
        <v>2.6269084003837628</v>
      </c>
      <c r="N386" s="332">
        <f>Gasto_o_ing_per_capita!N386*100/Gasto_o_ing_per_capita!$D386</f>
        <v>41.309362033563964</v>
      </c>
      <c r="O386" s="332">
        <f>Gasto_o_ing_per_capita!O386*100/Gasto_o_ing_per_capita!$D386</f>
        <v>44.555518061546145</v>
      </c>
      <c r="P386" s="332">
        <f>Gasto_o_ing_per_capita!P386*100/Gasto_o_ing_per_capita!$D386</f>
        <v>3.4731636732442612</v>
      </c>
      <c r="Q386" s="332">
        <f>Gasto_o_ing_per_capita!Q386*100/Gasto_o_ing_per_capita!$D386</f>
        <v>63.470150014101634</v>
      </c>
      <c r="R386" s="332">
        <f>Gasto_o_ing_per_capita!R386*100/Gasto_o_ing_per_capita!$D386</f>
        <v>50.923162458750326</v>
      </c>
      <c r="S386" s="332">
        <f>Gasto_o_ing_per_capita!S386*100/Gasto_o_ing_per_capita!$D386</f>
        <v>1.3672651140456615</v>
      </c>
      <c r="T386" s="332">
        <f>Gasto_o_ing_per_capita!T386*100/Gasto_o_ing_per_capita!$D386</f>
        <v>0</v>
      </c>
      <c r="U386" s="332">
        <f>Gasto_o_ing_per_capita!U386*100/Gasto_o_ing_per_capita!$D386</f>
        <v>0</v>
      </c>
      <c r="V386" s="332">
        <f>Gasto_o_ing_per_capita!V386*100/Gasto_o_ing_per_capita!$D386</f>
        <v>0</v>
      </c>
    </row>
    <row r="387" spans="1:22" s="102" customFormat="1">
      <c r="A387" s="351" t="str">
        <f>IF(B387="","",(IF(ISERROR(MATCH(B387,Tot_res!C:C,0)),"Eliminar!!!","")))</f>
        <v/>
      </c>
      <c r="B387" s="115" t="s">
        <v>363</v>
      </c>
      <c r="C387" s="329" t="str">
        <f>VLOOKUP(B387,Tot_res!C:D,2,FALSE)</f>
        <v>Pensiones de guerra</v>
      </c>
      <c r="D387" s="332">
        <f>Gasto_o_ing_per_capita!D387*100/Gasto_o_ing_per_capita!$D387</f>
        <v>99.999999999999986</v>
      </c>
      <c r="E387" s="332">
        <f>Gasto_o_ing_per_capita!E387*100/Gasto_o_ing_per_capita!$D387</f>
        <v>52.095031373204826</v>
      </c>
      <c r="F387" s="332">
        <f>Gasto_o_ing_per_capita!F387*100/Gasto_o_ing_per_capita!$D387</f>
        <v>119.68867808500475</v>
      </c>
      <c r="G387" s="332">
        <f>Gasto_o_ing_per_capita!G387*100/Gasto_o_ing_per_capita!$D387</f>
        <v>156.90473019811407</v>
      </c>
      <c r="H387" s="332">
        <f>Gasto_o_ing_per_capita!H387*100/Gasto_o_ing_per_capita!$D387</f>
        <v>37.193299531484321</v>
      </c>
      <c r="I387" s="332">
        <f>Gasto_o_ing_per_capita!I387*100/Gasto_o_ing_per_capita!$D387</f>
        <v>5.8453126350172342</v>
      </c>
      <c r="J387" s="332">
        <f>Gasto_o_ing_per_capita!J387*100/Gasto_o_ing_per_capita!$D387</f>
        <v>126.42326681065305</v>
      </c>
      <c r="K387" s="332">
        <f>Gasto_o_ing_per_capita!K387*100/Gasto_o_ing_per_capita!$D387</f>
        <v>47.310375450201228</v>
      </c>
      <c r="L387" s="332">
        <f>Gasto_o_ing_per_capita!L387*100/Gasto_o_ing_per_capita!$D387</f>
        <v>103.51383556205958</v>
      </c>
      <c r="M387" s="332">
        <f>Gasto_o_ing_per_capita!M387*100/Gasto_o_ing_per_capita!$D387</f>
        <v>134.51719812112751</v>
      </c>
      <c r="N387" s="332">
        <f>Gasto_o_ing_per_capita!N387*100/Gasto_o_ing_per_capita!$D387</f>
        <v>144.5113789669121</v>
      </c>
      <c r="O387" s="332">
        <f>Gasto_o_ing_per_capita!O387*100/Gasto_o_ing_per_capita!$D387</f>
        <v>64.647988802918974</v>
      </c>
      <c r="P387" s="332">
        <f>Gasto_o_ing_per_capita!P387*100/Gasto_o_ing_per_capita!$D387</f>
        <v>22.342256388528561</v>
      </c>
      <c r="Q387" s="332">
        <f>Gasto_o_ing_per_capita!Q387*100/Gasto_o_ing_per_capita!$D387</f>
        <v>186.08599581297835</v>
      </c>
      <c r="R387" s="332">
        <f>Gasto_o_ing_per_capita!R387*100/Gasto_o_ing_per_capita!$D387</f>
        <v>102.42122832526417</v>
      </c>
      <c r="S387" s="332">
        <f>Gasto_o_ing_per_capita!S387*100/Gasto_o_ing_per_capita!$D387</f>
        <v>36.516381371472242</v>
      </c>
      <c r="T387" s="332">
        <f>Gasto_o_ing_per_capita!T387*100/Gasto_o_ing_per_capita!$D387</f>
        <v>90.395477066986174</v>
      </c>
      <c r="U387" s="332">
        <f>Gasto_o_ing_per_capita!U387*100/Gasto_o_ing_per_capita!$D387</f>
        <v>34.658201060758621</v>
      </c>
      <c r="V387" s="332">
        <f>Gasto_o_ing_per_capita!V387*100/Gasto_o_ing_per_capita!$D387</f>
        <v>15.744909931591685</v>
      </c>
    </row>
    <row r="388" spans="1:22" s="102" customFormat="1">
      <c r="A388" s="351" t="str">
        <f>IF(B388="","",(IF(ISERROR(MATCH(B388,Tot_res!C:C,0)),"Eliminar!!!","")))</f>
        <v/>
      </c>
      <c r="B388" s="115" t="s">
        <v>364</v>
      </c>
      <c r="C388" s="329" t="str">
        <f>VLOOKUP(B388,Tot_res!C:D,2,FALSE)</f>
        <v>Gestión de pensiones de clases pasivas</v>
      </c>
      <c r="D388" s="332">
        <f>Gasto_o_ing_per_capita!D388*100/Gasto_o_ing_per_capita!$D388</f>
        <v>100</v>
      </c>
      <c r="E388" s="332">
        <f>Gasto_o_ing_per_capita!E388*100/Gasto_o_ing_per_capita!$D388</f>
        <v>109.29679846288695</v>
      </c>
      <c r="F388" s="332">
        <f>Gasto_o_ing_per_capita!F388*100/Gasto_o_ing_per_capita!$D388</f>
        <v>128.63566932676983</v>
      </c>
      <c r="G388" s="332">
        <f>Gasto_o_ing_per_capita!G388*100/Gasto_o_ing_per_capita!$D388</f>
        <v>119.44715568817865</v>
      </c>
      <c r="H388" s="332">
        <f>Gasto_o_ing_per_capita!H388*100/Gasto_o_ing_per_capita!$D388</f>
        <v>62.802115372337916</v>
      </c>
      <c r="I388" s="332">
        <f>Gasto_o_ing_per_capita!I388*100/Gasto_o_ing_per_capita!$D388</f>
        <v>89.726006550909744</v>
      </c>
      <c r="J388" s="332">
        <f>Gasto_o_ing_per_capita!J388*100/Gasto_o_ing_per_capita!$D388</f>
        <v>99.427296511907258</v>
      </c>
      <c r="K388" s="332">
        <f>Gasto_o_ing_per_capita!K388*100/Gasto_o_ing_per_capita!$D388</f>
        <v>162.15665625416764</v>
      </c>
      <c r="L388" s="332">
        <f>Gasto_o_ing_per_capita!L388*100/Gasto_o_ing_per_capita!$D388</f>
        <v>94.254880072043449</v>
      </c>
      <c r="M388" s="332">
        <f>Gasto_o_ing_per_capita!M388*100/Gasto_o_ing_per_capita!$D388</f>
        <v>56.10524956469402</v>
      </c>
      <c r="N388" s="332">
        <f>Gasto_o_ing_per_capita!N388*100/Gasto_o_ing_per_capita!$D388</f>
        <v>79.434297623060303</v>
      </c>
      <c r="O388" s="332">
        <f>Gasto_o_ing_per_capita!O388*100/Gasto_o_ing_per_capita!$D388</f>
        <v>131.12926001133005</v>
      </c>
      <c r="P388" s="332">
        <f>Gasto_o_ing_per_capita!P388*100/Gasto_o_ing_per_capita!$D388</f>
        <v>120.83410892387337</v>
      </c>
      <c r="Q388" s="332">
        <f>Gasto_o_ing_per_capita!Q388*100/Gasto_o_ing_per_capita!$D388</f>
        <v>131.90562649847308</v>
      </c>
      <c r="R388" s="332">
        <f>Gasto_o_ing_per_capita!R388*100/Gasto_o_ing_per_capita!$D388</f>
        <v>111.01345355985039</v>
      </c>
      <c r="S388" s="332">
        <f>Gasto_o_ing_per_capita!S388*100/Gasto_o_ing_per_capita!$D388</f>
        <v>72.219123012422699</v>
      </c>
      <c r="T388" s="332">
        <f>Gasto_o_ing_per_capita!T388*100/Gasto_o_ing_per_capita!$D388</f>
        <v>54.707865853359039</v>
      </c>
      <c r="U388" s="332">
        <f>Gasto_o_ing_per_capita!U388*100/Gasto_o_ing_per_capita!$D388</f>
        <v>113.84299422372783</v>
      </c>
      <c r="V388" s="332">
        <f>Gasto_o_ing_per_capita!V388*100/Gasto_o_ing_per_capita!$D388</f>
        <v>194.48040336406743</v>
      </c>
    </row>
    <row r="389" spans="1:22" s="102" customFormat="1">
      <c r="A389" s="351" t="str">
        <f>IF(B389="","",(IF(ISERROR(MATCH(B389,Tot_res!C:C,0)),"Eliminar!!!","")))</f>
        <v/>
      </c>
      <c r="B389" s="115" t="s">
        <v>365</v>
      </c>
      <c r="C389" s="329" t="str">
        <f>VLOOKUP(B389,Tot_res!C:D,2,FALSE)</f>
        <v>Prestaciones económicas del mutualismo administrativo</v>
      </c>
      <c r="D389" s="332">
        <f>Gasto_o_ing_per_capita!D389*100/Gasto_o_ing_per_capita!$D389</f>
        <v>100</v>
      </c>
      <c r="E389" s="332">
        <f>Gasto_o_ing_per_capita!E389*100/Gasto_o_ing_per_capita!$D389</f>
        <v>103.62880708539149</v>
      </c>
      <c r="F389" s="332">
        <f>Gasto_o_ing_per_capita!F389*100/Gasto_o_ing_per_capita!$D389</f>
        <v>114.62360067945332</v>
      </c>
      <c r="G389" s="332">
        <f>Gasto_o_ing_per_capita!G389*100/Gasto_o_ing_per_capita!$D389</f>
        <v>124.4256712903514</v>
      </c>
      <c r="H389" s="332">
        <f>Gasto_o_ing_per_capita!H389*100/Gasto_o_ing_per_capita!$D389</f>
        <v>80.904081190697696</v>
      </c>
      <c r="I389" s="332">
        <f>Gasto_o_ing_per_capita!I389*100/Gasto_o_ing_per_capita!$D389</f>
        <v>94.430347358027916</v>
      </c>
      <c r="J389" s="332">
        <f>Gasto_o_ing_per_capita!J389*100/Gasto_o_ing_per_capita!$D389</f>
        <v>114.88927563419161</v>
      </c>
      <c r="K389" s="332">
        <f>Gasto_o_ing_per_capita!K389*100/Gasto_o_ing_per_capita!$D389</f>
        <v>128.1100706249596</v>
      </c>
      <c r="L389" s="332">
        <f>Gasto_o_ing_per_capita!L389*100/Gasto_o_ing_per_capita!$D389</f>
        <v>81.783909343966371</v>
      </c>
      <c r="M389" s="332">
        <f>Gasto_o_ing_per_capita!M389*100/Gasto_o_ing_per_capita!$D389</f>
        <v>75.547948490190564</v>
      </c>
      <c r="N389" s="332">
        <f>Gasto_o_ing_per_capita!N389*100/Gasto_o_ing_per_capita!$D389</f>
        <v>93.83912815769061</v>
      </c>
      <c r="O389" s="332">
        <f>Gasto_o_ing_per_capita!O389*100/Gasto_o_ing_per_capita!$D389</f>
        <v>97.532624734294984</v>
      </c>
      <c r="P389" s="332">
        <f>Gasto_o_ing_per_capita!P389*100/Gasto_o_ing_per_capita!$D389</f>
        <v>114.57005042443285</v>
      </c>
      <c r="Q389" s="332">
        <f>Gasto_o_ing_per_capita!Q389*100/Gasto_o_ing_per_capita!$D389</f>
        <v>123.3198380892659</v>
      </c>
      <c r="R389" s="332">
        <f>Gasto_o_ing_per_capita!R389*100/Gasto_o_ing_per_capita!$D389</f>
        <v>99.701256178559888</v>
      </c>
      <c r="S389" s="332">
        <f>Gasto_o_ing_per_capita!S389*100/Gasto_o_ing_per_capita!$D389</f>
        <v>76.444475730109289</v>
      </c>
      <c r="T389" s="332">
        <f>Gasto_o_ing_per_capita!T389*100/Gasto_o_ing_per_capita!$D389</f>
        <v>75.018240514553867</v>
      </c>
      <c r="U389" s="332">
        <f>Gasto_o_ing_per_capita!U389*100/Gasto_o_ing_per_capita!$D389</f>
        <v>96.498137583124389</v>
      </c>
      <c r="V389" s="332">
        <f>Gasto_o_ing_per_capita!V389*100/Gasto_o_ing_per_capita!$D389</f>
        <v>185.98151540446935</v>
      </c>
    </row>
    <row r="390" spans="1:22" s="102" customFormat="1">
      <c r="A390" s="351" t="str">
        <f>IF(B390="","",(IF(ISERROR(MATCH(B390,Tot_res!C:C,0)),"Eliminar!!!","")))</f>
        <v/>
      </c>
      <c r="B390" s="115" t="s">
        <v>367</v>
      </c>
      <c r="C390" s="329" t="str">
        <f>VLOOKUP(B390,Tot_res!C:D,2,FALSE)</f>
        <v>Prestaciones de garantía salarial</v>
      </c>
      <c r="D390" s="332">
        <f>Gasto_o_ing_per_capita!D390*100/Gasto_o_ing_per_capita!$D390</f>
        <v>100</v>
      </c>
      <c r="E390" s="332">
        <f>Gasto_o_ing_per_capita!E390*100/Gasto_o_ing_per_capita!$D390</f>
        <v>62.07174267241566</v>
      </c>
      <c r="F390" s="332">
        <f>Gasto_o_ing_per_capita!F390*100/Gasto_o_ing_per_capita!$D390</f>
        <v>105.14031591924972</v>
      </c>
      <c r="G390" s="332">
        <f>Gasto_o_ing_per_capita!G390*100/Gasto_o_ing_per_capita!$D390</f>
        <v>107.83886848193438</v>
      </c>
      <c r="H390" s="332">
        <f>Gasto_o_ing_per_capita!H390*100/Gasto_o_ing_per_capita!$D390</f>
        <v>102.67923472545969</v>
      </c>
      <c r="I390" s="332">
        <f>Gasto_o_ing_per_capita!I390*100/Gasto_o_ing_per_capita!$D390</f>
        <v>81.995761649730312</v>
      </c>
      <c r="J390" s="332">
        <f>Gasto_o_ing_per_capita!J390*100/Gasto_o_ing_per_capita!$D390</f>
        <v>97.513578614103551</v>
      </c>
      <c r="K390" s="332">
        <f>Gasto_o_ing_per_capita!K390*100/Gasto_o_ing_per_capita!$D390</f>
        <v>75.006550085485998</v>
      </c>
      <c r="L390" s="332">
        <f>Gasto_o_ing_per_capita!L390*100/Gasto_o_ing_per_capita!$D390</f>
        <v>67.036143075375534</v>
      </c>
      <c r="M390" s="332">
        <f>Gasto_o_ing_per_capita!M390*100/Gasto_o_ing_per_capita!$D390</f>
        <v>136.91704709097121</v>
      </c>
      <c r="N390" s="332">
        <f>Gasto_o_ing_per_capita!N390*100/Gasto_o_ing_per_capita!$D390</f>
        <v>158.06451495790276</v>
      </c>
      <c r="O390" s="332">
        <f>Gasto_o_ing_per_capita!O390*100/Gasto_o_ing_per_capita!$D390</f>
        <v>63.601479541891976</v>
      </c>
      <c r="P390" s="332">
        <f>Gasto_o_ing_per_capita!P390*100/Gasto_o_ing_per_capita!$D390</f>
        <v>100.74790572032087</v>
      </c>
      <c r="Q390" s="332">
        <f>Gasto_o_ing_per_capita!Q390*100/Gasto_o_ing_per_capita!$D390</f>
        <v>99.245555651979657</v>
      </c>
      <c r="R390" s="332">
        <f>Gasto_o_ing_per_capita!R390*100/Gasto_o_ing_per_capita!$D390</f>
        <v>114.7436911906855</v>
      </c>
      <c r="S390" s="332">
        <f>Gasto_o_ing_per_capita!S390*100/Gasto_o_ing_per_capita!$D390</f>
        <v>81.763144320447978</v>
      </c>
      <c r="T390" s="332">
        <f>Gasto_o_ing_per_capita!T390*100/Gasto_o_ing_per_capita!$D390</f>
        <v>80.831379741178168</v>
      </c>
      <c r="U390" s="332">
        <f>Gasto_o_ing_per_capita!U390*100/Gasto_o_ing_per_capita!$D390</f>
        <v>78.925374495123094</v>
      </c>
      <c r="V390" s="332">
        <f>Gasto_o_ing_per_capita!V390*100/Gasto_o_ing_per_capita!$D390</f>
        <v>7.633265870281563</v>
      </c>
    </row>
    <row r="391" spans="1:22" s="102" customFormat="1">
      <c r="A391" s="351" t="str">
        <f>IF(B391="","",(IF(ISERROR(MATCH(B391,Tot_res!C:C,0)),"Eliminar!!!","")))</f>
        <v/>
      </c>
      <c r="B391" s="119" t="s">
        <v>368</v>
      </c>
      <c r="C391" s="329" t="str">
        <f>VLOOKUP(B391,Tot_res!C:D,2,FALSE)</f>
        <v>Prestaciones económicas por cese de actividad</v>
      </c>
      <c r="D391" s="332">
        <f>Gasto_o_ing_per_capita!D391*100/Gasto_o_ing_per_capita!$D391</f>
        <v>100</v>
      </c>
      <c r="E391" s="332">
        <f>Gasto_o_ing_per_capita!E391*100/Gasto_o_ing_per_capita!$D391</f>
        <v>54.870101505146081</v>
      </c>
      <c r="F391" s="332">
        <f>Gasto_o_ing_per_capita!F391*100/Gasto_o_ing_per_capita!$D391</f>
        <v>120.67990498178085</v>
      </c>
      <c r="G391" s="332">
        <f>Gasto_o_ing_per_capita!G391*100/Gasto_o_ing_per_capita!$D391</f>
        <v>103.49704968773965</v>
      </c>
      <c r="H391" s="332">
        <f>Gasto_o_ing_per_capita!H391*100/Gasto_o_ing_per_capita!$D391</f>
        <v>46.016898094895538</v>
      </c>
      <c r="I391" s="332">
        <f>Gasto_o_ing_per_capita!I391*100/Gasto_o_ing_per_capita!$D391</f>
        <v>19.35110378377631</v>
      </c>
      <c r="J391" s="332">
        <f>Gasto_o_ing_per_capita!J391*100/Gasto_o_ing_per_capita!$D391</f>
        <v>126.49235009727067</v>
      </c>
      <c r="K391" s="332">
        <f>Gasto_o_ing_per_capita!K391*100/Gasto_o_ing_per_capita!$D391</f>
        <v>86.823007822546757</v>
      </c>
      <c r="L391" s="332">
        <f>Gasto_o_ing_per_capita!L391*100/Gasto_o_ing_per_capita!$D391</f>
        <v>68.839418333921074</v>
      </c>
      <c r="M391" s="332">
        <f>Gasto_o_ing_per_capita!M391*100/Gasto_o_ing_per_capita!$D391</f>
        <v>72.854858515120043</v>
      </c>
      <c r="N391" s="332">
        <f>Gasto_o_ing_per_capita!N391*100/Gasto_o_ing_per_capita!$D391</f>
        <v>71.465216291714782</v>
      </c>
      <c r="O391" s="332">
        <f>Gasto_o_ing_per_capita!O391*100/Gasto_o_ing_per_capita!$D391</f>
        <v>9.4182407692550427</v>
      </c>
      <c r="P391" s="332">
        <f>Gasto_o_ing_per_capita!P391*100/Gasto_o_ing_per_capita!$D391</f>
        <v>551.88933440290862</v>
      </c>
      <c r="Q391" s="332">
        <f>Gasto_o_ing_per_capita!Q391*100/Gasto_o_ing_per_capita!$D391</f>
        <v>87.671568895988855</v>
      </c>
      <c r="R391" s="332">
        <f>Gasto_o_ing_per_capita!R391*100/Gasto_o_ing_per_capita!$D391</f>
        <v>116.05631548769472</v>
      </c>
      <c r="S391" s="332">
        <f>Gasto_o_ing_per_capita!S391*100/Gasto_o_ing_per_capita!$D391</f>
        <v>103.91929755476049</v>
      </c>
      <c r="T391" s="332">
        <f>Gasto_o_ing_per_capita!T391*100/Gasto_o_ing_per_capita!$D391</f>
        <v>70.597694216703374</v>
      </c>
      <c r="U391" s="332">
        <f>Gasto_o_ing_per_capita!U391*100/Gasto_o_ing_per_capita!$D391</f>
        <v>102.98968753363374</v>
      </c>
      <c r="V391" s="332">
        <f>Gasto_o_ing_per_capita!V391*100/Gasto_o_ing_per_capita!$D391</f>
        <v>0</v>
      </c>
    </row>
    <row r="392" spans="1:22" s="102" customFormat="1">
      <c r="A392" s="351" t="str">
        <f>IF(B392="","",(IF(ISERROR(MATCH(B392,Tot_res!C:C,0)),"Eliminar!!!","")))</f>
        <v/>
      </c>
      <c r="B392" s="119" t="s">
        <v>844</v>
      </c>
      <c r="C392" s="329" t="str">
        <f>VLOOKUP(B392,Tot_res!C:D,2,FALSE)</f>
        <v>Prestaciones a los desempleados, neto de renta y subsidio agrarios</v>
      </c>
      <c r="D392" s="332">
        <f>Gasto_o_ing_per_capita!D392*100/Gasto_o_ing_per_capita!$D392</f>
        <v>100</v>
      </c>
      <c r="E392" s="332">
        <f>Gasto_o_ing_per_capita!E392*100/Gasto_o_ing_per_capita!$D392</f>
        <v>95.354235508196055</v>
      </c>
      <c r="F392" s="332">
        <f>Gasto_o_ing_per_capita!F392*100/Gasto_o_ing_per_capita!$D392</f>
        <v>96.685850963444196</v>
      </c>
      <c r="G392" s="332">
        <f>Gasto_o_ing_per_capita!G392*100/Gasto_o_ing_per_capita!$D392</f>
        <v>99.46324472558922</v>
      </c>
      <c r="H392" s="332">
        <f>Gasto_o_ing_per_capita!H392*100/Gasto_o_ing_per_capita!$D392</f>
        <v>115.61181422606633</v>
      </c>
      <c r="I392" s="332">
        <f>Gasto_o_ing_per_capita!I392*100/Gasto_o_ing_per_capita!$D392</f>
        <v>109.62311472299886</v>
      </c>
      <c r="J392" s="332">
        <f>Gasto_o_ing_per_capita!J392*100/Gasto_o_ing_per_capita!$D392</f>
        <v>97.391223583650358</v>
      </c>
      <c r="K392" s="332">
        <f>Gasto_o_ing_per_capita!K392*100/Gasto_o_ing_per_capita!$D392</f>
        <v>90.669212272182904</v>
      </c>
      <c r="L392" s="332">
        <f>Gasto_o_ing_per_capita!L392*100/Gasto_o_ing_per_capita!$D392</f>
        <v>103.98496717271496</v>
      </c>
      <c r="M392" s="332">
        <f>Gasto_o_ing_per_capita!M392*100/Gasto_o_ing_per_capita!$D392</f>
        <v>104.14995089411886</v>
      </c>
      <c r="N392" s="332">
        <f>Gasto_o_ing_per_capita!N392*100/Gasto_o_ing_per_capita!$D392</f>
        <v>102.09093910614881</v>
      </c>
      <c r="O392" s="332">
        <f>Gasto_o_ing_per_capita!O392*100/Gasto_o_ing_per_capita!$D392</f>
        <v>100.10128562004847</v>
      </c>
      <c r="P392" s="332">
        <f>Gasto_o_ing_per_capita!P392*100/Gasto_o_ing_per_capita!$D392</f>
        <v>96.944334454629669</v>
      </c>
      <c r="Q392" s="332">
        <f>Gasto_o_ing_per_capita!Q392*100/Gasto_o_ing_per_capita!$D392</f>
        <v>102.07239799932483</v>
      </c>
      <c r="R392" s="332">
        <f>Gasto_o_ing_per_capita!R392*100/Gasto_o_ing_per_capita!$D392</f>
        <v>95.671246253423519</v>
      </c>
      <c r="S392" s="332">
        <f>Gasto_o_ing_per_capita!S392*100/Gasto_o_ing_per_capita!$D392</f>
        <v>102.15091080096211</v>
      </c>
      <c r="T392" s="332">
        <f>Gasto_o_ing_per_capita!T392*100/Gasto_o_ing_per_capita!$D392</f>
        <v>93.856108260380353</v>
      </c>
      <c r="U392" s="332">
        <f>Gasto_o_ing_per_capita!U392*100/Gasto_o_ing_per_capita!$D392</f>
        <v>98.20877258172392</v>
      </c>
      <c r="V392" s="332">
        <f>Gasto_o_ing_per_capita!V392*100/Gasto_o_ing_per_capita!$D392</f>
        <v>71.957062318136849</v>
      </c>
    </row>
    <row r="393" spans="1:22" s="102" customFormat="1">
      <c r="A393" s="351" t="str">
        <f>IF(B393="","",(IF(ISERROR(MATCH(B393,Tot_res!C:C,0)),"Eliminar!!!","")))</f>
        <v/>
      </c>
      <c r="B393" s="115" t="s">
        <v>370</v>
      </c>
      <c r="C393" s="329" t="str">
        <f>VLOOKUP(B393,Tot_res!C:D,2,FALSE)</f>
        <v>Becas y ayudas a estudiantes + AF03/1</v>
      </c>
      <c r="D393" s="332">
        <f>Gasto_o_ing_per_capita!D393*100/Gasto_o_ing_per_capita!$D393</f>
        <v>100</v>
      </c>
      <c r="E393" s="332">
        <f>Gasto_o_ing_per_capita!E393*100/Gasto_o_ing_per_capita!$D393</f>
        <v>142.331330560407</v>
      </c>
      <c r="F393" s="332">
        <f>Gasto_o_ing_per_capita!F393*100/Gasto_o_ing_per_capita!$D393</f>
        <v>63.544003912464547</v>
      </c>
      <c r="G393" s="332">
        <f>Gasto_o_ing_per_capita!G393*100/Gasto_o_ing_per_capita!$D393</f>
        <v>65.462031323983851</v>
      </c>
      <c r="H393" s="332">
        <f>Gasto_o_ing_per_capita!H393*100/Gasto_o_ing_per_capita!$D393</f>
        <v>43.294332929095127</v>
      </c>
      <c r="I393" s="332">
        <f>Gasto_o_ing_per_capita!I393*100/Gasto_o_ing_per_capita!$D393</f>
        <v>113.32696980228626</v>
      </c>
      <c r="J393" s="332">
        <f>Gasto_o_ing_per_capita!J393*100/Gasto_o_ing_per_capita!$D393</f>
        <v>67.675524708354288</v>
      </c>
      <c r="K393" s="332">
        <f>Gasto_o_ing_per_capita!K393*100/Gasto_o_ing_per_capita!$D393</f>
        <v>111.1145576754966</v>
      </c>
      <c r="L393" s="332">
        <f>Gasto_o_ing_per_capita!L393*100/Gasto_o_ing_per_capita!$D393</f>
        <v>82.925329363844426</v>
      </c>
      <c r="M393" s="332">
        <f>Gasto_o_ing_per_capita!M393*100/Gasto_o_ing_per_capita!$D393</f>
        <v>67.556304870591404</v>
      </c>
      <c r="N393" s="332">
        <f>Gasto_o_ing_per_capita!N393*100/Gasto_o_ing_per_capita!$D393</f>
        <v>112.91082498226578</v>
      </c>
      <c r="O393" s="332">
        <f>Gasto_o_ing_per_capita!O393*100/Gasto_o_ing_per_capita!$D393</f>
        <v>138.93420512884595</v>
      </c>
      <c r="P393" s="332">
        <f>Gasto_o_ing_per_capita!P393*100/Gasto_o_ing_per_capita!$D393</f>
        <v>108.22500503867107</v>
      </c>
      <c r="Q393" s="332">
        <f>Gasto_o_ing_per_capita!Q393*100/Gasto_o_ing_per_capita!$D393</f>
        <v>81.518596040918382</v>
      </c>
      <c r="R393" s="332">
        <f>Gasto_o_ing_per_capita!R393*100/Gasto_o_ing_per_capita!$D393</f>
        <v>130.76149250161058</v>
      </c>
      <c r="S393" s="332">
        <f>Gasto_o_ing_per_capita!S393*100/Gasto_o_ing_per_capita!$D393</f>
        <v>99.998386900410267</v>
      </c>
      <c r="T393" s="332">
        <f>Gasto_o_ing_per_capita!T393*100/Gasto_o_ing_per_capita!$D393</f>
        <v>100.00062743582508</v>
      </c>
      <c r="U393" s="332">
        <f>Gasto_o_ing_per_capita!U393*100/Gasto_o_ing_per_capita!$D393</f>
        <v>54.657355270094669</v>
      </c>
      <c r="V393" s="332">
        <f>Gasto_o_ing_per_capita!V393*100/Gasto_o_ing_per_capita!$D393</f>
        <v>57.744698363824057</v>
      </c>
    </row>
    <row r="394" spans="1:22"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Gasto_o_ing_per_capita!D394*100/Gasto_o_ing_per_capita!$D394</f>
        <v>100</v>
      </c>
      <c r="E394" s="332">
        <f>Gasto_o_ing_per_capita!E394*100/Gasto_o_ing_per_capita!$D394</f>
        <v>8.1957008670848843</v>
      </c>
      <c r="F394" s="332">
        <f>Gasto_o_ing_per_capita!F394*100/Gasto_o_ing_per_capita!$D394</f>
        <v>4.2468642464836757</v>
      </c>
      <c r="G394" s="332">
        <f>Gasto_o_ing_per_capita!G394*100/Gasto_o_ing_per_capita!$D394</f>
        <v>8.8543359875259711</v>
      </c>
      <c r="H394" s="332">
        <f>Gasto_o_ing_per_capita!H394*100/Gasto_o_ing_per_capita!$D394</f>
        <v>7.7957285593435461</v>
      </c>
      <c r="I394" s="332">
        <f>Gasto_o_ing_per_capita!I394*100/Gasto_o_ing_per_capita!$D394</f>
        <v>6.940623929133074</v>
      </c>
      <c r="J394" s="332">
        <f>Gasto_o_ing_per_capita!J394*100/Gasto_o_ing_per_capita!$D394</f>
        <v>40.164826742292114</v>
      </c>
      <c r="K394" s="332">
        <f>Gasto_o_ing_per_capita!K394*100/Gasto_o_ing_per_capita!$D394</f>
        <v>433.93486553117964</v>
      </c>
      <c r="L394" s="332">
        <f>Gasto_o_ing_per_capita!L394*100/Gasto_o_ing_per_capita!$D394</f>
        <v>112.13324425377134</v>
      </c>
      <c r="M394" s="332">
        <f>Gasto_o_ing_per_capita!M394*100/Gasto_o_ing_per_capita!$D394</f>
        <v>2.8884699259658366</v>
      </c>
      <c r="N394" s="332">
        <f>Gasto_o_ing_per_capita!N394*100/Gasto_o_ing_per_capita!$D394</f>
        <v>11.766324032484206</v>
      </c>
      <c r="O394" s="332">
        <f>Gasto_o_ing_per_capita!O394*100/Gasto_o_ing_per_capita!$D394</f>
        <v>39.933107841089395</v>
      </c>
      <c r="P394" s="332">
        <f>Gasto_o_ing_per_capita!P394*100/Gasto_o_ing_per_capita!$D394</f>
        <v>6.5537596542914516</v>
      </c>
      <c r="Q394" s="332">
        <f>Gasto_o_ing_per_capita!Q394*100/Gasto_o_ing_per_capita!$D394</f>
        <v>473.23327840300834</v>
      </c>
      <c r="R394" s="332">
        <f>Gasto_o_ing_per_capita!R394*100/Gasto_o_ing_per_capita!$D394</f>
        <v>11.47754799175102</v>
      </c>
      <c r="S394" s="332">
        <f>Gasto_o_ing_per_capita!S394*100/Gasto_o_ing_per_capita!$D394</f>
        <v>8.1771344208754737</v>
      </c>
      <c r="T394" s="332">
        <f>Gasto_o_ing_per_capita!T394*100/Gasto_o_ing_per_capita!$D394</f>
        <v>5.2987610362760167</v>
      </c>
      <c r="U394" s="332">
        <f>Gasto_o_ing_per_capita!U394*100/Gasto_o_ing_per_capita!$D394</f>
        <v>9.4125591662872257</v>
      </c>
      <c r="V394" s="332">
        <f>Gasto_o_ing_per_capita!V394*100/Gasto_o_ing_per_capita!$D394</f>
        <v>2.2054855904446926</v>
      </c>
    </row>
    <row r="395" spans="1:22" s="102" customFormat="1">
      <c r="A395" s="351" t="str">
        <f>IF(B395="","",(IF(ISERROR(MATCH(B395,Tot_res!C:C,0)),"Eliminar!!!","")))</f>
        <v/>
      </c>
      <c r="B395" s="115" t="s">
        <v>849</v>
      </c>
      <c r="C395" s="329" t="str">
        <f>VLOOKUP(B395,Tot_res!C:D,2,FALSE)</f>
        <v>Pensiones contributivas de la Seguridad Social</v>
      </c>
      <c r="D395" s="332">
        <f>Gasto_o_ing_per_capita!D395*100/Gasto_o_ing_per_capita!$D395</f>
        <v>100</v>
      </c>
      <c r="E395" s="332">
        <f>Gasto_o_ing_per_capita!E395*100/Gasto_o_ing_per_capita!$D395</f>
        <v>80.395090542254039</v>
      </c>
      <c r="F395" s="332">
        <f>Gasto_o_ing_per_capita!F395*100/Gasto_o_ing_per_capita!$D395</f>
        <v>117.25691761195131</v>
      </c>
      <c r="G395" s="332">
        <f>Gasto_o_ing_per_capita!G395*100/Gasto_o_ing_per_capita!$D395</f>
        <v>169.48206029640042</v>
      </c>
      <c r="H395" s="332">
        <f>Gasto_o_ing_per_capita!H395*100/Gasto_o_ing_per_capita!$D395</f>
        <v>75.42019090292807</v>
      </c>
      <c r="I395" s="332">
        <f>Gasto_o_ing_per_capita!I395*100/Gasto_o_ing_per_capita!$D395</f>
        <v>63.999932438830555</v>
      </c>
      <c r="J395" s="332">
        <f>Gasto_o_ing_per_capita!J395*100/Gasto_o_ing_per_capita!$D395</f>
        <v>122.20440444123335</v>
      </c>
      <c r="K395" s="332">
        <f>Gasto_o_ing_per_capita!K395*100/Gasto_o_ing_per_capita!$D395</f>
        <v>119.63616176251057</v>
      </c>
      <c r="L395" s="332">
        <f>Gasto_o_ing_per_capita!L395*100/Gasto_o_ing_per_capita!$D395</f>
        <v>81.346602524084631</v>
      </c>
      <c r="M395" s="332">
        <f>Gasto_o_ing_per_capita!M395*100/Gasto_o_ing_per_capita!$D395</f>
        <v>115.51915194883046</v>
      </c>
      <c r="N395" s="332">
        <f>Gasto_o_ing_per_capita!N395*100/Gasto_o_ing_per_capita!$D395</f>
        <v>87.840065940277555</v>
      </c>
      <c r="O395" s="332">
        <f>Gasto_o_ing_per_capita!O395*100/Gasto_o_ing_per_capita!$D395</f>
        <v>84.132075469274469</v>
      </c>
      <c r="P395" s="332">
        <f>Gasto_o_ing_per_capita!P395*100/Gasto_o_ing_per_capita!$D395</f>
        <v>116.33610540324011</v>
      </c>
      <c r="Q395" s="332">
        <f>Gasto_o_ing_per_capita!Q395*100/Gasto_o_ing_per_capita!$D395</f>
        <v>99.258753166768656</v>
      </c>
      <c r="R395" s="332">
        <f>Gasto_o_ing_per_capita!R395*100/Gasto_o_ing_per_capita!$D395</f>
        <v>72.082677164932448</v>
      </c>
      <c r="S395" s="332">
        <f>Gasto_o_ing_per_capita!S395*100/Gasto_o_ing_per_capita!$D395</f>
        <v>114.98606135846168</v>
      </c>
      <c r="T395" s="332">
        <f>Gasto_o_ing_per_capita!T395*100/Gasto_o_ing_per_capita!$D395</f>
        <v>150.00456158498213</v>
      </c>
      <c r="U395" s="332">
        <f>Gasto_o_ing_per_capita!U395*100/Gasto_o_ing_per_capita!$D395</f>
        <v>101.93722763686937</v>
      </c>
      <c r="V395" s="332">
        <f>Gasto_o_ing_per_capita!V395*100/Gasto_o_ing_per_capita!$D395</f>
        <v>46.300070115056982</v>
      </c>
    </row>
    <row r="396" spans="1:22" s="102" customFormat="1">
      <c r="A396" s="351" t="str">
        <f>IF(B396="","",(IF(ISERROR(MATCH(B396,Tot_res!C:C,0)),"Eliminar!!!","")))</f>
        <v/>
      </c>
      <c r="B396" s="115" t="s">
        <v>850</v>
      </c>
      <c r="C396" s="329" t="str">
        <f>VLOOKUP(B396,Tot_res!C:D,2,FALSE)</f>
        <v>Otras prestaciones contributivas de la Seguridad Social + AF03/2</v>
      </c>
      <c r="D396" s="332">
        <f>Gasto_o_ing_per_capita!D396*100/Gasto_o_ing_per_capita!$D396</f>
        <v>100</v>
      </c>
      <c r="E396" s="332">
        <f>Gasto_o_ing_per_capita!E396*100/Gasto_o_ing_per_capita!$D396</f>
        <v>85.9277279167637</v>
      </c>
      <c r="F396" s="332">
        <f>Gasto_o_ing_per_capita!F396*100/Gasto_o_ing_per_capita!$D396</f>
        <v>98.300897951332502</v>
      </c>
      <c r="G396" s="332">
        <f>Gasto_o_ing_per_capita!G396*100/Gasto_o_ing_per_capita!$D396</f>
        <v>120.45180665212654</v>
      </c>
      <c r="H396" s="332">
        <f>Gasto_o_ing_per_capita!H396*100/Gasto_o_ing_per_capita!$D396</f>
        <v>81.618929450075342</v>
      </c>
      <c r="I396" s="332">
        <f>Gasto_o_ing_per_capita!I396*100/Gasto_o_ing_per_capita!$D396</f>
        <v>77.705113734759166</v>
      </c>
      <c r="J396" s="332">
        <f>Gasto_o_ing_per_capita!J396*100/Gasto_o_ing_per_capita!$D396</f>
        <v>106.0666020849709</v>
      </c>
      <c r="K396" s="332">
        <f>Gasto_o_ing_per_capita!K396*100/Gasto_o_ing_per_capita!$D396</f>
        <v>82.218603789262175</v>
      </c>
      <c r="L396" s="332">
        <f>Gasto_o_ing_per_capita!L396*100/Gasto_o_ing_per_capita!$D396</f>
        <v>71.579740812700919</v>
      </c>
      <c r="M396" s="332">
        <f>Gasto_o_ing_per_capita!M396*100/Gasto_o_ing_per_capita!$D396</f>
        <v>108.04271203564056</v>
      </c>
      <c r="N396" s="332">
        <f>Gasto_o_ing_per_capita!N396*100/Gasto_o_ing_per_capita!$D396</f>
        <v>78.422401849947391</v>
      </c>
      <c r="O396" s="332">
        <f>Gasto_o_ing_per_capita!O396*100/Gasto_o_ing_per_capita!$D396</f>
        <v>89.584716183093988</v>
      </c>
      <c r="P396" s="332">
        <f>Gasto_o_ing_per_capita!P396*100/Gasto_o_ing_per_capita!$D396</f>
        <v>110.49056150833687</v>
      </c>
      <c r="Q396" s="332">
        <f>Gasto_o_ing_per_capita!Q396*100/Gasto_o_ing_per_capita!$D396</f>
        <v>113.98628444206885</v>
      </c>
      <c r="R396" s="332">
        <f>Gasto_o_ing_per_capita!R396*100/Gasto_o_ing_per_capita!$D396</f>
        <v>106.72212818452898</v>
      </c>
      <c r="S396" s="332">
        <f>Gasto_o_ing_per_capita!S396*100/Gasto_o_ing_per_capita!$D396</f>
        <v>135.19206596846718</v>
      </c>
      <c r="T396" s="332">
        <f>Gasto_o_ing_per_capita!T396*100/Gasto_o_ing_per_capita!$D396</f>
        <v>184.71645640325897</v>
      </c>
      <c r="U396" s="332">
        <f>Gasto_o_ing_per_capita!U396*100/Gasto_o_ing_per_capita!$D396</f>
        <v>72.341868943339747</v>
      </c>
      <c r="V396" s="332">
        <f>Gasto_o_ing_per_capita!V396*100/Gasto_o_ing_per_capita!$D396</f>
        <v>77.453443810224485</v>
      </c>
    </row>
    <row r="397" spans="1:22" s="102" customFormat="1">
      <c r="A397" s="351" t="str">
        <f>IF(B397="","",(IF(ISERROR(MATCH(B397,Tot_res!C:C,0)),"Eliminar!!!","")))</f>
        <v/>
      </c>
      <c r="B397" s="115" t="s">
        <v>852</v>
      </c>
      <c r="C397" s="329" t="str">
        <f>VLOOKUP(B397,Tot_res!C:D,2,FALSE)</f>
        <v>Prestaciones económicas contributivas, Mutuas</v>
      </c>
      <c r="D397" s="332">
        <f>Gasto_o_ing_per_capita!D397*100/Gasto_o_ing_per_capita!$D397</f>
        <v>100</v>
      </c>
      <c r="E397" s="332">
        <f>Gasto_o_ing_per_capita!E397*100/Gasto_o_ing_per_capita!$D397</f>
        <v>56.763594510272263</v>
      </c>
      <c r="F397" s="332">
        <f>Gasto_o_ing_per_capita!F397*100/Gasto_o_ing_per_capita!$D397</f>
        <v>101.25569288480229</v>
      </c>
      <c r="G397" s="332">
        <f>Gasto_o_ing_per_capita!G397*100/Gasto_o_ing_per_capita!$D397</f>
        <v>88.116001310208887</v>
      </c>
      <c r="H397" s="332">
        <f>Gasto_o_ing_per_capita!H397*100/Gasto_o_ing_per_capita!$D397</f>
        <v>105.05818015999181</v>
      </c>
      <c r="I397" s="332">
        <f>Gasto_o_ing_per_capita!I397*100/Gasto_o_ing_per_capita!$D397</f>
        <v>71.17043168815313</v>
      </c>
      <c r="J397" s="332">
        <f>Gasto_o_ing_per_capita!J397*100/Gasto_o_ing_per_capita!$D397</f>
        <v>107.37692767970883</v>
      </c>
      <c r="K397" s="332">
        <f>Gasto_o_ing_per_capita!K397*100/Gasto_o_ing_per_capita!$D397</f>
        <v>77.881154297246525</v>
      </c>
      <c r="L397" s="332">
        <f>Gasto_o_ing_per_capita!L397*100/Gasto_o_ing_per_capita!$D397</f>
        <v>82.657875517636825</v>
      </c>
      <c r="M397" s="332">
        <f>Gasto_o_ing_per_capita!M397*100/Gasto_o_ing_per_capita!$D397</f>
        <v>102.78556119332062</v>
      </c>
      <c r="N397" s="332">
        <f>Gasto_o_ing_per_capita!N397*100/Gasto_o_ing_per_capita!$D397</f>
        <v>77.827759260752231</v>
      </c>
      <c r="O397" s="332">
        <f>Gasto_o_ing_per_capita!O397*100/Gasto_o_ing_per_capita!$D397</f>
        <v>53.12369943939774</v>
      </c>
      <c r="P397" s="332">
        <f>Gasto_o_ing_per_capita!P397*100/Gasto_o_ing_per_capita!$D397</f>
        <v>85.807755312135569</v>
      </c>
      <c r="Q397" s="332">
        <f>Gasto_o_ing_per_capita!Q397*100/Gasto_o_ing_per_capita!$D397</f>
        <v>204.966093291475</v>
      </c>
      <c r="R397" s="332">
        <f>Gasto_o_ing_per_capita!R397*100/Gasto_o_ing_per_capita!$D397</f>
        <v>86.424114244400059</v>
      </c>
      <c r="S397" s="332">
        <f>Gasto_o_ing_per_capita!S397*100/Gasto_o_ing_per_capita!$D397</f>
        <v>120.19578166170632</v>
      </c>
      <c r="T397" s="332">
        <f>Gasto_o_ing_per_capita!T397*100/Gasto_o_ing_per_capita!$D397</f>
        <v>119.2101517755048</v>
      </c>
      <c r="U397" s="332">
        <f>Gasto_o_ing_per_capita!U397*100/Gasto_o_ing_per_capita!$D397</f>
        <v>81.278488874475386</v>
      </c>
      <c r="V397" s="332">
        <f>Gasto_o_ing_per_capita!V397*100/Gasto_o_ing_per_capita!$D397</f>
        <v>40.920341133169025</v>
      </c>
    </row>
    <row r="398" spans="1:22" s="102" customFormat="1">
      <c r="A398" s="351" t="str">
        <f>IF(B398="","",(IF(ISERROR(MATCH(B398,Tot_res!C:C,0)),"Eliminar!!!","")))</f>
        <v/>
      </c>
      <c r="B398" s="115" t="s">
        <v>854</v>
      </c>
      <c r="C398" s="329" t="str">
        <f>VLOOKUP(B398,Tot_res!C:D,2,FALSE)</f>
        <v>Pensiones no contributivas de la Seg Soc + AF03/3</v>
      </c>
      <c r="D398" s="332">
        <f>Gasto_o_ing_per_capita!D398*100/Gasto_o_ing_per_capita!$D398</f>
        <v>100</v>
      </c>
      <c r="E398" s="332">
        <f>Gasto_o_ing_per_capita!E398*100/Gasto_o_ing_per_capita!$D398</f>
        <v>125.75729323883616</v>
      </c>
      <c r="F398" s="332">
        <f>Gasto_o_ing_per_capita!F398*100/Gasto_o_ing_per_capita!$D398</f>
        <v>59.180387421455613</v>
      </c>
      <c r="G398" s="332">
        <f>Gasto_o_ing_per_capita!G398*100/Gasto_o_ing_per_capita!$D398</f>
        <v>90.345477094204085</v>
      </c>
      <c r="H398" s="332">
        <f>Gasto_o_ing_per_capita!H398*100/Gasto_o_ing_per_capita!$D398</f>
        <v>72.755042340521712</v>
      </c>
      <c r="I398" s="332">
        <f>Gasto_o_ing_per_capita!I398*100/Gasto_o_ing_per_capita!$D398</f>
        <v>212.83571167654736</v>
      </c>
      <c r="J398" s="332">
        <f>Gasto_o_ing_per_capita!J398*100/Gasto_o_ing_per_capita!$D398</f>
        <v>116.58740550490367</v>
      </c>
      <c r="K398" s="332">
        <f>Gasto_o_ing_per_capita!K398*100/Gasto_o_ing_per_capita!$D398</f>
        <v>93.111896894341839</v>
      </c>
      <c r="L398" s="332">
        <f>Gasto_o_ing_per_capita!L398*100/Gasto_o_ing_per_capita!$D398</f>
        <v>100.26460965702432</v>
      </c>
      <c r="M398" s="332">
        <f>Gasto_o_ing_per_capita!M398*100/Gasto_o_ing_per_capita!$D398</f>
        <v>79.892960168310879</v>
      </c>
      <c r="N398" s="332">
        <f>Gasto_o_ing_per_capita!N398*100/Gasto_o_ing_per_capita!$D398</f>
        <v>95.929366883482516</v>
      </c>
      <c r="O398" s="332">
        <f>Gasto_o_ing_per_capita!O398*100/Gasto_o_ing_per_capita!$D398</f>
        <v>135.36136581562809</v>
      </c>
      <c r="P398" s="332">
        <f>Gasto_o_ing_per_capita!P398*100/Gasto_o_ing_per_capita!$D398</f>
        <v>160.39548162395258</v>
      </c>
      <c r="Q398" s="332">
        <f>Gasto_o_ing_per_capita!Q398*100/Gasto_o_ing_per_capita!$D398</f>
        <v>58.259670303306358</v>
      </c>
      <c r="R398" s="332">
        <f>Gasto_o_ing_per_capita!R398*100/Gasto_o_ing_per_capita!$D398</f>
        <v>105.06796084399575</v>
      </c>
      <c r="S398" s="332">
        <f>Gasto_o_ing_per_capita!S398*100/Gasto_o_ing_per_capita!$D398</f>
        <v>42.900589905612769</v>
      </c>
      <c r="T398" s="332">
        <f>Gasto_o_ing_per_capita!T398*100/Gasto_o_ing_per_capita!$D398</f>
        <v>51.774489870880657</v>
      </c>
      <c r="U398" s="332">
        <f>Gasto_o_ing_per_capita!U398*100/Gasto_o_ing_per_capita!$D398</f>
        <v>59.778511287721244</v>
      </c>
      <c r="V398" s="332">
        <f>Gasto_o_ing_per_capita!V398*100/Gasto_o_ing_per_capita!$D398</f>
        <v>283.2834510326436</v>
      </c>
    </row>
    <row r="399" spans="1:22" s="102" customFormat="1">
      <c r="A399" s="351" t="str">
        <f>IF(B399="","",(IF(ISERROR(MATCH(B399,Tot_res!C:C,0)),"Eliminar!!!","")))</f>
        <v/>
      </c>
      <c r="B399" s="115" t="s">
        <v>856</v>
      </c>
      <c r="C399" s="329" t="str">
        <f>VLOOKUP(B399,Tot_res!C:D,2,FALSE)</f>
        <v>Protección familiar y otras prestaciones no contributivas de la Seg Social</v>
      </c>
      <c r="D399" s="332">
        <f>Gasto_o_ing_per_capita!D399*100/Gasto_o_ing_per_capita!$D399</f>
        <v>100</v>
      </c>
      <c r="E399" s="332">
        <f>Gasto_o_ing_per_capita!E399*100/Gasto_o_ing_per_capita!$D399</f>
        <v>111.0002871885718</v>
      </c>
      <c r="F399" s="332">
        <f>Gasto_o_ing_per_capita!F399*100/Gasto_o_ing_per_capita!$D399</f>
        <v>88.700940614248609</v>
      </c>
      <c r="G399" s="332">
        <f>Gasto_o_ing_per_capita!G399*100/Gasto_o_ing_per_capita!$D399</f>
        <v>127.88228546328789</v>
      </c>
      <c r="H399" s="332">
        <f>Gasto_o_ing_per_capita!H399*100/Gasto_o_ing_per_capita!$D399</f>
        <v>67.670141855699427</v>
      </c>
      <c r="I399" s="332">
        <f>Gasto_o_ing_per_capita!I399*100/Gasto_o_ing_per_capita!$D399</f>
        <v>117.89676389565628</v>
      </c>
      <c r="J399" s="332">
        <f>Gasto_o_ing_per_capita!J399*100/Gasto_o_ing_per_capita!$D399</f>
        <v>108.13239813436334</v>
      </c>
      <c r="K399" s="332">
        <f>Gasto_o_ing_per_capita!K399*100/Gasto_o_ing_per_capita!$D399</f>
        <v>117.52090817165302</v>
      </c>
      <c r="L399" s="332">
        <f>Gasto_o_ing_per_capita!L399*100/Gasto_o_ing_per_capita!$D399</f>
        <v>98.760971331891554</v>
      </c>
      <c r="M399" s="332">
        <f>Gasto_o_ing_per_capita!M399*100/Gasto_o_ing_per_capita!$D399</f>
        <v>82.721604891783755</v>
      </c>
      <c r="N399" s="332">
        <f>Gasto_o_ing_per_capita!N399*100/Gasto_o_ing_per_capita!$D399</f>
        <v>100.89489028178562</v>
      </c>
      <c r="O399" s="332">
        <f>Gasto_o_ing_per_capita!O399*100/Gasto_o_ing_per_capita!$D399</f>
        <v>136.46086022281131</v>
      </c>
      <c r="P399" s="332">
        <f>Gasto_o_ing_per_capita!P399*100/Gasto_o_ing_per_capita!$D399</f>
        <v>115.08695568348129</v>
      </c>
      <c r="Q399" s="332">
        <f>Gasto_o_ing_per_capita!Q399*100/Gasto_o_ing_per_capita!$D399</f>
        <v>78.517539665997219</v>
      </c>
      <c r="R399" s="332">
        <f>Gasto_o_ing_per_capita!R399*100/Gasto_o_ing_per_capita!$D399</f>
        <v>130.43990301282724</v>
      </c>
      <c r="S399" s="332">
        <f>Gasto_o_ing_per_capita!S399*100/Gasto_o_ing_per_capita!$D399</f>
        <v>88.644665269542074</v>
      </c>
      <c r="T399" s="332">
        <f>Gasto_o_ing_per_capita!T399*100/Gasto_o_ing_per_capita!$D399</f>
        <v>91.91121406295315</v>
      </c>
      <c r="U399" s="332">
        <f>Gasto_o_ing_per_capita!U399*100/Gasto_o_ing_per_capita!$D399</f>
        <v>86.984285035691755</v>
      </c>
      <c r="V399" s="332">
        <f>Gasto_o_ing_per_capita!V399*100/Gasto_o_ing_per_capita!$D399</f>
        <v>172.94059039200528</v>
      </c>
    </row>
    <row r="400" spans="1:22" s="102" customFormat="1">
      <c r="A400" s="351" t="str">
        <f>IF(B400="","",(IF(ISERROR(MATCH(B400,Tot_res!C:C,0)),"Eliminar!!!","")))</f>
        <v/>
      </c>
      <c r="B400" s="115" t="s">
        <v>373</v>
      </c>
      <c r="C400" s="329" t="str">
        <f>VLOOKUP(B400,Tot_res!C:D,2,FALSE)</f>
        <v xml:space="preserve"> Admón. y Servicios Generales prestaciones economicas</v>
      </c>
      <c r="D400" s="332">
        <f>Gasto_o_ing_per_capita!D400*100/Gasto_o_ing_per_capita!$D400</f>
        <v>99.999999999999986</v>
      </c>
      <c r="E400" s="332">
        <f>Gasto_o_ing_per_capita!E400*100/Gasto_o_ing_per_capita!$D400</f>
        <v>103.54042026792865</v>
      </c>
      <c r="F400" s="332">
        <f>Gasto_o_ing_per_capita!F400*100/Gasto_o_ing_per_capita!$D400</f>
        <v>126.4671138964937</v>
      </c>
      <c r="G400" s="332">
        <f>Gasto_o_ing_per_capita!G400*100/Gasto_o_ing_per_capita!$D400</f>
        <v>163.3547281613985</v>
      </c>
      <c r="H400" s="332">
        <f>Gasto_o_ing_per_capita!H400*100/Gasto_o_ing_per_capita!$D400</f>
        <v>79.854380291112207</v>
      </c>
      <c r="I400" s="332">
        <f>Gasto_o_ing_per_capita!I400*100/Gasto_o_ing_per_capita!$D400</f>
        <v>79.61918381720605</v>
      </c>
      <c r="J400" s="332">
        <f>Gasto_o_ing_per_capita!J400*100/Gasto_o_ing_per_capita!$D400</f>
        <v>110.47918751741756</v>
      </c>
      <c r="K400" s="332">
        <f>Gasto_o_ing_per_capita!K400*100/Gasto_o_ing_per_capita!$D400</f>
        <v>149.59912543325689</v>
      </c>
      <c r="L400" s="332">
        <f>Gasto_o_ing_per_capita!L400*100/Gasto_o_ing_per_capita!$D400</f>
        <v>107.59847677813519</v>
      </c>
      <c r="M400" s="332">
        <f>Gasto_o_ing_per_capita!M400*100/Gasto_o_ing_per_capita!$D400</f>
        <v>83.668175305920784</v>
      </c>
      <c r="N400" s="332">
        <f>Gasto_o_ing_per_capita!N400*100/Gasto_o_ing_per_capita!$D400</f>
        <v>85.150678167507365</v>
      </c>
      <c r="O400" s="332">
        <f>Gasto_o_ing_per_capita!O400*100/Gasto_o_ing_per_capita!$D400</f>
        <v>105.11460479659813</v>
      </c>
      <c r="P400" s="332">
        <f>Gasto_o_ing_per_capita!P400*100/Gasto_o_ing_per_capita!$D400</f>
        <v>131.20927651908423</v>
      </c>
      <c r="Q400" s="332">
        <f>Gasto_o_ing_per_capita!Q400*100/Gasto_o_ing_per_capita!$D400</f>
        <v>78.300101553414208</v>
      </c>
      <c r="R400" s="332">
        <f>Gasto_o_ing_per_capita!R400*100/Gasto_o_ing_per_capita!$D400</f>
        <v>81.039655703645423</v>
      </c>
      <c r="S400" s="332">
        <f>Gasto_o_ing_per_capita!S400*100/Gasto_o_ing_per_capita!$D400</f>
        <v>92.319655501684778</v>
      </c>
      <c r="T400" s="332">
        <f>Gasto_o_ing_per_capita!T400*100/Gasto_o_ing_per_capita!$D400</f>
        <v>116.86998258253604</v>
      </c>
      <c r="U400" s="332">
        <f>Gasto_o_ing_per_capita!U400*100/Gasto_o_ing_per_capita!$D400</f>
        <v>155.53002035405251</v>
      </c>
      <c r="V400" s="332">
        <f>Gasto_o_ing_per_capita!V400*100/Gasto_o_ing_per_capita!$D400</f>
        <v>171.43097487334961</v>
      </c>
    </row>
    <row r="401" spans="1:22" s="102" customFormat="1">
      <c r="A401" s="352"/>
      <c r="B401" s="115"/>
      <c r="C401" s="146"/>
      <c r="D401" s="110"/>
      <c r="E401" s="110"/>
      <c r="F401" s="110"/>
      <c r="G401" s="110"/>
      <c r="H401" s="110"/>
      <c r="I401" s="110"/>
      <c r="J401" s="110"/>
      <c r="K401" s="110"/>
      <c r="L401" s="110"/>
      <c r="M401" s="110"/>
      <c r="N401" s="110"/>
      <c r="O401" s="110"/>
      <c r="P401" s="110"/>
      <c r="Q401" s="110"/>
      <c r="R401" s="110"/>
      <c r="S401" s="110"/>
      <c r="T401" s="110"/>
      <c r="U401" s="110"/>
      <c r="V401" s="110"/>
    </row>
    <row r="402" spans="1:22" s="102" customFormat="1" ht="13.5">
      <c r="A402" s="352"/>
      <c r="B402" s="115"/>
      <c r="C402" s="112" t="s">
        <v>4</v>
      </c>
      <c r="D402" s="113">
        <f>Gasto_o_ing_per_capita!D402*100/Gasto_o_ing_per_capita!$D402</f>
        <v>99.999999999999986</v>
      </c>
      <c r="E402" s="113">
        <f>Gasto_o_ing_per_capita!E402*100/Gasto_o_ing_per_capita!$D402</f>
        <v>113.53094958456568</v>
      </c>
      <c r="F402" s="113">
        <f>Gasto_o_ing_per_capita!F402*100/Gasto_o_ing_per_capita!$D402</f>
        <v>92.055686165121841</v>
      </c>
      <c r="G402" s="113">
        <f>Gasto_o_ing_per_capita!G402*100/Gasto_o_ing_per_capita!$D402</f>
        <v>101.56993859989666</v>
      </c>
      <c r="H402" s="113">
        <f>Gasto_o_ing_per_capita!H402*100/Gasto_o_ing_per_capita!$D402</f>
        <v>77.494550221169632</v>
      </c>
      <c r="I402" s="113">
        <f>Gasto_o_ing_per_capita!I402*100/Gasto_o_ing_per_capita!$D402</f>
        <v>63.684860643721223</v>
      </c>
      <c r="J402" s="113">
        <f>Gasto_o_ing_per_capita!J402*100/Gasto_o_ing_per_capita!$D402</f>
        <v>117.89686913797688</v>
      </c>
      <c r="K402" s="113">
        <f>Gasto_o_ing_per_capita!K402*100/Gasto_o_ing_per_capita!$D402</f>
        <v>137.58005601686637</v>
      </c>
      <c r="L402" s="113">
        <f>Gasto_o_ing_per_capita!L402*100/Gasto_o_ing_per_capita!$D402</f>
        <v>114.52271351845006</v>
      </c>
      <c r="M402" s="113">
        <f>Gasto_o_ing_per_capita!M402*100/Gasto_o_ing_per_capita!$D402</f>
        <v>94.244791338548353</v>
      </c>
      <c r="N402" s="113">
        <f>Gasto_o_ing_per_capita!N402*100/Gasto_o_ing_per_capita!$D402</f>
        <v>64.353080163661303</v>
      </c>
      <c r="O402" s="113">
        <f>Gasto_o_ing_per_capita!O402*100/Gasto_o_ing_per_capita!$D402</f>
        <v>132.06048541489542</v>
      </c>
      <c r="P402" s="113">
        <f>Gasto_o_ing_per_capita!P402*100/Gasto_o_ing_per_capita!$D402</f>
        <v>100.99098878262491</v>
      </c>
      <c r="Q402" s="113">
        <f>Gasto_o_ing_per_capita!Q402*100/Gasto_o_ing_per_capita!$D402</f>
        <v>92.926418706404647</v>
      </c>
      <c r="R402" s="113">
        <f>Gasto_o_ing_per_capita!R402*100/Gasto_o_ing_per_capita!$D402</f>
        <v>136.99582608988896</v>
      </c>
      <c r="S402" s="113">
        <f>Gasto_o_ing_per_capita!S402*100/Gasto_o_ing_per_capita!$D402</f>
        <v>89.526639115920418</v>
      </c>
      <c r="T402" s="113">
        <f>Gasto_o_ing_per_capita!T402*100/Gasto_o_ing_per_capita!$D402</f>
        <v>98.502770833616992</v>
      </c>
      <c r="U402" s="113">
        <f>Gasto_o_ing_per_capita!U402*100/Gasto_o_ing_per_capita!$D402</f>
        <v>134.62870728072789</v>
      </c>
      <c r="V402" s="113">
        <f>Gasto_o_ing_per_capita!V402*100/Gasto_o_ing_per_capita!$D402</f>
        <v>313.02957260657587</v>
      </c>
    </row>
    <row r="403" spans="1:22" s="102" customFormat="1">
      <c r="A403" s="351" t="str">
        <f>IF(B403="","",(IF(ISERROR(MATCH(B403,Tot_res!C:C,0)),"Eliminar!!!","")))</f>
        <v/>
      </c>
      <c r="B403" s="119" t="s">
        <v>374</v>
      </c>
      <c r="C403" s="329" t="str">
        <f>VLOOKUP(B403,Tot_res!C:D,2,FALSE)</f>
        <v xml:space="preserve">Acciones en favor de los emigrantes </v>
      </c>
      <c r="D403" s="332">
        <f>Gasto_o_ing_per_capita!D403*100/Gasto_o_ing_per_capita!$D403</f>
        <v>100</v>
      </c>
      <c r="E403" s="332">
        <f>Gasto_o_ing_per_capita!E403*100/Gasto_o_ing_per_capita!$D403</f>
        <v>100.00000000000003</v>
      </c>
      <c r="F403" s="332">
        <f>Gasto_o_ing_per_capita!F403*100/Gasto_o_ing_per_capita!$D403</f>
        <v>100.00000000000003</v>
      </c>
      <c r="G403" s="332">
        <f>Gasto_o_ing_per_capita!G403*100/Gasto_o_ing_per_capita!$D403</f>
        <v>100.00000000000003</v>
      </c>
      <c r="H403" s="332">
        <f>Gasto_o_ing_per_capita!H403*100/Gasto_o_ing_per_capita!$D403</f>
        <v>100.00000000000003</v>
      </c>
      <c r="I403" s="332">
        <f>Gasto_o_ing_per_capita!I403*100/Gasto_o_ing_per_capita!$D403</f>
        <v>100</v>
      </c>
      <c r="J403" s="332">
        <f>Gasto_o_ing_per_capita!J403*100/Gasto_o_ing_per_capita!$D403</f>
        <v>100.00000000000001</v>
      </c>
      <c r="K403" s="332">
        <f>Gasto_o_ing_per_capita!K403*100/Gasto_o_ing_per_capita!$D403</f>
        <v>100.00000000000003</v>
      </c>
      <c r="L403" s="332">
        <f>Gasto_o_ing_per_capita!L403*100/Gasto_o_ing_per_capita!$D403</f>
        <v>100.00000000000003</v>
      </c>
      <c r="M403" s="332">
        <f>Gasto_o_ing_per_capita!M403*100/Gasto_o_ing_per_capita!$D403</f>
        <v>100.00000000000001</v>
      </c>
      <c r="N403" s="332">
        <f>Gasto_o_ing_per_capita!N403*100/Gasto_o_ing_per_capita!$D403</f>
        <v>100.00000000000001</v>
      </c>
      <c r="O403" s="332">
        <f>Gasto_o_ing_per_capita!O403*100/Gasto_o_ing_per_capita!$D403</f>
        <v>100.00000000000001</v>
      </c>
      <c r="P403" s="332">
        <f>Gasto_o_ing_per_capita!P403*100/Gasto_o_ing_per_capita!$D403</f>
        <v>100.00000000000003</v>
      </c>
      <c r="Q403" s="332">
        <f>Gasto_o_ing_per_capita!Q403*100/Gasto_o_ing_per_capita!$D403</f>
        <v>100.00000000000003</v>
      </c>
      <c r="R403" s="332">
        <f>Gasto_o_ing_per_capita!R403*100/Gasto_o_ing_per_capita!$D403</f>
        <v>100.00000000000003</v>
      </c>
      <c r="S403" s="332">
        <f>Gasto_o_ing_per_capita!S403*100/Gasto_o_ing_per_capita!$D403</f>
        <v>100.00000000000001</v>
      </c>
      <c r="T403" s="332">
        <f>Gasto_o_ing_per_capita!T403*100/Gasto_o_ing_per_capita!$D403</f>
        <v>100.00000000000003</v>
      </c>
      <c r="U403" s="332">
        <f>Gasto_o_ing_per_capita!U403*100/Gasto_o_ing_per_capita!$D403</f>
        <v>100.00000000000001</v>
      </c>
      <c r="V403" s="332">
        <f>Gasto_o_ing_per_capita!V403*100/Gasto_o_ing_per_capita!$D403</f>
        <v>100.00000000000001</v>
      </c>
    </row>
    <row r="404" spans="1:22" s="102" customFormat="1">
      <c r="A404" s="351" t="str">
        <f>IF(B404="","",(IF(ISERROR(MATCH(B404,Tot_res!C:C,0)),"Eliminar!!!","")))</f>
        <v/>
      </c>
      <c r="B404" s="119" t="s">
        <v>375</v>
      </c>
      <c r="C404" s="329" t="str">
        <f>VLOOKUP(B404,Tot_res!C:D,2,FALSE)</f>
        <v>Otros servicios sociales del estado + AF19/1</v>
      </c>
      <c r="D404" s="332">
        <f>Gasto_o_ing_per_capita!D404*100/Gasto_o_ing_per_capita!$D404</f>
        <v>100.00000000000001</v>
      </c>
      <c r="E404" s="332">
        <f>Gasto_o_ing_per_capita!E404*100/Gasto_o_ing_per_capita!$D404</f>
        <v>94.398983741552541</v>
      </c>
      <c r="F404" s="332">
        <f>Gasto_o_ing_per_capita!F404*100/Gasto_o_ing_per_capita!$D404</f>
        <v>103.26956881648161</v>
      </c>
      <c r="G404" s="332">
        <f>Gasto_o_ing_per_capita!G404*100/Gasto_o_ing_per_capita!$D404</f>
        <v>109.62713316705776</v>
      </c>
      <c r="H404" s="332">
        <f>Gasto_o_ing_per_capita!H404*100/Gasto_o_ing_per_capita!$D404</f>
        <v>103.72821934425339</v>
      </c>
      <c r="I404" s="332">
        <f>Gasto_o_ing_per_capita!I404*100/Gasto_o_ing_per_capita!$D404</f>
        <v>100.89791118854966</v>
      </c>
      <c r="J404" s="332">
        <f>Gasto_o_ing_per_capita!J404*100/Gasto_o_ing_per_capita!$D404</f>
        <v>114.01481732352401</v>
      </c>
      <c r="K404" s="332">
        <f>Gasto_o_ing_per_capita!K404*100/Gasto_o_ing_per_capita!$D404</f>
        <v>100.89311018076667</v>
      </c>
      <c r="L404" s="332">
        <f>Gasto_o_ing_per_capita!L404*100/Gasto_o_ing_per_capita!$D404</f>
        <v>103.04429434061464</v>
      </c>
      <c r="M404" s="332">
        <f>Gasto_o_ing_per_capita!M404*100/Gasto_o_ing_per_capita!$D404</f>
        <v>90.60488027305108</v>
      </c>
      <c r="N404" s="332">
        <f>Gasto_o_ing_per_capita!N404*100/Gasto_o_ing_per_capita!$D404</f>
        <v>93.19773613515838</v>
      </c>
      <c r="O404" s="332">
        <f>Gasto_o_ing_per_capita!O404*100/Gasto_o_ing_per_capita!$D404</f>
        <v>117.27126181143079</v>
      </c>
      <c r="P404" s="332">
        <f>Gasto_o_ing_per_capita!P404*100/Gasto_o_ing_per_capita!$D404</f>
        <v>100.34764206630449</v>
      </c>
      <c r="Q404" s="332">
        <f>Gasto_o_ing_per_capita!Q404*100/Gasto_o_ing_per_capita!$D404</f>
        <v>90.298739939079255</v>
      </c>
      <c r="R404" s="332">
        <f>Gasto_o_ing_per_capita!R404*100/Gasto_o_ing_per_capita!$D404</f>
        <v>105.62157466010255</v>
      </c>
      <c r="S404" s="332">
        <f>Gasto_o_ing_per_capita!S404*100/Gasto_o_ing_per_capita!$D404</f>
        <v>100.00000000000001</v>
      </c>
      <c r="T404" s="332">
        <f>Gasto_o_ing_per_capita!T404*100/Gasto_o_ing_per_capita!$D404</f>
        <v>100.00000000000001</v>
      </c>
      <c r="U404" s="332">
        <f>Gasto_o_ing_per_capita!U404*100/Gasto_o_ing_per_capita!$D404</f>
        <v>147.50512091053045</v>
      </c>
      <c r="V404" s="332">
        <f>Gasto_o_ing_per_capita!V404*100/Gasto_o_ing_per_capita!$D404</f>
        <v>887.79006262555606</v>
      </c>
    </row>
    <row r="405" spans="1:22" s="102" customFormat="1">
      <c r="A405" s="351" t="str">
        <f>IF(B405="","",(IF(ISERROR(MATCH(B405,Tot_res!C:C,0)),"Eliminar!!!","")))</f>
        <v/>
      </c>
      <c r="B405" s="119" t="s">
        <v>376</v>
      </c>
      <c r="C405" s="329" t="str">
        <f>VLOOKUP(B405,Tot_res!C:D,2,FALSE)</f>
        <v>Atención a la infancia y a las familias</v>
      </c>
      <c r="D405" s="332">
        <f>Gasto_o_ing_per_capita!D405*100/Gasto_o_ing_per_capita!$D405</f>
        <v>100</v>
      </c>
      <c r="E405" s="332">
        <f>Gasto_o_ing_per_capita!E405*100/Gasto_o_ing_per_capita!$D405</f>
        <v>99.999999999999957</v>
      </c>
      <c r="F405" s="332">
        <f>Gasto_o_ing_per_capita!F405*100/Gasto_o_ing_per_capita!$D405</f>
        <v>99.999999999999957</v>
      </c>
      <c r="G405" s="332">
        <f>Gasto_o_ing_per_capita!G405*100/Gasto_o_ing_per_capita!$D405</f>
        <v>99.999999999999957</v>
      </c>
      <c r="H405" s="332">
        <f>Gasto_o_ing_per_capita!H405*100/Gasto_o_ing_per_capita!$D405</f>
        <v>99.999999999999957</v>
      </c>
      <c r="I405" s="332">
        <f>Gasto_o_ing_per_capita!I405*100/Gasto_o_ing_per_capita!$D405</f>
        <v>99.999999999999957</v>
      </c>
      <c r="J405" s="332">
        <f>Gasto_o_ing_per_capita!J405*100/Gasto_o_ing_per_capita!$D405</f>
        <v>99.999999999999957</v>
      </c>
      <c r="K405" s="332">
        <f>Gasto_o_ing_per_capita!K405*100/Gasto_o_ing_per_capita!$D405</f>
        <v>99.999999999999986</v>
      </c>
      <c r="L405" s="332">
        <f>Gasto_o_ing_per_capita!L405*100/Gasto_o_ing_per_capita!$D405</f>
        <v>99.999999999999957</v>
      </c>
      <c r="M405" s="332">
        <f>Gasto_o_ing_per_capita!M405*100/Gasto_o_ing_per_capita!$D405</f>
        <v>99.999999999999986</v>
      </c>
      <c r="N405" s="332">
        <f>Gasto_o_ing_per_capita!N405*100/Gasto_o_ing_per_capita!$D405</f>
        <v>99.999999999999957</v>
      </c>
      <c r="O405" s="332">
        <f>Gasto_o_ing_per_capita!O405*100/Gasto_o_ing_per_capita!$D405</f>
        <v>99.999999999999957</v>
      </c>
      <c r="P405" s="332">
        <f>Gasto_o_ing_per_capita!P405*100/Gasto_o_ing_per_capita!$D405</f>
        <v>99.999999999999957</v>
      </c>
      <c r="Q405" s="332">
        <f>Gasto_o_ing_per_capita!Q405*100/Gasto_o_ing_per_capita!$D405</f>
        <v>99.999999999999957</v>
      </c>
      <c r="R405" s="332">
        <f>Gasto_o_ing_per_capita!R405*100/Gasto_o_ing_per_capita!$D405</f>
        <v>99.999999999999957</v>
      </c>
      <c r="S405" s="332">
        <f>Gasto_o_ing_per_capita!S405*100/Gasto_o_ing_per_capita!$D405</f>
        <v>99.999999999999957</v>
      </c>
      <c r="T405" s="332">
        <f>Gasto_o_ing_per_capita!T405*100/Gasto_o_ing_per_capita!$D405</f>
        <v>99.999999999999957</v>
      </c>
      <c r="U405" s="332">
        <f>Gasto_o_ing_per_capita!U405*100/Gasto_o_ing_per_capita!$D405</f>
        <v>99.999999999999957</v>
      </c>
      <c r="V405" s="332">
        <f>Gasto_o_ing_per_capita!V405*100/Gasto_o_ing_per_capita!$D405</f>
        <v>99.999999999999957</v>
      </c>
    </row>
    <row r="406" spans="1:22" s="102" customFormat="1">
      <c r="A406" s="351" t="str">
        <f>IF(B406="","",(IF(ISERROR(MATCH(B406,Tot_res!C:C,0)),"Eliminar!!!","")))</f>
        <v/>
      </c>
      <c r="B406" s="119" t="s">
        <v>377</v>
      </c>
      <c r="C406" s="329" t="str">
        <f>VLOOKUP(B406,Tot_res!C:D,2,FALSE)</f>
        <v>Acciones en favor de los inmigrantes</v>
      </c>
      <c r="D406" s="332">
        <f>Gasto_o_ing_per_capita!D406*100/Gasto_o_ing_per_capita!$D406</f>
        <v>100</v>
      </c>
      <c r="E406" s="332">
        <f>Gasto_o_ing_per_capita!E406*100/Gasto_o_ing_per_capita!$D406</f>
        <v>153.78747299608341</v>
      </c>
      <c r="F406" s="332">
        <f>Gasto_o_ing_per_capita!F406*100/Gasto_o_ing_per_capita!$D406</f>
        <v>79.760460586606513</v>
      </c>
      <c r="G406" s="332">
        <f>Gasto_o_ing_per_capita!G406*100/Gasto_o_ing_per_capita!$D406</f>
        <v>45.629325888257199</v>
      </c>
      <c r="H406" s="332">
        <f>Gasto_o_ing_per_capita!H406*100/Gasto_o_ing_per_capita!$D406</f>
        <v>67.870920318621998</v>
      </c>
      <c r="I406" s="332">
        <f>Gasto_o_ing_per_capita!I406*100/Gasto_o_ing_per_capita!$D406</f>
        <v>72.897444246138463</v>
      </c>
      <c r="J406" s="332">
        <f>Gasto_o_ing_per_capita!J406*100/Gasto_o_ing_per_capita!$D406</f>
        <v>41.452412862588865</v>
      </c>
      <c r="K406" s="332">
        <f>Gasto_o_ing_per_capita!K406*100/Gasto_o_ing_per_capita!$D406</f>
        <v>81.537204314623821</v>
      </c>
      <c r="L406" s="332">
        <f>Gasto_o_ing_per_capita!L406*100/Gasto_o_ing_per_capita!$D406</f>
        <v>70.968610370085599</v>
      </c>
      <c r="M406" s="332">
        <f>Gasto_o_ing_per_capita!M406*100/Gasto_o_ing_per_capita!$D406</f>
        <v>88.555322686990053</v>
      </c>
      <c r="N406" s="332">
        <f>Gasto_o_ing_per_capita!N406*100/Gasto_o_ing_per_capita!$D406</f>
        <v>70.003924385699221</v>
      </c>
      <c r="O406" s="332">
        <f>Gasto_o_ing_per_capita!O406*100/Gasto_o_ing_per_capita!$D406</f>
        <v>41.521192846569818</v>
      </c>
      <c r="P406" s="332">
        <f>Gasto_o_ing_per_capita!P406*100/Gasto_o_ing_per_capita!$D406</f>
        <v>44.285911155203799</v>
      </c>
      <c r="Q406" s="332">
        <f>Gasto_o_ing_per_capita!Q406*100/Gasto_o_ing_per_capita!$D406</f>
        <v>99.208758291619674</v>
      </c>
      <c r="R406" s="332">
        <f>Gasto_o_ing_per_capita!R406*100/Gasto_o_ing_per_capita!$D406</f>
        <v>215.79977386234236</v>
      </c>
      <c r="S406" s="332">
        <f>Gasto_o_ing_per_capita!S406*100/Gasto_o_ing_per_capita!$D406</f>
        <v>58.41486434046864</v>
      </c>
      <c r="T406" s="332">
        <f>Gasto_o_ing_per_capita!T406*100/Gasto_o_ing_per_capita!$D406</f>
        <v>62.791420104239677</v>
      </c>
      <c r="U406" s="332">
        <f>Gasto_o_ing_per_capita!U406*100/Gasto_o_ing_per_capita!$D406</f>
        <v>52.172666567376709</v>
      </c>
      <c r="V406" s="332">
        <f>Gasto_o_ing_per_capita!V406*100/Gasto_o_ing_per_capita!$D406</f>
        <v>1727.6217762784895</v>
      </c>
    </row>
    <row r="407" spans="1:22" s="102" customFormat="1">
      <c r="A407" s="351" t="str">
        <f>IF(B407="","",(IF(ISERROR(MATCH(B407,Tot_res!C:C,0)),"Eliminar!!!","")))</f>
        <v/>
      </c>
      <c r="B407" s="119" t="s">
        <v>378</v>
      </c>
      <c r="C407" s="329" t="str">
        <f>VLOOKUP(B407,Tot_res!C:D,2,FALSE)</f>
        <v>Promoción y servicios a la juventud</v>
      </c>
      <c r="D407" s="332">
        <f>Gasto_o_ing_per_capita!D407*100/Gasto_o_ing_per_capita!$D407</f>
        <v>100</v>
      </c>
      <c r="E407" s="332">
        <f>Gasto_o_ing_per_capita!E407*100/Gasto_o_ing_per_capita!$D407</f>
        <v>85.508563434159157</v>
      </c>
      <c r="F407" s="332">
        <f>Gasto_o_ing_per_capita!F407*100/Gasto_o_ing_per_capita!$D407</f>
        <v>97.785438850419112</v>
      </c>
      <c r="G407" s="332">
        <f>Gasto_o_ing_per_capita!G407*100/Gasto_o_ing_per_capita!$D407</f>
        <v>108.86708456746584</v>
      </c>
      <c r="H407" s="332">
        <f>Gasto_o_ing_per_capita!H407*100/Gasto_o_ing_per_capita!$D407</f>
        <v>28.960015351968455</v>
      </c>
      <c r="I407" s="332">
        <f>Gasto_o_ing_per_capita!I407*100/Gasto_o_ing_per_capita!$D407</f>
        <v>101.03824532863844</v>
      </c>
      <c r="J407" s="332">
        <f>Gasto_o_ing_per_capita!J407*100/Gasto_o_ing_per_capita!$D407</f>
        <v>107.23246642216944</v>
      </c>
      <c r="K407" s="332">
        <f>Gasto_o_ing_per_capita!K407*100/Gasto_o_ing_per_capita!$D407</f>
        <v>116.88398549013449</v>
      </c>
      <c r="L407" s="332">
        <f>Gasto_o_ing_per_capita!L407*100/Gasto_o_ing_per_capita!$D407</f>
        <v>87.253381585725933</v>
      </c>
      <c r="M407" s="332">
        <f>Gasto_o_ing_per_capita!M407*100/Gasto_o_ing_per_capita!$D407</f>
        <v>83.61208115426227</v>
      </c>
      <c r="N407" s="332">
        <f>Gasto_o_ing_per_capita!N407*100/Gasto_o_ing_per_capita!$D407</f>
        <v>99.019319588637643</v>
      </c>
      <c r="O407" s="332">
        <f>Gasto_o_ing_per_capita!O407*100/Gasto_o_ing_per_capita!$D407</f>
        <v>97.602239950594381</v>
      </c>
      <c r="P407" s="332">
        <f>Gasto_o_ing_per_capita!P407*100/Gasto_o_ing_per_capita!$D407</f>
        <v>125.82760963929509</v>
      </c>
      <c r="Q407" s="332">
        <f>Gasto_o_ing_per_capita!Q407*100/Gasto_o_ing_per_capita!$D407</f>
        <v>136.7756264625215</v>
      </c>
      <c r="R407" s="332">
        <f>Gasto_o_ing_per_capita!R407*100/Gasto_o_ing_per_capita!$D407</f>
        <v>144.20827055030497</v>
      </c>
      <c r="S407" s="332">
        <f>Gasto_o_ing_per_capita!S407*100/Gasto_o_ing_per_capita!$D407</f>
        <v>107.6078994403526</v>
      </c>
      <c r="T407" s="332">
        <f>Gasto_o_ing_per_capita!T407*100/Gasto_o_ing_per_capita!$D407</f>
        <v>64.476621065033129</v>
      </c>
      <c r="U407" s="332">
        <f>Gasto_o_ing_per_capita!U407*100/Gasto_o_ing_per_capita!$D407</f>
        <v>132.32746608732919</v>
      </c>
      <c r="V407" s="332">
        <f>Gasto_o_ing_per_capita!V407*100/Gasto_o_ing_per_capita!$D407</f>
        <v>54.727349567636068</v>
      </c>
    </row>
    <row r="408" spans="1:22" s="102" customFormat="1">
      <c r="A408" s="351" t="str">
        <f>IF(B408="","",(IF(ISERROR(MATCH(B408,Tot_res!C:C,0)),"Eliminar!!!","")))</f>
        <v/>
      </c>
      <c r="B408" s="115" t="s">
        <v>379</v>
      </c>
      <c r="C408" s="329" t="str">
        <f>VLOOKUP(B408,Tot_res!C:D,2,FALSE)</f>
        <v>Igualdad oportunidades entre mujeres y hombres</v>
      </c>
      <c r="D408" s="332">
        <f>Gasto_o_ing_per_capita!D408*100/Gasto_o_ing_per_capita!$D408</f>
        <v>100</v>
      </c>
      <c r="E408" s="332">
        <f>Gasto_o_ing_per_capita!E408*100/Gasto_o_ing_per_capita!$D408</f>
        <v>76.780494760624322</v>
      </c>
      <c r="F408" s="332">
        <f>Gasto_o_ing_per_capita!F408*100/Gasto_o_ing_per_capita!$D408</f>
        <v>115.55234117699131</v>
      </c>
      <c r="G408" s="332">
        <f>Gasto_o_ing_per_capita!G408*100/Gasto_o_ing_per_capita!$D408</f>
        <v>70.788528251286564</v>
      </c>
      <c r="H408" s="332">
        <f>Gasto_o_ing_per_capita!H408*100/Gasto_o_ing_per_capita!$D408</f>
        <v>29.681807752743609</v>
      </c>
      <c r="I408" s="332">
        <f>Gasto_o_ing_per_capita!I408*100/Gasto_o_ing_per_capita!$D408</f>
        <v>52.338624405556907</v>
      </c>
      <c r="J408" s="332">
        <f>Gasto_o_ing_per_capita!J408*100/Gasto_o_ing_per_capita!$D408</f>
        <v>223.81515705572684</v>
      </c>
      <c r="K408" s="332">
        <f>Gasto_o_ing_per_capita!K408*100/Gasto_o_ing_per_capita!$D408</f>
        <v>119.50721869114344</v>
      </c>
      <c r="L408" s="332">
        <f>Gasto_o_ing_per_capita!L408*100/Gasto_o_ing_per_capita!$D408</f>
        <v>152.48749979498928</v>
      </c>
      <c r="M408" s="332">
        <f>Gasto_o_ing_per_capita!M408*100/Gasto_o_ing_per_capita!$D408</f>
        <v>77.896754812378362</v>
      </c>
      <c r="N408" s="332">
        <f>Gasto_o_ing_per_capita!N408*100/Gasto_o_ing_per_capita!$D408</f>
        <v>96.067128868017036</v>
      </c>
      <c r="O408" s="332">
        <f>Gasto_o_ing_per_capita!O408*100/Gasto_o_ing_per_capita!$D408</f>
        <v>154.72381344611406</v>
      </c>
      <c r="P408" s="332">
        <f>Gasto_o_ing_per_capita!P408*100/Gasto_o_ing_per_capita!$D408</f>
        <v>95.340443696660145</v>
      </c>
      <c r="Q408" s="332">
        <f>Gasto_o_ing_per_capita!Q408*100/Gasto_o_ing_per_capita!$D408</f>
        <v>150.21487330401069</v>
      </c>
      <c r="R408" s="332">
        <f>Gasto_o_ing_per_capita!R408*100/Gasto_o_ing_per_capita!$D408</f>
        <v>125.81890317831871</v>
      </c>
      <c r="S408" s="332">
        <f>Gasto_o_ing_per_capita!S408*100/Gasto_o_ing_per_capita!$D408</f>
        <v>79.721987878922022</v>
      </c>
      <c r="T408" s="332">
        <f>Gasto_o_ing_per_capita!T408*100/Gasto_o_ing_per_capita!$D408</f>
        <v>51.736973481360131</v>
      </c>
      <c r="U408" s="332">
        <f>Gasto_o_ing_per_capita!U408*100/Gasto_o_ing_per_capita!$D408</f>
        <v>43.79516975069096</v>
      </c>
      <c r="V408" s="332">
        <f>Gasto_o_ing_per_capita!V408*100/Gasto_o_ing_per_capita!$D408</f>
        <v>494.64529676772736</v>
      </c>
    </row>
    <row r="409" spans="1:22" s="102" customFormat="1">
      <c r="A409" s="351" t="str">
        <f>IF(B409="","",(IF(ISERROR(MATCH(B409,Tot_res!C:C,0)),"Eliminar!!!","")))</f>
        <v/>
      </c>
      <c r="B409" s="115" t="s">
        <v>380</v>
      </c>
      <c r="C409" s="329" t="str">
        <f>VLOOKUP(B409,Tot_res!C:D,2,FALSE)</f>
        <v>Actuaciones para la prevención integral de la violencia de género + AF19/2</v>
      </c>
      <c r="D409" s="332">
        <f>Gasto_o_ing_per_capita!D409*100/Gasto_o_ing_per_capita!$D409</f>
        <v>100</v>
      </c>
      <c r="E409" s="332">
        <f>Gasto_o_ing_per_capita!E409*100/Gasto_o_ing_per_capita!$D409</f>
        <v>93.007498303655694</v>
      </c>
      <c r="F409" s="332">
        <f>Gasto_o_ing_per_capita!F409*100/Gasto_o_ing_per_capita!$D409</f>
        <v>155.88346776722031</v>
      </c>
      <c r="G409" s="332">
        <f>Gasto_o_ing_per_capita!G409*100/Gasto_o_ing_per_capita!$D409</f>
        <v>96.841150075260174</v>
      </c>
      <c r="H409" s="332">
        <f>Gasto_o_ing_per_capita!H409*100/Gasto_o_ing_per_capita!$D409</f>
        <v>170.46558929143762</v>
      </c>
      <c r="I409" s="332">
        <f>Gasto_o_ing_per_capita!I409*100/Gasto_o_ing_per_capita!$D409</f>
        <v>162.60573974708308</v>
      </c>
      <c r="J409" s="332">
        <f>Gasto_o_ing_per_capita!J409*100/Gasto_o_ing_per_capita!$D409</f>
        <v>153.67960746814725</v>
      </c>
      <c r="K409" s="332">
        <f>Gasto_o_ing_per_capita!K409*100/Gasto_o_ing_per_capita!$D409</f>
        <v>81.444141760918498</v>
      </c>
      <c r="L409" s="332">
        <f>Gasto_o_ing_per_capita!L409*100/Gasto_o_ing_per_capita!$D409</f>
        <v>86.70087602554716</v>
      </c>
      <c r="M409" s="332">
        <f>Gasto_o_ing_per_capita!M409*100/Gasto_o_ing_per_capita!$D409</f>
        <v>58.451361888625151</v>
      </c>
      <c r="N409" s="332">
        <f>Gasto_o_ing_per_capita!N409*100/Gasto_o_ing_per_capita!$D409</f>
        <v>104.11468127770343</v>
      </c>
      <c r="O409" s="332">
        <f>Gasto_o_ing_per_capita!O409*100/Gasto_o_ing_per_capita!$D409</f>
        <v>226.21183375073284</v>
      </c>
      <c r="P409" s="332">
        <f>Gasto_o_ing_per_capita!P409*100/Gasto_o_ing_per_capita!$D409</f>
        <v>136.00203139634647</v>
      </c>
      <c r="Q409" s="332">
        <f>Gasto_o_ing_per_capita!Q409*100/Gasto_o_ing_per_capita!$D409</f>
        <v>62.937738116772024</v>
      </c>
      <c r="R409" s="332">
        <f>Gasto_o_ing_per_capita!R409*100/Gasto_o_ing_per_capita!$D409</f>
        <v>113.61930860230517</v>
      </c>
      <c r="S409" s="332">
        <f>Gasto_o_ing_per_capita!S409*100/Gasto_o_ing_per_capita!$D409</f>
        <v>100.00000000000001</v>
      </c>
      <c r="T409" s="332">
        <f>Gasto_o_ing_per_capita!T409*100/Gasto_o_ing_per_capita!$D409</f>
        <v>100.00000000000001</v>
      </c>
      <c r="U409" s="332">
        <f>Gasto_o_ing_per_capita!U409*100/Gasto_o_ing_per_capita!$D409</f>
        <v>214.7570038044459</v>
      </c>
      <c r="V409" s="332">
        <f>Gasto_o_ing_per_capita!V409*100/Gasto_o_ing_per_capita!$D409</f>
        <v>441.31213760200694</v>
      </c>
    </row>
    <row r="410" spans="1:22"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Gasto_o_ing_per_capita!D410*100/Gasto_o_ing_per_capita!$D410</f>
        <v>100</v>
      </c>
      <c r="E410" s="332">
        <f>Gasto_o_ing_per_capita!E410*100/Gasto_o_ing_per_capita!$D410</f>
        <v>117.56323350643444</v>
      </c>
      <c r="F410" s="332">
        <f>Gasto_o_ing_per_capita!F410*100/Gasto_o_ing_per_capita!$D410</f>
        <v>87.847716256907134</v>
      </c>
      <c r="G410" s="332">
        <f>Gasto_o_ing_per_capita!G410*100/Gasto_o_ing_per_capita!$D410</f>
        <v>100.16214043410621</v>
      </c>
      <c r="H410" s="332">
        <f>Gasto_o_ing_per_capita!H410*100/Gasto_o_ing_per_capita!$D410</f>
        <v>69.565784433999681</v>
      </c>
      <c r="I410" s="332">
        <f>Gasto_o_ing_per_capita!I410*100/Gasto_o_ing_per_capita!$D410</f>
        <v>49.907599865311298</v>
      </c>
      <c r="J410" s="332">
        <f>Gasto_o_ing_per_capita!J410*100/Gasto_o_ing_per_capita!$D410</f>
        <v>120.19716492875014</v>
      </c>
      <c r="K410" s="332">
        <f>Gasto_o_ing_per_capita!K410*100/Gasto_o_ing_per_capita!$D410</f>
        <v>153.74143420258767</v>
      </c>
      <c r="L410" s="332">
        <f>Gasto_o_ing_per_capita!L410*100/Gasto_o_ing_per_capita!$D410</f>
        <v>122.16871087794581</v>
      </c>
      <c r="M410" s="332">
        <f>Gasto_o_ing_per_capita!M410*100/Gasto_o_ing_per_capita!$D410</f>
        <v>96.228733933832004</v>
      </c>
      <c r="N410" s="332">
        <f>Gasto_o_ing_per_capita!N410*100/Gasto_o_ing_per_capita!$D410</f>
        <v>53.954121200441506</v>
      </c>
      <c r="O410" s="332">
        <f>Gasto_o_ing_per_capita!O410*100/Gasto_o_ing_per_capita!$D410</f>
        <v>142.51093961538172</v>
      </c>
      <c r="P410" s="332">
        <f>Gasto_o_ing_per_capita!P410*100/Gasto_o_ing_per_capita!$D410</f>
        <v>103.57701291907658</v>
      </c>
      <c r="Q410" s="332">
        <f>Gasto_o_ing_per_capita!Q410*100/Gasto_o_ing_per_capita!$D410</f>
        <v>92.069528338437948</v>
      </c>
      <c r="R410" s="332">
        <f>Gasto_o_ing_per_capita!R410*100/Gasto_o_ing_per_capita!$D410</f>
        <v>141.59784283177132</v>
      </c>
      <c r="S410" s="332">
        <f>Gasto_o_ing_per_capita!S410*100/Gasto_o_ing_per_capita!$D410</f>
        <v>88.022041283779103</v>
      </c>
      <c r="T410" s="332">
        <f>Gasto_o_ing_per_capita!T410*100/Gasto_o_ing_per_capita!$D410</f>
        <v>100.06112127940011</v>
      </c>
      <c r="U410" s="332">
        <f>Gasto_o_ing_per_capita!U410*100/Gasto_o_ing_per_capita!$D410</f>
        <v>140.6266361207885</v>
      </c>
      <c r="V410" s="332">
        <f>Gasto_o_ing_per_capita!V410*100/Gasto_o_ing_per_capita!$D410</f>
        <v>115.43927927486722</v>
      </c>
    </row>
    <row r="411" spans="1:22" s="102" customFormat="1">
      <c r="A411" s="351" t="str">
        <f>IF(B411="","",(IF(ISERROR(MATCH(B411,Tot_res!C:C,0)),"Eliminar!!!","")))</f>
        <v/>
      </c>
      <c r="B411" s="115" t="s">
        <v>867</v>
      </c>
      <c r="C411" s="329" t="str">
        <f>VLOOKUP(B411,Tot_res!C:D,2,FALSE)</f>
        <v>Otros Servicios Sociales, ISM</v>
      </c>
      <c r="D411" s="332">
        <f>Gasto_o_ing_per_capita!D411*100/Gasto_o_ing_per_capita!$D411</f>
        <v>99.999999999999986</v>
      </c>
      <c r="E411" s="332">
        <f>Gasto_o_ing_per_capita!E411*100/Gasto_o_ing_per_capita!$D411</f>
        <v>2.9338401417196818</v>
      </c>
      <c r="F411" s="332">
        <f>Gasto_o_ing_per_capita!F411*100/Gasto_o_ing_per_capita!$D411</f>
        <v>0</v>
      </c>
      <c r="G411" s="332">
        <f>Gasto_o_ing_per_capita!G411*100/Gasto_o_ing_per_capita!$D411</f>
        <v>19.237527223112767</v>
      </c>
      <c r="H411" s="332">
        <f>Gasto_o_ing_per_capita!H411*100/Gasto_o_ing_per_capita!$D411</f>
        <v>0</v>
      </c>
      <c r="I411" s="332">
        <f>Gasto_o_ing_per_capita!I411*100/Gasto_o_ing_per_capita!$D411</f>
        <v>0</v>
      </c>
      <c r="J411" s="332">
        <f>Gasto_o_ing_per_capita!J411*100/Gasto_o_ing_per_capita!$D411</f>
        <v>11.542964289282263</v>
      </c>
      <c r="K411" s="332">
        <f>Gasto_o_ing_per_capita!K411*100/Gasto_o_ing_per_capita!$D411</f>
        <v>0</v>
      </c>
      <c r="L411" s="332">
        <f>Gasto_o_ing_per_capita!L411*100/Gasto_o_ing_per_capita!$D411</f>
        <v>0</v>
      </c>
      <c r="M411" s="332">
        <f>Gasto_o_ing_per_capita!M411*100/Gasto_o_ing_per_capita!$D411</f>
        <v>2.3337569016617867</v>
      </c>
      <c r="N411" s="332">
        <f>Gasto_o_ing_per_capita!N411*100/Gasto_o_ing_per_capita!$D411</f>
        <v>1.3569165998960342</v>
      </c>
      <c r="O411" s="332">
        <f>Gasto_o_ing_per_capita!O411*100/Gasto_o_ing_per_capita!$D411</f>
        <v>0</v>
      </c>
      <c r="P411" s="332">
        <f>Gasto_o_ing_per_capita!P411*100/Gasto_o_ing_per_capita!$D411</f>
        <v>106.40814969290237</v>
      </c>
      <c r="Q411" s="332">
        <f>Gasto_o_ing_per_capita!Q411*100/Gasto_o_ing_per_capita!$D411</f>
        <v>72.771684993281966</v>
      </c>
      <c r="R411" s="332">
        <f>Gasto_o_ing_per_capita!R411*100/Gasto_o_ing_per_capita!$D411</f>
        <v>0</v>
      </c>
      <c r="S411" s="332">
        <f>Gasto_o_ing_per_capita!S411*100/Gasto_o_ing_per_capita!$D411</f>
        <v>0</v>
      </c>
      <c r="T411" s="332">
        <f>Gasto_o_ing_per_capita!T411*100/Gasto_o_ing_per_capita!$D411</f>
        <v>4.1263245191440294</v>
      </c>
      <c r="U411" s="332">
        <f>Gasto_o_ing_per_capita!U411*100/Gasto_o_ing_per_capita!$D411</f>
        <v>0</v>
      </c>
      <c r="V411" s="332">
        <f>Gasto_o_ing_per_capita!V411*100/Gasto_o_ing_per_capita!$D411</f>
        <v>22539.373459126895</v>
      </c>
    </row>
    <row r="412" spans="1:22" s="102" customFormat="1">
      <c r="A412" s="351" t="str">
        <f>IF(B412="","",(IF(ISERROR(MATCH(B412,Tot_res!C:C,0)),"Eliminar!!!","")))</f>
        <v/>
      </c>
      <c r="B412" s="115" t="s">
        <v>868</v>
      </c>
      <c r="C412" s="329" t="str">
        <f>VLOOKUP(B412,Tot_res!C:D,2,FALSE)</f>
        <v>Otros Servicios Sociales, Mutuas</v>
      </c>
      <c r="D412" s="332">
        <f>Gasto_o_ing_per_capita!D412*100/Gasto_o_ing_per_capita!$D412</f>
        <v>100</v>
      </c>
      <c r="E412" s="332">
        <f>Gasto_o_ing_per_capita!E412*100/Gasto_o_ing_per_capita!$D412</f>
        <v>76.89420609269591</v>
      </c>
      <c r="F412" s="332">
        <f>Gasto_o_ing_per_capita!F412*100/Gasto_o_ing_per_capita!$D412</f>
        <v>182.9716433285443</v>
      </c>
      <c r="G412" s="332">
        <f>Gasto_o_ing_per_capita!G412*100/Gasto_o_ing_per_capita!$D412</f>
        <v>120.68663588000155</v>
      </c>
      <c r="H412" s="332">
        <f>Gasto_o_ing_per_capita!H412*100/Gasto_o_ing_per_capita!$D412</f>
        <v>97.696311434442762</v>
      </c>
      <c r="I412" s="332">
        <f>Gasto_o_ing_per_capita!I412*100/Gasto_o_ing_per_capita!$D412</f>
        <v>78.998998977364579</v>
      </c>
      <c r="J412" s="332">
        <f>Gasto_o_ing_per_capita!J412*100/Gasto_o_ing_per_capita!$D412</f>
        <v>60.283218156503061</v>
      </c>
      <c r="K412" s="332">
        <f>Gasto_o_ing_per_capita!K412*100/Gasto_o_ing_per_capita!$D412</f>
        <v>106.36618519416744</v>
      </c>
      <c r="L412" s="332">
        <f>Gasto_o_ing_per_capita!L412*100/Gasto_o_ing_per_capita!$D412</f>
        <v>70.996754804553248</v>
      </c>
      <c r="M412" s="332">
        <f>Gasto_o_ing_per_capita!M412*100/Gasto_o_ing_per_capita!$D412</f>
        <v>115.15492407831366</v>
      </c>
      <c r="N412" s="332">
        <f>Gasto_o_ing_per_capita!N412*100/Gasto_o_ing_per_capita!$D412</f>
        <v>94.65204367429989</v>
      </c>
      <c r="O412" s="332">
        <f>Gasto_o_ing_per_capita!O412*100/Gasto_o_ing_per_capita!$D412</f>
        <v>87.791946050322167</v>
      </c>
      <c r="P412" s="332">
        <f>Gasto_o_ing_per_capita!P412*100/Gasto_o_ing_per_capita!$D412</f>
        <v>97.602643614995969</v>
      </c>
      <c r="Q412" s="332">
        <f>Gasto_o_ing_per_capita!Q412*100/Gasto_o_ing_per_capita!$D412</f>
        <v>118.99311530471556</v>
      </c>
      <c r="R412" s="332">
        <f>Gasto_o_ing_per_capita!R412*100/Gasto_o_ing_per_capita!$D412</f>
        <v>60.428607808121313</v>
      </c>
      <c r="S412" s="332">
        <f>Gasto_o_ing_per_capita!S412*100/Gasto_o_ing_per_capita!$D412</f>
        <v>117.69206901999733</v>
      </c>
      <c r="T412" s="332">
        <f>Gasto_o_ing_per_capita!T412*100/Gasto_o_ing_per_capita!$D412</f>
        <v>122.5534888407376</v>
      </c>
      <c r="U412" s="332">
        <f>Gasto_o_ing_per_capita!U412*100/Gasto_o_ing_per_capita!$D412</f>
        <v>104.60819308548716</v>
      </c>
      <c r="V412" s="332">
        <f>Gasto_o_ing_per_capita!V412*100/Gasto_o_ing_per_capita!$D412</f>
        <v>4.828967440369733E-2</v>
      </c>
    </row>
    <row r="413" spans="1:22" s="102" customFormat="1">
      <c r="A413" s="351" t="str">
        <f>IF(B413="","",(IF(ISERROR(MATCH(B413,Tot_res!C:C,0)),"Eliminar!!!","")))</f>
        <v/>
      </c>
      <c r="B413" s="115" t="s">
        <v>870</v>
      </c>
      <c r="C413" s="329" t="str">
        <f>VLOOKUP(B413,Tot_res!C:D,2,FALSE)</f>
        <v>Admón.y Serv.Generales de Servicios Sociales, IMSERSO + AF19/4</v>
      </c>
      <c r="D413" s="332">
        <f>Gasto_o_ing_per_capita!D413*100/Gasto_o_ing_per_capita!$D413</f>
        <v>100</v>
      </c>
      <c r="E413" s="332">
        <f>Gasto_o_ing_per_capita!E413*100/Gasto_o_ing_per_capita!$D413</f>
        <v>120.18989639323419</v>
      </c>
      <c r="F413" s="332">
        <f>Gasto_o_ing_per_capita!F413*100/Gasto_o_ing_per_capita!$D413</f>
        <v>68.385476637827026</v>
      </c>
      <c r="G413" s="332">
        <f>Gasto_o_ing_per_capita!G413*100/Gasto_o_ing_per_capita!$D413</f>
        <v>92.055327332432526</v>
      </c>
      <c r="H413" s="332">
        <f>Gasto_o_ing_per_capita!H413*100/Gasto_o_ing_per_capita!$D413</f>
        <v>70.098136297490285</v>
      </c>
      <c r="I413" s="332">
        <f>Gasto_o_ing_per_capita!I413*100/Gasto_o_ing_per_capita!$D413</f>
        <v>149.21699860594848</v>
      </c>
      <c r="J413" s="332">
        <f>Gasto_o_ing_per_capita!J413*100/Gasto_o_ing_per_capita!$D413</f>
        <v>115.5004377925564</v>
      </c>
      <c r="K413" s="332">
        <f>Gasto_o_ing_per_capita!K413*100/Gasto_o_ing_per_capita!$D413</f>
        <v>113.23968334349973</v>
      </c>
      <c r="L413" s="332">
        <f>Gasto_o_ing_per_capita!L413*100/Gasto_o_ing_per_capita!$D413</f>
        <v>106.16514734607924</v>
      </c>
      <c r="M413" s="332">
        <f>Gasto_o_ing_per_capita!M413*100/Gasto_o_ing_per_capita!$D413</f>
        <v>84.188188406465159</v>
      </c>
      <c r="N413" s="332">
        <f>Gasto_o_ing_per_capita!N413*100/Gasto_o_ing_per_capita!$D413</f>
        <v>78.693463515410357</v>
      </c>
      <c r="O413" s="332">
        <f>Gasto_o_ing_per_capita!O413*100/Gasto_o_ing_per_capita!$D413</f>
        <v>135.17504900581844</v>
      </c>
      <c r="P413" s="332">
        <f>Gasto_o_ing_per_capita!P413*100/Gasto_o_ing_per_capita!$D413</f>
        <v>136.43603913500027</v>
      </c>
      <c r="Q413" s="332">
        <f>Gasto_o_ing_per_capita!Q413*100/Gasto_o_ing_per_capita!$D413</f>
        <v>69.353462077953779</v>
      </c>
      <c r="R413" s="332">
        <f>Gasto_o_ing_per_capita!R413*100/Gasto_o_ing_per_capita!$D413</f>
        <v>116.18737830800532</v>
      </c>
      <c r="S413" s="332">
        <f>Gasto_o_ing_per_capita!S413*100/Gasto_o_ing_per_capita!$D413</f>
        <v>100.00000000000004</v>
      </c>
      <c r="T413" s="332">
        <f>Gasto_o_ing_per_capita!T413*100/Gasto_o_ing_per_capita!$D413</f>
        <v>100.00000000000001</v>
      </c>
      <c r="U413" s="332">
        <f>Gasto_o_ing_per_capita!U413*100/Gasto_o_ing_per_capita!$D413</f>
        <v>87.943519193300205</v>
      </c>
      <c r="V413" s="332">
        <f>Gasto_o_ing_per_capita!V413*100/Gasto_o_ing_per_capita!$D413</f>
        <v>216.42747561235961</v>
      </c>
    </row>
    <row r="414" spans="1:22" s="102" customFormat="1">
      <c r="A414" s="351" t="str">
        <f>IF(B414="","",(IF(ISERROR(MATCH(B414,Tot_res!C:C,0)),"Eliminar!!!","")))</f>
        <v/>
      </c>
      <c r="B414" s="102" t="s">
        <v>872</v>
      </c>
      <c r="C414" s="329" t="str">
        <f>VLOOKUP(B414,Tot_res!C:D,2,FALSE)</f>
        <v>ISM formación y servicios sociales + AF19/5</v>
      </c>
      <c r="D414" s="332">
        <f>Gasto_o_ing_per_capita!D414*100/Gasto_o_ing_per_capita!$D414</f>
        <v>100</v>
      </c>
      <c r="E414" s="332">
        <f>Gasto_o_ing_per_capita!E414*100/Gasto_o_ing_per_capita!$D414</f>
        <v>153.6709055768398</v>
      </c>
      <c r="F414" s="332">
        <f>Gasto_o_ing_per_capita!F414*100/Gasto_o_ing_per_capita!$D414</f>
        <v>0</v>
      </c>
      <c r="G414" s="332">
        <f>Gasto_o_ing_per_capita!G414*100/Gasto_o_ing_per_capita!$D414</f>
        <v>890.8537584413408</v>
      </c>
      <c r="H414" s="332">
        <f>Gasto_o_ing_per_capita!H414*100/Gasto_o_ing_per_capita!$D414</f>
        <v>451.94457314533872</v>
      </c>
      <c r="I414" s="332">
        <f>Gasto_o_ing_per_capita!I414*100/Gasto_o_ing_per_capita!$D414</f>
        <v>0</v>
      </c>
      <c r="J414" s="332">
        <f>Gasto_o_ing_per_capita!J414*100/Gasto_o_ing_per_capita!$D414</f>
        <v>926.99077403881756</v>
      </c>
      <c r="K414" s="332">
        <f>Gasto_o_ing_per_capita!K414*100/Gasto_o_ing_per_capita!$D414</f>
        <v>0</v>
      </c>
      <c r="L414" s="332">
        <f>Gasto_o_ing_per_capita!L414*100/Gasto_o_ing_per_capita!$D414</f>
        <v>0</v>
      </c>
      <c r="M414" s="332">
        <f>Gasto_o_ing_per_capita!M414*100/Gasto_o_ing_per_capita!$D414</f>
        <v>0</v>
      </c>
      <c r="N414" s="332">
        <f>Gasto_o_ing_per_capita!N414*100/Gasto_o_ing_per_capita!$D414</f>
        <v>0</v>
      </c>
      <c r="O414" s="332">
        <f>Gasto_o_ing_per_capita!O414*100/Gasto_o_ing_per_capita!$D414</f>
        <v>0</v>
      </c>
      <c r="P414" s="332">
        <f>Gasto_o_ing_per_capita!P414*100/Gasto_o_ing_per_capita!$D414</f>
        <v>0</v>
      </c>
      <c r="Q414" s="332">
        <f>Gasto_o_ing_per_capita!Q414*100/Gasto_o_ing_per_capita!$D414</f>
        <v>0</v>
      </c>
      <c r="R414" s="332">
        <f>Gasto_o_ing_per_capita!R414*100/Gasto_o_ing_per_capita!$D414</f>
        <v>479.97081324308027</v>
      </c>
      <c r="S414" s="332">
        <f>Gasto_o_ing_per_capita!S414*100/Gasto_o_ing_per_capita!$D414</f>
        <v>0</v>
      </c>
      <c r="T414" s="332">
        <f>Gasto_o_ing_per_capita!T414*100/Gasto_o_ing_per_capita!$D414</f>
        <v>315.43618124793284</v>
      </c>
      <c r="U414" s="332">
        <f>Gasto_o_ing_per_capita!U414*100/Gasto_o_ing_per_capita!$D414</f>
        <v>0</v>
      </c>
      <c r="V414" s="332">
        <f>Gasto_o_ing_per_capita!V414*100/Gasto_o_ing_per_capita!$D414</f>
        <v>0</v>
      </c>
    </row>
    <row r="415" spans="1:22"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row>
    <row r="416" spans="1:22" s="102" customFormat="1" ht="27">
      <c r="A416" s="358"/>
      <c r="B416" s="115"/>
      <c r="C416" s="117" t="s">
        <v>382</v>
      </c>
      <c r="D416" s="113">
        <f>Gasto_o_ing_per_capita!D416*100/Gasto_o_ing_per_capita!$D416</f>
        <v>100</v>
      </c>
      <c r="E416" s="113">
        <f>Gasto_o_ing_per_capita!E416*100/Gasto_o_ing_per_capita!$D416</f>
        <v>82.277879327554771</v>
      </c>
      <c r="F416" s="113">
        <f>Gasto_o_ing_per_capita!F416*100/Gasto_o_ing_per_capita!$D416</f>
        <v>111.36885626632905</v>
      </c>
      <c r="G416" s="113">
        <f>Gasto_o_ing_per_capita!G416*100/Gasto_o_ing_per_capita!$D416</f>
        <v>130.59571977871079</v>
      </c>
      <c r="H416" s="113">
        <f>Gasto_o_ing_per_capita!H416*100/Gasto_o_ing_per_capita!$D416</f>
        <v>100.34538898106776</v>
      </c>
      <c r="I416" s="113">
        <f>Gasto_o_ing_per_capita!I416*100/Gasto_o_ing_per_capita!$D416</f>
        <v>83.20521649154675</v>
      </c>
      <c r="J416" s="113">
        <f>Gasto_o_ing_per_capita!J416*100/Gasto_o_ing_per_capita!$D416</f>
        <v>112.33609518191471</v>
      </c>
      <c r="K416" s="113">
        <f>Gasto_o_ing_per_capita!K416*100/Gasto_o_ing_per_capita!$D416</f>
        <v>108.9647554874328</v>
      </c>
      <c r="L416" s="113">
        <f>Gasto_o_ing_per_capita!L416*100/Gasto_o_ing_per_capita!$D416</f>
        <v>87.985502737730428</v>
      </c>
      <c r="M416" s="113">
        <f>Gasto_o_ing_per_capita!M416*100/Gasto_o_ing_per_capita!$D416</f>
        <v>103.95636593872614</v>
      </c>
      <c r="N416" s="113">
        <f>Gasto_o_ing_per_capita!N416*100/Gasto_o_ing_per_capita!$D416</f>
        <v>99.209831611594467</v>
      </c>
      <c r="O416" s="113">
        <f>Gasto_o_ing_per_capita!O416*100/Gasto_o_ing_per_capita!$D416</f>
        <v>84.62846856112435</v>
      </c>
      <c r="P416" s="113">
        <f>Gasto_o_ing_per_capita!P416*100/Gasto_o_ing_per_capita!$D416</f>
        <v>114.63110146365133</v>
      </c>
      <c r="Q416" s="113">
        <f>Gasto_o_ing_per_capita!Q416*100/Gasto_o_ing_per_capita!$D416</f>
        <v>107.12756736823599</v>
      </c>
      <c r="R416" s="113">
        <f>Gasto_o_ing_per_capita!R416*100/Gasto_o_ing_per_capita!$D416</f>
        <v>83.895328363507062</v>
      </c>
      <c r="S416" s="113">
        <f>Gasto_o_ing_per_capita!S416*100/Gasto_o_ing_per_capita!$D416</f>
        <v>105.91192660847211</v>
      </c>
      <c r="T416" s="113">
        <f>Gasto_o_ing_per_capita!T416*100/Gasto_o_ing_per_capita!$D416</f>
        <v>124.77711787080025</v>
      </c>
      <c r="U416" s="113">
        <f>Gasto_o_ing_per_capita!U416*100/Gasto_o_ing_per_capita!$D416</f>
        <v>101.00762344548129</v>
      </c>
      <c r="V416" s="113">
        <f>Gasto_o_ing_per_capita!V416*100/Gasto_o_ing_per_capita!$D416</f>
        <v>112.51152809102464</v>
      </c>
    </row>
    <row r="417" spans="1:22" s="102" customFormat="1">
      <c r="A417" s="351" t="str">
        <f>IF(B417="","",(IF(ISERROR(MATCH(B417,Tot_res!C:C,0)),"Eliminar!!!","")))</f>
        <v/>
      </c>
      <c r="B417" s="119" t="s">
        <v>383</v>
      </c>
      <c r="C417" s="329" t="str">
        <f>VLOOKUP(B417,Tot_res!C:D,2,FALSE)</f>
        <v>Inspección y control de seguridad y protección social</v>
      </c>
      <c r="D417" s="332">
        <f>Gasto_o_ing_per_capita!D417*100/Gasto_o_ing_per_capita!$D417</f>
        <v>100</v>
      </c>
      <c r="E417" s="332">
        <f>Gasto_o_ing_per_capita!E417*100/Gasto_o_ing_per_capita!$D417</f>
        <v>105.14159455027786</v>
      </c>
      <c r="F417" s="332">
        <f>Gasto_o_ing_per_capita!F417*100/Gasto_o_ing_per_capita!$D417</f>
        <v>151.92952415190132</v>
      </c>
      <c r="G417" s="332">
        <f>Gasto_o_ing_per_capita!G417*100/Gasto_o_ing_per_capita!$D417</f>
        <v>127.74235851905362</v>
      </c>
      <c r="H417" s="332">
        <f>Gasto_o_ing_per_capita!H417*100/Gasto_o_ing_per_capita!$D417</f>
        <v>180.51115694896126</v>
      </c>
      <c r="I417" s="332">
        <f>Gasto_o_ing_per_capita!I417*100/Gasto_o_ing_per_capita!$D417</f>
        <v>132.41993942820562</v>
      </c>
      <c r="J417" s="332">
        <f>Gasto_o_ing_per_capita!J417*100/Gasto_o_ing_per_capita!$D417</f>
        <v>132.8608417520789</v>
      </c>
      <c r="K417" s="332">
        <f>Gasto_o_ing_per_capita!K417*100/Gasto_o_ing_per_capita!$D417</f>
        <v>174.67977641196859</v>
      </c>
      <c r="L417" s="332">
        <f>Gasto_o_ing_per_capita!L417*100/Gasto_o_ing_per_capita!$D417</f>
        <v>117.48251605539267</v>
      </c>
      <c r="M417" s="332">
        <f>Gasto_o_ing_per_capita!M417*100/Gasto_o_ing_per_capita!$D417</f>
        <v>1.9753592689872639</v>
      </c>
      <c r="N417" s="332">
        <f>Gasto_o_ing_per_capita!N417*100/Gasto_o_ing_per_capita!$D417</f>
        <v>107.6162643166673</v>
      </c>
      <c r="O417" s="332">
        <f>Gasto_o_ing_per_capita!O417*100/Gasto_o_ing_per_capita!$D417</f>
        <v>119.77988277782683</v>
      </c>
      <c r="P417" s="332">
        <f>Gasto_o_ing_per_capita!P417*100/Gasto_o_ing_per_capita!$D417</f>
        <v>119.90680336712514</v>
      </c>
      <c r="Q417" s="332">
        <f>Gasto_o_ing_per_capita!Q417*100/Gasto_o_ing_per_capita!$D417</f>
        <v>120.12704213295896</v>
      </c>
      <c r="R417" s="332">
        <f>Gasto_o_ing_per_capita!R417*100/Gasto_o_ing_per_capita!$D417</f>
        <v>84.294923970318663</v>
      </c>
      <c r="S417" s="332">
        <f>Gasto_o_ing_per_capita!S417*100/Gasto_o_ing_per_capita!$D417</f>
        <v>110.15094903753817</v>
      </c>
      <c r="T417" s="332">
        <f>Gasto_o_ing_per_capita!T417*100/Gasto_o_ing_per_capita!$D417</f>
        <v>86.411868355835111</v>
      </c>
      <c r="U417" s="332">
        <f>Gasto_o_ing_per_capita!U417*100/Gasto_o_ing_per_capita!$D417</f>
        <v>114.243481911305</v>
      </c>
      <c r="V417" s="332">
        <f>Gasto_o_ing_per_capita!V417*100/Gasto_o_ing_per_capita!$D417</f>
        <v>71.505462347911092</v>
      </c>
    </row>
    <row r="418" spans="1:22" s="102" customFormat="1">
      <c r="A418" s="351" t="str">
        <f>IF(B418="","",(IF(ISERROR(MATCH(B418,Tot_res!C:C,0)),"Eliminar!!!","")))</f>
        <v/>
      </c>
      <c r="B418" s="119" t="s">
        <v>384</v>
      </c>
      <c r="C418" s="329" t="str">
        <f>VLOOKUP(B418,Tot_res!C:D,2,FALSE)</f>
        <v>Dirección y servicios generales de seguridad social y protección social</v>
      </c>
      <c r="D418" s="332">
        <f>Gasto_o_ing_per_capita!D418*100/Gasto_o_ing_per_capita!$D418</f>
        <v>100</v>
      </c>
      <c r="E418" s="332">
        <f>Gasto_o_ing_per_capita!E418*100/Gasto_o_ing_per_capita!$D418</f>
        <v>93.491754774305463</v>
      </c>
      <c r="F418" s="332">
        <f>Gasto_o_ing_per_capita!F418*100/Gasto_o_ing_per_capita!$D418</f>
        <v>104.5234070438795</v>
      </c>
      <c r="G418" s="332">
        <f>Gasto_o_ing_per_capita!G418*100/Gasto_o_ing_per_capita!$D418</f>
        <v>122.99119479896379</v>
      </c>
      <c r="H418" s="332">
        <f>Gasto_o_ing_per_capita!H418*100/Gasto_o_ing_per_capita!$D418</f>
        <v>92.65067204081781</v>
      </c>
      <c r="I418" s="332">
        <f>Gasto_o_ing_per_capita!I418*100/Gasto_o_ing_per_capita!$D418</f>
        <v>88.613802747420479</v>
      </c>
      <c r="J418" s="332">
        <f>Gasto_o_ing_per_capita!J418*100/Gasto_o_ing_per_capita!$D418</f>
        <v>107.59423424898904</v>
      </c>
      <c r="K418" s="332">
        <f>Gasto_o_ing_per_capita!K418*100/Gasto_o_ing_per_capita!$D418</f>
        <v>103.8557304958444</v>
      </c>
      <c r="L418" s="332">
        <f>Gasto_o_ing_per_capita!L418*100/Gasto_o_ing_per_capita!$D418</f>
        <v>91.866909743247746</v>
      </c>
      <c r="M418" s="332">
        <f>Gasto_o_ing_per_capita!M418*100/Gasto_o_ing_per_capita!$D418</f>
        <v>105.63190729073399</v>
      </c>
      <c r="N418" s="332">
        <f>Gasto_o_ing_per_capita!N418*100/Gasto_o_ing_per_capita!$D418</f>
        <v>95.209186964750884</v>
      </c>
      <c r="O418" s="332">
        <f>Gasto_o_ing_per_capita!O418*100/Gasto_o_ing_per_capita!$D418</f>
        <v>94.048486987490378</v>
      </c>
      <c r="P418" s="332">
        <f>Gasto_o_ing_per_capita!P418*100/Gasto_o_ing_per_capita!$D418</f>
        <v>103.65952387849627</v>
      </c>
      <c r="Q418" s="332">
        <f>Gasto_o_ing_per_capita!Q418*100/Gasto_o_ing_per_capita!$D418</f>
        <v>101.68225209566948</v>
      </c>
      <c r="R418" s="332">
        <f>Gasto_o_ing_per_capita!R418*100/Gasto_o_ing_per_capita!$D418</f>
        <v>90.514074869988377</v>
      </c>
      <c r="S418" s="332">
        <f>Gasto_o_ing_per_capita!S418*100/Gasto_o_ing_per_capita!$D418</f>
        <v>104.81233684276106</v>
      </c>
      <c r="T418" s="332">
        <f>Gasto_o_ing_per_capita!T418*100/Gasto_o_ing_per_capita!$D418</f>
        <v>116.67078191445144</v>
      </c>
      <c r="U418" s="332">
        <f>Gasto_o_ing_per_capita!U418*100/Gasto_o_ing_per_capita!$D418</f>
        <v>98.962682799196429</v>
      </c>
      <c r="V418" s="332">
        <f>Gasto_o_ing_per_capita!V418*100/Gasto_o_ing_per_capita!$D418</f>
        <v>106.94522550431547</v>
      </c>
    </row>
    <row r="419" spans="1:22" s="102" customFormat="1">
      <c r="A419" s="351" t="str">
        <f>IF(B419="","",(IF(ISERROR(MATCH(B419,Tot_res!C:C,0)),"Eliminar!!!","")))</f>
        <v/>
      </c>
      <c r="B419" s="115" t="s">
        <v>624</v>
      </c>
      <c r="C419" s="329" t="str">
        <f>VLOOKUP(B419,Tot_res!C:D,2,FALSE)</f>
        <v>Gestión de Cotización y Recaudación</v>
      </c>
      <c r="D419" s="332">
        <f>Gasto_o_ing_per_capita!D419*100/Gasto_o_ing_per_capita!$D419</f>
        <v>100</v>
      </c>
      <c r="E419" s="332">
        <f>Gasto_o_ing_per_capita!E419*100/Gasto_o_ing_per_capita!$D419</f>
        <v>85.616098113984862</v>
      </c>
      <c r="F419" s="332">
        <f>Gasto_o_ing_per_capita!F419*100/Gasto_o_ing_per_capita!$D419</f>
        <v>110.66674603634218</v>
      </c>
      <c r="G419" s="332">
        <f>Gasto_o_ing_per_capita!G419*100/Gasto_o_ing_per_capita!$D419</f>
        <v>140.87919964421016</v>
      </c>
      <c r="H419" s="332">
        <f>Gasto_o_ing_per_capita!H419*100/Gasto_o_ing_per_capita!$D419</f>
        <v>86.253905947058001</v>
      </c>
      <c r="I419" s="332">
        <f>Gasto_o_ing_per_capita!I419*100/Gasto_o_ing_per_capita!$D419</f>
        <v>76.84484577193048</v>
      </c>
      <c r="J419" s="332">
        <f>Gasto_o_ing_per_capita!J419*100/Gasto_o_ing_per_capita!$D419</f>
        <v>113.16853003177576</v>
      </c>
      <c r="K419" s="332">
        <f>Gasto_o_ing_per_capita!K419*100/Gasto_o_ing_per_capita!$D419</f>
        <v>109.69291513357051</v>
      </c>
      <c r="L419" s="332">
        <f>Gasto_o_ing_per_capita!L419*100/Gasto_o_ing_per_capita!$D419</f>
        <v>87.55600916663424</v>
      </c>
      <c r="M419" s="332">
        <f>Gasto_o_ing_per_capita!M419*100/Gasto_o_ing_per_capita!$D419</f>
        <v>110.40735631231516</v>
      </c>
      <c r="N419" s="332">
        <f>Gasto_o_ing_per_capita!N419*100/Gasto_o_ing_per_capita!$D419</f>
        <v>91.47877008302541</v>
      </c>
      <c r="O419" s="332">
        <f>Gasto_o_ing_per_capita!O419*100/Gasto_o_ing_per_capita!$D419</f>
        <v>88.386508528511243</v>
      </c>
      <c r="P419" s="332">
        <f>Gasto_o_ing_per_capita!P419*100/Gasto_o_ing_per_capita!$D419</f>
        <v>108.9133074786575</v>
      </c>
      <c r="Q419" s="332">
        <f>Gasto_o_ing_per_capita!Q419*100/Gasto_o_ing_per_capita!$D419</f>
        <v>103.78265949412767</v>
      </c>
      <c r="R419" s="332">
        <f>Gasto_o_ing_per_capita!R419*100/Gasto_o_ing_per_capita!$D419</f>
        <v>82.901985341853887</v>
      </c>
      <c r="S419" s="332">
        <f>Gasto_o_ing_per_capita!S419*100/Gasto_o_ing_per_capita!$D419</f>
        <v>111.95044475118836</v>
      </c>
      <c r="T419" s="332">
        <f>Gasto_o_ing_per_capita!T419*100/Gasto_o_ing_per_capita!$D419</f>
        <v>132.72955660971971</v>
      </c>
      <c r="U419" s="332">
        <f>Gasto_o_ing_per_capita!U419*100/Gasto_o_ing_per_capita!$D419</f>
        <v>100.57017341199629</v>
      </c>
      <c r="V419" s="332">
        <f>Gasto_o_ing_per_capita!V419*100/Gasto_o_ing_per_capita!$D419</f>
        <v>71.844173057142783</v>
      </c>
    </row>
    <row r="420" spans="1:22" s="102" customFormat="1">
      <c r="A420" s="351" t="str">
        <f>IF(B420="","",(IF(ISERROR(MATCH(B420,Tot_res!C:C,0)),"Eliminar!!!","")))</f>
        <v/>
      </c>
      <c r="B420" s="115" t="s">
        <v>974</v>
      </c>
      <c r="C420" s="329" t="str">
        <f>VLOOKUP(B420,Tot_res!C:D,2,FALSE)</f>
        <v>Gestión Financiera, neta de aportación al Fondo de Reserva</v>
      </c>
      <c r="D420" s="332">
        <f>Gasto_o_ing_per_capita!D420*100/Gasto_o_ing_per_capita!$D420</f>
        <v>100</v>
      </c>
      <c r="E420" s="332">
        <f>Gasto_o_ing_per_capita!E420*100/Gasto_o_ing_per_capita!$D420</f>
        <v>86.644522198854489</v>
      </c>
      <c r="F420" s="332">
        <f>Gasto_o_ing_per_capita!F420*100/Gasto_o_ing_per_capita!$D420</f>
        <v>110.23062377614748</v>
      </c>
      <c r="G420" s="332">
        <f>Gasto_o_ing_per_capita!G420*100/Gasto_o_ing_per_capita!$D420</f>
        <v>155.11260343030929</v>
      </c>
      <c r="H420" s="332">
        <f>Gasto_o_ing_per_capita!H420*100/Gasto_o_ing_per_capita!$D420</f>
        <v>82.116276529876401</v>
      </c>
      <c r="I420" s="332">
        <f>Gasto_o_ing_per_capita!I420*100/Gasto_o_ing_per_capita!$D420</f>
        <v>74.028946613213009</v>
      </c>
      <c r="J420" s="332">
        <f>Gasto_o_ing_per_capita!J420*100/Gasto_o_ing_per_capita!$D420</f>
        <v>117.77778552086539</v>
      </c>
      <c r="K420" s="332">
        <f>Gasto_o_ing_per_capita!K420*100/Gasto_o_ing_per_capita!$D420</f>
        <v>110.40263223130309</v>
      </c>
      <c r="L420" s="332">
        <f>Gasto_o_ing_per_capita!L420*100/Gasto_o_ing_per_capita!$D420</f>
        <v>81.77266951031794</v>
      </c>
      <c r="M420" s="332">
        <f>Gasto_o_ing_per_capita!M420*100/Gasto_o_ing_per_capita!$D420</f>
        <v>112.62585761051845</v>
      </c>
      <c r="N420" s="332">
        <f>Gasto_o_ing_per_capita!N420*100/Gasto_o_ing_per_capita!$D420</f>
        <v>88.271942518830414</v>
      </c>
      <c r="O420" s="332">
        <f>Gasto_o_ing_per_capita!O420*100/Gasto_o_ing_per_capita!$D420</f>
        <v>88.076249482590711</v>
      </c>
      <c r="P420" s="332">
        <f>Gasto_o_ing_per_capita!P420*100/Gasto_o_ing_per_capita!$D420</f>
        <v>109.15771996365696</v>
      </c>
      <c r="Q420" s="332">
        <f>Gasto_o_ing_per_capita!Q420*100/Gasto_o_ing_per_capita!$D420</f>
        <v>100.77907252561553</v>
      </c>
      <c r="R420" s="332">
        <f>Gasto_o_ing_per_capita!R420*100/Gasto_o_ing_per_capita!$D420</f>
        <v>77.641130879307667</v>
      </c>
      <c r="S420" s="332">
        <f>Gasto_o_ing_per_capita!S420*100/Gasto_o_ing_per_capita!$D420</f>
        <v>111.03689510682756</v>
      </c>
      <c r="T420" s="332">
        <f>Gasto_o_ing_per_capita!T420*100/Gasto_o_ing_per_capita!$D420</f>
        <v>139.3152603120144</v>
      </c>
      <c r="U420" s="332">
        <f>Gasto_o_ing_per_capita!U420*100/Gasto_o_ing_per_capita!$D420</f>
        <v>98.04530920574112</v>
      </c>
      <c r="V420" s="332">
        <f>Gasto_o_ing_per_capita!V420*100/Gasto_o_ing_per_capita!$D420</f>
        <v>118.68681311175403</v>
      </c>
    </row>
    <row r="421" spans="1:22" s="102" customFormat="1">
      <c r="A421" s="351" t="str">
        <f>IF(B421="","",(IF(ISERROR(MATCH(B421,Tot_res!C:C,0)),"Eliminar!!!","")))</f>
        <v/>
      </c>
      <c r="B421" s="115" t="s">
        <v>975</v>
      </c>
      <c r="C421" s="329" t="str">
        <f>VLOOKUP(B421,Tot_res!C:D,2,FALSE)</f>
        <v>Gestión del Patrimonio, TGSS</v>
      </c>
      <c r="D421" s="332">
        <f>Gasto_o_ing_per_capita!D421*100/Gasto_o_ing_per_capita!$D421</f>
        <v>100</v>
      </c>
      <c r="E421" s="332">
        <f>Gasto_o_ing_per_capita!E421*100/Gasto_o_ing_per_capita!$D421</f>
        <v>82.269687154328651</v>
      </c>
      <c r="F421" s="332">
        <f>Gasto_o_ing_per_capita!F421*100/Gasto_o_ing_per_capita!$D421</f>
        <v>114.61099011211115</v>
      </c>
      <c r="G421" s="332">
        <f>Gasto_o_ing_per_capita!G421*100/Gasto_o_ing_per_capita!$D421</f>
        <v>164.67788513306797</v>
      </c>
      <c r="H421" s="332">
        <f>Gasto_o_ing_per_capita!H421*100/Gasto_o_ing_per_capita!$D421</f>
        <v>75.324163268017912</v>
      </c>
      <c r="I421" s="332">
        <f>Gasto_o_ing_per_capita!I421*100/Gasto_o_ing_per_capita!$D421</f>
        <v>68.003721836789921</v>
      </c>
      <c r="J421" s="332">
        <f>Gasto_o_ing_per_capita!J421*100/Gasto_o_ing_per_capita!$D421</f>
        <v>121.41487322618431</v>
      </c>
      <c r="K421" s="332">
        <f>Gasto_o_ing_per_capita!K421*100/Gasto_o_ing_per_capita!$D421</f>
        <v>118.11138142668118</v>
      </c>
      <c r="L421" s="332">
        <f>Gasto_o_ing_per_capita!L421*100/Gasto_o_ing_per_capita!$D421</f>
        <v>82.03463658700808</v>
      </c>
      <c r="M421" s="332">
        <f>Gasto_o_ing_per_capita!M421*100/Gasto_o_ing_per_capita!$D421</f>
        <v>113.63390414164893</v>
      </c>
      <c r="N421" s="332">
        <f>Gasto_o_ing_per_capita!N421*100/Gasto_o_ing_per_capita!$D421</f>
        <v>87.350151974572782</v>
      </c>
      <c r="O421" s="332">
        <f>Gasto_o_ing_per_capita!O421*100/Gasto_o_ing_per_capita!$D421</f>
        <v>86.636341260402205</v>
      </c>
      <c r="P421" s="332">
        <f>Gasto_o_ing_per_capita!P421*100/Gasto_o_ing_per_capita!$D421</f>
        <v>116.79431636920062</v>
      </c>
      <c r="Q421" s="332">
        <f>Gasto_o_ing_per_capita!Q421*100/Gasto_o_ing_per_capita!$D421</f>
        <v>98.400708526982555</v>
      </c>
      <c r="R421" s="332">
        <f>Gasto_o_ing_per_capita!R421*100/Gasto_o_ing_per_capita!$D421</f>
        <v>75.4464190639343</v>
      </c>
      <c r="S421" s="332">
        <f>Gasto_o_ing_per_capita!S421*100/Gasto_o_ing_per_capita!$D421</f>
        <v>112.30382986737249</v>
      </c>
      <c r="T421" s="332">
        <f>Gasto_o_ing_per_capita!T421*100/Gasto_o_ing_per_capita!$D421</f>
        <v>146.39918680667083</v>
      </c>
      <c r="U421" s="332">
        <f>Gasto_o_ing_per_capita!U421*100/Gasto_o_ing_per_capita!$D421</f>
        <v>100.34101672877924</v>
      </c>
      <c r="V421" s="332">
        <f>Gasto_o_ing_per_capita!V421*100/Gasto_o_ing_per_capita!$D421</f>
        <v>109.150221329084</v>
      </c>
    </row>
    <row r="422" spans="1:22" s="102" customFormat="1">
      <c r="A422" s="351" t="str">
        <f>IF(B422="","",(IF(ISERROR(MATCH(B422,Tot_res!C:C,0)),"Eliminar!!!","")))</f>
        <v/>
      </c>
      <c r="B422" s="115" t="s">
        <v>386</v>
      </c>
      <c r="C422" s="329" t="str">
        <f>VLOOKUP(B422,Tot_res!C:D,2,FALSE)</f>
        <v xml:space="preserve"> Sistema Integrado de Informática de la Seguridad Social</v>
      </c>
      <c r="D422" s="332">
        <f>Gasto_o_ing_per_capita!D422*100/Gasto_o_ing_per_capita!$D422</f>
        <v>100</v>
      </c>
      <c r="E422" s="332">
        <f>Gasto_o_ing_per_capita!E422*100/Gasto_o_ing_per_capita!$D422</f>
        <v>82.269687154328693</v>
      </c>
      <c r="F422" s="332">
        <f>Gasto_o_ing_per_capita!F422*100/Gasto_o_ing_per_capita!$D422</f>
        <v>114.6109901121112</v>
      </c>
      <c r="G422" s="332">
        <f>Gasto_o_ing_per_capita!G422*100/Gasto_o_ing_per_capita!$D422</f>
        <v>164.67788513306806</v>
      </c>
      <c r="H422" s="332">
        <f>Gasto_o_ing_per_capita!H422*100/Gasto_o_ing_per_capita!$D422</f>
        <v>75.324163268017941</v>
      </c>
      <c r="I422" s="332">
        <f>Gasto_o_ing_per_capita!I422*100/Gasto_o_ing_per_capita!$D422</f>
        <v>68.00372183678995</v>
      </c>
      <c r="J422" s="332">
        <f>Gasto_o_ing_per_capita!J422*100/Gasto_o_ing_per_capita!$D422</f>
        <v>121.41487322618437</v>
      </c>
      <c r="K422" s="332">
        <f>Gasto_o_ing_per_capita!K422*100/Gasto_o_ing_per_capita!$D422</f>
        <v>118.11138142668121</v>
      </c>
      <c r="L422" s="332">
        <f>Gasto_o_ing_per_capita!L422*100/Gasto_o_ing_per_capita!$D422</f>
        <v>82.034636587008094</v>
      </c>
      <c r="M422" s="332">
        <f>Gasto_o_ing_per_capita!M422*100/Gasto_o_ing_per_capita!$D422</f>
        <v>113.63390414164898</v>
      </c>
      <c r="N422" s="332">
        <f>Gasto_o_ing_per_capita!N422*100/Gasto_o_ing_per_capita!$D422</f>
        <v>87.35015197457281</v>
      </c>
      <c r="O422" s="332">
        <f>Gasto_o_ing_per_capita!O422*100/Gasto_o_ing_per_capita!$D422</f>
        <v>86.636341260402233</v>
      </c>
      <c r="P422" s="332">
        <f>Gasto_o_ing_per_capita!P422*100/Gasto_o_ing_per_capita!$D422</f>
        <v>116.79431636920064</v>
      </c>
      <c r="Q422" s="332">
        <f>Gasto_o_ing_per_capita!Q422*100/Gasto_o_ing_per_capita!$D422</f>
        <v>98.400708526982584</v>
      </c>
      <c r="R422" s="332">
        <f>Gasto_o_ing_per_capita!R422*100/Gasto_o_ing_per_capita!$D422</f>
        <v>75.446419063934314</v>
      </c>
      <c r="S422" s="332">
        <f>Gasto_o_ing_per_capita!S422*100/Gasto_o_ing_per_capita!$D422</f>
        <v>112.30382986737251</v>
      </c>
      <c r="T422" s="332">
        <f>Gasto_o_ing_per_capita!T422*100/Gasto_o_ing_per_capita!$D422</f>
        <v>146.39918680667091</v>
      </c>
      <c r="U422" s="332">
        <f>Gasto_o_ing_per_capita!U422*100/Gasto_o_ing_per_capita!$D422</f>
        <v>100.34101672877928</v>
      </c>
      <c r="V422" s="332">
        <f>Gasto_o_ing_per_capita!V422*100/Gasto_o_ing_per_capita!$D422</f>
        <v>109.15022132908405</v>
      </c>
    </row>
    <row r="423" spans="1:22" s="102" customFormat="1">
      <c r="A423" s="351" t="str">
        <f>IF(B423="","",(IF(ISERROR(MATCH(B423,Tot_res!C:C,0)),"Eliminar!!!","")))</f>
        <v/>
      </c>
      <c r="B423" s="115" t="s">
        <v>976</v>
      </c>
      <c r="C423" s="329" t="str">
        <f>VLOOKUP(B423,Tot_res!C:D,2,FALSE)</f>
        <v xml:space="preserve"> Admón. y Servic. Generales, TGSS e ISM</v>
      </c>
      <c r="D423" s="332">
        <f>Gasto_o_ing_per_capita!D423*100/Gasto_o_ing_per_capita!$D423</f>
        <v>100</v>
      </c>
      <c r="E423" s="332">
        <f>Gasto_o_ing_per_capita!E423*100/Gasto_o_ing_per_capita!$D423</f>
        <v>95.463886729723598</v>
      </c>
      <c r="F423" s="332">
        <f>Gasto_o_ing_per_capita!F423*100/Gasto_o_ing_per_capita!$D423</f>
        <v>117.88722165165171</v>
      </c>
      <c r="G423" s="332">
        <f>Gasto_o_ing_per_capita!G423*100/Gasto_o_ing_per_capita!$D423</f>
        <v>144.67792688650928</v>
      </c>
      <c r="H423" s="332">
        <f>Gasto_o_ing_per_capita!H423*100/Gasto_o_ing_per_capita!$D423</f>
        <v>101.01316036302272</v>
      </c>
      <c r="I423" s="332">
        <f>Gasto_o_ing_per_capita!I423*100/Gasto_o_ing_per_capita!$D423</f>
        <v>87.256783324124498</v>
      </c>
      <c r="J423" s="332">
        <f>Gasto_o_ing_per_capita!J423*100/Gasto_o_ing_per_capita!$D423</f>
        <v>145.03437543942778</v>
      </c>
      <c r="K423" s="332">
        <f>Gasto_o_ing_per_capita!K423*100/Gasto_o_ing_per_capita!$D423</f>
        <v>112.04054983699166</v>
      </c>
      <c r="L423" s="332">
        <f>Gasto_o_ing_per_capita!L423*100/Gasto_o_ing_per_capita!$D423</f>
        <v>82.688419446142618</v>
      </c>
      <c r="M423" s="332">
        <f>Gasto_o_ing_per_capita!M423*100/Gasto_o_ing_per_capita!$D423</f>
        <v>88.974580090887784</v>
      </c>
      <c r="N423" s="332">
        <f>Gasto_o_ing_per_capita!N423*100/Gasto_o_ing_per_capita!$D423</f>
        <v>93.178108251679916</v>
      </c>
      <c r="O423" s="332">
        <f>Gasto_o_ing_per_capita!O423*100/Gasto_o_ing_per_capita!$D423</f>
        <v>96.770149315101165</v>
      </c>
      <c r="P423" s="332">
        <f>Gasto_o_ing_per_capita!P423*100/Gasto_o_ing_per_capita!$D423</f>
        <v>164.68253318754273</v>
      </c>
      <c r="Q423" s="332">
        <f>Gasto_o_ing_per_capita!Q423*100/Gasto_o_ing_per_capita!$D423</f>
        <v>72.05119025488203</v>
      </c>
      <c r="R423" s="332">
        <f>Gasto_o_ing_per_capita!R423*100/Gasto_o_ing_per_capita!$D423</f>
        <v>77.823726176912388</v>
      </c>
      <c r="S423" s="332">
        <f>Gasto_o_ing_per_capita!S423*100/Gasto_o_ing_per_capita!$D423</f>
        <v>85.365507273765786</v>
      </c>
      <c r="T423" s="332">
        <f>Gasto_o_ing_per_capita!T423*100/Gasto_o_ing_per_capita!$D423</f>
        <v>148.42271554520025</v>
      </c>
      <c r="U423" s="332">
        <f>Gasto_o_ing_per_capita!U423*100/Gasto_o_ing_per_capita!$D423</f>
        <v>93.162432316862734</v>
      </c>
      <c r="V423" s="332">
        <f>Gasto_o_ing_per_capita!V423*100/Gasto_o_ing_per_capita!$D423</f>
        <v>299.39615061607674</v>
      </c>
    </row>
    <row r="424" spans="1:22" s="102" customFormat="1">
      <c r="A424" s="351" t="str">
        <f>IF(B424="","",(IF(ISERROR(MATCH(B424,Tot_res!C:C,0)),"Eliminar!!!","")))</f>
        <v/>
      </c>
      <c r="B424" s="115" t="s">
        <v>977</v>
      </c>
      <c r="C424" s="329" t="str">
        <f>VLOOKUP(B424,Tot_res!C:D,2,FALSE)</f>
        <v>Admón. y Servic. Generales, Mutuas</v>
      </c>
      <c r="D424" s="332">
        <f>Gasto_o_ing_per_capita!D424*100/Gasto_o_ing_per_capita!$D424</f>
        <v>100</v>
      </c>
      <c r="E424" s="332">
        <f>Gasto_o_ing_per_capita!E424*100/Gasto_o_ing_per_capita!$D424</f>
        <v>68.95068435812621</v>
      </c>
      <c r="F424" s="332">
        <f>Gasto_o_ing_per_capita!F424*100/Gasto_o_ing_per_capita!$D424</f>
        <v>104.2905826021403</v>
      </c>
      <c r="G424" s="332">
        <f>Gasto_o_ing_per_capita!G424*100/Gasto_o_ing_per_capita!$D424</f>
        <v>100.52218152048651</v>
      </c>
      <c r="H424" s="332">
        <f>Gasto_o_ing_per_capita!H424*100/Gasto_o_ing_per_capita!$D424</f>
        <v>115.9031795097878</v>
      </c>
      <c r="I424" s="332">
        <f>Gasto_o_ing_per_capita!I424*100/Gasto_o_ing_per_capita!$D424</f>
        <v>87.450252160960986</v>
      </c>
      <c r="J424" s="332">
        <f>Gasto_o_ing_per_capita!J424*100/Gasto_o_ing_per_capita!$D424</f>
        <v>93.065363737165029</v>
      </c>
      <c r="K424" s="332">
        <f>Gasto_o_ing_per_capita!K424*100/Gasto_o_ing_per_capita!$D424</f>
        <v>92.807403402205026</v>
      </c>
      <c r="L424" s="332">
        <f>Gasto_o_ing_per_capita!L424*100/Gasto_o_ing_per_capita!$D424</f>
        <v>90.410648295987201</v>
      </c>
      <c r="M424" s="332">
        <f>Gasto_o_ing_per_capita!M424*100/Gasto_o_ing_per_capita!$D424</f>
        <v>103.32291468209819</v>
      </c>
      <c r="N424" s="332">
        <f>Gasto_o_ing_per_capita!N424*100/Gasto_o_ing_per_capita!$D424</f>
        <v>118.00949400314062</v>
      </c>
      <c r="O424" s="332">
        <f>Gasto_o_ing_per_capita!O424*100/Gasto_o_ing_per_capita!$D424</f>
        <v>68.397414817497463</v>
      </c>
      <c r="P424" s="332">
        <f>Gasto_o_ing_per_capita!P424*100/Gasto_o_ing_per_capita!$D424</f>
        <v>103.78002407880152</v>
      </c>
      <c r="Q424" s="332">
        <f>Gasto_o_ing_per_capita!Q424*100/Gasto_o_ing_per_capita!$D424</f>
        <v>131.2221411708326</v>
      </c>
      <c r="R424" s="332">
        <f>Gasto_o_ing_per_capita!R424*100/Gasto_o_ing_per_capita!$D424</f>
        <v>93.676732123735746</v>
      </c>
      <c r="S424" s="332">
        <f>Gasto_o_ing_per_capita!S424*100/Gasto_o_ing_per_capita!$D424</f>
        <v>107.63894315329182</v>
      </c>
      <c r="T424" s="332">
        <f>Gasto_o_ing_per_capita!T424*100/Gasto_o_ing_per_capita!$D424</f>
        <v>108.53391220023217</v>
      </c>
      <c r="U424" s="332">
        <f>Gasto_o_ing_per_capita!U424*100/Gasto_o_ing_per_capita!$D424</f>
        <v>106.08922232474892</v>
      </c>
      <c r="V424" s="332">
        <f>Gasto_o_ing_per_capita!V424*100/Gasto_o_ing_per_capita!$D424</f>
        <v>83.10399220576646</v>
      </c>
    </row>
    <row r="425" spans="1:22" s="102" customFormat="1">
      <c r="A425" s="351" t="str">
        <f>IF(B425="","",(IF(ISERROR(MATCH(B425,Tot_res!C:C,0)),"Eliminar!!!","")))</f>
        <v/>
      </c>
      <c r="B425" s="115" t="s">
        <v>387</v>
      </c>
      <c r="C425" s="329" t="str">
        <f>VLOOKUP(B425,Tot_res!C:D,2,FALSE)</f>
        <v xml:space="preserve"> Control Interno y Contabilidad</v>
      </c>
      <c r="D425" s="332">
        <f>Gasto_o_ing_per_capita!D425*100/Gasto_o_ing_per_capita!$D425</f>
        <v>100</v>
      </c>
      <c r="E425" s="332">
        <f>Gasto_o_ing_per_capita!E425*100/Gasto_o_ing_per_capita!$D425</f>
        <v>82.269687154328665</v>
      </c>
      <c r="F425" s="332">
        <f>Gasto_o_ing_per_capita!F425*100/Gasto_o_ing_per_capita!$D425</f>
        <v>114.61099011211117</v>
      </c>
      <c r="G425" s="332">
        <f>Gasto_o_ing_per_capita!G425*100/Gasto_o_ing_per_capita!$D425</f>
        <v>164.677885133068</v>
      </c>
      <c r="H425" s="332">
        <f>Gasto_o_ing_per_capita!H425*100/Gasto_o_ing_per_capita!$D425</f>
        <v>75.324163268017912</v>
      </c>
      <c r="I425" s="332">
        <f>Gasto_o_ing_per_capita!I425*100/Gasto_o_ing_per_capita!$D425</f>
        <v>68.003721836789936</v>
      </c>
      <c r="J425" s="332">
        <f>Gasto_o_ing_per_capita!J425*100/Gasto_o_ing_per_capita!$D425</f>
        <v>121.41487322618437</v>
      </c>
      <c r="K425" s="332">
        <f>Gasto_o_ing_per_capita!K425*100/Gasto_o_ing_per_capita!$D425</f>
        <v>118.11138142668118</v>
      </c>
      <c r="L425" s="332">
        <f>Gasto_o_ing_per_capita!L425*100/Gasto_o_ing_per_capita!$D425</f>
        <v>82.034636587008094</v>
      </c>
      <c r="M425" s="332">
        <f>Gasto_o_ing_per_capita!M425*100/Gasto_o_ing_per_capita!$D425</f>
        <v>113.63390414164897</v>
      </c>
      <c r="N425" s="332">
        <f>Gasto_o_ing_per_capita!N425*100/Gasto_o_ing_per_capita!$D425</f>
        <v>87.350151974572796</v>
      </c>
      <c r="O425" s="332">
        <f>Gasto_o_ing_per_capita!O425*100/Gasto_o_ing_per_capita!$D425</f>
        <v>86.636341260402205</v>
      </c>
      <c r="P425" s="332">
        <f>Gasto_o_ing_per_capita!P425*100/Gasto_o_ing_per_capita!$D425</f>
        <v>116.79431636920063</v>
      </c>
      <c r="Q425" s="332">
        <f>Gasto_o_ing_per_capita!Q425*100/Gasto_o_ing_per_capita!$D425</f>
        <v>98.400708526982569</v>
      </c>
      <c r="R425" s="332">
        <f>Gasto_o_ing_per_capita!R425*100/Gasto_o_ing_per_capita!$D425</f>
        <v>75.4464190639343</v>
      </c>
      <c r="S425" s="332">
        <f>Gasto_o_ing_per_capita!S425*100/Gasto_o_ing_per_capita!$D425</f>
        <v>112.30382986737249</v>
      </c>
      <c r="T425" s="332">
        <f>Gasto_o_ing_per_capita!T425*100/Gasto_o_ing_per_capita!$D425</f>
        <v>146.39918680667083</v>
      </c>
      <c r="U425" s="332">
        <f>Gasto_o_ing_per_capita!U425*100/Gasto_o_ing_per_capita!$D425</f>
        <v>100.34101672877927</v>
      </c>
      <c r="V425" s="332">
        <f>Gasto_o_ing_per_capita!V425*100/Gasto_o_ing_per_capita!$D425</f>
        <v>109.15022132908402</v>
      </c>
    </row>
    <row r="426" spans="1:22" s="102" customFormat="1">
      <c r="A426" s="351" t="str">
        <f>IF(B426="","",(IF(ISERROR(MATCH(B426,Tot_res!C:C,0)),"Eliminar!!!","")))</f>
        <v/>
      </c>
      <c r="B426" s="115" t="s">
        <v>388</v>
      </c>
      <c r="C426" s="329" t="str">
        <f>VLOOKUP(B426,Tot_res!C:D,2,FALSE)</f>
        <v xml:space="preserve"> Direcc. y Coord. Asist.Jurídica Admón. de la Seg.Soc.</v>
      </c>
      <c r="D426" s="332">
        <f>Gasto_o_ing_per_capita!D426*100/Gasto_o_ing_per_capita!$D426</f>
        <v>100</v>
      </c>
      <c r="E426" s="332">
        <f>Gasto_o_ing_per_capita!E426*100/Gasto_o_ing_per_capita!$D426</f>
        <v>82.269687154328651</v>
      </c>
      <c r="F426" s="332">
        <f>Gasto_o_ing_per_capita!F426*100/Gasto_o_ing_per_capita!$D426</f>
        <v>114.61099011211114</v>
      </c>
      <c r="G426" s="332">
        <f>Gasto_o_ing_per_capita!G426*100/Gasto_o_ing_per_capita!$D426</f>
        <v>164.67788513306797</v>
      </c>
      <c r="H426" s="332">
        <f>Gasto_o_ing_per_capita!H426*100/Gasto_o_ing_per_capita!$D426</f>
        <v>75.324163268017898</v>
      </c>
      <c r="I426" s="332">
        <f>Gasto_o_ing_per_capita!I426*100/Gasto_o_ing_per_capita!$D426</f>
        <v>68.003721836789921</v>
      </c>
      <c r="J426" s="332">
        <f>Gasto_o_ing_per_capita!J426*100/Gasto_o_ing_per_capita!$D426</f>
        <v>121.41487322618433</v>
      </c>
      <c r="K426" s="332">
        <f>Gasto_o_ing_per_capita!K426*100/Gasto_o_ing_per_capita!$D426</f>
        <v>118.11138142668115</v>
      </c>
      <c r="L426" s="332">
        <f>Gasto_o_ing_per_capita!L426*100/Gasto_o_ing_per_capita!$D426</f>
        <v>82.034636587008052</v>
      </c>
      <c r="M426" s="332">
        <f>Gasto_o_ing_per_capita!M426*100/Gasto_o_ing_per_capita!$D426</f>
        <v>113.63390414164894</v>
      </c>
      <c r="N426" s="332">
        <f>Gasto_o_ing_per_capita!N426*100/Gasto_o_ing_per_capita!$D426</f>
        <v>87.350151974572782</v>
      </c>
      <c r="O426" s="332">
        <f>Gasto_o_ing_per_capita!O426*100/Gasto_o_ing_per_capita!$D426</f>
        <v>86.636341260402205</v>
      </c>
      <c r="P426" s="332">
        <f>Gasto_o_ing_per_capita!P426*100/Gasto_o_ing_per_capita!$D426</f>
        <v>116.7943163692006</v>
      </c>
      <c r="Q426" s="332">
        <f>Gasto_o_ing_per_capita!Q426*100/Gasto_o_ing_per_capita!$D426</f>
        <v>98.400708526982527</v>
      </c>
      <c r="R426" s="332">
        <f>Gasto_o_ing_per_capita!R426*100/Gasto_o_ing_per_capita!$D426</f>
        <v>75.4464190639343</v>
      </c>
      <c r="S426" s="332">
        <f>Gasto_o_ing_per_capita!S426*100/Gasto_o_ing_per_capita!$D426</f>
        <v>112.30382986737247</v>
      </c>
      <c r="T426" s="332">
        <f>Gasto_o_ing_per_capita!T426*100/Gasto_o_ing_per_capita!$D426</f>
        <v>146.39918680667085</v>
      </c>
      <c r="U426" s="332">
        <f>Gasto_o_ing_per_capita!U426*100/Gasto_o_ing_per_capita!$D426</f>
        <v>100.34101672877925</v>
      </c>
      <c r="V426" s="332">
        <f>Gasto_o_ing_per_capita!V426*100/Gasto_o_ing_per_capita!$D426</f>
        <v>109.150221329084</v>
      </c>
    </row>
    <row r="427" spans="1:22" s="102" customFormat="1">
      <c r="A427" s="351" t="str">
        <f>IF(B427="","",(IF(ISERROR(MATCH(B427,Tot_res!C:C,0)),"Eliminar!!!","")))</f>
        <v/>
      </c>
      <c r="B427" s="115" t="s">
        <v>389</v>
      </c>
      <c r="C427" s="329" t="str">
        <f>VLOOKUP(B427,Tot_res!C:D,2,FALSE)</f>
        <v>Autorizaciones iniciales trabajo</v>
      </c>
      <c r="D427" s="332">
        <f>Gasto_o_ing_per_capita!D427*100/Gasto_o_ing_per_capita!$D427</f>
        <v>100</v>
      </c>
      <c r="E427" s="332">
        <f>Gasto_o_ing_per_capita!E427*100/Gasto_o_ing_per_capita!$D427</f>
        <v>0</v>
      </c>
      <c r="F427" s="332">
        <f>Gasto_o_ing_per_capita!F427*100/Gasto_o_ing_per_capita!$D427</f>
        <v>0</v>
      </c>
      <c r="G427" s="332">
        <f>Gasto_o_ing_per_capita!G427*100/Gasto_o_ing_per_capita!$D427</f>
        <v>0</v>
      </c>
      <c r="H427" s="332">
        <f>Gasto_o_ing_per_capita!H427*100/Gasto_o_ing_per_capita!$D427</f>
        <v>0</v>
      </c>
      <c r="I427" s="332">
        <f>Gasto_o_ing_per_capita!I427*100/Gasto_o_ing_per_capita!$D427</f>
        <v>0</v>
      </c>
      <c r="J427" s="332">
        <f>Gasto_o_ing_per_capita!J427*100/Gasto_o_ing_per_capita!$D427</f>
        <v>0</v>
      </c>
      <c r="K427" s="332">
        <f>Gasto_o_ing_per_capita!K427*100/Gasto_o_ing_per_capita!$D427</f>
        <v>0</v>
      </c>
      <c r="L427" s="332">
        <f>Gasto_o_ing_per_capita!L427*100/Gasto_o_ing_per_capita!$D427</f>
        <v>0</v>
      </c>
      <c r="M427" s="332">
        <f>Gasto_o_ing_per_capita!M427*100/Gasto_o_ing_per_capita!$D427</f>
        <v>621.51904613885574</v>
      </c>
      <c r="N427" s="332">
        <f>Gasto_o_ing_per_capita!N427*100/Gasto_o_ing_per_capita!$D427</f>
        <v>0</v>
      </c>
      <c r="O427" s="332">
        <f>Gasto_o_ing_per_capita!O427*100/Gasto_o_ing_per_capita!$D427</f>
        <v>0</v>
      </c>
      <c r="P427" s="332">
        <f>Gasto_o_ing_per_capita!P427*100/Gasto_o_ing_per_capita!$D427</f>
        <v>0</v>
      </c>
      <c r="Q427" s="332">
        <f>Gasto_o_ing_per_capita!Q427*100/Gasto_o_ing_per_capita!$D427</f>
        <v>0</v>
      </c>
      <c r="R427" s="332">
        <f>Gasto_o_ing_per_capita!R427*100/Gasto_o_ing_per_capita!$D427</f>
        <v>0</v>
      </c>
      <c r="S427" s="332">
        <f>Gasto_o_ing_per_capita!S427*100/Gasto_o_ing_per_capita!$D427</f>
        <v>0</v>
      </c>
      <c r="T427" s="332">
        <f>Gasto_o_ing_per_capita!T427*100/Gasto_o_ing_per_capita!$D427</f>
        <v>0</v>
      </c>
      <c r="U427" s="332">
        <f>Gasto_o_ing_per_capita!U427*100/Gasto_o_ing_per_capita!$D427</f>
        <v>0</v>
      </c>
      <c r="V427" s="332">
        <f>Gasto_o_ing_per_capita!V427*100/Gasto_o_ing_per_capita!$D427</f>
        <v>0</v>
      </c>
    </row>
    <row r="428" spans="1:22" s="102" customFormat="1">
      <c r="A428" s="351" t="str">
        <f>IF(B428="","",(IF(ISERROR(MATCH(B428,Tot_res!C:C,0)),"Eliminar!!!","")))</f>
        <v/>
      </c>
      <c r="B428" s="115" t="s">
        <v>390</v>
      </c>
      <c r="C428" s="329" t="str">
        <f>VLOOKUP(B428,Tot_res!C:D,2,FALSE)</f>
        <v xml:space="preserve"> Inspección de trabajo</v>
      </c>
      <c r="D428" s="332">
        <f>Gasto_o_ing_per_capita!D428*100/Gasto_o_ing_per_capita!$D428</f>
        <v>100</v>
      </c>
      <c r="E428" s="332">
        <f>Gasto_o_ing_per_capita!E428*100/Gasto_o_ing_per_capita!$D428</f>
        <v>0</v>
      </c>
      <c r="F428" s="332">
        <f>Gasto_o_ing_per_capita!F428*100/Gasto_o_ing_per_capita!$D428</f>
        <v>0</v>
      </c>
      <c r="G428" s="332">
        <f>Gasto_o_ing_per_capita!G428*100/Gasto_o_ing_per_capita!$D428</f>
        <v>0</v>
      </c>
      <c r="H428" s="332">
        <f>Gasto_o_ing_per_capita!H428*100/Gasto_o_ing_per_capita!$D428</f>
        <v>0</v>
      </c>
      <c r="I428" s="332">
        <f>Gasto_o_ing_per_capita!I428*100/Gasto_o_ing_per_capita!$D428</f>
        <v>0</v>
      </c>
      <c r="J428" s="332">
        <f>Gasto_o_ing_per_capita!J428*100/Gasto_o_ing_per_capita!$D428</f>
        <v>0</v>
      </c>
      <c r="K428" s="332">
        <f>Gasto_o_ing_per_capita!K428*100/Gasto_o_ing_per_capita!$D428</f>
        <v>0</v>
      </c>
      <c r="L428" s="332">
        <f>Gasto_o_ing_per_capita!L428*100/Gasto_o_ing_per_capita!$D428</f>
        <v>0</v>
      </c>
      <c r="M428" s="332">
        <f>Gasto_o_ing_per_capita!M428*100/Gasto_o_ing_per_capita!$D428</f>
        <v>621.51904613885574</v>
      </c>
      <c r="N428" s="332">
        <f>Gasto_o_ing_per_capita!N428*100/Gasto_o_ing_per_capita!$D428</f>
        <v>0</v>
      </c>
      <c r="O428" s="332">
        <f>Gasto_o_ing_per_capita!O428*100/Gasto_o_ing_per_capita!$D428</f>
        <v>0</v>
      </c>
      <c r="P428" s="332">
        <f>Gasto_o_ing_per_capita!P428*100/Gasto_o_ing_per_capita!$D428</f>
        <v>0</v>
      </c>
      <c r="Q428" s="332">
        <f>Gasto_o_ing_per_capita!Q428*100/Gasto_o_ing_per_capita!$D428</f>
        <v>0</v>
      </c>
      <c r="R428" s="332">
        <f>Gasto_o_ing_per_capita!R428*100/Gasto_o_ing_per_capita!$D428</f>
        <v>0</v>
      </c>
      <c r="S428" s="332">
        <f>Gasto_o_ing_per_capita!S428*100/Gasto_o_ing_per_capita!$D428</f>
        <v>0</v>
      </c>
      <c r="T428" s="332">
        <f>Gasto_o_ing_per_capita!T428*100/Gasto_o_ing_per_capita!$D428</f>
        <v>0</v>
      </c>
      <c r="U428" s="332">
        <f>Gasto_o_ing_per_capita!U428*100/Gasto_o_ing_per_capita!$D428</f>
        <v>0</v>
      </c>
      <c r="V428" s="332">
        <f>Gasto_o_ing_per_capita!V428*100/Gasto_o_ing_per_capita!$D428</f>
        <v>0</v>
      </c>
    </row>
    <row r="429" spans="1:22" s="102" customFormat="1">
      <c r="A429" s="352"/>
      <c r="B429" s="119"/>
      <c r="D429" s="110"/>
      <c r="E429" s="110"/>
      <c r="F429" s="110"/>
      <c r="G429" s="110"/>
      <c r="H429" s="110"/>
      <c r="I429" s="110"/>
      <c r="J429" s="110"/>
      <c r="K429" s="110"/>
      <c r="L429" s="110"/>
      <c r="M429" s="110"/>
      <c r="N429" s="110"/>
      <c r="O429" s="110"/>
      <c r="P429" s="110"/>
      <c r="Q429" s="110"/>
      <c r="R429" s="110"/>
      <c r="S429" s="110"/>
      <c r="T429" s="110"/>
      <c r="U429" s="110"/>
      <c r="V429" s="110"/>
    </row>
    <row r="430" spans="1:22" s="102" customFormat="1">
      <c r="A430" s="352"/>
      <c r="B430" s="115"/>
      <c r="D430" s="110"/>
      <c r="E430" s="110"/>
      <c r="F430" s="110"/>
      <c r="G430" s="110"/>
      <c r="H430" s="110"/>
      <c r="I430" s="110"/>
      <c r="J430" s="110"/>
      <c r="K430" s="110"/>
      <c r="L430" s="110"/>
      <c r="M430" s="110"/>
      <c r="N430" s="110"/>
      <c r="O430" s="110"/>
      <c r="P430" s="110"/>
      <c r="Q430" s="110"/>
      <c r="R430" s="110"/>
      <c r="S430" s="110"/>
      <c r="T430" s="110"/>
      <c r="U430" s="110"/>
      <c r="V430" s="110"/>
    </row>
    <row r="431" spans="1:22" s="102" customFormat="1">
      <c r="A431" s="352"/>
      <c r="B431" s="115"/>
      <c r="C431" s="134" t="s">
        <v>65</v>
      </c>
      <c r="D431" s="110">
        <f>Gasto_o_ing_per_capita!D431*100/Gasto_o_ing_per_capita!$D431</f>
        <v>100</v>
      </c>
      <c r="E431" s="110">
        <f>Gasto_o_ing_per_capita!E431*100/Gasto_o_ing_per_capita!$D431</f>
        <v>147.01292403385042</v>
      </c>
      <c r="F431" s="110">
        <f>Gasto_o_ing_per_capita!F431*100/Gasto_o_ing_per_capita!$D431</f>
        <v>179.62645016641321</v>
      </c>
      <c r="G431" s="110">
        <f>Gasto_o_ing_per_capita!G431*100/Gasto_o_ing_per_capita!$D431</f>
        <v>87.814686234691536</v>
      </c>
      <c r="H431" s="110">
        <f>Gasto_o_ing_per_capita!H431*100/Gasto_o_ing_per_capita!$D431</f>
        <v>55.123062515484037</v>
      </c>
      <c r="I431" s="110">
        <f>Gasto_o_ing_per_capita!I431*100/Gasto_o_ing_per_capita!$D431</f>
        <v>79.346460663384576</v>
      </c>
      <c r="J431" s="110">
        <f>Gasto_o_ing_per_capita!J431*100/Gasto_o_ing_per_capita!$D431</f>
        <v>98.778395512802945</v>
      </c>
      <c r="K431" s="110">
        <f>Gasto_o_ing_per_capita!K431*100/Gasto_o_ing_per_capita!$D431</f>
        <v>178.05167495772378</v>
      </c>
      <c r="L431" s="110">
        <f>Gasto_o_ing_per_capita!L431*100/Gasto_o_ing_per_capita!$D431</f>
        <v>144.06475469481813</v>
      </c>
      <c r="M431" s="110">
        <f>Gasto_o_ing_per_capita!M431*100/Gasto_o_ing_per_capita!$D431</f>
        <v>66.930612648810538</v>
      </c>
      <c r="N431" s="110">
        <f>Gasto_o_ing_per_capita!N431*100/Gasto_o_ing_per_capita!$D431</f>
        <v>61.067965031270766</v>
      </c>
      <c r="O431" s="110">
        <f>Gasto_o_ing_per_capita!O431*100/Gasto_o_ing_per_capita!$D431</f>
        <v>245.71752720403416</v>
      </c>
      <c r="P431" s="110">
        <f>Gasto_o_ing_per_capita!P431*100/Gasto_o_ing_per_capita!$D431</f>
        <v>92.180408222751552</v>
      </c>
      <c r="Q431" s="110">
        <f>Gasto_o_ing_per_capita!Q431*100/Gasto_o_ing_per_capita!$D431</f>
        <v>50.671583842278295</v>
      </c>
      <c r="R431" s="110">
        <f>Gasto_o_ing_per_capita!R431*100/Gasto_o_ing_per_capita!$D431</f>
        <v>76.125713262706043</v>
      </c>
      <c r="S431" s="110">
        <f>Gasto_o_ing_per_capita!S431*100/Gasto_o_ing_per_capita!$D431</f>
        <v>123.17329448798074</v>
      </c>
      <c r="T431" s="110">
        <f>Gasto_o_ing_per_capita!T431*100/Gasto_o_ing_per_capita!$D431</f>
        <v>78.932420880094696</v>
      </c>
      <c r="U431" s="110">
        <f>Gasto_o_ing_per_capita!U431*100/Gasto_o_ing_per_capita!$D431</f>
        <v>95.496983755964607</v>
      </c>
      <c r="V431" s="110">
        <f>Gasto_o_ing_per_capita!V431*100/Gasto_o_ing_per_capita!$D431</f>
        <v>168.32915852858079</v>
      </c>
    </row>
    <row r="432" spans="1:22"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row>
    <row r="433" spans="1:22" s="102" customFormat="1" ht="13.5">
      <c r="A433" s="352"/>
      <c r="B433" s="115"/>
      <c r="C433" s="128" t="s">
        <v>82</v>
      </c>
      <c r="D433" s="113">
        <f>Gasto_o_ing_per_capita!D433*100/Gasto_o_ing_per_capita!$D433</f>
        <v>100</v>
      </c>
      <c r="E433" s="113">
        <f>Gasto_o_ing_per_capita!E433*100/Gasto_o_ing_per_capita!$D433</f>
        <v>115.69000198367358</v>
      </c>
      <c r="F433" s="113">
        <f>Gasto_o_ing_per_capita!F433*100/Gasto_o_ing_per_capita!$D433</f>
        <v>86.279290595017727</v>
      </c>
      <c r="G433" s="113">
        <f>Gasto_o_ing_per_capita!G433*100/Gasto_o_ing_per_capita!$D433</f>
        <v>104.48045599308135</v>
      </c>
      <c r="H433" s="113">
        <f>Gasto_o_ing_per_capita!H433*100/Gasto_o_ing_per_capita!$D433</f>
        <v>78.062647523193931</v>
      </c>
      <c r="I433" s="113">
        <f>Gasto_o_ing_per_capita!I433*100/Gasto_o_ing_per_capita!$D433</f>
        <v>90.856276380073595</v>
      </c>
      <c r="J433" s="113">
        <f>Gasto_o_ing_per_capita!J433*100/Gasto_o_ing_per_capita!$D433</f>
        <v>91.72455159401521</v>
      </c>
      <c r="K433" s="113">
        <f>Gasto_o_ing_per_capita!K433*100/Gasto_o_ing_per_capita!$D433</f>
        <v>88.553395548450723</v>
      </c>
      <c r="L433" s="113">
        <f>Gasto_o_ing_per_capita!L433*100/Gasto_o_ing_per_capita!$D433</f>
        <v>87.020626818071463</v>
      </c>
      <c r="M433" s="113">
        <f>Gasto_o_ing_per_capita!M433*100/Gasto_o_ing_per_capita!$D433</f>
        <v>84.317239408261784</v>
      </c>
      <c r="N433" s="113">
        <f>Gasto_o_ing_per_capita!N433*100/Gasto_o_ing_per_capita!$D433</f>
        <v>85.921646869127372</v>
      </c>
      <c r="O433" s="113">
        <f>Gasto_o_ing_per_capita!O433*100/Gasto_o_ing_per_capita!$D433</f>
        <v>145.04462209418597</v>
      </c>
      <c r="P433" s="113">
        <f>Gasto_o_ing_per_capita!P433*100/Gasto_o_ing_per_capita!$D433</f>
        <v>103.65201346133688</v>
      </c>
      <c r="Q433" s="113">
        <f>Gasto_o_ing_per_capita!Q433*100/Gasto_o_ing_per_capita!$D433</f>
        <v>101.85655546266064</v>
      </c>
      <c r="R433" s="113">
        <f>Gasto_o_ing_per_capita!R433*100/Gasto_o_ing_per_capita!$D433</f>
        <v>89.542990057175956</v>
      </c>
      <c r="S433" s="113">
        <f>Gasto_o_ing_per_capita!S433*100/Gasto_o_ing_per_capita!$D433</f>
        <v>104.43910768813259</v>
      </c>
      <c r="T433" s="113">
        <f>Gasto_o_ing_per_capita!T433*100/Gasto_o_ing_per_capita!$D433</f>
        <v>118.65587658890504</v>
      </c>
      <c r="U433" s="113">
        <f>Gasto_o_ing_per_capita!U433*100/Gasto_o_ing_per_capita!$D433</f>
        <v>79.989512261392875</v>
      </c>
      <c r="V433" s="113">
        <f>Gasto_o_ing_per_capita!V433*100/Gasto_o_ing_per_capita!$D433</f>
        <v>571.28804349072232</v>
      </c>
    </row>
    <row r="434" spans="1:22" s="102" customFormat="1">
      <c r="A434" s="351" t="str">
        <f>IF(B434="","",(IF(ISERROR(MATCH(B434,Tot_res!C:C,0)),"Eliminar!!!","")))</f>
        <v/>
      </c>
      <c r="B434" s="119" t="s">
        <v>391</v>
      </c>
      <c r="C434" s="329" t="str">
        <f>VLOOKUP(B434,Tot_res!C:D,2,FALSE)</f>
        <v>Fomento de la inserción y estabilidad laboral+ AF20/1</v>
      </c>
      <c r="D434" s="332">
        <f>Gasto_o_ing_per_capita!D434*100/Gasto_o_ing_per_capita!$D434</f>
        <v>100</v>
      </c>
      <c r="E434" s="332">
        <f>Gasto_o_ing_per_capita!E434*100/Gasto_o_ing_per_capita!$D434</f>
        <v>116.61620157379798</v>
      </c>
      <c r="F434" s="332">
        <f>Gasto_o_ing_per_capita!F434*100/Gasto_o_ing_per_capita!$D434</f>
        <v>86.41877411320624</v>
      </c>
      <c r="G434" s="332">
        <f>Gasto_o_ing_per_capita!G434*100/Gasto_o_ing_per_capita!$D434</f>
        <v>103.11951757614256</v>
      </c>
      <c r="H434" s="332">
        <f>Gasto_o_ing_per_capita!H434*100/Gasto_o_ing_per_capita!$D434</f>
        <v>76.489213131992983</v>
      </c>
      <c r="I434" s="332">
        <f>Gasto_o_ing_per_capita!I434*100/Gasto_o_ing_per_capita!$D434</f>
        <v>89.945099156784863</v>
      </c>
      <c r="J434" s="332">
        <f>Gasto_o_ing_per_capita!J434*100/Gasto_o_ing_per_capita!$D434</f>
        <v>90.311009860104363</v>
      </c>
      <c r="K434" s="332">
        <f>Gasto_o_ing_per_capita!K434*100/Gasto_o_ing_per_capita!$D434</f>
        <v>89.264890400483608</v>
      </c>
      <c r="L434" s="332">
        <f>Gasto_o_ing_per_capita!L434*100/Gasto_o_ing_per_capita!$D434</f>
        <v>88.766431609245032</v>
      </c>
      <c r="M434" s="332">
        <f>Gasto_o_ing_per_capita!M434*100/Gasto_o_ing_per_capita!$D434</f>
        <v>83.980050950816434</v>
      </c>
      <c r="N434" s="332">
        <f>Gasto_o_ing_per_capita!N434*100/Gasto_o_ing_per_capita!$D434</f>
        <v>86.420369620065003</v>
      </c>
      <c r="O434" s="332">
        <f>Gasto_o_ing_per_capita!O434*100/Gasto_o_ing_per_capita!$D434</f>
        <v>149.47363724690194</v>
      </c>
      <c r="P434" s="332">
        <f>Gasto_o_ing_per_capita!P434*100/Gasto_o_ing_per_capita!$D434</f>
        <v>96.654734927902737</v>
      </c>
      <c r="Q434" s="332">
        <f>Gasto_o_ing_per_capita!Q434*100/Gasto_o_ing_per_capita!$D434</f>
        <v>101.98156612731179</v>
      </c>
      <c r="R434" s="332">
        <f>Gasto_o_ing_per_capita!R434*100/Gasto_o_ing_per_capita!$D434</f>
        <v>90.222548815486135</v>
      </c>
      <c r="S434" s="332">
        <f>Gasto_o_ing_per_capita!S434*100/Gasto_o_ing_per_capita!$D434</f>
        <v>105.7647361026917</v>
      </c>
      <c r="T434" s="332">
        <f>Gasto_o_ing_per_capita!T434*100/Gasto_o_ing_per_capita!$D434</f>
        <v>118.26961920781832</v>
      </c>
      <c r="U434" s="332">
        <f>Gasto_o_ing_per_capita!U434*100/Gasto_o_ing_per_capita!$D434</f>
        <v>79.451939216716127</v>
      </c>
      <c r="V434" s="332">
        <f>Gasto_o_ing_per_capita!V434*100/Gasto_o_ing_per_capita!$D434</f>
        <v>602.55652469831568</v>
      </c>
    </row>
    <row r="435" spans="1:22" s="102" customFormat="1">
      <c r="A435" s="351" t="str">
        <f>IF(B435="","",(IF(ISERROR(MATCH(B435,Tot_res!C:C,0)),"Eliminar!!!","")))</f>
        <v/>
      </c>
      <c r="B435" s="119" t="s">
        <v>392</v>
      </c>
      <c r="C435" s="329" t="str">
        <f>VLOOKUP(B435,Tot_res!C:D,2,FALSE)</f>
        <v>Desarrollo de la economía social y del Fondo Social Europeo + AF18</v>
      </c>
      <c r="D435" s="332">
        <f>Gasto_o_ing_per_capita!D435*100/Gasto_o_ing_per_capita!$D435</f>
        <v>100</v>
      </c>
      <c r="E435" s="332">
        <f>Gasto_o_ing_per_capita!E435*100/Gasto_o_ing_per_capita!$D435</f>
        <v>113.64115644153898</v>
      </c>
      <c r="F435" s="332">
        <f>Gasto_o_ing_per_capita!F435*100/Gasto_o_ing_per_capita!$D435</f>
        <v>85.163953811951089</v>
      </c>
      <c r="G435" s="332">
        <f>Gasto_o_ing_per_capita!G435*100/Gasto_o_ing_per_capita!$D435</f>
        <v>116.28326375192457</v>
      </c>
      <c r="H435" s="332">
        <f>Gasto_o_ing_per_capita!H435*100/Gasto_o_ing_per_capita!$D435</f>
        <v>65.433862216000904</v>
      </c>
      <c r="I435" s="332">
        <f>Gasto_o_ing_per_capita!I435*100/Gasto_o_ing_per_capita!$D435</f>
        <v>104.29224592724431</v>
      </c>
      <c r="J435" s="332">
        <f>Gasto_o_ing_per_capita!J435*100/Gasto_o_ing_per_capita!$D435</f>
        <v>98.080656974654303</v>
      </c>
      <c r="K435" s="332">
        <f>Gasto_o_ing_per_capita!K435*100/Gasto_o_ing_per_capita!$D435</f>
        <v>95.083600832821276</v>
      </c>
      <c r="L435" s="332">
        <f>Gasto_o_ing_per_capita!L435*100/Gasto_o_ing_per_capita!$D435</f>
        <v>102.6055814530407</v>
      </c>
      <c r="M435" s="332">
        <f>Gasto_o_ing_per_capita!M435*100/Gasto_o_ing_per_capita!$D435</f>
        <v>81.956764835817509</v>
      </c>
      <c r="N435" s="332">
        <f>Gasto_o_ing_per_capita!N435*100/Gasto_o_ing_per_capita!$D435</f>
        <v>101.52911226496893</v>
      </c>
      <c r="O435" s="332">
        <f>Gasto_o_ing_per_capita!O435*100/Gasto_o_ing_per_capita!$D435</f>
        <v>139.90215447892803</v>
      </c>
      <c r="P435" s="332">
        <f>Gasto_o_ing_per_capita!P435*100/Gasto_o_ing_per_capita!$D435</f>
        <v>113.69964015376847</v>
      </c>
      <c r="Q435" s="332">
        <f>Gasto_o_ing_per_capita!Q435*100/Gasto_o_ing_per_capita!$D435</f>
        <v>88.485645189232159</v>
      </c>
      <c r="R435" s="332">
        <f>Gasto_o_ing_per_capita!R435*100/Gasto_o_ing_per_capita!$D435</f>
        <v>101.99598262194732</v>
      </c>
      <c r="S435" s="332">
        <f>Gasto_o_ing_per_capita!S435*100/Gasto_o_ing_per_capita!$D435</f>
        <v>119.51128451754968</v>
      </c>
      <c r="T435" s="332">
        <f>Gasto_o_ing_per_capita!T435*100/Gasto_o_ing_per_capita!$D435</f>
        <v>123.73482846078832</v>
      </c>
      <c r="U435" s="332">
        <f>Gasto_o_ing_per_capita!U435*100/Gasto_o_ing_per_capita!$D435</f>
        <v>80.126729660776959</v>
      </c>
      <c r="V435" s="332">
        <f>Gasto_o_ing_per_capita!V435*100/Gasto_o_ing_per_capita!$D435</f>
        <v>9.7370955530396515</v>
      </c>
    </row>
    <row r="436" spans="1:22" s="102" customFormat="1">
      <c r="A436" s="351" t="str">
        <f>IF(B436="","",(IF(ISERROR(MATCH(B436,Tot_res!C:C,0)),"Eliminar!!!","")))</f>
        <v/>
      </c>
      <c r="B436" s="115" t="s">
        <v>393</v>
      </c>
      <c r="C436" s="329" t="str">
        <f>VLOOKUP(B436,Tot_res!C:D,2,FALSE)</f>
        <v>Regulación y protección de la propiedad industrial</v>
      </c>
      <c r="D436" s="332">
        <f>Gasto_o_ing_per_capita!D436*100/Gasto_o_ing_per_capita!$D436</f>
        <v>100</v>
      </c>
      <c r="E436" s="332">
        <f>Gasto_o_ing_per_capita!E436*100/Gasto_o_ing_per_capita!$D436</f>
        <v>73.013342456799506</v>
      </c>
      <c r="F436" s="332">
        <f>Gasto_o_ing_per_capita!F436*100/Gasto_o_ing_per_capita!$D436</f>
        <v>109.59699258075491</v>
      </c>
      <c r="G436" s="332">
        <f>Gasto_o_ing_per_capita!G436*100/Gasto_o_ing_per_capita!$D436</f>
        <v>86.104776183259233</v>
      </c>
      <c r="H436" s="332">
        <f>Gasto_o_ing_per_capita!H436*100/Gasto_o_ing_per_capita!$D436</f>
        <v>105.25462380214594</v>
      </c>
      <c r="I436" s="332">
        <f>Gasto_o_ing_per_capita!I436*100/Gasto_o_ing_per_capita!$D436</f>
        <v>83.621661353394387</v>
      </c>
      <c r="J436" s="332">
        <f>Gasto_o_ing_per_capita!J436*100/Gasto_o_ing_per_capita!$D436</f>
        <v>89.983385756115624</v>
      </c>
      <c r="K436" s="332">
        <f>Gasto_o_ing_per_capita!K436*100/Gasto_o_ing_per_capita!$D436</f>
        <v>92.438425949176988</v>
      </c>
      <c r="L436" s="332">
        <f>Gasto_o_ing_per_capita!L436*100/Gasto_o_ing_per_capita!$D436</f>
        <v>76.34199765655022</v>
      </c>
      <c r="M436" s="332">
        <f>Gasto_o_ing_per_capita!M436*100/Gasto_o_ing_per_capita!$D436</f>
        <v>115.83854061353891</v>
      </c>
      <c r="N436" s="332">
        <f>Gasto_o_ing_per_capita!N436*100/Gasto_o_ing_per_capita!$D436</f>
        <v>86.176387446132338</v>
      </c>
      <c r="O436" s="332">
        <f>Gasto_o_ing_per_capita!O436*100/Gasto_o_ing_per_capita!$D436</f>
        <v>67.202892859936085</v>
      </c>
      <c r="P436" s="332">
        <f>Gasto_o_ing_per_capita!P436*100/Gasto_o_ing_per_capita!$D436</f>
        <v>86.962017258128071</v>
      </c>
      <c r="Q436" s="332">
        <f>Gasto_o_ing_per_capita!Q436*100/Gasto_o_ing_per_capita!$D436</f>
        <v>147.05723717933878</v>
      </c>
      <c r="R436" s="332">
        <f>Gasto_o_ing_per_capita!R436*100/Gasto_o_ing_per_capita!$D436</f>
        <v>80.099809996013818</v>
      </c>
      <c r="S436" s="332">
        <f>Gasto_o_ing_per_capita!S436*100/Gasto_o_ing_per_capita!$D436</f>
        <v>125.00973997982284</v>
      </c>
      <c r="T436" s="332">
        <f>Gasto_o_ing_per_capita!T436*100/Gasto_o_ing_per_capita!$D436</f>
        <v>129.43613264270135</v>
      </c>
      <c r="U436" s="332">
        <f>Gasto_o_ing_per_capita!U436*100/Gasto_o_ing_per_capita!$D436</f>
        <v>106.22592223548098</v>
      </c>
      <c r="V436" s="332">
        <f>Gasto_o_ing_per_capita!V436*100/Gasto_o_ing_per_capita!$D436</f>
        <v>76.891580555030529</v>
      </c>
    </row>
    <row r="437" spans="1:22" s="102" customFormat="1">
      <c r="A437" s="351" t="str">
        <f>IF(B437="","",(IF(ISERROR(MATCH(B437,Tot_res!C:C,0)),"Eliminar!!!","")))</f>
        <v/>
      </c>
      <c r="B437" s="115" t="s">
        <v>394</v>
      </c>
      <c r="C437" s="329" t="str">
        <f>VLOOKUP(B437,Tot_res!C:D,2,FALSE)</f>
        <v>Apoyo a la pequeña y mediana empresa</v>
      </c>
      <c r="D437" s="332">
        <f>Gasto_o_ing_per_capita!D437*100/Gasto_o_ing_per_capita!$D437</f>
        <v>100</v>
      </c>
      <c r="E437" s="332">
        <f>Gasto_o_ing_per_capita!E437*100/Gasto_o_ing_per_capita!$D437</f>
        <v>84.163510417039632</v>
      </c>
      <c r="F437" s="332">
        <f>Gasto_o_ing_per_capita!F437*100/Gasto_o_ing_per_capita!$D437</f>
        <v>104.47263119662581</v>
      </c>
      <c r="G437" s="332">
        <f>Gasto_o_ing_per_capita!G437*100/Gasto_o_ing_per_capita!$D437</f>
        <v>85.801532849121656</v>
      </c>
      <c r="H437" s="332">
        <f>Gasto_o_ing_per_capita!H437*100/Gasto_o_ing_per_capita!$D437</f>
        <v>93.064591360221769</v>
      </c>
      <c r="I437" s="332">
        <f>Gasto_o_ing_per_capita!I437*100/Gasto_o_ing_per_capita!$D437</f>
        <v>99.671529184055302</v>
      </c>
      <c r="J437" s="332">
        <f>Gasto_o_ing_per_capita!J437*100/Gasto_o_ing_per_capita!$D437</f>
        <v>99.053234643138694</v>
      </c>
      <c r="K437" s="332">
        <f>Gasto_o_ing_per_capita!K437*100/Gasto_o_ing_per_capita!$D437</f>
        <v>86.345366652572451</v>
      </c>
      <c r="L437" s="332">
        <f>Gasto_o_ing_per_capita!L437*100/Gasto_o_ing_per_capita!$D437</f>
        <v>80.44592989479311</v>
      </c>
      <c r="M437" s="332">
        <f>Gasto_o_ing_per_capita!M437*100/Gasto_o_ing_per_capita!$D437</f>
        <v>109.76253407426961</v>
      </c>
      <c r="N437" s="332">
        <f>Gasto_o_ing_per_capita!N437*100/Gasto_o_ing_per_capita!$D437</f>
        <v>91.442576230955211</v>
      </c>
      <c r="O437" s="332">
        <f>Gasto_o_ing_per_capita!O437*100/Gasto_o_ing_per_capita!$D437</f>
        <v>82.913138150830932</v>
      </c>
      <c r="P437" s="332">
        <f>Gasto_o_ing_per_capita!P437*100/Gasto_o_ing_per_capita!$D437</f>
        <v>87.560905379703811</v>
      </c>
      <c r="Q437" s="332">
        <f>Gasto_o_ing_per_capita!Q437*100/Gasto_o_ing_per_capita!$D437</f>
        <v>133.30050695428872</v>
      </c>
      <c r="R437" s="332">
        <f>Gasto_o_ing_per_capita!R437*100/Gasto_o_ing_per_capita!$D437</f>
        <v>97.218385059459493</v>
      </c>
      <c r="S437" s="332">
        <f>Gasto_o_ing_per_capita!S437*100/Gasto_o_ing_per_capita!$D437</f>
        <v>114.5666513432832</v>
      </c>
      <c r="T437" s="332">
        <f>Gasto_o_ing_per_capita!T437*100/Gasto_o_ing_per_capita!$D437</f>
        <v>111.25714588078903</v>
      </c>
      <c r="U437" s="332">
        <f>Gasto_o_ing_per_capita!U437*100/Gasto_o_ing_per_capita!$D437</f>
        <v>117.01295467485629</v>
      </c>
      <c r="V437" s="332">
        <f>Gasto_o_ing_per_capita!V437*100/Gasto_o_ing_per_capita!$D437</f>
        <v>86.095369695024928</v>
      </c>
    </row>
    <row r="438" spans="1:22" s="102" customFormat="1">
      <c r="A438" s="351" t="str">
        <f>IF(B438="","",(IF(ISERROR(MATCH(B438,Tot_res!C:C,0)),"Eliminar!!!","")))</f>
        <v/>
      </c>
      <c r="B438" s="115" t="s">
        <v>395</v>
      </c>
      <c r="C438" s="329" t="str">
        <f>VLOOKUP(B438,Tot_res!C:D,2,FALSE)</f>
        <v>Administración de las relaciones laborales y condiciones de trabajo</v>
      </c>
      <c r="D438" s="332">
        <f>Gasto_o_ing_per_capita!D438*100/Gasto_o_ing_per_capita!$D438</f>
        <v>100.00000000000001</v>
      </c>
      <c r="E438" s="332">
        <f>Gasto_o_ing_per_capita!E438*100/Gasto_o_ing_per_capita!$D438</f>
        <v>59.046686780664182</v>
      </c>
      <c r="F438" s="332">
        <f>Gasto_o_ing_per_capita!F438*100/Gasto_o_ing_per_capita!$D438</f>
        <v>77.117455453807963</v>
      </c>
      <c r="G438" s="332">
        <f>Gasto_o_ing_per_capita!G438*100/Gasto_o_ing_per_capita!$D438</f>
        <v>205.55061145122531</v>
      </c>
      <c r="H438" s="332">
        <f>Gasto_o_ing_per_capita!H438*100/Gasto_o_ing_per_capita!$D438</f>
        <v>78.069961941401232</v>
      </c>
      <c r="I438" s="332">
        <f>Gasto_o_ing_per_capita!I438*100/Gasto_o_ing_per_capita!$D438</f>
        <v>65.034208834594338</v>
      </c>
      <c r="J438" s="332">
        <f>Gasto_o_ing_per_capita!J438*100/Gasto_o_ing_per_capita!$D438</f>
        <v>223.85876534736698</v>
      </c>
      <c r="K438" s="332">
        <f>Gasto_o_ing_per_capita!K438*100/Gasto_o_ing_per_capita!$D438</f>
        <v>100.43012062340298</v>
      </c>
      <c r="L438" s="332">
        <f>Gasto_o_ing_per_capita!L438*100/Gasto_o_ing_per_capita!$D438</f>
        <v>59.369570541890567</v>
      </c>
      <c r="M438" s="332">
        <f>Gasto_o_ing_per_capita!M438*100/Gasto_o_ing_per_capita!$D438</f>
        <v>92.928031857423775</v>
      </c>
      <c r="N438" s="332">
        <f>Gasto_o_ing_per_capita!N438*100/Gasto_o_ing_per_capita!$D438</f>
        <v>72.754091302654615</v>
      </c>
      <c r="O438" s="332">
        <f>Gasto_o_ing_per_capita!O438*100/Gasto_o_ing_per_capita!$D438</f>
        <v>56.468343777575704</v>
      </c>
      <c r="P438" s="332">
        <f>Gasto_o_ing_per_capita!P438*100/Gasto_o_ing_per_capita!$D438</f>
        <v>172.08435408672386</v>
      </c>
      <c r="Q438" s="332">
        <f>Gasto_o_ing_per_capita!Q438*100/Gasto_o_ing_per_capita!$D438</f>
        <v>161.30809515508219</v>
      </c>
      <c r="R438" s="332">
        <f>Gasto_o_ing_per_capita!R438*100/Gasto_o_ing_per_capita!$D438</f>
        <v>68.362921207707942</v>
      </c>
      <c r="S438" s="332">
        <f>Gasto_o_ing_per_capita!S438*100/Gasto_o_ing_per_capita!$D438</f>
        <v>81.4747726329323</v>
      </c>
      <c r="T438" s="332">
        <f>Gasto_o_ing_per_capita!T438*100/Gasto_o_ing_per_capita!$D438</f>
        <v>140.00643563028717</v>
      </c>
      <c r="U438" s="332">
        <f>Gasto_o_ing_per_capita!U438*100/Gasto_o_ing_per_capita!$D438</f>
        <v>74.543023374942578</v>
      </c>
      <c r="V438" s="332">
        <f>Gasto_o_ing_per_capita!V438*100/Gasto_o_ing_per_capita!$D438</f>
        <v>63.19559194777186</v>
      </c>
    </row>
    <row r="439" spans="1:22"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Gasto_o_ing_per_capita!D439*100/Gasto_o_ing_per_capita!$D439</f>
        <v>99.999999999999986</v>
      </c>
      <c r="E439" s="332">
        <f>Gasto_o_ing_per_capita!E439*100/Gasto_o_ing_per_capita!$D439</f>
        <v>74.371460486275382</v>
      </c>
      <c r="F439" s="332">
        <f>Gasto_o_ing_per_capita!F439*100/Gasto_o_ing_per_capita!$D439</f>
        <v>111.63560150608021</v>
      </c>
      <c r="G439" s="332">
        <f>Gasto_o_ing_per_capita!G439*100/Gasto_o_ing_per_capita!$D439</f>
        <v>87.706407406041066</v>
      </c>
      <c r="H439" s="332">
        <f>Gasto_o_ing_per_capita!H439*100/Gasto_o_ing_per_capita!$D439</f>
        <v>107.21246051337415</v>
      </c>
      <c r="I439" s="332">
        <f>Gasto_o_ing_per_capita!I439*100/Gasto_o_ing_per_capita!$D439</f>
        <v>85.177104264475616</v>
      </c>
      <c r="J439" s="332">
        <f>Gasto_o_ing_per_capita!J439*100/Gasto_o_ing_per_capita!$D439</f>
        <v>91.657162828038793</v>
      </c>
      <c r="K439" s="332">
        <f>Gasto_o_ing_per_capita!K439*100/Gasto_o_ing_per_capita!$D439</f>
        <v>94.157869117694176</v>
      </c>
      <c r="L439" s="332">
        <f>Gasto_o_ing_per_capita!L439*100/Gasto_o_ing_per_capita!$D439</f>
        <v>77.762031857626766</v>
      </c>
      <c r="M439" s="332">
        <f>Gasto_o_ing_per_capita!M439*100/Gasto_o_ing_per_capita!$D439</f>
        <v>117.99324830423954</v>
      </c>
      <c r="N439" s="332">
        <f>Gasto_o_ing_per_capita!N439*100/Gasto_o_ing_per_capita!$D439</f>
        <v>87.779350706921875</v>
      </c>
      <c r="O439" s="332">
        <f>Gasto_o_ing_per_capita!O439*100/Gasto_o_ing_per_capita!$D439</f>
        <v>68.45293096742337</v>
      </c>
      <c r="P439" s="332">
        <f>Gasto_o_ing_per_capita!P439*100/Gasto_o_ing_per_capita!$D439</f>
        <v>88.579593985117953</v>
      </c>
      <c r="Q439" s="332">
        <f>Gasto_o_ing_per_capita!Q439*100/Gasto_o_ing_per_capita!$D439</f>
        <v>136.59786495965673</v>
      </c>
      <c r="R439" s="332">
        <f>Gasto_o_ing_per_capita!R439*100/Gasto_o_ing_per_capita!$D439</f>
        <v>81.589743102110802</v>
      </c>
      <c r="S439" s="332">
        <f>Gasto_o_ing_per_capita!S439*100/Gasto_o_ing_per_capita!$D439</f>
        <v>125.45335453336854</v>
      </c>
      <c r="T439" s="332">
        <f>Gasto_o_ing_per_capita!T439*100/Gasto_o_ing_per_capita!$D439</f>
        <v>131.56639461534979</v>
      </c>
      <c r="U439" s="332">
        <f>Gasto_o_ing_per_capita!U439*100/Gasto_o_ing_per_capita!$D439</f>
        <v>108.20182602691574</v>
      </c>
      <c r="V439" s="332">
        <f>Gasto_o_ing_per_capita!V439*100/Gasto_o_ing_per_capita!$D439</f>
        <v>78.321837523864332</v>
      </c>
    </row>
    <row r="440" spans="1:22"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Gasto_o_ing_per_capita!D440*100/Gasto_o_ing_per_capita!$D440</f>
        <v>100</v>
      </c>
      <c r="E440" s="332">
        <f>Gasto_o_ing_per_capita!E440*100/Gasto_o_ing_per_capita!$D440</f>
        <v>136.47586346116168</v>
      </c>
      <c r="F440" s="332">
        <f>Gasto_o_ing_per_capita!F440*100/Gasto_o_ing_per_capita!$D440</f>
        <v>0</v>
      </c>
      <c r="G440" s="332">
        <f>Gasto_o_ing_per_capita!G440*100/Gasto_o_ing_per_capita!$D440</f>
        <v>75.992902308044052</v>
      </c>
      <c r="H440" s="332">
        <f>Gasto_o_ing_per_capita!H440*100/Gasto_o_ing_per_capita!$D440</f>
        <v>91.944522390531588</v>
      </c>
      <c r="I440" s="332">
        <f>Gasto_o_ing_per_capita!I440*100/Gasto_o_ing_per_capita!$D440</f>
        <v>338.46866250190112</v>
      </c>
      <c r="J440" s="332">
        <f>Gasto_o_ing_per_capita!J440*100/Gasto_o_ing_per_capita!$D440</f>
        <v>127.57810946920196</v>
      </c>
      <c r="K440" s="332">
        <f>Gasto_o_ing_per_capita!K440*100/Gasto_o_ing_per_capita!$D440</f>
        <v>0</v>
      </c>
      <c r="L440" s="332">
        <f>Gasto_o_ing_per_capita!L440*100/Gasto_o_ing_per_capita!$D440</f>
        <v>0</v>
      </c>
      <c r="M440" s="332">
        <f>Gasto_o_ing_per_capita!M440*100/Gasto_o_ing_per_capita!$D440</f>
        <v>16.894865171832155</v>
      </c>
      <c r="N440" s="332">
        <f>Gasto_o_ing_per_capita!N440*100/Gasto_o_ing_per_capita!$D440</f>
        <v>64.404480478039474</v>
      </c>
      <c r="O440" s="332">
        <f>Gasto_o_ing_per_capita!O440*100/Gasto_o_ing_per_capita!$D440</f>
        <v>0</v>
      </c>
      <c r="P440" s="332">
        <f>Gasto_o_ing_per_capita!P440*100/Gasto_o_ing_per_capita!$D440</f>
        <v>606.02914721206832</v>
      </c>
      <c r="Q440" s="332">
        <f>Gasto_o_ing_per_capita!Q440*100/Gasto_o_ing_per_capita!$D440</f>
        <v>19.328208478893199</v>
      </c>
      <c r="R440" s="332">
        <f>Gasto_o_ing_per_capita!R440*100/Gasto_o_ing_per_capita!$D440</f>
        <v>64.340219148901511</v>
      </c>
      <c r="S440" s="332">
        <f>Gasto_o_ing_per_capita!S440*100/Gasto_o_ing_per_capita!$D440</f>
        <v>0</v>
      </c>
      <c r="T440" s="332">
        <f>Gasto_o_ing_per_capita!T440*100/Gasto_o_ing_per_capita!$D440</f>
        <v>83.001049595372152</v>
      </c>
      <c r="U440" s="332">
        <f>Gasto_o_ing_per_capita!U440*100/Gasto_o_ing_per_capita!$D440</f>
        <v>0</v>
      </c>
      <c r="V440" s="332">
        <f>Gasto_o_ing_per_capita!V440*100/Gasto_o_ing_per_capita!$D440</f>
        <v>265.08022525116201</v>
      </c>
    </row>
    <row r="441" spans="1:22" s="102" customFormat="1">
      <c r="A441" s="351" t="str">
        <f>IF(B441="","",(IF(ISERROR(MATCH(B441,Tot_res!C:C,0)),"Eliminar!!!","")))</f>
        <v/>
      </c>
      <c r="B441" s="115" t="s">
        <v>882</v>
      </c>
      <c r="C441" s="329" t="str">
        <f>VLOOKUP(B441,Tot_res!C:D,2,FALSE)</f>
        <v>ISM, formación  + AF20/2</v>
      </c>
      <c r="D441" s="332">
        <f>Gasto_o_ing_per_capita!D441*100/Gasto_o_ing_per_capita!$D441</f>
        <v>100</v>
      </c>
      <c r="E441" s="332">
        <f>Gasto_o_ing_per_capita!E441*100/Gasto_o_ing_per_capita!$D441</f>
        <v>175.07940679196332</v>
      </c>
      <c r="F441" s="332">
        <f>Gasto_o_ing_per_capita!F441*100/Gasto_o_ing_per_capita!$D441</f>
        <v>0</v>
      </c>
      <c r="G441" s="332">
        <f>Gasto_o_ing_per_capita!G441*100/Gasto_o_ing_per_capita!$D441</f>
        <v>234.14460403146205</v>
      </c>
      <c r="H441" s="332">
        <f>Gasto_o_ing_per_capita!H441*100/Gasto_o_ing_per_capita!$D441</f>
        <v>141.15859323295359</v>
      </c>
      <c r="I441" s="332">
        <f>Gasto_o_ing_per_capita!I441*100/Gasto_o_ing_per_capita!$D441</f>
        <v>85.59044477256441</v>
      </c>
      <c r="J441" s="332">
        <f>Gasto_o_ing_per_capita!J441*100/Gasto_o_ing_per_capita!$D441</f>
        <v>36.402515610508345</v>
      </c>
      <c r="K441" s="332">
        <f>Gasto_o_ing_per_capita!K441*100/Gasto_o_ing_per_capita!$D441</f>
        <v>0</v>
      </c>
      <c r="L441" s="332">
        <f>Gasto_o_ing_per_capita!L441*100/Gasto_o_ing_per_capita!$D441</f>
        <v>0</v>
      </c>
      <c r="M441" s="332">
        <f>Gasto_o_ing_per_capita!M441*100/Gasto_o_ing_per_capita!$D441</f>
        <v>36.62568513538379</v>
      </c>
      <c r="N441" s="332">
        <f>Gasto_o_ing_per_capita!N441*100/Gasto_o_ing_per_capita!$D441</f>
        <v>59.588068879915404</v>
      </c>
      <c r="O441" s="332">
        <f>Gasto_o_ing_per_capita!O441*100/Gasto_o_ing_per_capita!$D441</f>
        <v>0</v>
      </c>
      <c r="P441" s="332">
        <f>Gasto_o_ing_per_capita!P441*100/Gasto_o_ing_per_capita!$D441</f>
        <v>616.97923931901209</v>
      </c>
      <c r="Q441" s="332">
        <f>Gasto_o_ing_per_capita!Q441*100/Gasto_o_ing_per_capita!$D441</f>
        <v>0</v>
      </c>
      <c r="R441" s="332">
        <f>Gasto_o_ing_per_capita!R441*100/Gasto_o_ing_per_capita!$D441</f>
        <v>8.8583663350904409</v>
      </c>
      <c r="S441" s="332">
        <f>Gasto_o_ing_per_capita!S441*100/Gasto_o_ing_per_capita!$D441</f>
        <v>0</v>
      </c>
      <c r="T441" s="332">
        <f>Gasto_o_ing_per_capita!T441*100/Gasto_o_ing_per_capita!$D441</f>
        <v>145.23382643874922</v>
      </c>
      <c r="U441" s="332">
        <f>Gasto_o_ing_per_capita!U441*100/Gasto_o_ing_per_capita!$D441</f>
        <v>0</v>
      </c>
      <c r="V441" s="332">
        <f>Gasto_o_ing_per_capita!V441*100/Gasto_o_ing_per_capita!$D441</f>
        <v>0</v>
      </c>
    </row>
    <row r="442" spans="1:22" s="102" customFormat="1">
      <c r="A442" s="351" t="str">
        <f>IF(B442="","",(IF(ISERROR(MATCH(B442,Tot_res!C:C,0)),"Eliminar!!!","")))</f>
        <v/>
      </c>
      <c r="B442" s="115" t="s">
        <v>396</v>
      </c>
      <c r="C442" s="329" t="str">
        <f>VLOOKUP(B442,Tot_res!C:D,2,FALSE)</f>
        <v>Gestión de la formación continua + AF20/3</v>
      </c>
      <c r="D442" s="332">
        <f>Gasto_o_ing_per_capita!D442*100/Gasto_o_ing_per_capita!$D442</f>
        <v>100</v>
      </c>
      <c r="E442" s="332">
        <f>Gasto_o_ing_per_capita!E442*100/Gasto_o_ing_per_capita!$D442</f>
        <v>112.3568850789502</v>
      </c>
      <c r="F442" s="332">
        <f>Gasto_o_ing_per_capita!F442*100/Gasto_o_ing_per_capita!$D442</f>
        <v>234.28977585902715</v>
      </c>
      <c r="G442" s="332">
        <f>Gasto_o_ing_per_capita!G442*100/Gasto_o_ing_per_capita!$D442</f>
        <v>0</v>
      </c>
      <c r="H442" s="332">
        <f>Gasto_o_ing_per_capita!H442*100/Gasto_o_ing_per_capita!$D442</f>
        <v>212.24668156048125</v>
      </c>
      <c r="I442" s="332">
        <f>Gasto_o_ing_per_capita!I442*100/Gasto_o_ing_per_capita!$D442</f>
        <v>184.93599673465829</v>
      </c>
      <c r="J442" s="332">
        <f>Gasto_o_ing_per_capita!J442*100/Gasto_o_ing_per_capita!$D442</f>
        <v>246.52942079970586</v>
      </c>
      <c r="K442" s="332">
        <f>Gasto_o_ing_per_capita!K442*100/Gasto_o_ing_per_capita!$D442</f>
        <v>159.29132363319832</v>
      </c>
      <c r="L442" s="332">
        <f>Gasto_o_ing_per_capita!L442*100/Gasto_o_ing_per_capita!$D442</f>
        <v>0</v>
      </c>
      <c r="M442" s="332">
        <f>Gasto_o_ing_per_capita!M442*100/Gasto_o_ing_per_capita!$D442</f>
        <v>131.13699343289522</v>
      </c>
      <c r="N442" s="332">
        <f>Gasto_o_ing_per_capita!N442*100/Gasto_o_ing_per_capita!$D442</f>
        <v>0</v>
      </c>
      <c r="O442" s="332">
        <f>Gasto_o_ing_per_capita!O442*100/Gasto_o_ing_per_capita!$D442</f>
        <v>211.9601870419005</v>
      </c>
      <c r="P442" s="332">
        <f>Gasto_o_ing_per_capita!P442*100/Gasto_o_ing_per_capita!$D442</f>
        <v>165.64576440506414</v>
      </c>
      <c r="Q442" s="332">
        <f>Gasto_o_ing_per_capita!Q442*100/Gasto_o_ing_per_capita!$D442</f>
        <v>0</v>
      </c>
      <c r="R442" s="332">
        <f>Gasto_o_ing_per_capita!R442*100/Gasto_o_ing_per_capita!$D442</f>
        <v>180.44046331632219</v>
      </c>
      <c r="S442" s="332">
        <f>Gasto_o_ing_per_capita!S442*100/Gasto_o_ing_per_capita!$D442</f>
        <v>0</v>
      </c>
      <c r="T442" s="332">
        <f>Gasto_o_ing_per_capita!T442*100/Gasto_o_ing_per_capita!$D442</f>
        <v>100</v>
      </c>
      <c r="U442" s="332">
        <f>Gasto_o_ing_per_capita!U442*100/Gasto_o_ing_per_capita!$D442</f>
        <v>306.84016529577019</v>
      </c>
      <c r="V442" s="332">
        <f>Gasto_o_ing_per_capita!V442*100/Gasto_o_ing_per_capita!$D442</f>
        <v>0</v>
      </c>
    </row>
    <row r="443" spans="1:22" s="102" customFormat="1">
      <c r="A443" s="352"/>
      <c r="B443" s="115"/>
      <c r="C443" s="138"/>
      <c r="D443" s="110"/>
      <c r="E443" s="110"/>
      <c r="F443" s="110"/>
      <c r="G443" s="110"/>
      <c r="H443" s="110"/>
      <c r="I443" s="110"/>
      <c r="J443" s="110"/>
      <c r="K443" s="110"/>
      <c r="L443" s="110"/>
      <c r="M443" s="110"/>
      <c r="N443" s="110"/>
      <c r="O443" s="110"/>
      <c r="P443" s="110"/>
      <c r="Q443" s="110"/>
      <c r="R443" s="110"/>
      <c r="S443" s="110"/>
      <c r="T443" s="110"/>
      <c r="U443" s="110"/>
      <c r="V443" s="110"/>
    </row>
    <row r="444" spans="1:22" s="102" customFormat="1" ht="13.5">
      <c r="A444" s="352"/>
      <c r="B444" s="115"/>
      <c r="C444" s="128" t="s">
        <v>75</v>
      </c>
      <c r="D444" s="113">
        <f>Gasto_o_ing_per_capita!D444*100/Gasto_o_ing_per_capita!$D444</f>
        <v>100</v>
      </c>
      <c r="E444" s="113">
        <f>Gasto_o_ing_per_capita!E444*100/Gasto_o_ing_per_capita!$D444</f>
        <v>199.40203513645318</v>
      </c>
      <c r="F444" s="113">
        <f>Gasto_o_ing_per_capita!F444*100/Gasto_o_ing_per_capita!$D444</f>
        <v>260.22942442460504</v>
      </c>
      <c r="G444" s="113">
        <f>Gasto_o_ing_per_capita!G444*100/Gasto_o_ing_per_capita!$D444</f>
        <v>44.219825468395619</v>
      </c>
      <c r="H444" s="113">
        <f>Gasto_o_ing_per_capita!H444*100/Gasto_o_ing_per_capita!$D444</f>
        <v>21.153806318545243</v>
      </c>
      <c r="I444" s="113">
        <f>Gasto_o_ing_per_capita!I444*100/Gasto_o_ing_per_capita!$D444</f>
        <v>73.454644593299506</v>
      </c>
      <c r="J444" s="113">
        <f>Gasto_o_ing_per_capita!J444*100/Gasto_o_ing_per_capita!$D444</f>
        <v>91.211192372536132</v>
      </c>
      <c r="K444" s="113">
        <f>Gasto_o_ing_per_capita!K444*100/Gasto_o_ing_per_capita!$D444</f>
        <v>273.21558802377382</v>
      </c>
      <c r="L444" s="113">
        <f>Gasto_o_ing_per_capita!L444*100/Gasto_o_ing_per_capita!$D444</f>
        <v>205.35095292236713</v>
      </c>
      <c r="M444" s="113">
        <f>Gasto_o_ing_per_capita!M444*100/Gasto_o_ing_per_capita!$D444</f>
        <v>33.98699469273685</v>
      </c>
      <c r="N444" s="113">
        <f>Gasto_o_ing_per_capita!N444*100/Gasto_o_ing_per_capita!$D444</f>
        <v>31.477074499261185</v>
      </c>
      <c r="O444" s="113">
        <f>Gasto_o_ing_per_capita!O444*100/Gasto_o_ing_per_capita!$D444</f>
        <v>393.26516618477052</v>
      </c>
      <c r="P444" s="113">
        <f>Gasto_o_ing_per_capita!P444*100/Gasto_o_ing_per_capita!$D444</f>
        <v>64.465819049195574</v>
      </c>
      <c r="Q444" s="113">
        <f>Gasto_o_ing_per_capita!Q444*100/Gasto_o_ing_per_capita!$D444</f>
        <v>3.8043624005812395</v>
      </c>
      <c r="R444" s="113">
        <f>Gasto_o_ing_per_capita!R444*100/Gasto_o_ing_per_capita!$D444</f>
        <v>54.608703163443437</v>
      </c>
      <c r="S444" s="113">
        <f>Gasto_o_ing_per_capita!S444*100/Gasto_o_ing_per_capita!$D444</f>
        <v>125.37048262236115</v>
      </c>
      <c r="T444" s="113">
        <f>Gasto_o_ing_per_capita!T444*100/Gasto_o_ing_per_capita!$D444</f>
        <v>13.997948427592233</v>
      </c>
      <c r="U444" s="113">
        <f>Gasto_o_ing_per_capita!U444*100/Gasto_o_ing_per_capita!$D444</f>
        <v>103.85108101142015</v>
      </c>
      <c r="V444" s="113">
        <f>Gasto_o_ing_per_capita!V444*100/Gasto_o_ing_per_capita!$D444</f>
        <v>2.2973715202577543</v>
      </c>
    </row>
    <row r="445" spans="1:22" s="102" customFormat="1">
      <c r="A445" s="351" t="str">
        <f>IF(B445="","",(IF(ISERROR(MATCH(B445,Tot_res!C:C,0)),"Eliminar!!!","")))</f>
        <v/>
      </c>
      <c r="B445" s="115" t="s">
        <v>469</v>
      </c>
      <c r="C445" s="329" t="str">
        <f>VLOOKUP(B445,Tot_res!C:D,2,FALSE)</f>
        <v>Competitividad y calidad de la producción y los mercados agrarios + AF22/1</v>
      </c>
      <c r="D445" s="332">
        <f>Gasto_o_ing_per_capita!D445*100/Gasto_o_ing_per_capita!$D445</f>
        <v>100</v>
      </c>
      <c r="E445" s="332">
        <f>Gasto_o_ing_per_capita!E445*100/Gasto_o_ing_per_capita!$D445</f>
        <v>122.92582819734812</v>
      </c>
      <c r="F445" s="332">
        <f>Gasto_o_ing_per_capita!F445*100/Gasto_o_ing_per_capita!$D445</f>
        <v>292.27845339722347</v>
      </c>
      <c r="G445" s="332">
        <f>Gasto_o_ing_per_capita!G445*100/Gasto_o_ing_per_capita!$D445</f>
        <v>71.637473902338272</v>
      </c>
      <c r="H445" s="332">
        <f>Gasto_o_ing_per_capita!H445*100/Gasto_o_ing_per_capita!$D445</f>
        <v>79.44094362651191</v>
      </c>
      <c r="I445" s="332">
        <f>Gasto_o_ing_per_capita!I445*100/Gasto_o_ing_per_capita!$D445</f>
        <v>41.002003704287098</v>
      </c>
      <c r="J445" s="332">
        <f>Gasto_o_ing_per_capita!J445*100/Gasto_o_ing_per_capita!$D445</f>
        <v>160.47603206479786</v>
      </c>
      <c r="K445" s="332">
        <f>Gasto_o_ing_per_capita!K445*100/Gasto_o_ing_per_capita!$D445</f>
        <v>163.87214281715896</v>
      </c>
      <c r="L445" s="332">
        <f>Gasto_o_ing_per_capita!L445*100/Gasto_o_ing_per_capita!$D445</f>
        <v>199.5298852926507</v>
      </c>
      <c r="M445" s="332">
        <f>Gasto_o_ing_per_capita!M445*100/Gasto_o_ing_per_capita!$D445</f>
        <v>52.958476649302902</v>
      </c>
      <c r="N445" s="332">
        <f>Gasto_o_ing_per_capita!N445*100/Gasto_o_ing_per_capita!$D445</f>
        <v>84.264263934419517</v>
      </c>
      <c r="O445" s="332">
        <f>Gasto_o_ing_per_capita!O445*100/Gasto_o_ing_per_capita!$D445</f>
        <v>221.72586543368308</v>
      </c>
      <c r="P445" s="332">
        <f>Gasto_o_ing_per_capita!P445*100/Gasto_o_ing_per_capita!$D445</f>
        <v>98.466973162909298</v>
      </c>
      <c r="Q445" s="332">
        <f>Gasto_o_ing_per_capita!Q445*100/Gasto_o_ing_per_capita!$D445</f>
        <v>19.318209336522454</v>
      </c>
      <c r="R445" s="332">
        <f>Gasto_o_ing_per_capita!R445*100/Gasto_o_ing_per_capita!$D445</f>
        <v>190.78625551483964</v>
      </c>
      <c r="S445" s="332">
        <f>Gasto_o_ing_per_capita!S445*100/Gasto_o_ing_per_capita!$D445</f>
        <v>100</v>
      </c>
      <c r="T445" s="332">
        <f>Gasto_o_ing_per_capita!T445*100/Gasto_o_ing_per_capita!$D445</f>
        <v>100.00000000000001</v>
      </c>
      <c r="U445" s="332">
        <f>Gasto_o_ing_per_capita!U445*100/Gasto_o_ing_per_capita!$D445</f>
        <v>214.94853121828885</v>
      </c>
      <c r="V445" s="332">
        <f>Gasto_o_ing_per_capita!V445*100/Gasto_o_ing_per_capita!$D445</f>
        <v>0</v>
      </c>
    </row>
    <row r="446" spans="1:22" s="102" customFormat="1">
      <c r="A446" s="351" t="str">
        <f>IF(B446="","",(IF(ISERROR(MATCH(B446,Tot_res!C:C,0)),"Eliminar!!!","")))</f>
        <v/>
      </c>
      <c r="B446" s="115" t="s">
        <v>471</v>
      </c>
      <c r="C446" s="329" t="str">
        <f>VLOOKUP(B446,Tot_res!C:D,2,FALSE)</f>
        <v>Competitividad y calidad de la sanidad agraria + AF22/2</v>
      </c>
      <c r="D446" s="332">
        <f>Gasto_o_ing_per_capita!D446*100/Gasto_o_ing_per_capita!$D446</f>
        <v>100</v>
      </c>
      <c r="E446" s="332">
        <f>Gasto_o_ing_per_capita!E446*100/Gasto_o_ing_per_capita!$D446</f>
        <v>82.156877177084141</v>
      </c>
      <c r="F446" s="332">
        <f>Gasto_o_ing_per_capita!F446*100/Gasto_o_ing_per_capita!$D446</f>
        <v>341.04999661196575</v>
      </c>
      <c r="G446" s="332">
        <f>Gasto_o_ing_per_capita!G446*100/Gasto_o_ing_per_capita!$D446</f>
        <v>110.39139012212152</v>
      </c>
      <c r="H446" s="332">
        <f>Gasto_o_ing_per_capita!H446*100/Gasto_o_ing_per_capita!$D446</f>
        <v>40.778334980995375</v>
      </c>
      <c r="I446" s="332">
        <f>Gasto_o_ing_per_capita!I446*100/Gasto_o_ing_per_capita!$D446</f>
        <v>24.923584185771922</v>
      </c>
      <c r="J446" s="332">
        <f>Gasto_o_ing_per_capita!J446*100/Gasto_o_ing_per_capita!$D446</f>
        <v>181.40826881619239</v>
      </c>
      <c r="K446" s="332">
        <f>Gasto_o_ing_per_capita!K446*100/Gasto_o_ing_per_capita!$D446</f>
        <v>250.01913740036173</v>
      </c>
      <c r="L446" s="332">
        <f>Gasto_o_ing_per_capita!L446*100/Gasto_o_ing_per_capita!$D446</f>
        <v>115.48693664181249</v>
      </c>
      <c r="M446" s="332">
        <f>Gasto_o_ing_per_capita!M446*100/Gasto_o_ing_per_capita!$D446</f>
        <v>78.807520149565605</v>
      </c>
      <c r="N446" s="332">
        <f>Gasto_o_ing_per_capita!N446*100/Gasto_o_ing_per_capita!$D446</f>
        <v>65.279046712290096</v>
      </c>
      <c r="O446" s="332">
        <f>Gasto_o_ing_per_capita!O446*100/Gasto_o_ing_per_capita!$D446</f>
        <v>279.57946429067749</v>
      </c>
      <c r="P446" s="332">
        <f>Gasto_o_ing_per_capita!P446*100/Gasto_o_ing_per_capita!$D446</f>
        <v>175.21919021628898</v>
      </c>
      <c r="Q446" s="332">
        <f>Gasto_o_ing_per_capita!Q446*100/Gasto_o_ing_per_capita!$D446</f>
        <v>22.577393461590749</v>
      </c>
      <c r="R446" s="332">
        <f>Gasto_o_ing_per_capita!R446*100/Gasto_o_ing_per_capita!$D446</f>
        <v>104.4835153914584</v>
      </c>
      <c r="S446" s="332">
        <f>Gasto_o_ing_per_capita!S446*100/Gasto_o_ing_per_capita!$D446</f>
        <v>100</v>
      </c>
      <c r="T446" s="332">
        <f>Gasto_o_ing_per_capita!T446*100/Gasto_o_ing_per_capita!$D446</f>
        <v>100</v>
      </c>
      <c r="U446" s="332">
        <f>Gasto_o_ing_per_capita!U446*100/Gasto_o_ing_per_capita!$D446</f>
        <v>65.920868984775879</v>
      </c>
      <c r="V446" s="332">
        <f>Gasto_o_ing_per_capita!V446*100/Gasto_o_ing_per_capita!$D446</f>
        <v>241.82955590165207</v>
      </c>
    </row>
    <row r="447" spans="1:22" s="102" customFormat="1">
      <c r="A447" s="351" t="str">
        <f>IF(B447="","",(IF(ISERROR(MATCH(B447,Tot_res!C:C,0)),"Eliminar!!!","")))</f>
        <v/>
      </c>
      <c r="B447" s="115" t="s">
        <v>397</v>
      </c>
      <c r="C447" s="329" t="str">
        <f>VLOOKUP(B447,Tot_res!C:D,2,FALSE)</f>
        <v>Regulación de los mercados agrarios</v>
      </c>
      <c r="D447" s="332">
        <f>Gasto_o_ing_per_capita!D447*100/Gasto_o_ing_per_capita!$D447</f>
        <v>100</v>
      </c>
      <c r="E447" s="332">
        <f>Gasto_o_ing_per_capita!E447*100/Gasto_o_ing_per_capita!$D447</f>
        <v>215.68790635849342</v>
      </c>
      <c r="F447" s="332">
        <f>Gasto_o_ing_per_capita!F447*100/Gasto_o_ing_per_capita!$D447</f>
        <v>271.09831281175218</v>
      </c>
      <c r="G447" s="332">
        <f>Gasto_o_ing_per_capita!G447*100/Gasto_o_ing_per_capita!$D447</f>
        <v>26.655086930393097</v>
      </c>
      <c r="H447" s="332">
        <f>Gasto_o_ing_per_capita!H447*100/Gasto_o_ing_per_capita!$D447</f>
        <v>18.480230597390545</v>
      </c>
      <c r="I447" s="332">
        <f>Gasto_o_ing_per_capita!I447*100/Gasto_o_ing_per_capita!$D447</f>
        <v>77.632764349905599</v>
      </c>
      <c r="J447" s="332">
        <f>Gasto_o_ing_per_capita!J447*100/Gasto_o_ing_per_capita!$D447</f>
        <v>55.160979603449398</v>
      </c>
      <c r="K447" s="332">
        <f>Gasto_o_ing_per_capita!K447*100/Gasto_o_ing_per_capita!$D447</f>
        <v>301.87577545464745</v>
      </c>
      <c r="L447" s="332">
        <f>Gasto_o_ing_per_capita!L447*100/Gasto_o_ing_per_capita!$D447</f>
        <v>186.48337103449725</v>
      </c>
      <c r="M447" s="332">
        <f>Gasto_o_ing_per_capita!M447*100/Gasto_o_ing_per_capita!$D447</f>
        <v>32.880417165963273</v>
      </c>
      <c r="N447" s="332">
        <f>Gasto_o_ing_per_capita!N447*100/Gasto_o_ing_per_capita!$D447</f>
        <v>24.975877553974176</v>
      </c>
      <c r="O447" s="332">
        <f>Gasto_o_ing_per_capita!O447*100/Gasto_o_ing_per_capita!$D447</f>
        <v>380.90977888336977</v>
      </c>
      <c r="P447" s="332">
        <f>Gasto_o_ing_per_capita!P447*100/Gasto_o_ing_per_capita!$D447</f>
        <v>37.871959371310609</v>
      </c>
      <c r="Q447" s="332">
        <f>Gasto_o_ing_per_capita!Q447*100/Gasto_o_ing_per_capita!$D447</f>
        <v>3.2226604601087301</v>
      </c>
      <c r="R447" s="332">
        <f>Gasto_o_ing_per_capita!R447*100/Gasto_o_ing_per_capita!$D447</f>
        <v>50.833030255308429</v>
      </c>
      <c r="S447" s="332">
        <f>Gasto_o_ing_per_capita!S447*100/Gasto_o_ing_per_capita!$D447</f>
        <v>135.65244853686372</v>
      </c>
      <c r="T447" s="332">
        <f>Gasto_o_ing_per_capita!T447*100/Gasto_o_ing_per_capita!$D447</f>
        <v>8.8055007308693014</v>
      </c>
      <c r="U447" s="332">
        <f>Gasto_o_ing_per_capita!U447*100/Gasto_o_ing_per_capita!$D447</f>
        <v>79.398157460270568</v>
      </c>
      <c r="V447" s="332">
        <f>Gasto_o_ing_per_capita!V447*100/Gasto_o_ing_per_capita!$D447</f>
        <v>0</v>
      </c>
    </row>
    <row r="448" spans="1:22" s="102" customFormat="1">
      <c r="A448" s="351" t="str">
        <f>IF(B448="","",(IF(ISERROR(MATCH(B448,Tot_res!C:C,0)),"Eliminar!!!","")))</f>
        <v/>
      </c>
      <c r="B448" s="115" t="s">
        <v>398</v>
      </c>
      <c r="C448" s="329" t="str">
        <f>VLOOKUP(B448,Tot_res!C:D,2,FALSE)</f>
        <v>Competitividad industria agroalimentaria y calidad alimentaria + AF22/3</v>
      </c>
      <c r="D448" s="332">
        <f>Gasto_o_ing_per_capita!D448*100/Gasto_o_ing_per_capita!$D448</f>
        <v>100</v>
      </c>
      <c r="E448" s="332">
        <f>Gasto_o_ing_per_capita!E448*100/Gasto_o_ing_per_capita!$D448</f>
        <v>64.516867132271329</v>
      </c>
      <c r="F448" s="332">
        <f>Gasto_o_ing_per_capita!F448*100/Gasto_o_ing_per_capita!$D448</f>
        <v>92.607673447677271</v>
      </c>
      <c r="G448" s="332">
        <f>Gasto_o_ing_per_capita!G448*100/Gasto_o_ing_per_capita!$D448</f>
        <v>59.968129343359941</v>
      </c>
      <c r="H448" s="332">
        <f>Gasto_o_ing_per_capita!H448*100/Gasto_o_ing_per_capita!$D448</f>
        <v>18.967545931913477</v>
      </c>
      <c r="I448" s="332">
        <f>Gasto_o_ing_per_capita!I448*100/Gasto_o_ing_per_capita!$D448</f>
        <v>29.879259090112004</v>
      </c>
      <c r="J448" s="332">
        <f>Gasto_o_ing_per_capita!J448*100/Gasto_o_ing_per_capita!$D448</f>
        <v>196.97881374474869</v>
      </c>
      <c r="K448" s="332">
        <f>Gasto_o_ing_per_capita!K448*100/Gasto_o_ing_per_capita!$D448</f>
        <v>159.24606924262616</v>
      </c>
      <c r="L448" s="332">
        <f>Gasto_o_ing_per_capita!L448*100/Gasto_o_ing_per_capita!$D448</f>
        <v>111.39032244158433</v>
      </c>
      <c r="M448" s="332">
        <f>Gasto_o_ing_per_capita!M448*100/Gasto_o_ing_per_capita!$D448</f>
        <v>149.12163915840082</v>
      </c>
      <c r="N448" s="332">
        <f>Gasto_o_ing_per_capita!N448*100/Gasto_o_ing_per_capita!$D448</f>
        <v>72.134492311573254</v>
      </c>
      <c r="O448" s="332">
        <f>Gasto_o_ing_per_capita!O448*100/Gasto_o_ing_per_capita!$D448</f>
        <v>146.04312884419147</v>
      </c>
      <c r="P448" s="332">
        <f>Gasto_o_ing_per_capita!P448*100/Gasto_o_ing_per_capita!$D448</f>
        <v>161.51988256839695</v>
      </c>
      <c r="Q448" s="332">
        <f>Gasto_o_ing_per_capita!Q448*100/Gasto_o_ing_per_capita!$D448</f>
        <v>82.406619245830157</v>
      </c>
      <c r="R448" s="332">
        <f>Gasto_o_ing_per_capita!R448*100/Gasto_o_ing_per_capita!$D448</f>
        <v>103.31501117778981</v>
      </c>
      <c r="S448" s="332">
        <f>Gasto_o_ing_per_capita!S448*100/Gasto_o_ing_per_capita!$D448</f>
        <v>100.00000000000003</v>
      </c>
      <c r="T448" s="332">
        <f>Gasto_o_ing_per_capita!T448*100/Gasto_o_ing_per_capita!$D448</f>
        <v>100.00000000000003</v>
      </c>
      <c r="U448" s="332">
        <f>Gasto_o_ing_per_capita!U448*100/Gasto_o_ing_per_capita!$D448</f>
        <v>212.87974780507068</v>
      </c>
      <c r="V448" s="332">
        <f>Gasto_o_ing_per_capita!V448*100/Gasto_o_ing_per_capita!$D448</f>
        <v>0</v>
      </c>
    </row>
    <row r="449" spans="1:22" s="102" customFormat="1">
      <c r="A449" s="351" t="str">
        <f>IF(B449="","",(IF(ISERROR(MATCH(B449,Tot_res!C:C,0)),"Eliminar!!!","")))</f>
        <v/>
      </c>
      <c r="B449" s="115" t="s">
        <v>399</v>
      </c>
      <c r="C449" s="329" t="str">
        <f>VLOOKUP(B449,Tot_res!C:D,2,FALSE)</f>
        <v>Desarrollo del medio rural  + AF22/4</v>
      </c>
      <c r="D449" s="332">
        <f>Gasto_o_ing_per_capita!D449*100/Gasto_o_ing_per_capita!$D449</f>
        <v>100</v>
      </c>
      <c r="E449" s="332">
        <f>Gasto_o_ing_per_capita!E449*100/Gasto_o_ing_per_capita!$D449</f>
        <v>141.76640278772462</v>
      </c>
      <c r="F449" s="332">
        <f>Gasto_o_ing_per_capita!F449*100/Gasto_o_ing_per_capita!$D449</f>
        <v>223.78418445814057</v>
      </c>
      <c r="G449" s="332">
        <f>Gasto_o_ing_per_capita!G449*100/Gasto_o_ing_per_capita!$D449</f>
        <v>121.88824953896871</v>
      </c>
      <c r="H449" s="332">
        <f>Gasto_o_ing_per_capita!H449*100/Gasto_o_ing_per_capita!$D449</f>
        <v>28.823082730287982</v>
      </c>
      <c r="I449" s="332">
        <f>Gasto_o_ing_per_capita!I449*100/Gasto_o_ing_per_capita!$D449</f>
        <v>58.984933611176928</v>
      </c>
      <c r="J449" s="332">
        <f>Gasto_o_ing_per_capita!J449*100/Gasto_o_ing_per_capita!$D449</f>
        <v>264.83398905492948</v>
      </c>
      <c r="K449" s="332">
        <f>Gasto_o_ing_per_capita!K449*100/Gasto_o_ing_per_capita!$D449</f>
        <v>171.0158774557799</v>
      </c>
      <c r="L449" s="332">
        <f>Gasto_o_ing_per_capita!L449*100/Gasto_o_ing_per_capita!$D449</f>
        <v>315.64625929973852</v>
      </c>
      <c r="M449" s="332">
        <f>Gasto_o_ing_per_capita!M449*100/Gasto_o_ing_per_capita!$D449</f>
        <v>29.859850864273248</v>
      </c>
      <c r="N449" s="332">
        <f>Gasto_o_ing_per_capita!N449*100/Gasto_o_ing_per_capita!$D449</f>
        <v>47.999112351211103</v>
      </c>
      <c r="O449" s="332">
        <f>Gasto_o_ing_per_capita!O449*100/Gasto_o_ing_per_capita!$D449</f>
        <v>525.94751825703213</v>
      </c>
      <c r="P449" s="332">
        <f>Gasto_o_ing_per_capita!P449*100/Gasto_o_ing_per_capita!$D449</f>
        <v>140.82988714948502</v>
      </c>
      <c r="Q449" s="332">
        <f>Gasto_o_ing_per_capita!Q449*100/Gasto_o_ing_per_capita!$D449</f>
        <v>1.3542402418434882</v>
      </c>
      <c r="R449" s="332">
        <f>Gasto_o_ing_per_capita!R449*100/Gasto_o_ing_per_capita!$D449</f>
        <v>49.683451508929558</v>
      </c>
      <c r="S449" s="332">
        <f>Gasto_o_ing_per_capita!S449*100/Gasto_o_ing_per_capita!$D449</f>
        <v>72.786659925332913</v>
      </c>
      <c r="T449" s="332">
        <f>Gasto_o_ing_per_capita!T449*100/Gasto_o_ing_per_capita!$D449</f>
        <v>21.796169808587191</v>
      </c>
      <c r="U449" s="332">
        <f>Gasto_o_ing_per_capita!U449*100/Gasto_o_ing_per_capita!$D449</f>
        <v>197.43317631796003</v>
      </c>
      <c r="V449" s="332">
        <f>Gasto_o_ing_per_capita!V449*100/Gasto_o_ing_per_capita!$D449</f>
        <v>0</v>
      </c>
    </row>
    <row r="450" spans="1:22" s="102" customFormat="1">
      <c r="A450" s="351" t="str">
        <f>IF(B450="","",(IF(ISERROR(MATCH(B450,Tot_res!C:C,0)),"Eliminar!!!","")))</f>
        <v/>
      </c>
      <c r="B450" s="115" t="s">
        <v>401</v>
      </c>
      <c r="C450" s="329" t="str">
        <f>VLOOKUP(B450,Tot_res!C:D,2,FALSE)</f>
        <v>Protección de los recursos pesqueros y desarrollo sostenible</v>
      </c>
      <c r="D450" s="332">
        <f>Gasto_o_ing_per_capita!D450*100/Gasto_o_ing_per_capita!$D450</f>
        <v>100</v>
      </c>
      <c r="E450" s="332">
        <f>Gasto_o_ing_per_capita!E450*100/Gasto_o_ing_per_capita!$D450</f>
        <v>91.94446530216895</v>
      </c>
      <c r="F450" s="332">
        <f>Gasto_o_ing_per_capita!F450*100/Gasto_o_ing_per_capita!$D450</f>
        <v>0.22798202455220901</v>
      </c>
      <c r="G450" s="332">
        <f>Gasto_o_ing_per_capita!G450*100/Gasto_o_ing_per_capita!$D450</f>
        <v>151.53276148159563</v>
      </c>
      <c r="H450" s="332">
        <f>Gasto_o_ing_per_capita!H450*100/Gasto_o_ing_per_capita!$D450</f>
        <v>81.037668113864456</v>
      </c>
      <c r="I450" s="332">
        <f>Gasto_o_ing_per_capita!I450*100/Gasto_o_ing_per_capita!$D450</f>
        <v>100.66758911830495</v>
      </c>
      <c r="J450" s="332">
        <f>Gasto_o_ing_per_capita!J450*100/Gasto_o_ing_per_capita!$D450</f>
        <v>232.59850645214755</v>
      </c>
      <c r="K450" s="332">
        <f>Gasto_o_ing_per_capita!K450*100/Gasto_o_ing_per_capita!$D450</f>
        <v>0.43475316671725089</v>
      </c>
      <c r="L450" s="332">
        <f>Gasto_o_ing_per_capita!L450*100/Gasto_o_ing_per_capita!$D450</f>
        <v>0.14563514221347093</v>
      </c>
      <c r="M450" s="332">
        <f>Gasto_o_ing_per_capita!M450*100/Gasto_o_ing_per_capita!$D450</f>
        <v>49.964919679885682</v>
      </c>
      <c r="N450" s="332">
        <f>Gasto_o_ing_per_capita!N450*100/Gasto_o_ing_per_capita!$D450</f>
        <v>59.247104232480098</v>
      </c>
      <c r="O450" s="332">
        <f>Gasto_o_ing_per_capita!O450*100/Gasto_o_ing_per_capita!$D450</f>
        <v>0.53821692642135055</v>
      </c>
      <c r="P450" s="332">
        <f>Gasto_o_ing_per_capita!P450*100/Gasto_o_ing_per_capita!$D450</f>
        <v>775.82202602571522</v>
      </c>
      <c r="Q450" s="332">
        <f>Gasto_o_ing_per_capita!Q450*100/Gasto_o_ing_per_capita!$D450</f>
        <v>5.2389396419021201</v>
      </c>
      <c r="R450" s="332">
        <f>Gasto_o_ing_per_capita!R450*100/Gasto_o_ing_per_capita!$D450</f>
        <v>56.303835989472724</v>
      </c>
      <c r="S450" s="332">
        <f>Gasto_o_ing_per_capita!S450*100/Gasto_o_ing_per_capita!$D450</f>
        <v>0.23516170050605592</v>
      </c>
      <c r="T450" s="332">
        <f>Gasto_o_ing_per_capita!T450*100/Gasto_o_ing_per_capita!$D450</f>
        <v>170.43216267135816</v>
      </c>
      <c r="U450" s="332">
        <f>Gasto_o_ing_per_capita!U450*100/Gasto_o_ing_per_capita!$D450</f>
        <v>0</v>
      </c>
      <c r="V450" s="332">
        <f>Gasto_o_ing_per_capita!V450*100/Gasto_o_ing_per_capita!$D450</f>
        <v>61.269848443148966</v>
      </c>
    </row>
    <row r="451" spans="1:22" s="102" customFormat="1">
      <c r="A451" s="351" t="str">
        <f>IF(B451="","",(IF(ISERROR(MATCH(B451,Tot_res!C:C,0)),"Eliminar!!!","")))</f>
        <v/>
      </c>
      <c r="B451" s="115" t="s">
        <v>402</v>
      </c>
      <c r="C451" s="329" t="str">
        <f>VLOOKUP(B451,Tot_res!C:D,2,FALSE)</f>
        <v>Mejora de estructuras y mercados pesqueros</v>
      </c>
      <c r="D451" s="332">
        <f>Gasto_o_ing_per_capita!D451*100/Gasto_o_ing_per_capita!$D451</f>
        <v>100</v>
      </c>
      <c r="E451" s="332">
        <f>Gasto_o_ing_per_capita!E451*100/Gasto_o_ing_per_capita!$D451</f>
        <v>79.176529364360917</v>
      </c>
      <c r="F451" s="332">
        <f>Gasto_o_ing_per_capita!F451*100/Gasto_o_ing_per_capita!$D451</f>
        <v>11.868557979884214</v>
      </c>
      <c r="G451" s="332">
        <f>Gasto_o_ing_per_capita!G451*100/Gasto_o_ing_per_capita!$D451</f>
        <v>117.03982418481716</v>
      </c>
      <c r="H451" s="332">
        <f>Gasto_o_ing_per_capita!H451*100/Gasto_o_ing_per_capita!$D451</f>
        <v>62.183910060226289</v>
      </c>
      <c r="I451" s="332">
        <f>Gasto_o_ing_per_capita!I451*100/Gasto_o_ing_per_capita!$D451</f>
        <v>74.999515036109173</v>
      </c>
      <c r="J451" s="332">
        <f>Gasto_o_ing_per_capita!J451*100/Gasto_o_ing_per_capita!$D451</f>
        <v>202.23132389200802</v>
      </c>
      <c r="K451" s="332">
        <f>Gasto_o_ing_per_capita!K451*100/Gasto_o_ing_per_capita!$D451</f>
        <v>10.164389044392891</v>
      </c>
      <c r="L451" s="332">
        <f>Gasto_o_ing_per_capita!L451*100/Gasto_o_ing_per_capita!$D451</f>
        <v>4.6631717573071239</v>
      </c>
      <c r="M451" s="332">
        <f>Gasto_o_ing_per_capita!M451*100/Gasto_o_ing_per_capita!$D451</f>
        <v>41.975357260803982</v>
      </c>
      <c r="N451" s="332">
        <f>Gasto_o_ing_per_capita!N451*100/Gasto_o_ing_per_capita!$D451</f>
        <v>45.5326920571394</v>
      </c>
      <c r="O451" s="332">
        <f>Gasto_o_ing_per_capita!O451*100/Gasto_o_ing_per_capita!$D451</f>
        <v>4.2192100562591204</v>
      </c>
      <c r="P451" s="332">
        <f>Gasto_o_ing_per_capita!P451*100/Gasto_o_ing_per_capita!$D451</f>
        <v>943.9048303317544</v>
      </c>
      <c r="Q451" s="332">
        <f>Gasto_o_ing_per_capita!Q451*100/Gasto_o_ing_per_capita!$D451</f>
        <v>3.9690049857045326</v>
      </c>
      <c r="R451" s="332">
        <f>Gasto_o_ing_per_capita!R451*100/Gasto_o_ing_per_capita!$D451</f>
        <v>62.507725733760019</v>
      </c>
      <c r="S451" s="332">
        <f>Gasto_o_ing_per_capita!S451*100/Gasto_o_ing_per_capita!$D451</f>
        <v>9.7474444344119497</v>
      </c>
      <c r="T451" s="332">
        <f>Gasto_o_ing_per_capita!T451*100/Gasto_o_ing_per_capita!$D451</f>
        <v>99.642364086499271</v>
      </c>
      <c r="U451" s="332">
        <f>Gasto_o_ing_per_capita!U451*100/Gasto_o_ing_per_capita!$D451</f>
        <v>8.0254997009232731</v>
      </c>
      <c r="V451" s="332">
        <f>Gasto_o_ing_per_capita!V451*100/Gasto_o_ing_per_capita!$D451</f>
        <v>41.528775621475376</v>
      </c>
    </row>
    <row r="452" spans="1:22" s="102" customFormat="1">
      <c r="A452" s="351" t="str">
        <f>IF(B452="","",(IF(ISERROR(MATCH(B452,Tot_res!C:C,0)),"Eliminar!!!","")))</f>
        <v/>
      </c>
      <c r="B452" s="115" t="s">
        <v>404</v>
      </c>
      <c r="C452" s="329" t="str">
        <f>VLOOKUP(B452,Tot_res!C:D,2,FALSE)</f>
        <v>Previsión de riesgos en las producciones agrarias y pesqueras</v>
      </c>
      <c r="D452" s="332">
        <f>Gasto_o_ing_per_capita!D452*100/Gasto_o_ing_per_capita!$D452</f>
        <v>100</v>
      </c>
      <c r="E452" s="332">
        <f>Gasto_o_ing_per_capita!E452*100/Gasto_o_ing_per_capita!$D452</f>
        <v>155.17896167777772</v>
      </c>
      <c r="F452" s="332">
        <f>Gasto_o_ing_per_capita!F452*100/Gasto_o_ing_per_capita!$D452</f>
        <v>230.41818957847167</v>
      </c>
      <c r="G452" s="332">
        <f>Gasto_o_ing_per_capita!G452*100/Gasto_o_ing_per_capita!$D452</f>
        <v>52.556418445345976</v>
      </c>
      <c r="H452" s="332">
        <f>Gasto_o_ing_per_capita!H452*100/Gasto_o_ing_per_capita!$D452</f>
        <v>19.329406243652056</v>
      </c>
      <c r="I452" s="332">
        <f>Gasto_o_ing_per_capita!I452*100/Gasto_o_ing_per_capita!$D452</f>
        <v>50.507662708035724</v>
      </c>
      <c r="J452" s="332">
        <f>Gasto_o_ing_per_capita!J452*100/Gasto_o_ing_per_capita!$D452</f>
        <v>55.435189280759481</v>
      </c>
      <c r="K452" s="332">
        <f>Gasto_o_ing_per_capita!K452*100/Gasto_o_ing_per_capita!$D452</f>
        <v>155.44362199542789</v>
      </c>
      <c r="L452" s="332">
        <f>Gasto_o_ing_per_capita!L452*100/Gasto_o_ing_per_capita!$D452</f>
        <v>192.76439058949447</v>
      </c>
      <c r="M452" s="332">
        <f>Gasto_o_ing_per_capita!M452*100/Gasto_o_ing_per_capita!$D452</f>
        <v>50.951529932418744</v>
      </c>
      <c r="N452" s="332">
        <f>Gasto_o_ing_per_capita!N452*100/Gasto_o_ing_per_capita!$D452</f>
        <v>87.064371678920452</v>
      </c>
      <c r="O452" s="332">
        <f>Gasto_o_ing_per_capita!O452*100/Gasto_o_ing_per_capita!$D452</f>
        <v>177.57274503695604</v>
      </c>
      <c r="P452" s="332">
        <f>Gasto_o_ing_per_capita!P452*100/Gasto_o_ing_per_capita!$D452</f>
        <v>192.29878011803777</v>
      </c>
      <c r="Q452" s="332">
        <f>Gasto_o_ing_per_capita!Q452*100/Gasto_o_ing_per_capita!$D452</f>
        <v>3.1305725985607409</v>
      </c>
      <c r="R452" s="332">
        <f>Gasto_o_ing_per_capita!R452*100/Gasto_o_ing_per_capita!$D452</f>
        <v>147.23719181684007</v>
      </c>
      <c r="S452" s="332">
        <f>Gasto_o_ing_per_capita!S452*100/Gasto_o_ing_per_capita!$D452</f>
        <v>171.9360181012884</v>
      </c>
      <c r="T452" s="332">
        <f>Gasto_o_ing_per_capita!T452*100/Gasto_o_ing_per_capita!$D452</f>
        <v>42.07857836870685</v>
      </c>
      <c r="U452" s="332">
        <f>Gasto_o_ing_per_capita!U452*100/Gasto_o_ing_per_capita!$D452</f>
        <v>260.42497709122068</v>
      </c>
      <c r="V452" s="332">
        <f>Gasto_o_ing_per_capita!V452*100/Gasto_o_ing_per_capita!$D452</f>
        <v>4.45578485074752</v>
      </c>
    </row>
    <row r="453" spans="1:22" s="102" customFormat="1">
      <c r="A453" s="351" t="str">
        <f>IF(B453="","",(IF(ISERROR(MATCH(B453,Tot_res!C:C,0)),"Eliminar!!!","")))</f>
        <v/>
      </c>
      <c r="B453" s="115" t="s">
        <v>887</v>
      </c>
      <c r="C453" s="329" t="str">
        <f>VLOOKUP(B453,Tot_res!C:D,2,FALSE)</f>
        <v>Direc. y serv. grales. de agric., aliment. y medio amb., Medio Rural y Marino</v>
      </c>
      <c r="D453" s="332">
        <f>Gasto_o_ing_per_capita!D453*100/Gasto_o_ing_per_capita!$D453</f>
        <v>100</v>
      </c>
      <c r="E453" s="332">
        <f>Gasto_o_ing_per_capita!E453*100/Gasto_o_ing_per_capita!$D453</f>
        <v>149.93978892972132</v>
      </c>
      <c r="F453" s="332">
        <f>Gasto_o_ing_per_capita!F453*100/Gasto_o_ing_per_capita!$D453</f>
        <v>180.49959565828888</v>
      </c>
      <c r="G453" s="332">
        <f>Gasto_o_ing_per_capita!G453*100/Gasto_o_ing_per_capita!$D453</f>
        <v>71.975924449158782</v>
      </c>
      <c r="H453" s="332">
        <f>Gasto_o_ing_per_capita!H453*100/Gasto_o_ing_per_capita!$D453</f>
        <v>60.387508515710692</v>
      </c>
      <c r="I453" s="332">
        <f>Gasto_o_ing_per_capita!I453*100/Gasto_o_ing_per_capita!$D453</f>
        <v>86.663558303859062</v>
      </c>
      <c r="J453" s="332">
        <f>Gasto_o_ing_per_capita!J453*100/Gasto_o_ing_per_capita!$D453</f>
        <v>95.584484791916353</v>
      </c>
      <c r="K453" s="332">
        <f>Gasto_o_ing_per_capita!K453*100/Gasto_o_ing_per_capita!$D453</f>
        <v>187.02387122527361</v>
      </c>
      <c r="L453" s="332">
        <f>Gasto_o_ing_per_capita!L453*100/Gasto_o_ing_per_capita!$D453</f>
        <v>152.92853758241219</v>
      </c>
      <c r="M453" s="332">
        <f>Gasto_o_ing_per_capita!M453*100/Gasto_o_ing_per_capita!$D453</f>
        <v>66.834929011907903</v>
      </c>
      <c r="N453" s="332">
        <f>Gasto_o_ing_per_capita!N453*100/Gasto_o_ing_per_capita!$D453</f>
        <v>65.573939893118194</v>
      </c>
      <c r="O453" s="332">
        <f>Gasto_o_ing_per_capita!O453*100/Gasto_o_ing_per_capita!$D453</f>
        <v>247.33702865944824</v>
      </c>
      <c r="P453" s="332">
        <f>Gasto_o_ing_per_capita!P453*100/Gasto_o_ing_per_capita!$D453</f>
        <v>82.147553678979762</v>
      </c>
      <c r="Q453" s="332">
        <f>Gasto_o_ing_per_capita!Q453*100/Gasto_o_ing_per_capita!$D453</f>
        <v>51.671111853189863</v>
      </c>
      <c r="R453" s="332">
        <f>Gasto_o_ing_per_capita!R453*100/Gasto_o_ing_per_capita!$D453</f>
        <v>77.195318182850173</v>
      </c>
      <c r="S453" s="332">
        <f>Gasto_o_ing_per_capita!S453*100/Gasto_o_ing_per_capita!$D453</f>
        <v>112.74618316885181</v>
      </c>
      <c r="T453" s="332">
        <f>Gasto_o_ing_per_capita!T453*100/Gasto_o_ing_per_capita!$D453</f>
        <v>56.792390647201174</v>
      </c>
      <c r="U453" s="332">
        <f>Gasto_o_ing_per_capita!U453*100/Gasto_o_ing_per_capita!$D453</f>
        <v>101.93479109957428</v>
      </c>
      <c r="V453" s="332">
        <f>Gasto_o_ing_per_capita!V453*100/Gasto_o_ing_per_capita!$D453</f>
        <v>50.913996504605116</v>
      </c>
    </row>
    <row r="454" spans="1:22">
      <c r="A454" s="352"/>
      <c r="B454" s="9"/>
      <c r="C454" s="6"/>
      <c r="D454" s="19"/>
      <c r="E454" s="19"/>
      <c r="F454" s="19"/>
      <c r="G454" s="19"/>
      <c r="H454" s="19"/>
      <c r="I454" s="19"/>
      <c r="J454" s="19"/>
      <c r="K454" s="19"/>
      <c r="L454" s="19"/>
      <c r="M454" s="19"/>
      <c r="N454" s="19"/>
      <c r="O454" s="19"/>
      <c r="P454" s="19"/>
      <c r="Q454" s="19"/>
      <c r="R454" s="19"/>
      <c r="S454" s="19"/>
      <c r="T454" s="19"/>
      <c r="U454" s="19"/>
      <c r="V454" s="19"/>
    </row>
    <row r="455" spans="1:22" s="102" customFormat="1" ht="13.5">
      <c r="A455" s="352"/>
      <c r="B455" s="115"/>
      <c r="C455" s="128" t="s">
        <v>113</v>
      </c>
      <c r="D455" s="113">
        <f>Gasto_o_ing_per_capita!D455*100/Gasto_o_ing_per_capita!$D455</f>
        <v>100</v>
      </c>
      <c r="E455" s="113">
        <f>Gasto_o_ing_per_capita!E455*100/Gasto_o_ing_per_capita!$D455</f>
        <v>78.218025810727568</v>
      </c>
      <c r="F455" s="113">
        <f>Gasto_o_ing_per_capita!F455*100/Gasto_o_ing_per_capita!$D455</f>
        <v>124.76519202824434</v>
      </c>
      <c r="G455" s="113">
        <f>Gasto_o_ing_per_capita!G455*100/Gasto_o_ing_per_capita!$D455</f>
        <v>155.67350833128401</v>
      </c>
      <c r="H455" s="113">
        <f>Gasto_o_ing_per_capita!H455*100/Gasto_o_ing_per_capita!$D455</f>
        <v>96.760808364944722</v>
      </c>
      <c r="I455" s="113">
        <f>Gasto_o_ing_per_capita!I455*100/Gasto_o_ing_per_capita!$D455</f>
        <v>78.065416147845355</v>
      </c>
      <c r="J455" s="113">
        <f>Gasto_o_ing_per_capita!J455*100/Gasto_o_ing_per_capita!$D455</f>
        <v>121.78764906716385</v>
      </c>
      <c r="K455" s="113">
        <f>Gasto_o_ing_per_capita!K455*100/Gasto_o_ing_per_capita!$D455</f>
        <v>89.894780989373487</v>
      </c>
      <c r="L455" s="113">
        <f>Gasto_o_ing_per_capita!L455*100/Gasto_o_ing_per_capita!$D455</f>
        <v>86.621186025546479</v>
      </c>
      <c r="M455" s="113">
        <f>Gasto_o_ing_per_capita!M455*100/Gasto_o_ing_per_capita!$D455</f>
        <v>112.79875008816046</v>
      </c>
      <c r="N455" s="113">
        <f>Gasto_o_ing_per_capita!N455*100/Gasto_o_ing_per_capita!$D455</f>
        <v>91.839533760404493</v>
      </c>
      <c r="O455" s="113">
        <f>Gasto_o_ing_per_capita!O455*100/Gasto_o_ing_per_capita!$D455</f>
        <v>66.028014872669246</v>
      </c>
      <c r="P455" s="113">
        <f>Gasto_o_ing_per_capita!P455*100/Gasto_o_ing_per_capita!$D455</f>
        <v>134.33054344825592</v>
      </c>
      <c r="Q455" s="113">
        <f>Gasto_o_ing_per_capita!Q455*100/Gasto_o_ing_per_capita!$D455</f>
        <v>86.062620712756527</v>
      </c>
      <c r="R455" s="113">
        <f>Gasto_o_ing_per_capita!R455*100/Gasto_o_ing_per_capita!$D455</f>
        <v>103.75706177346363</v>
      </c>
      <c r="S455" s="113">
        <f>Gasto_o_ing_per_capita!S455*100/Gasto_o_ing_per_capita!$D455</f>
        <v>139.95667204216917</v>
      </c>
      <c r="T455" s="113">
        <f>Gasto_o_ing_per_capita!T455*100/Gasto_o_ing_per_capita!$D455</f>
        <v>163.18538735938091</v>
      </c>
      <c r="U455" s="113">
        <f>Gasto_o_ing_per_capita!U455*100/Gasto_o_ing_per_capita!$D455</f>
        <v>96.396072599020727</v>
      </c>
      <c r="V455" s="113">
        <f>Gasto_o_ing_per_capita!V455*100/Gasto_o_ing_per_capita!$D455</f>
        <v>43.472974398161142</v>
      </c>
    </row>
    <row r="456" spans="1:22" s="102" customFormat="1">
      <c r="A456" s="351" t="str">
        <f>IF(B456="","",(IF(ISERROR(MATCH(B456,Tot_res!C:C,0)),"Eliminar!!!","")))</f>
        <v/>
      </c>
      <c r="B456" s="115" t="s">
        <v>406</v>
      </c>
      <c r="C456" s="329" t="str">
        <f>VLOOKUP(B456,Tot_res!C:D,2,FALSE)</f>
        <v>Dirección y servicios generales de industria y energía</v>
      </c>
      <c r="D456" s="332">
        <f>Gasto_o_ing_per_capita!D456*100/Gasto_o_ing_per_capita!$D456</f>
        <v>100</v>
      </c>
      <c r="E456" s="332">
        <f>Gasto_o_ing_per_capita!E456*100/Gasto_o_ing_per_capita!$D456</f>
        <v>48.163343369967983</v>
      </c>
      <c r="F456" s="332">
        <f>Gasto_o_ing_per_capita!F456*100/Gasto_o_ing_per_capita!$D456</f>
        <v>96.711088244744559</v>
      </c>
      <c r="G456" s="332">
        <f>Gasto_o_ing_per_capita!G456*100/Gasto_o_ing_per_capita!$D456</f>
        <v>86.30181487486351</v>
      </c>
      <c r="H456" s="332">
        <f>Gasto_o_ing_per_capita!H456*100/Gasto_o_ing_per_capita!$D456</f>
        <v>52.83057809344588</v>
      </c>
      <c r="I456" s="332">
        <f>Gasto_o_ing_per_capita!I456*100/Gasto_o_ing_per_capita!$D456</f>
        <v>185.7098606292567</v>
      </c>
      <c r="J456" s="332">
        <f>Gasto_o_ing_per_capita!J456*100/Gasto_o_ing_per_capita!$D456</f>
        <v>83.854815664254048</v>
      </c>
      <c r="K456" s="332">
        <f>Gasto_o_ing_per_capita!K456*100/Gasto_o_ing_per_capita!$D456</f>
        <v>74.252038163982547</v>
      </c>
      <c r="L456" s="332">
        <f>Gasto_o_ing_per_capita!L456*100/Gasto_o_ing_per_capita!$D456</f>
        <v>66.060914428358885</v>
      </c>
      <c r="M456" s="332">
        <f>Gasto_o_ing_per_capita!M456*100/Gasto_o_ing_per_capita!$D456</f>
        <v>92.729414897570237</v>
      </c>
      <c r="N456" s="332">
        <f>Gasto_o_ing_per_capita!N456*100/Gasto_o_ing_per_capita!$D456</f>
        <v>65.813191524895913</v>
      </c>
      <c r="O456" s="332">
        <f>Gasto_o_ing_per_capita!O456*100/Gasto_o_ing_per_capita!$D456</f>
        <v>46.283202746639468</v>
      </c>
      <c r="P456" s="332">
        <f>Gasto_o_ing_per_capita!P456*100/Gasto_o_ing_per_capita!$D456</f>
        <v>98.421190154053662</v>
      </c>
      <c r="Q456" s="332">
        <f>Gasto_o_ing_per_capita!Q456*100/Gasto_o_ing_per_capita!$D456</f>
        <v>199.8888275507073</v>
      </c>
      <c r="R456" s="332">
        <f>Gasto_o_ing_per_capita!R456*100/Gasto_o_ing_per_capita!$D456</f>
        <v>68.250057270415667</v>
      </c>
      <c r="S456" s="332">
        <f>Gasto_o_ing_per_capita!S456*100/Gasto_o_ing_per_capita!$D456</f>
        <v>143.22748361139142</v>
      </c>
      <c r="T456" s="332">
        <f>Gasto_o_ing_per_capita!T456*100/Gasto_o_ing_per_capita!$D456</f>
        <v>164.47883448840804</v>
      </c>
      <c r="U456" s="332">
        <f>Gasto_o_ing_per_capita!U456*100/Gasto_o_ing_per_capita!$D456</f>
        <v>111.15628626892629</v>
      </c>
      <c r="V456" s="332">
        <f>Gasto_o_ing_per_capita!V456*100/Gasto_o_ing_per_capita!$D456</f>
        <v>33.056496755200889</v>
      </c>
    </row>
    <row r="457" spans="1:22" s="102" customFormat="1">
      <c r="A457" s="351" t="str">
        <f>IF(B457="","",(IF(ISERROR(MATCH(B457,Tot_res!C:C,0)),"Eliminar!!!","")))</f>
        <v/>
      </c>
      <c r="B457" s="115" t="s">
        <v>407</v>
      </c>
      <c r="C457" s="329" t="str">
        <f>VLOOKUP(B457,Tot_res!C:D,2,FALSE)</f>
        <v>Calidad y seguridad industrial</v>
      </c>
      <c r="D457" s="332">
        <f>Gasto_o_ing_per_capita!D457*100/Gasto_o_ing_per_capita!$D457</f>
        <v>100</v>
      </c>
      <c r="E457" s="332">
        <f>Gasto_o_ing_per_capita!E457*100/Gasto_o_ing_per_capita!$D457</f>
        <v>76.59111762531505</v>
      </c>
      <c r="F457" s="332">
        <f>Gasto_o_ing_per_capita!F457*100/Gasto_o_ing_per_capita!$D457</f>
        <v>128.01254333795458</v>
      </c>
      <c r="G457" s="332">
        <f>Gasto_o_ing_per_capita!G457*100/Gasto_o_ing_per_capita!$D457</f>
        <v>104.1052108061084</v>
      </c>
      <c r="H457" s="332">
        <f>Gasto_o_ing_per_capita!H457*100/Gasto_o_ing_per_capita!$D457</f>
        <v>72.554910551047826</v>
      </c>
      <c r="I457" s="332">
        <f>Gasto_o_ing_per_capita!I457*100/Gasto_o_ing_per_capita!$D457</f>
        <v>69.395222269298273</v>
      </c>
      <c r="J457" s="332">
        <f>Gasto_o_ing_per_capita!J457*100/Gasto_o_ing_per_capita!$D457</f>
        <v>108.7745212723277</v>
      </c>
      <c r="K457" s="332">
        <f>Gasto_o_ing_per_capita!K457*100/Gasto_o_ing_per_capita!$D457</f>
        <v>109.50898713465917</v>
      </c>
      <c r="L457" s="332">
        <f>Gasto_o_ing_per_capita!L457*100/Gasto_o_ing_per_capita!$D457</f>
        <v>98.839349328537963</v>
      </c>
      <c r="M457" s="332">
        <f>Gasto_o_ing_per_capita!M457*100/Gasto_o_ing_per_capita!$D457</f>
        <v>120.48740749963996</v>
      </c>
      <c r="N457" s="332">
        <f>Gasto_o_ing_per_capita!N457*100/Gasto_o_ing_per_capita!$D457</f>
        <v>96.871184623029762</v>
      </c>
      <c r="O457" s="332">
        <f>Gasto_o_ing_per_capita!O457*100/Gasto_o_ing_per_capita!$D457</f>
        <v>77.954737737857343</v>
      </c>
      <c r="P457" s="332">
        <f>Gasto_o_ing_per_capita!P457*100/Gasto_o_ing_per_capita!$D457</f>
        <v>99.640857017394481</v>
      </c>
      <c r="Q457" s="332">
        <f>Gasto_o_ing_per_capita!Q457*100/Gasto_o_ing_per_capita!$D457</f>
        <v>91.485122436527533</v>
      </c>
      <c r="R457" s="332">
        <f>Gasto_o_ing_per_capita!R457*100/Gasto_o_ing_per_capita!$D457</f>
        <v>93.605279673965853</v>
      </c>
      <c r="S457" s="332">
        <f>Gasto_o_ing_per_capita!S457*100/Gasto_o_ing_per_capita!$D457</f>
        <v>168.70240156160787</v>
      </c>
      <c r="T457" s="332">
        <f>Gasto_o_ing_per_capita!T457*100/Gasto_o_ing_per_capita!$D457</f>
        <v>156.59535853337229</v>
      </c>
      <c r="U457" s="332">
        <f>Gasto_o_ing_per_capita!U457*100/Gasto_o_ing_per_capita!$D457</f>
        <v>141.03123027518174</v>
      </c>
      <c r="V457" s="332">
        <f>Gasto_o_ing_per_capita!V457*100/Gasto_o_ing_per_capita!$D457</f>
        <v>63.022287795198238</v>
      </c>
    </row>
    <row r="458" spans="1:22" s="102" customFormat="1">
      <c r="A458" s="351" t="str">
        <f>IF(B458="","",(IF(ISERROR(MATCH(B458,Tot_res!C:C,0)),"Eliminar!!!","")))</f>
        <v/>
      </c>
      <c r="B458" s="115" t="s">
        <v>408</v>
      </c>
      <c r="C458" s="329" t="str">
        <f>VLOOKUP(B458,Tot_res!C:D,2,FALSE)</f>
        <v>Desarrollo industrial</v>
      </c>
      <c r="D458" s="332">
        <f>Gasto_o_ing_per_capita!D458*100/Gasto_o_ing_per_capita!$D458</f>
        <v>100</v>
      </c>
      <c r="E458" s="332">
        <f>Gasto_o_ing_per_capita!E458*100/Gasto_o_ing_per_capita!$D458</f>
        <v>53.182235250630086</v>
      </c>
      <c r="F458" s="332">
        <f>Gasto_o_ing_per_capita!F458*100/Gasto_o_ing_per_capita!$D458</f>
        <v>156.02508667590914</v>
      </c>
      <c r="G458" s="332">
        <f>Gasto_o_ing_per_capita!G458*100/Gasto_o_ing_per_capita!$D458</f>
        <v>108.21042161221679</v>
      </c>
      <c r="H458" s="332">
        <f>Gasto_o_ing_per_capita!H458*100/Gasto_o_ing_per_capita!$D458</f>
        <v>45.109821102095651</v>
      </c>
      <c r="I458" s="332">
        <f>Gasto_o_ing_per_capita!I458*100/Gasto_o_ing_per_capita!$D458</f>
        <v>38.790444538596518</v>
      </c>
      <c r="J458" s="332">
        <f>Gasto_o_ing_per_capita!J458*100/Gasto_o_ing_per_capita!$D458</f>
        <v>117.54904254465535</v>
      </c>
      <c r="K458" s="332">
        <f>Gasto_o_ing_per_capita!K458*100/Gasto_o_ing_per_capita!$D458</f>
        <v>119.01797426931826</v>
      </c>
      <c r="L458" s="332">
        <f>Gasto_o_ing_per_capita!L458*100/Gasto_o_ing_per_capita!$D458</f>
        <v>97.678698657075898</v>
      </c>
      <c r="M458" s="332">
        <f>Gasto_o_ing_per_capita!M458*100/Gasto_o_ing_per_capita!$D458</f>
        <v>140.97481499927986</v>
      </c>
      <c r="N458" s="332">
        <f>Gasto_o_ing_per_capita!N458*100/Gasto_o_ing_per_capita!$D458</f>
        <v>93.742369246059468</v>
      </c>
      <c r="O458" s="332">
        <f>Gasto_o_ing_per_capita!O458*100/Gasto_o_ing_per_capita!$D458</f>
        <v>55.909475475714636</v>
      </c>
      <c r="P458" s="332">
        <f>Gasto_o_ing_per_capita!P458*100/Gasto_o_ing_per_capita!$D458</f>
        <v>99.281714034788934</v>
      </c>
      <c r="Q458" s="332">
        <f>Gasto_o_ing_per_capita!Q458*100/Gasto_o_ing_per_capita!$D458</f>
        <v>82.970244873055066</v>
      </c>
      <c r="R458" s="332">
        <f>Gasto_o_ing_per_capita!R458*100/Gasto_o_ing_per_capita!$D458</f>
        <v>87.21055934793165</v>
      </c>
      <c r="S458" s="332">
        <f>Gasto_o_ing_per_capita!S458*100/Gasto_o_ing_per_capita!$D458</f>
        <v>237.40480312321563</v>
      </c>
      <c r="T458" s="332">
        <f>Gasto_o_ing_per_capita!T458*100/Gasto_o_ing_per_capita!$D458</f>
        <v>213.1907170667445</v>
      </c>
      <c r="U458" s="332">
        <f>Gasto_o_ing_per_capita!U458*100/Gasto_o_ing_per_capita!$D458</f>
        <v>182.06246055036343</v>
      </c>
      <c r="V458" s="332">
        <f>Gasto_o_ing_per_capita!V458*100/Gasto_o_ing_per_capita!$D458</f>
        <v>26.044575590396462</v>
      </c>
    </row>
    <row r="459" spans="1:22" s="102" customFormat="1">
      <c r="A459" s="351" t="str">
        <f>IF(B459="","",(IF(ISERROR(MATCH(B459,Tot_res!C:C,0)),"Eliminar!!!","")))</f>
        <v/>
      </c>
      <c r="B459" s="115" t="s">
        <v>409</v>
      </c>
      <c r="C459" s="329" t="str">
        <f>VLOOKUP(B459,Tot_res!C:D,2,FALSE)</f>
        <v>Reconversión y reindustrialización</v>
      </c>
      <c r="D459" s="332">
        <f>Gasto_o_ing_per_capita!D459*100/Gasto_o_ing_per_capita!$D459</f>
        <v>100</v>
      </c>
      <c r="E459" s="332">
        <f>Gasto_o_ing_per_capita!E459*100/Gasto_o_ing_per_capita!$D459</f>
        <v>50.122808583215686</v>
      </c>
      <c r="F459" s="332">
        <f>Gasto_o_ing_per_capita!F459*100/Gasto_o_ing_per_capita!$D459</f>
        <v>0.74028332240163131</v>
      </c>
      <c r="G459" s="332">
        <f>Gasto_o_ing_per_capita!G459*100/Gasto_o_ing_per_capita!$D459</f>
        <v>230.22330086265808</v>
      </c>
      <c r="H459" s="332">
        <f>Gasto_o_ing_per_capita!H459*100/Gasto_o_ing_per_capita!$D459</f>
        <v>126.82814595284407</v>
      </c>
      <c r="I459" s="332">
        <f>Gasto_o_ing_per_capita!I459*100/Gasto_o_ing_per_capita!$D459</f>
        <v>66.31281802067592</v>
      </c>
      <c r="J459" s="332">
        <f>Gasto_o_ing_per_capita!J459*100/Gasto_o_ing_per_capita!$D459</f>
        <v>62.794394365577219</v>
      </c>
      <c r="K459" s="332">
        <f>Gasto_o_ing_per_capita!K459*100/Gasto_o_ing_per_capita!$D459</f>
        <v>1.6562429561705556</v>
      </c>
      <c r="L459" s="332">
        <f>Gasto_o_ing_per_capita!L459*100/Gasto_o_ing_per_capita!$D459</f>
        <v>4.2849961270288981</v>
      </c>
      <c r="M459" s="332">
        <f>Gasto_o_ing_per_capita!M459*100/Gasto_o_ing_per_capita!$D459</f>
        <v>41.498757284606057</v>
      </c>
      <c r="N459" s="332">
        <f>Gasto_o_ing_per_capita!N459*100/Gasto_o_ing_per_capita!$D459</f>
        <v>16.361394645389769</v>
      </c>
      <c r="O459" s="332">
        <f>Gasto_o_ing_per_capita!O459*100/Gasto_o_ing_per_capita!$D459</f>
        <v>2.4769139740467736</v>
      </c>
      <c r="P459" s="332">
        <f>Gasto_o_ing_per_capita!P459*100/Gasto_o_ing_per_capita!$D459</f>
        <v>515.60817767459093</v>
      </c>
      <c r="Q459" s="332">
        <f>Gasto_o_ing_per_capita!Q459*100/Gasto_o_ing_per_capita!$D459</f>
        <v>6.5779131828152702</v>
      </c>
      <c r="R459" s="332">
        <f>Gasto_o_ing_per_capita!R459*100/Gasto_o_ing_per_capita!$D459</f>
        <v>120.36093407441955</v>
      </c>
      <c r="S459" s="332">
        <f>Gasto_o_ing_per_capita!S459*100/Gasto_o_ing_per_capita!$D459</f>
        <v>0.18700323409448394</v>
      </c>
      <c r="T459" s="332">
        <f>Gasto_o_ing_per_capita!T459*100/Gasto_o_ing_per_capita!$D459</f>
        <v>751.23685348695051</v>
      </c>
      <c r="U459" s="332">
        <f>Gasto_o_ing_per_capita!U459*100/Gasto_o_ing_per_capita!$D459</f>
        <v>2.6368886340758606</v>
      </c>
      <c r="V459" s="332">
        <f>Gasto_o_ing_per_capita!V459*100/Gasto_o_ing_per_capita!$D459</f>
        <v>8.9442222588395381</v>
      </c>
    </row>
    <row r="460" spans="1:22"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Gasto_o_ing_per_capita!D460*100/Gasto_o_ing_per_capita!$D460</f>
        <v>100</v>
      </c>
      <c r="E460" s="332">
        <f>Gasto_o_ing_per_capita!E460*100/Gasto_o_ing_per_capita!$D460</f>
        <v>269.35841171674707</v>
      </c>
      <c r="F460" s="332">
        <f>Gasto_o_ing_per_capita!F460*100/Gasto_o_ing_per_capita!$D460</f>
        <v>17.909283996196226</v>
      </c>
      <c r="G460" s="332">
        <f>Gasto_o_ing_per_capita!G460*100/Gasto_o_ing_per_capita!$D460</f>
        <v>568.10241863644785</v>
      </c>
      <c r="H460" s="332">
        <f>Gasto_o_ing_per_capita!H460*100/Gasto_o_ing_per_capita!$D460</f>
        <v>0</v>
      </c>
      <c r="I460" s="332">
        <f>Gasto_o_ing_per_capita!I460*100/Gasto_o_ing_per_capita!$D460</f>
        <v>0</v>
      </c>
      <c r="J460" s="332">
        <f>Gasto_o_ing_per_capita!J460*100/Gasto_o_ing_per_capita!$D460</f>
        <v>12.18261178945157</v>
      </c>
      <c r="K460" s="332">
        <f>Gasto_o_ing_per_capita!K460*100/Gasto_o_ing_per_capita!$D460</f>
        <v>38.110190836301364</v>
      </c>
      <c r="L460" s="332">
        <f>Gasto_o_ing_per_capita!L460*100/Gasto_o_ing_per_capita!$D460</f>
        <v>156.06019059079313</v>
      </c>
      <c r="M460" s="332">
        <f>Gasto_o_ing_per_capita!M460*100/Gasto_o_ing_per_capita!$D460</f>
        <v>10.395727814780129</v>
      </c>
      <c r="N460" s="332">
        <f>Gasto_o_ing_per_capita!N460*100/Gasto_o_ing_per_capita!$D460</f>
        <v>190.4235519977388</v>
      </c>
      <c r="O460" s="332">
        <f>Gasto_o_ing_per_capita!O460*100/Gasto_o_ing_per_capita!$D460</f>
        <v>0</v>
      </c>
      <c r="P460" s="332">
        <f>Gasto_o_ing_per_capita!P460*100/Gasto_o_ing_per_capita!$D460</f>
        <v>72.729284752794257</v>
      </c>
      <c r="Q460" s="332">
        <f>Gasto_o_ing_per_capita!Q460*100/Gasto_o_ing_per_capita!$D460</f>
        <v>3.8413635573769804</v>
      </c>
      <c r="R460" s="332">
        <f>Gasto_o_ing_per_capita!R460*100/Gasto_o_ing_per_capita!$D460</f>
        <v>35.238804185256782</v>
      </c>
      <c r="S460" s="332">
        <f>Gasto_o_ing_per_capita!S460*100/Gasto_o_ing_per_capita!$D460</f>
        <v>0</v>
      </c>
      <c r="T460" s="332">
        <f>Gasto_o_ing_per_capita!T460*100/Gasto_o_ing_per_capita!$D460</f>
        <v>24.594132439535429</v>
      </c>
      <c r="U460" s="332">
        <f>Gasto_o_ing_per_capita!U460*100/Gasto_o_ing_per_capita!$D460</f>
        <v>0</v>
      </c>
      <c r="V460" s="332">
        <f>Gasto_o_ing_per_capita!V460*100/Gasto_o_ing_per_capita!$D460</f>
        <v>0</v>
      </c>
    </row>
    <row r="461" spans="1:22" s="102" customFormat="1">
      <c r="A461" s="351" t="str">
        <f>IF(B461="","",(IF(ISERROR(MATCH(B461,Tot_res!C:C,0)),"Eliminar!!!","")))</f>
        <v/>
      </c>
      <c r="B461" s="115" t="s">
        <v>410</v>
      </c>
      <c r="C461" s="329" t="str">
        <f>VLOOKUP(B461,Tot_res!C:D,2,FALSE)</f>
        <v>Seguridad nuclear y protección radiológica</v>
      </c>
      <c r="D461" s="332">
        <f>Gasto_o_ing_per_capita!D461*100/Gasto_o_ing_per_capita!$D461</f>
        <v>100</v>
      </c>
      <c r="E461" s="332">
        <f>Gasto_o_ing_per_capita!E461*100/Gasto_o_ing_per_capita!$D461</f>
        <v>100</v>
      </c>
      <c r="F461" s="332">
        <f>Gasto_o_ing_per_capita!F461*100/Gasto_o_ing_per_capita!$D461</f>
        <v>100.00000000000001</v>
      </c>
      <c r="G461" s="332">
        <f>Gasto_o_ing_per_capita!G461*100/Gasto_o_ing_per_capita!$D461</f>
        <v>100.00000000000001</v>
      </c>
      <c r="H461" s="332">
        <f>Gasto_o_ing_per_capita!H461*100/Gasto_o_ing_per_capita!$D461</f>
        <v>100</v>
      </c>
      <c r="I461" s="332">
        <f>Gasto_o_ing_per_capita!I461*100/Gasto_o_ing_per_capita!$D461</f>
        <v>100.00000000000001</v>
      </c>
      <c r="J461" s="332">
        <f>Gasto_o_ing_per_capita!J461*100/Gasto_o_ing_per_capita!$D461</f>
        <v>100.00000000000001</v>
      </c>
      <c r="K461" s="332">
        <f>Gasto_o_ing_per_capita!K461*100/Gasto_o_ing_per_capita!$D461</f>
        <v>100</v>
      </c>
      <c r="L461" s="332">
        <f>Gasto_o_ing_per_capita!L461*100/Gasto_o_ing_per_capita!$D461</f>
        <v>100</v>
      </c>
      <c r="M461" s="332">
        <f>Gasto_o_ing_per_capita!M461*100/Gasto_o_ing_per_capita!$D461</f>
        <v>100.00000000000001</v>
      </c>
      <c r="N461" s="332">
        <f>Gasto_o_ing_per_capita!N461*100/Gasto_o_ing_per_capita!$D461</f>
        <v>100</v>
      </c>
      <c r="O461" s="332">
        <f>Gasto_o_ing_per_capita!O461*100/Gasto_o_ing_per_capita!$D461</f>
        <v>100</v>
      </c>
      <c r="P461" s="332">
        <f>Gasto_o_ing_per_capita!P461*100/Gasto_o_ing_per_capita!$D461</f>
        <v>100</v>
      </c>
      <c r="Q461" s="332">
        <f>Gasto_o_ing_per_capita!Q461*100/Gasto_o_ing_per_capita!$D461</f>
        <v>100</v>
      </c>
      <c r="R461" s="332">
        <f>Gasto_o_ing_per_capita!R461*100/Gasto_o_ing_per_capita!$D461</f>
        <v>100.00000000000001</v>
      </c>
      <c r="S461" s="332">
        <f>Gasto_o_ing_per_capita!S461*100/Gasto_o_ing_per_capita!$D461</f>
        <v>100</v>
      </c>
      <c r="T461" s="332">
        <f>Gasto_o_ing_per_capita!T461*100/Gasto_o_ing_per_capita!$D461</f>
        <v>100</v>
      </c>
      <c r="U461" s="332">
        <f>Gasto_o_ing_per_capita!U461*100/Gasto_o_ing_per_capita!$D461</f>
        <v>100.00000000000001</v>
      </c>
      <c r="V461" s="332">
        <f>Gasto_o_ing_per_capita!V461*100/Gasto_o_ing_per_capita!$D461</f>
        <v>100</v>
      </c>
    </row>
    <row r="462" spans="1:22"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Gasto_o_ing_per_capita!D462*100/Gasto_o_ing_per_capita!$D462</f>
        <v>100</v>
      </c>
      <c r="E462" s="332">
        <f>Gasto_o_ing_per_capita!E462*100/Gasto_o_ing_per_capita!$D462</f>
        <v>89.167064720290625</v>
      </c>
      <c r="F462" s="332">
        <f>Gasto_o_ing_per_capita!F462*100/Gasto_o_ing_per_capita!$D462</f>
        <v>105.64036471479389</v>
      </c>
      <c r="G462" s="332">
        <f>Gasto_o_ing_per_capita!G462*100/Gasto_o_ing_per_capita!$D462</f>
        <v>113.1591797336642</v>
      </c>
      <c r="H462" s="332">
        <f>Gasto_o_ing_per_capita!H462*100/Gasto_o_ing_per_capita!$D462</f>
        <v>123.62733648729257</v>
      </c>
      <c r="I462" s="332">
        <f>Gasto_o_ing_per_capita!I462*100/Gasto_o_ing_per_capita!$D462</f>
        <v>93.962485081446786</v>
      </c>
      <c r="J462" s="332">
        <f>Gasto_o_ing_per_capita!J462*100/Gasto_o_ing_per_capita!$D462</f>
        <v>119.64755200857149</v>
      </c>
      <c r="K462" s="332">
        <f>Gasto_o_ing_per_capita!K462*100/Gasto_o_ing_per_capita!$D462</f>
        <v>93.418933338056618</v>
      </c>
      <c r="L462" s="332">
        <f>Gasto_o_ing_per_capita!L462*100/Gasto_o_ing_per_capita!$D462</f>
        <v>69.480070529638596</v>
      </c>
      <c r="M462" s="332">
        <f>Gasto_o_ing_per_capita!M462*100/Gasto_o_ing_per_capita!$D462</f>
        <v>97.560291718877878</v>
      </c>
      <c r="N462" s="332">
        <f>Gasto_o_ing_per_capita!N462*100/Gasto_o_ing_per_capita!$D462</f>
        <v>104.15778718642729</v>
      </c>
      <c r="O462" s="332">
        <f>Gasto_o_ing_per_capita!O462*100/Gasto_o_ing_per_capita!$D462</f>
        <v>89.499073192866689</v>
      </c>
      <c r="P462" s="332">
        <f>Gasto_o_ing_per_capita!P462*100/Gasto_o_ing_per_capita!$D462</f>
        <v>107.6112396021031</v>
      </c>
      <c r="Q462" s="332">
        <f>Gasto_o_ing_per_capita!Q462*100/Gasto_o_ing_per_capita!$D462</f>
        <v>107.38232464778099</v>
      </c>
      <c r="R462" s="332">
        <f>Gasto_o_ing_per_capita!R462*100/Gasto_o_ing_per_capita!$D462</f>
        <v>109.66501114845309</v>
      </c>
      <c r="S462" s="332">
        <f>Gasto_o_ing_per_capita!S462*100/Gasto_o_ing_per_capita!$D462</f>
        <v>158.2460298427122</v>
      </c>
      <c r="T462" s="332">
        <f>Gasto_o_ing_per_capita!T462*100/Gasto_o_ing_per_capita!$D462</f>
        <v>105.61988981044807</v>
      </c>
      <c r="U462" s="332">
        <f>Gasto_o_ing_per_capita!U462*100/Gasto_o_ing_per_capita!$D462</f>
        <v>125.09182547807931</v>
      </c>
      <c r="V462" s="332">
        <f>Gasto_o_ing_per_capita!V462*100/Gasto_o_ing_per_capita!$D462</f>
        <v>59.197751538234151</v>
      </c>
    </row>
    <row r="463" spans="1:22" s="102" customFormat="1">
      <c r="A463" s="351" t="str">
        <f>IF(B463="","",(IF(ISERROR(MATCH(B463,Tot_res!C:C,0)),"Eliminar!!!","")))</f>
        <v/>
      </c>
      <c r="B463" s="115" t="s">
        <v>411</v>
      </c>
      <c r="C463" s="329" t="str">
        <f>VLOOKUP(B463,Tot_res!C:D,2,FALSE)</f>
        <v>Promoción comercial e internacionalización de la empresa</v>
      </c>
      <c r="D463" s="332">
        <f>Gasto_o_ing_per_capita!D463*100/Gasto_o_ing_per_capita!$D463</f>
        <v>100</v>
      </c>
      <c r="E463" s="332">
        <f>Gasto_o_ing_per_capita!E463*100/Gasto_o_ing_per_capita!$D463</f>
        <v>61.943012018689224</v>
      </c>
      <c r="F463" s="332">
        <f>Gasto_o_ing_per_capita!F463*100/Gasto_o_ing_per_capita!$D463</f>
        <v>138.61854607405414</v>
      </c>
      <c r="G463" s="332">
        <f>Gasto_o_ing_per_capita!G463*100/Gasto_o_ing_per_capita!$D463</f>
        <v>70.940464721883473</v>
      </c>
      <c r="H463" s="332">
        <f>Gasto_o_ing_per_capita!H463*100/Gasto_o_ing_per_capita!$D463</f>
        <v>16.343656799039501</v>
      </c>
      <c r="I463" s="332">
        <f>Gasto_o_ing_per_capita!I463*100/Gasto_o_ing_per_capita!$D463</f>
        <v>22.219100474643984</v>
      </c>
      <c r="J463" s="332">
        <f>Gasto_o_ing_per_capita!J463*100/Gasto_o_ing_per_capita!$D463</f>
        <v>84.717700002412315</v>
      </c>
      <c r="K463" s="332">
        <f>Gasto_o_ing_per_capita!K463*100/Gasto_o_ing_per_capita!$D463</f>
        <v>100.26259373646776</v>
      </c>
      <c r="L463" s="332">
        <f>Gasto_o_ing_per_capita!L463*100/Gasto_o_ing_per_capita!$D463</f>
        <v>50.953981642731634</v>
      </c>
      <c r="M463" s="332">
        <f>Gasto_o_ing_per_capita!M463*100/Gasto_o_ing_per_capita!$D463</f>
        <v>156.68461107221569</v>
      </c>
      <c r="N463" s="332">
        <f>Gasto_o_ing_per_capita!N463*100/Gasto_o_ing_per_capita!$D463</f>
        <v>97.775996906964309</v>
      </c>
      <c r="O463" s="332">
        <f>Gasto_o_ing_per_capita!O463*100/Gasto_o_ing_per_capita!$D463</f>
        <v>29.81044871111526</v>
      </c>
      <c r="P463" s="332">
        <f>Gasto_o_ing_per_capita!P463*100/Gasto_o_ing_per_capita!$D463</f>
        <v>126.89355741709373</v>
      </c>
      <c r="Q463" s="332">
        <f>Gasto_o_ing_per_capita!Q463*100/Gasto_o_ing_per_capita!$D463</f>
        <v>84.006885990885152</v>
      </c>
      <c r="R463" s="332">
        <f>Gasto_o_ing_per_capita!R463*100/Gasto_o_ing_per_capita!$D463</f>
        <v>138.96300219939329</v>
      </c>
      <c r="S463" s="332">
        <f>Gasto_o_ing_per_capita!S463*100/Gasto_o_ing_per_capita!$D463</f>
        <v>248.1351854433459</v>
      </c>
      <c r="T463" s="332">
        <f>Gasto_o_ing_per_capita!T463*100/Gasto_o_ing_per_capita!$D463</f>
        <v>200.70025152249968</v>
      </c>
      <c r="U463" s="332">
        <f>Gasto_o_ing_per_capita!U463*100/Gasto_o_ing_per_capita!$D463</f>
        <v>100.95926828630908</v>
      </c>
      <c r="V463" s="332">
        <f>Gasto_o_ing_per_capita!V463*100/Gasto_o_ing_per_capita!$D463</f>
        <v>4.3666318764713941</v>
      </c>
    </row>
    <row r="464" spans="1:22" s="102" customFormat="1">
      <c r="A464" s="351" t="str">
        <f>IF(B464="","",(IF(ISERROR(MATCH(B464,Tot_res!C:C,0)),"Eliminar!!!","")))</f>
        <v/>
      </c>
      <c r="B464" s="115" t="s">
        <v>413</v>
      </c>
      <c r="C464" s="329" t="str">
        <f>VLOOKUP(B464,Tot_res!C:D,2,FALSE)</f>
        <v>Ordenación del comercio exterior</v>
      </c>
      <c r="D464" s="332">
        <f>Gasto_o_ing_per_capita!D464*100/Gasto_o_ing_per_capita!$D464</f>
        <v>100</v>
      </c>
      <c r="E464" s="332">
        <f>Gasto_o_ing_per_capita!E464*100/Gasto_o_ing_per_capita!$D464</f>
        <v>63.707484972484373</v>
      </c>
      <c r="F464" s="332">
        <f>Gasto_o_ing_per_capita!F464*100/Gasto_o_ing_per_capita!$D464</f>
        <v>126.79729524262092</v>
      </c>
      <c r="G464" s="332">
        <f>Gasto_o_ing_per_capita!G464*100/Gasto_o_ing_per_capita!$D464</f>
        <v>63.570700003135073</v>
      </c>
      <c r="H464" s="332">
        <f>Gasto_o_ing_per_capita!H464*100/Gasto_o_ing_per_capita!$D464</f>
        <v>19.880017461279532</v>
      </c>
      <c r="I464" s="332">
        <f>Gasto_o_ing_per_capita!I464*100/Gasto_o_ing_per_capita!$D464</f>
        <v>26.133358939867797</v>
      </c>
      <c r="J464" s="332">
        <f>Gasto_o_ing_per_capita!J464*100/Gasto_o_ing_per_capita!$D464</f>
        <v>70.53029628324542</v>
      </c>
      <c r="K464" s="332">
        <f>Gasto_o_ing_per_capita!K464*100/Gasto_o_ing_per_capita!$D464</f>
        <v>93.927826129694438</v>
      </c>
      <c r="L464" s="332">
        <f>Gasto_o_ing_per_capita!L464*100/Gasto_o_ing_per_capita!$D464</f>
        <v>51.128363223856141</v>
      </c>
      <c r="M464" s="332">
        <f>Gasto_o_ing_per_capita!M464*100/Gasto_o_ing_per_capita!$D464</f>
        <v>163.72814945495406</v>
      </c>
      <c r="N464" s="332">
        <f>Gasto_o_ing_per_capita!N464*100/Gasto_o_ing_per_capita!$D464</f>
        <v>86.914878605001306</v>
      </c>
      <c r="O464" s="332">
        <f>Gasto_o_ing_per_capita!O464*100/Gasto_o_ing_per_capita!$D464</f>
        <v>22.849533048949834</v>
      </c>
      <c r="P464" s="332">
        <f>Gasto_o_ing_per_capita!P464*100/Gasto_o_ing_per_capita!$D464</f>
        <v>110.16630503834975</v>
      </c>
      <c r="Q464" s="332">
        <f>Gasto_o_ing_per_capita!Q464*100/Gasto_o_ing_per_capita!$D464</f>
        <v>112.10106117094632</v>
      </c>
      <c r="R464" s="332">
        <f>Gasto_o_ing_per_capita!R464*100/Gasto_o_ing_per_capita!$D464</f>
        <v>141.89958418287753</v>
      </c>
      <c r="S464" s="332">
        <f>Gasto_o_ing_per_capita!S464*100/Gasto_o_ing_per_capita!$D464</f>
        <v>181.78874032411659</v>
      </c>
      <c r="T464" s="332">
        <f>Gasto_o_ing_per_capita!T464*100/Gasto_o_ing_per_capita!$D464</f>
        <v>169.86719452777038</v>
      </c>
      <c r="U464" s="332">
        <f>Gasto_o_ing_per_capita!U464*100/Gasto_o_ing_per_capita!$D464</f>
        <v>82.725496202048632</v>
      </c>
      <c r="V464" s="332">
        <f>Gasto_o_ing_per_capita!V464*100/Gasto_o_ing_per_capita!$D464</f>
        <v>35.801304831402106</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Gasto_o_ing_per_capita!D465*100/Gasto_o_ing_per_capita!$D465</f>
        <v>100</v>
      </c>
      <c r="E465" s="332">
        <f>Gasto_o_ing_per_capita!E465*100/Gasto_o_ing_per_capita!$D465</f>
        <v>72.490582191767913</v>
      </c>
      <c r="F465" s="332">
        <f>Gasto_o_ing_per_capita!F465*100/Gasto_o_ing_per_capita!$D465</f>
        <v>96.438047635274458</v>
      </c>
      <c r="G465" s="332">
        <f>Gasto_o_ing_per_capita!G465*100/Gasto_o_ing_per_capita!$D465</f>
        <v>81.917614479331647</v>
      </c>
      <c r="H465" s="332">
        <f>Gasto_o_ing_per_capita!H465*100/Gasto_o_ing_per_capita!$D465</f>
        <v>163.40225552524683</v>
      </c>
      <c r="I465" s="332">
        <f>Gasto_o_ing_per_capita!I465*100/Gasto_o_ing_per_capita!$D465</f>
        <v>122.13758971660268</v>
      </c>
      <c r="J465" s="332">
        <f>Gasto_o_ing_per_capita!J465*100/Gasto_o_ing_per_capita!$D465</f>
        <v>82.846536442064775</v>
      </c>
      <c r="K465" s="332">
        <f>Gasto_o_ing_per_capita!K465*100/Gasto_o_ing_per_capita!$D465</f>
        <v>80.524434128245574</v>
      </c>
      <c r="L465" s="332">
        <f>Gasto_o_ing_per_capita!L465*100/Gasto_o_ing_per_capita!$D465</f>
        <v>64.298843102421372</v>
      </c>
      <c r="M465" s="332">
        <f>Gasto_o_ing_per_capita!M465*100/Gasto_o_ing_per_capita!$D465</f>
        <v>125.42035836305772</v>
      </c>
      <c r="N465" s="332">
        <f>Gasto_o_ing_per_capita!N465*100/Gasto_o_ing_per_capita!$D465</f>
        <v>90.43319818417342</v>
      </c>
      <c r="O465" s="332">
        <f>Gasto_o_ing_per_capita!O465*100/Gasto_o_ing_per_capita!$D465</f>
        <v>50.804822967309669</v>
      </c>
      <c r="P465" s="332">
        <f>Gasto_o_ing_per_capita!P465*100/Gasto_o_ing_per_capita!$D465</f>
        <v>86.488453376085076</v>
      </c>
      <c r="Q465" s="332">
        <f>Gasto_o_ing_per_capita!Q465*100/Gasto_o_ing_per_capita!$D465</f>
        <v>136.00224313530893</v>
      </c>
      <c r="R465" s="332">
        <f>Gasto_o_ing_per_capita!R465*100/Gasto_o_ing_per_capita!$D465</f>
        <v>82.57460575264713</v>
      </c>
      <c r="S465" s="332">
        <f>Gasto_o_ing_per_capita!S465*100/Gasto_o_ing_per_capita!$D465</f>
        <v>98.089590644782078</v>
      </c>
      <c r="T465" s="332">
        <f>Gasto_o_ing_per_capita!T465*100/Gasto_o_ing_per_capita!$D465</f>
        <v>110.92739355070655</v>
      </c>
      <c r="U465" s="332">
        <f>Gasto_o_ing_per_capita!U465*100/Gasto_o_ing_per_capita!$D465</f>
        <v>86.045717259179099</v>
      </c>
      <c r="V465" s="332">
        <f>Gasto_o_ing_per_capita!V465*100/Gasto_o_ing_per_capita!$D465</f>
        <v>62.516877839514272</v>
      </c>
    </row>
    <row r="466" spans="1:22" s="102" customFormat="1">
      <c r="A466" s="351" t="str">
        <f>IF(B466="","",(IF(ISERROR(MATCH(B466,Tot_res!C:C,0)),"Eliminar!!!","")))</f>
        <v/>
      </c>
      <c r="B466" s="115" t="s">
        <v>416</v>
      </c>
      <c r="C466" s="329" t="str">
        <f>VLOOKUP(B466,Tot_res!C:D,2,FALSE)</f>
        <v>Coordinación y promoción del turismo + AF24</v>
      </c>
      <c r="D466" s="332">
        <f>Gasto_o_ing_per_capita!D466*100/Gasto_o_ing_per_capita!$D466</f>
        <v>100</v>
      </c>
      <c r="E466" s="332">
        <f>Gasto_o_ing_per_capita!E466*100/Gasto_o_ing_per_capita!$D466</f>
        <v>75.984247977073096</v>
      </c>
      <c r="F466" s="332">
        <f>Gasto_o_ing_per_capita!F466*100/Gasto_o_ing_per_capita!$D466</f>
        <v>50.8120672412959</v>
      </c>
      <c r="G466" s="332">
        <f>Gasto_o_ing_per_capita!G466*100/Gasto_o_ing_per_capita!$D466</f>
        <v>52.896918423152698</v>
      </c>
      <c r="H466" s="332">
        <f>Gasto_o_ing_per_capita!H466*100/Gasto_o_ing_per_capita!$D466</f>
        <v>472.29644893270927</v>
      </c>
      <c r="I466" s="332">
        <f>Gasto_o_ing_per_capita!I466*100/Gasto_o_ing_per_capita!$D466</f>
        <v>306.42066439267654</v>
      </c>
      <c r="J466" s="332">
        <f>Gasto_o_ing_per_capita!J466*100/Gasto_o_ing_per_capita!$D466</f>
        <v>51.98716876248308</v>
      </c>
      <c r="K466" s="332">
        <f>Gasto_o_ing_per_capita!K466*100/Gasto_o_ing_per_capita!$D466</f>
        <v>43.58331272081621</v>
      </c>
      <c r="L466" s="332">
        <f>Gasto_o_ing_per_capita!L466*100/Gasto_o_ing_per_capita!$D466</f>
        <v>34.506542822210939</v>
      </c>
      <c r="M466" s="332">
        <f>Gasto_o_ing_per_capita!M466*100/Gasto_o_ing_per_capita!$D466</f>
        <v>136.92213737038512</v>
      </c>
      <c r="N466" s="332">
        <f>Gasto_o_ing_per_capita!N466*100/Gasto_o_ing_per_capita!$D466</f>
        <v>75.82790265088714</v>
      </c>
      <c r="O466" s="332">
        <f>Gasto_o_ing_per_capita!O466*100/Gasto_o_ing_per_capita!$D466</f>
        <v>34.03303050222484</v>
      </c>
      <c r="P466" s="332">
        <f>Gasto_o_ing_per_capita!P466*100/Gasto_o_ing_per_capita!$D466</f>
        <v>98.541045192124997</v>
      </c>
      <c r="Q466" s="332">
        <f>Gasto_o_ing_per_capita!Q466*100/Gasto_o_ing_per_capita!$D466</f>
        <v>82.862281496065847</v>
      </c>
      <c r="R466" s="332">
        <f>Gasto_o_ing_per_capita!R466*100/Gasto_o_ing_per_capita!$D466</f>
        <v>48.435492583235209</v>
      </c>
      <c r="S466" s="332">
        <f>Gasto_o_ing_per_capita!S466*100/Gasto_o_ing_per_capita!$D466</f>
        <v>63.16050843754585</v>
      </c>
      <c r="T466" s="332">
        <f>Gasto_o_ing_per_capita!T466*100/Gasto_o_ing_per_capita!$D466</f>
        <v>66.872879456551985</v>
      </c>
      <c r="U466" s="332">
        <f>Gasto_o_ing_per_capita!U466*100/Gasto_o_ing_per_capita!$D466</f>
        <v>38.300110001877613</v>
      </c>
      <c r="V466" s="332">
        <f>Gasto_o_ing_per_capita!V466*100/Gasto_o_ing_per_capita!$D466</f>
        <v>80.771914357456168</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Gasto_o_ing_per_capita!D467*100/Gasto_o_ing_per_capita!$D467</f>
        <v>99.999999999999986</v>
      </c>
      <c r="E467" s="332">
        <f>Gasto_o_ing_per_capita!E467*100/Gasto_o_ing_per_capita!$D467</f>
        <v>53.1822352506301</v>
      </c>
      <c r="F467" s="332">
        <f>Gasto_o_ing_per_capita!F467*100/Gasto_o_ing_per_capita!$D467</f>
        <v>156.02508667590914</v>
      </c>
      <c r="G467" s="332">
        <f>Gasto_o_ing_per_capita!G467*100/Gasto_o_ing_per_capita!$D467</f>
        <v>108.21042161221678</v>
      </c>
      <c r="H467" s="332">
        <f>Gasto_o_ing_per_capita!H467*100/Gasto_o_ing_per_capita!$D467</f>
        <v>45.109821102095658</v>
      </c>
      <c r="I467" s="332">
        <f>Gasto_o_ing_per_capita!I467*100/Gasto_o_ing_per_capita!$D467</f>
        <v>38.79044453859651</v>
      </c>
      <c r="J467" s="332">
        <f>Gasto_o_ing_per_capita!J467*100/Gasto_o_ing_per_capita!$D467</f>
        <v>117.54904254465535</v>
      </c>
      <c r="K467" s="332">
        <f>Gasto_o_ing_per_capita!K467*100/Gasto_o_ing_per_capita!$D467</f>
        <v>119.01797426931829</v>
      </c>
      <c r="L467" s="332">
        <f>Gasto_o_ing_per_capita!L467*100/Gasto_o_ing_per_capita!$D467</f>
        <v>97.678698657075898</v>
      </c>
      <c r="M467" s="332">
        <f>Gasto_o_ing_per_capita!M467*100/Gasto_o_ing_per_capita!$D467</f>
        <v>140.97481499927989</v>
      </c>
      <c r="N467" s="332">
        <f>Gasto_o_ing_per_capita!N467*100/Gasto_o_ing_per_capita!$D467</f>
        <v>93.742369246059482</v>
      </c>
      <c r="O467" s="332">
        <f>Gasto_o_ing_per_capita!O467*100/Gasto_o_ing_per_capita!$D467</f>
        <v>55.90947547571465</v>
      </c>
      <c r="P467" s="332">
        <f>Gasto_o_ing_per_capita!P467*100/Gasto_o_ing_per_capita!$D467</f>
        <v>99.281714034788948</v>
      </c>
      <c r="Q467" s="332">
        <f>Gasto_o_ing_per_capita!Q467*100/Gasto_o_ing_per_capita!$D467</f>
        <v>82.970244873055037</v>
      </c>
      <c r="R467" s="332">
        <f>Gasto_o_ing_per_capita!R467*100/Gasto_o_ing_per_capita!$D467</f>
        <v>87.210559347931635</v>
      </c>
      <c r="S467" s="332">
        <f>Gasto_o_ing_per_capita!S467*100/Gasto_o_ing_per_capita!$D467</f>
        <v>237.40480312321557</v>
      </c>
      <c r="T467" s="332">
        <f>Gasto_o_ing_per_capita!T467*100/Gasto_o_ing_per_capita!$D467</f>
        <v>213.19071706674453</v>
      </c>
      <c r="U467" s="332">
        <f>Gasto_o_ing_per_capita!U467*100/Gasto_o_ing_per_capita!$D467</f>
        <v>182.06246055036345</v>
      </c>
      <c r="V467" s="332">
        <f>Gasto_o_ing_per_capita!V467*100/Gasto_o_ing_per_capita!$D467</f>
        <v>26.044575590396462</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Gasto_o_ing_per_capita!D468*100/Gasto_o_ing_per_capita!$D468</f>
        <v>100.00000000000001</v>
      </c>
      <c r="E468" s="332">
        <f>Gasto_o_ing_per_capita!E468*100/Gasto_o_ing_per_capita!$D468</f>
        <v>33.690815492540303</v>
      </c>
      <c r="F468" s="332">
        <f>Gasto_o_ing_per_capita!F468*100/Gasto_o_ing_per_capita!$D468</f>
        <v>161.71144361653347</v>
      </c>
      <c r="G468" s="332">
        <f>Gasto_o_ing_per_capita!G468*100/Gasto_o_ing_per_capita!$D468</f>
        <v>38.263508678431805</v>
      </c>
      <c r="H468" s="332">
        <f>Gasto_o_ing_per_capita!H468*100/Gasto_o_ing_per_capita!$D468</f>
        <v>3.3742658531305154</v>
      </c>
      <c r="I468" s="332">
        <f>Gasto_o_ing_per_capita!I468*100/Gasto_o_ing_per_capita!$D468</f>
        <v>3.7212506414544264</v>
      </c>
      <c r="J468" s="332">
        <f>Gasto_o_ing_per_capita!J468*100/Gasto_o_ing_per_capita!$D468</f>
        <v>174.99288890566953</v>
      </c>
      <c r="K468" s="332">
        <f>Gasto_o_ing_per_capita!K468*100/Gasto_o_ing_per_capita!$D468</f>
        <v>24.090216092226111</v>
      </c>
      <c r="L468" s="332">
        <f>Gasto_o_ing_per_capita!L468*100/Gasto_o_ing_per_capita!$D468</f>
        <v>34.502155172562539</v>
      </c>
      <c r="M468" s="332">
        <f>Gasto_o_ing_per_capita!M468*100/Gasto_o_ing_per_capita!$D468</f>
        <v>173.12166954662001</v>
      </c>
      <c r="N468" s="332">
        <f>Gasto_o_ing_per_capita!N468*100/Gasto_o_ing_per_capita!$D468</f>
        <v>52.094586053133469</v>
      </c>
      <c r="O468" s="332">
        <f>Gasto_o_ing_per_capita!O468*100/Gasto_o_ing_per_capita!$D468</f>
        <v>2.8204815894392099</v>
      </c>
      <c r="P468" s="332">
        <f>Gasto_o_ing_per_capita!P468*100/Gasto_o_ing_per_capita!$D468</f>
        <v>30.872646884467493</v>
      </c>
      <c r="Q468" s="332">
        <f>Gasto_o_ing_per_capita!Q468*100/Gasto_o_ing_per_capita!$D468</f>
        <v>218.22349669287235</v>
      </c>
      <c r="R468" s="332">
        <f>Gasto_o_ing_per_capita!R468*100/Gasto_o_ing_per_capita!$D468</f>
        <v>13.325433588811185</v>
      </c>
      <c r="S468" s="332">
        <f>Gasto_o_ing_per_capita!S468*100/Gasto_o_ing_per_capita!$D468</f>
        <v>149.95365265138773</v>
      </c>
      <c r="T468" s="332">
        <f>Gasto_o_ing_per_capita!T468*100/Gasto_o_ing_per_capita!$D468</f>
        <v>319.72602376311147</v>
      </c>
      <c r="U468" s="332">
        <f>Gasto_o_ing_per_capita!U468*100/Gasto_o_ing_per_capita!$D468</f>
        <v>51.120542124083094</v>
      </c>
      <c r="V468" s="332">
        <f>Gasto_o_ing_per_capita!V468*100/Gasto_o_ing_per_capita!$D468</f>
        <v>1.2245280172369677</v>
      </c>
    </row>
    <row r="469" spans="1:22" s="102" customFormat="1">
      <c r="A469" s="351" t="str">
        <f>IF(B469="","",(IF(ISERROR(MATCH(B469,Tot_res!C:C,0)),"Eliminar!!!","")))</f>
        <v/>
      </c>
      <c r="B469" s="115" t="s">
        <v>419</v>
      </c>
      <c r="C469" s="329" t="str">
        <f>VLOOKUP(B469,Tot_res!C:D,2,FALSE)</f>
        <v>Innovación tecnológica de las telecomunicaciones</v>
      </c>
      <c r="D469" s="332">
        <f>Gasto_o_ing_per_capita!D469*100/Gasto_o_ing_per_capita!$D469</f>
        <v>100</v>
      </c>
      <c r="E469" s="332">
        <f>Gasto_o_ing_per_capita!E469*100/Gasto_o_ing_per_capita!$D469</f>
        <v>56.836182490929993</v>
      </c>
      <c r="F469" s="332">
        <f>Gasto_o_ing_per_capita!F469*100/Gasto_o_ing_per_capita!$D469</f>
        <v>65.354029486341631</v>
      </c>
      <c r="G469" s="332">
        <f>Gasto_o_ing_per_capita!G469*100/Gasto_o_ing_per_capita!$D469</f>
        <v>37.37918703115195</v>
      </c>
      <c r="H469" s="332">
        <f>Gasto_o_ing_per_capita!H469*100/Gasto_o_ing_per_capita!$D469</f>
        <v>48.37819979882125</v>
      </c>
      <c r="I469" s="332">
        <f>Gasto_o_ing_per_capita!I469*100/Gasto_o_ing_per_capita!$D469</f>
        <v>64.06924388108952</v>
      </c>
      <c r="J469" s="332">
        <f>Gasto_o_ing_per_capita!J469*100/Gasto_o_ing_per_capita!$D469</f>
        <v>44.878564753414594</v>
      </c>
      <c r="K469" s="332">
        <f>Gasto_o_ing_per_capita!K469*100/Gasto_o_ing_per_capita!$D469</f>
        <v>53.927574864753865</v>
      </c>
      <c r="L469" s="332">
        <f>Gasto_o_ing_per_capita!L469*100/Gasto_o_ing_per_capita!$D469</f>
        <v>53.160119804602999</v>
      </c>
      <c r="M469" s="332">
        <f>Gasto_o_ing_per_capita!M469*100/Gasto_o_ing_per_capita!$D469</f>
        <v>199.87841200623058</v>
      </c>
      <c r="N469" s="332">
        <f>Gasto_o_ing_per_capita!N469*100/Gasto_o_ing_per_capita!$D469</f>
        <v>70.698907090527584</v>
      </c>
      <c r="O469" s="332">
        <f>Gasto_o_ing_per_capita!O469*100/Gasto_o_ing_per_capita!$D469</f>
        <v>42.051371031898583</v>
      </c>
      <c r="P469" s="332">
        <f>Gasto_o_ing_per_capita!P469*100/Gasto_o_ing_per_capita!$D469</f>
        <v>47.760488970156167</v>
      </c>
      <c r="Q469" s="332">
        <f>Gasto_o_ing_per_capita!Q469*100/Gasto_o_ing_per_capita!$D469</f>
        <v>166.15688294191727</v>
      </c>
      <c r="R469" s="332">
        <f>Gasto_o_ing_per_capita!R469*100/Gasto_o_ing_per_capita!$D469</f>
        <v>56.785712958123227</v>
      </c>
      <c r="S469" s="332">
        <f>Gasto_o_ing_per_capita!S469*100/Gasto_o_ing_per_capita!$D469</f>
        <v>125.99696625736755</v>
      </c>
      <c r="T469" s="332">
        <f>Gasto_o_ing_per_capita!T469*100/Gasto_o_ing_per_capita!$D469</f>
        <v>148.18808066869769</v>
      </c>
      <c r="U469" s="332">
        <f>Gasto_o_ing_per_capita!U469*100/Gasto_o_ing_per_capita!$D469</f>
        <v>35.71177233972049</v>
      </c>
      <c r="V469" s="332">
        <f>Gasto_o_ing_per_capita!V469*100/Gasto_o_ing_per_capita!$D469</f>
        <v>32.71068011784277</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Gasto_o_ing_per_capita!D470*100/Gasto_o_ing_per_capita!$D470</f>
        <v>100</v>
      </c>
      <c r="E470" s="332">
        <f>Gasto_o_ing_per_capita!E470*100/Gasto_o_ing_per_capita!$D470</f>
        <v>100</v>
      </c>
      <c r="F470" s="332">
        <f>Gasto_o_ing_per_capita!F470*100/Gasto_o_ing_per_capita!$D470</f>
        <v>100</v>
      </c>
      <c r="G470" s="332">
        <f>Gasto_o_ing_per_capita!G470*100/Gasto_o_ing_per_capita!$D470</f>
        <v>100.00000000000001</v>
      </c>
      <c r="H470" s="332">
        <f>Gasto_o_ing_per_capita!H470*100/Gasto_o_ing_per_capita!$D470</f>
        <v>100.00000000000001</v>
      </c>
      <c r="I470" s="332">
        <f>Gasto_o_ing_per_capita!I470*100/Gasto_o_ing_per_capita!$D470</f>
        <v>100</v>
      </c>
      <c r="J470" s="332">
        <f>Gasto_o_ing_per_capita!J470*100/Gasto_o_ing_per_capita!$D470</f>
        <v>100.00000000000001</v>
      </c>
      <c r="K470" s="332">
        <f>Gasto_o_ing_per_capita!K470*100/Gasto_o_ing_per_capita!$D470</f>
        <v>100</v>
      </c>
      <c r="L470" s="332">
        <f>Gasto_o_ing_per_capita!L470*100/Gasto_o_ing_per_capita!$D470</f>
        <v>100.00000000000001</v>
      </c>
      <c r="M470" s="332">
        <f>Gasto_o_ing_per_capita!M470*100/Gasto_o_ing_per_capita!$D470</f>
        <v>100.00000000000001</v>
      </c>
      <c r="N470" s="332">
        <f>Gasto_o_ing_per_capita!N470*100/Gasto_o_ing_per_capita!$D470</f>
        <v>100</v>
      </c>
      <c r="O470" s="332">
        <f>Gasto_o_ing_per_capita!O470*100/Gasto_o_ing_per_capita!$D470</f>
        <v>100.00000000000001</v>
      </c>
      <c r="P470" s="332">
        <f>Gasto_o_ing_per_capita!P470*100/Gasto_o_ing_per_capita!$D470</f>
        <v>100</v>
      </c>
      <c r="Q470" s="332">
        <f>Gasto_o_ing_per_capita!Q470*100/Gasto_o_ing_per_capita!$D470</f>
        <v>100</v>
      </c>
      <c r="R470" s="332">
        <f>Gasto_o_ing_per_capita!R470*100/Gasto_o_ing_per_capita!$D470</f>
        <v>100</v>
      </c>
      <c r="S470" s="332">
        <f>Gasto_o_ing_per_capita!S470*100/Gasto_o_ing_per_capita!$D470</f>
        <v>100</v>
      </c>
      <c r="T470" s="332">
        <f>Gasto_o_ing_per_capita!T470*100/Gasto_o_ing_per_capita!$D470</f>
        <v>100</v>
      </c>
      <c r="U470" s="332">
        <f>Gasto_o_ing_per_capita!U470*100/Gasto_o_ing_per_capita!$D470</f>
        <v>100</v>
      </c>
      <c r="V470" s="332">
        <f>Gasto_o_ing_per_capita!V470*100/Gasto_o_ing_per_capita!$D470</f>
        <v>100.00000000000001</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Gasto_o_ing_per_capita!D471*100/Gasto_o_ing_per_capita!$D471</f>
        <v>100</v>
      </c>
      <c r="E471" s="332">
        <f>Gasto_o_ing_per_capita!E471*100/Gasto_o_ing_per_capita!$D471</f>
        <v>81.844122948374007</v>
      </c>
      <c r="F471" s="332">
        <f>Gasto_o_ing_per_capita!F471*100/Gasto_o_ing_per_capita!$D471</f>
        <v>134.89349877765846</v>
      </c>
      <c r="G471" s="332">
        <f>Gasto_o_ing_per_capita!G471*100/Gasto_o_ing_per_capita!$D471</f>
        <v>177.08422243087549</v>
      </c>
      <c r="H471" s="332">
        <f>Gasto_o_ing_per_capita!H471*100/Gasto_o_ing_per_capita!$D471</f>
        <v>91.527877642859295</v>
      </c>
      <c r="I471" s="332">
        <f>Gasto_o_ing_per_capita!I471*100/Gasto_o_ing_per_capita!$D471</f>
        <v>73.828243456706375</v>
      </c>
      <c r="J471" s="332">
        <f>Gasto_o_ing_per_capita!J471*100/Gasto_o_ing_per_capita!$D471</f>
        <v>132.36364866723926</v>
      </c>
      <c r="K471" s="332">
        <f>Gasto_o_ing_per_capita!K471*100/Gasto_o_ing_per_capita!$D471</f>
        <v>94.144888227305216</v>
      </c>
      <c r="L471" s="332">
        <f>Gasto_o_ing_per_capita!L471*100/Gasto_o_ing_per_capita!$D471</f>
        <v>97.756804251175339</v>
      </c>
      <c r="M471" s="332">
        <f>Gasto_o_ing_per_capita!M471*100/Gasto_o_ing_per_capita!$D471</f>
        <v>111.42627844207252</v>
      </c>
      <c r="N471" s="332">
        <f>Gasto_o_ing_per_capita!N471*100/Gasto_o_ing_per_capita!$D471</f>
        <v>94.960551928702785</v>
      </c>
      <c r="O471" s="332">
        <f>Gasto_o_ing_per_capita!O471*100/Gasto_o_ing_per_capita!$D471</f>
        <v>70.828542359369294</v>
      </c>
      <c r="P471" s="332">
        <f>Gasto_o_ing_per_capita!P471*100/Gasto_o_ing_per_capita!$D471</f>
        <v>128.40813803638682</v>
      </c>
      <c r="Q471" s="332">
        <f>Gasto_o_ing_per_capita!Q471*100/Gasto_o_ing_per_capita!$D471</f>
        <v>80.962328691856641</v>
      </c>
      <c r="R471" s="332">
        <f>Gasto_o_ing_per_capita!R471*100/Gasto_o_ing_per_capita!$D471</f>
        <v>105.66165359477301</v>
      </c>
      <c r="S471" s="332">
        <f>Gasto_o_ing_per_capita!S471*100/Gasto_o_ing_per_capita!$D471</f>
        <v>134.0865304209234</v>
      </c>
      <c r="T471" s="332">
        <f>Gasto_o_ing_per_capita!T471*100/Gasto_o_ing_per_capita!$D471</f>
        <v>139.66094872007096</v>
      </c>
      <c r="U471" s="332">
        <f>Gasto_o_ing_per_capita!U471*100/Gasto_o_ing_per_capita!$D471</f>
        <v>93.864855951894739</v>
      </c>
      <c r="V471" s="332">
        <f>Gasto_o_ing_per_capita!V471*100/Gasto_o_ing_per_capita!$D471</f>
        <v>45.000570254392031</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Gasto_o_ing_per_capita!D472*100/Gasto_o_ing_per_capita!$D472</f>
        <v>100</v>
      </c>
      <c r="E472" s="332">
        <f>Gasto_o_ing_per_capita!E472*100/Gasto_o_ing_per_capita!$D472</f>
        <v>82.56077171791911</v>
      </c>
      <c r="F472" s="332">
        <f>Gasto_o_ing_per_capita!F472*100/Gasto_o_ing_per_capita!$D472</f>
        <v>110.59239711552266</v>
      </c>
      <c r="G472" s="332">
        <f>Gasto_o_ing_per_capita!G472*100/Gasto_o_ing_per_capita!$D472</f>
        <v>109.09987790254496</v>
      </c>
      <c r="H472" s="332">
        <f>Gasto_o_ing_per_capita!H472*100/Gasto_o_ing_per_capita!$D472</f>
        <v>158.55196665916537</v>
      </c>
      <c r="I472" s="332">
        <f>Gasto_o_ing_per_capita!I472*100/Gasto_o_ing_per_capita!$D472</f>
        <v>29.052220048520795</v>
      </c>
      <c r="J472" s="332">
        <f>Gasto_o_ing_per_capita!J472*100/Gasto_o_ing_per_capita!$D472</f>
        <v>110.36512788842641</v>
      </c>
      <c r="K472" s="332">
        <f>Gasto_o_ing_per_capita!K472*100/Gasto_o_ing_per_capita!$D472</f>
        <v>100.88855753789009</v>
      </c>
      <c r="L472" s="332">
        <f>Gasto_o_ing_per_capita!L472*100/Gasto_o_ing_per_capita!$D472</f>
        <v>103.98892132404553</v>
      </c>
      <c r="M472" s="332">
        <f>Gasto_o_ing_per_capita!M472*100/Gasto_o_ing_per_capita!$D472</f>
        <v>115.44739821636151</v>
      </c>
      <c r="N472" s="332">
        <f>Gasto_o_ing_per_capita!N472*100/Gasto_o_ing_per_capita!$D472</f>
        <v>112.7165796664878</v>
      </c>
      <c r="O472" s="332">
        <f>Gasto_o_ing_per_capita!O472*100/Gasto_o_ing_per_capita!$D472</f>
        <v>109.17211141109321</v>
      </c>
      <c r="P472" s="332">
        <f>Gasto_o_ing_per_capita!P472*100/Gasto_o_ing_per_capita!$D472</f>
        <v>93.863946774223578</v>
      </c>
      <c r="Q472" s="332">
        <f>Gasto_o_ing_per_capita!Q472*100/Gasto_o_ing_per_capita!$D472</f>
        <v>92.249920716544977</v>
      </c>
      <c r="R472" s="332">
        <f>Gasto_o_ing_per_capita!R472*100/Gasto_o_ing_per_capita!$D472</f>
        <v>109.37241209750007</v>
      </c>
      <c r="S472" s="332">
        <f>Gasto_o_ing_per_capita!S472*100/Gasto_o_ing_per_capita!$D472</f>
        <v>152.30521514327378</v>
      </c>
      <c r="T472" s="332">
        <f>Gasto_o_ing_per_capita!T472*100/Gasto_o_ing_per_capita!$D472</f>
        <v>114.15045483097096</v>
      </c>
      <c r="U472" s="332">
        <f>Gasto_o_ing_per_capita!U472*100/Gasto_o_ing_per_capita!$D472</f>
        <v>104.27988740922018</v>
      </c>
      <c r="V472" s="332">
        <f>Gasto_o_ing_per_capita!V472*100/Gasto_o_ing_per_capita!$D472</f>
        <v>31.876414784812638</v>
      </c>
    </row>
    <row r="473" spans="1:22" s="102" customFormat="1">
      <c r="A473" s="351" t="str">
        <f>IF(B473="","",(IF(ISERROR(MATCH(B473,Tot_res!C:C,0)),"Eliminar!!!","")))</f>
        <v/>
      </c>
      <c r="B473" s="115" t="s">
        <v>423</v>
      </c>
      <c r="C473" s="329" t="str">
        <f>VLOOKUP(B473,Tot_res!C:D,2,FALSE)</f>
        <v>Publicaciones</v>
      </c>
      <c r="D473" s="332">
        <f>Gasto_o_ing_per_capita!D473*100/Gasto_o_ing_per_capita!$D473</f>
        <v>100</v>
      </c>
      <c r="E473" s="332">
        <f>Gasto_o_ing_per_capita!E473*100/Gasto_o_ing_per_capita!$D473</f>
        <v>63.04040907448892</v>
      </c>
      <c r="F473" s="332">
        <f>Gasto_o_ing_per_capita!F473*100/Gasto_o_ing_per_capita!$D473</f>
        <v>128.01583724208038</v>
      </c>
      <c r="G473" s="332">
        <f>Gasto_o_ing_per_capita!G473*100/Gasto_o_ing_per_capita!$D473</f>
        <v>115.83221709684476</v>
      </c>
      <c r="H473" s="332">
        <f>Gasto_o_ing_per_capita!H473*100/Gasto_o_ing_per_capita!$D473</f>
        <v>70.354606682057124</v>
      </c>
      <c r="I473" s="332">
        <f>Gasto_o_ing_per_capita!I473*100/Gasto_o_ing_per_capita!$D473</f>
        <v>55.668710714222229</v>
      </c>
      <c r="J473" s="332">
        <f>Gasto_o_ing_per_capita!J473*100/Gasto_o_ing_per_capita!$D473</f>
        <v>112.2901232804316</v>
      </c>
      <c r="K473" s="332">
        <f>Gasto_o_ing_per_capita!K473*100/Gasto_o_ing_per_capita!$D473</f>
        <v>99.598149841949535</v>
      </c>
      <c r="L473" s="332">
        <f>Gasto_o_ing_per_capita!L473*100/Gasto_o_ing_per_capita!$D473</f>
        <v>81.934296574876598</v>
      </c>
      <c r="M473" s="332">
        <f>Gasto_o_ing_per_capita!M473*100/Gasto_o_ing_per_capita!$D473</f>
        <v>123.78942224726146</v>
      </c>
      <c r="N473" s="332">
        <f>Gasto_o_ing_per_capita!N473*100/Gasto_o_ing_per_capita!$D473</f>
        <v>89.030658134042625</v>
      </c>
      <c r="O473" s="332">
        <f>Gasto_o_ing_per_capita!O473*100/Gasto_o_ing_per_capita!$D473</f>
        <v>59.596782968334793</v>
      </c>
      <c r="P473" s="332">
        <f>Gasto_o_ing_per_capita!P473*100/Gasto_o_ing_per_capita!$D473</f>
        <v>130.4679227696929</v>
      </c>
      <c r="Q473" s="332">
        <f>Gasto_o_ing_per_capita!Q473*100/Gasto_o_ing_per_capita!$D473</f>
        <v>88.150198143790618</v>
      </c>
      <c r="R473" s="332">
        <f>Gasto_o_ing_per_capita!R473*100/Gasto_o_ing_per_capita!$D473</f>
        <v>92.847760503242668</v>
      </c>
      <c r="S473" s="332">
        <f>Gasto_o_ing_per_capita!S473*100/Gasto_o_ing_per_capita!$D473</f>
        <v>190.31155373097906</v>
      </c>
      <c r="T473" s="332">
        <f>Gasto_o_ing_per_capita!T473*100/Gasto_o_ing_per_capita!$D473</f>
        <v>226.24253247734958</v>
      </c>
      <c r="U473" s="332">
        <f>Gasto_o_ing_per_capita!U473*100/Gasto_o_ing_per_capita!$D473</f>
        <v>145.09937856892321</v>
      </c>
      <c r="V473" s="332">
        <f>Gasto_o_ing_per_capita!V473*100/Gasto_o_ing_per_capita!$D473</f>
        <v>34.962434151349349</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Gasto_o_ing_per_capita!D475*100/Gasto_o_ing_per_capita!$D475</f>
        <v>100</v>
      </c>
      <c r="E475" s="110">
        <f>Gasto_o_ing_per_capita!E475*100/Gasto_o_ing_per_capita!$D475</f>
        <v>91.307415543300735</v>
      </c>
      <c r="F475" s="110">
        <f>Gasto_o_ing_per_capita!F475*100/Gasto_o_ing_per_capita!$D475</f>
        <v>113.33674527475769</v>
      </c>
      <c r="G475" s="110">
        <f>Gasto_o_ing_per_capita!G475*100/Gasto_o_ing_per_capita!$D475</f>
        <v>123.17955515431848</v>
      </c>
      <c r="H475" s="110">
        <f>Gasto_o_ing_per_capita!H475*100/Gasto_o_ing_per_capita!$D475</f>
        <v>93.024624503920535</v>
      </c>
      <c r="I475" s="110">
        <f>Gasto_o_ing_per_capita!I475*100/Gasto_o_ing_per_capita!$D475</f>
        <v>97.100719662476848</v>
      </c>
      <c r="J475" s="110">
        <f>Gasto_o_ing_per_capita!J475*100/Gasto_o_ing_per_capita!$D475</f>
        <v>111.51494557030406</v>
      </c>
      <c r="K475" s="110">
        <f>Gasto_o_ing_per_capita!K475*100/Gasto_o_ing_per_capita!$D475</f>
        <v>115.28663135085557</v>
      </c>
      <c r="L475" s="110">
        <f>Gasto_o_ing_per_capita!L475*100/Gasto_o_ing_per_capita!$D475</f>
        <v>93.097863466243922</v>
      </c>
      <c r="M475" s="110">
        <f>Gasto_o_ing_per_capita!M475*100/Gasto_o_ing_per_capita!$D475</f>
        <v>100.48306963790424</v>
      </c>
      <c r="N475" s="110">
        <f>Gasto_o_ing_per_capita!N475*100/Gasto_o_ing_per_capita!$D475</f>
        <v>86.93971868133103</v>
      </c>
      <c r="O475" s="110">
        <f>Gasto_o_ing_per_capita!O475*100/Gasto_o_ing_per_capita!$D475</f>
        <v>106.36002621559268</v>
      </c>
      <c r="P475" s="110">
        <f>Gasto_o_ing_per_capita!P475*100/Gasto_o_ing_per_capita!$D475</f>
        <v>107.11017447248982</v>
      </c>
      <c r="Q475" s="110">
        <f>Gasto_o_ing_per_capita!Q475*100/Gasto_o_ing_per_capita!$D475</f>
        <v>95.649399388480035</v>
      </c>
      <c r="R475" s="110">
        <f>Gasto_o_ing_per_capita!R475*100/Gasto_o_ing_per_capita!$D475</f>
        <v>85.027471883963813</v>
      </c>
      <c r="S475" s="110">
        <f>Gasto_o_ing_per_capita!S475*100/Gasto_o_ing_per_capita!$D475</f>
        <v>115.38739499699291</v>
      </c>
      <c r="T475" s="110">
        <f>Gasto_o_ing_per_capita!T475*100/Gasto_o_ing_per_capita!$D475</f>
        <v>138.72311886646631</v>
      </c>
      <c r="U475" s="110">
        <f>Gasto_o_ing_per_capita!U475*100/Gasto_o_ing_per_capita!$D475</f>
        <v>103.37355881645881</v>
      </c>
      <c r="V475" s="110">
        <f>Gasto_o_ing_per_capita!V475*100/Gasto_o_ing_per_capita!$D475</f>
        <v>121.75306868751628</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Gasto_o_ing_per_capita!D477*100/Gasto_o_ing_per_capita!$D477</f>
        <v>100</v>
      </c>
      <c r="E477" s="110">
        <f>Gasto_o_ing_per_capita!E477*100/Gasto_o_ing_per_capita!$D477</f>
        <v>97.682773690284279</v>
      </c>
      <c r="F477" s="110">
        <f>Gasto_o_ing_per_capita!F477*100/Gasto_o_ing_per_capita!$D477</f>
        <v>115.8716183138291</v>
      </c>
      <c r="G477" s="110">
        <f>Gasto_o_ing_per_capita!G477*100/Gasto_o_ing_per_capita!$D477</f>
        <v>138.30489033868275</v>
      </c>
      <c r="H477" s="110">
        <f>Gasto_o_ing_per_capita!H477*100/Gasto_o_ing_per_capita!$D477</f>
        <v>79.454363871754978</v>
      </c>
      <c r="I477" s="110">
        <f>Gasto_o_ing_per_capita!I477*100/Gasto_o_ing_per_capita!$D477</f>
        <v>110.34801055563885</v>
      </c>
      <c r="J477" s="110">
        <f>Gasto_o_ing_per_capita!J477*100/Gasto_o_ing_per_capita!$D477</f>
        <v>119.53757236470017</v>
      </c>
      <c r="K477" s="110">
        <f>Gasto_o_ing_per_capita!K477*100/Gasto_o_ing_per_capita!$D477</f>
        <v>123.42698704672659</v>
      </c>
      <c r="L477" s="110">
        <f>Gasto_o_ing_per_capita!L477*100/Gasto_o_ing_per_capita!$D477</f>
        <v>97.639525747971774</v>
      </c>
      <c r="M477" s="110">
        <f>Gasto_o_ing_per_capita!M477*100/Gasto_o_ing_per_capita!$D477</f>
        <v>97.197570619364114</v>
      </c>
      <c r="N477" s="110">
        <f>Gasto_o_ing_per_capita!N477*100/Gasto_o_ing_per_capita!$D477</f>
        <v>89.105024156000155</v>
      </c>
      <c r="O477" s="110">
        <f>Gasto_o_ing_per_capita!O477*100/Gasto_o_ing_per_capita!$D477</f>
        <v>116.63982257291509</v>
      </c>
      <c r="P477" s="110">
        <f>Gasto_o_ing_per_capita!P477*100/Gasto_o_ing_per_capita!$D477</f>
        <v>118.93121988876383</v>
      </c>
      <c r="Q477" s="110">
        <f>Gasto_o_ing_per_capita!Q477*100/Gasto_o_ing_per_capita!$D477</f>
        <v>87.300133166923132</v>
      </c>
      <c r="R477" s="110">
        <f>Gasto_o_ing_per_capita!R477*100/Gasto_o_ing_per_capita!$D477</f>
        <v>88.809190742971168</v>
      </c>
      <c r="S477" s="110">
        <f>Gasto_o_ing_per_capita!S477*100/Gasto_o_ing_per_capita!$D477</f>
        <v>77.275810479914313</v>
      </c>
      <c r="T477" s="110">
        <f>Gasto_o_ing_per_capita!T477*100/Gasto_o_ing_per_capita!$D477</f>
        <v>98.078813213136257</v>
      </c>
      <c r="U477" s="110">
        <f>Gasto_o_ing_per_capita!U477*100/Gasto_o_ing_per_capita!$D477</f>
        <v>110.17692706989737</v>
      </c>
      <c r="V477" s="110">
        <f>Gasto_o_ing_per_capita!V477*100/Gasto_o_ing_per_capita!$D477</f>
        <v>178.48443324749951</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Gasto_o_ing_per_capita!D478*100/Gasto_o_ing_per_capita!$D478</f>
        <v>100</v>
      </c>
      <c r="E478" s="332">
        <f>Gasto_o_ing_per_capita!E478*100/Gasto_o_ing_per_capita!$D478</f>
        <v>97.682773690284293</v>
      </c>
      <c r="F478" s="332">
        <f>Gasto_o_ing_per_capita!F478*100/Gasto_o_ing_per_capita!$D478</f>
        <v>115.8716183138291</v>
      </c>
      <c r="G478" s="332">
        <f>Gasto_o_ing_per_capita!G478*100/Gasto_o_ing_per_capita!$D478</f>
        <v>138.30489033868275</v>
      </c>
      <c r="H478" s="332">
        <f>Gasto_o_ing_per_capita!H478*100/Gasto_o_ing_per_capita!$D478</f>
        <v>79.454363871754992</v>
      </c>
      <c r="I478" s="332">
        <f>Gasto_o_ing_per_capita!I478*100/Gasto_o_ing_per_capita!$D478</f>
        <v>110.34801055563885</v>
      </c>
      <c r="J478" s="332">
        <f>Gasto_o_ing_per_capita!J478*100/Gasto_o_ing_per_capita!$D478</f>
        <v>119.53757236470018</v>
      </c>
      <c r="K478" s="332">
        <f>Gasto_o_ing_per_capita!K478*100/Gasto_o_ing_per_capita!$D478</f>
        <v>123.42698704672661</v>
      </c>
      <c r="L478" s="332">
        <f>Gasto_o_ing_per_capita!L478*100/Gasto_o_ing_per_capita!$D478</f>
        <v>97.639525747971788</v>
      </c>
      <c r="M478" s="332">
        <f>Gasto_o_ing_per_capita!M478*100/Gasto_o_ing_per_capita!$D478</f>
        <v>97.197570619364143</v>
      </c>
      <c r="N478" s="332">
        <f>Gasto_o_ing_per_capita!N478*100/Gasto_o_ing_per_capita!$D478</f>
        <v>89.105024156000141</v>
      </c>
      <c r="O478" s="332">
        <f>Gasto_o_ing_per_capita!O478*100/Gasto_o_ing_per_capita!$D478</f>
        <v>116.63982257291512</v>
      </c>
      <c r="P478" s="332">
        <f>Gasto_o_ing_per_capita!P478*100/Gasto_o_ing_per_capita!$D478</f>
        <v>118.93121988876385</v>
      </c>
      <c r="Q478" s="332">
        <f>Gasto_o_ing_per_capita!Q478*100/Gasto_o_ing_per_capita!$D478</f>
        <v>87.300133166923146</v>
      </c>
      <c r="R478" s="332">
        <f>Gasto_o_ing_per_capita!R478*100/Gasto_o_ing_per_capita!$D478</f>
        <v>88.809190742971168</v>
      </c>
      <c r="S478" s="332">
        <f>Gasto_o_ing_per_capita!S478*100/Gasto_o_ing_per_capita!$D478</f>
        <v>77.275810479914327</v>
      </c>
      <c r="T478" s="332">
        <f>Gasto_o_ing_per_capita!T478*100/Gasto_o_ing_per_capita!$D478</f>
        <v>98.078813213136272</v>
      </c>
      <c r="U478" s="332">
        <f>Gasto_o_ing_per_capita!U478*100/Gasto_o_ing_per_capita!$D478</f>
        <v>110.1769270698974</v>
      </c>
      <c r="V478" s="332">
        <f>Gasto_o_ing_per_capita!V478*100/Gasto_o_ing_per_capita!$D478</f>
        <v>178.48443324749957</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Gasto_o_ing_per_capita!D479*100/Gasto_o_ing_per_capita!$D479</f>
        <v>100</v>
      </c>
      <c r="E479" s="332">
        <f>Gasto_o_ing_per_capita!E479*100/Gasto_o_ing_per_capita!$D479</f>
        <v>97.682773690284293</v>
      </c>
      <c r="F479" s="332">
        <f>Gasto_o_ing_per_capita!F479*100/Gasto_o_ing_per_capita!$D479</f>
        <v>115.8716183138291</v>
      </c>
      <c r="G479" s="332">
        <f>Gasto_o_ing_per_capita!G479*100/Gasto_o_ing_per_capita!$D479</f>
        <v>138.30489033868278</v>
      </c>
      <c r="H479" s="332">
        <f>Gasto_o_ing_per_capita!H479*100/Gasto_o_ing_per_capita!$D479</f>
        <v>79.454363871755021</v>
      </c>
      <c r="I479" s="332">
        <f>Gasto_o_ing_per_capita!I479*100/Gasto_o_ing_per_capita!$D479</f>
        <v>110.34801055563885</v>
      </c>
      <c r="J479" s="332">
        <f>Gasto_o_ing_per_capita!J479*100/Gasto_o_ing_per_capita!$D479</f>
        <v>119.53757236470018</v>
      </c>
      <c r="K479" s="332">
        <f>Gasto_o_ing_per_capita!K479*100/Gasto_o_ing_per_capita!$D479</f>
        <v>123.42698704672664</v>
      </c>
      <c r="L479" s="332">
        <f>Gasto_o_ing_per_capita!L479*100/Gasto_o_ing_per_capita!$D479</f>
        <v>97.639525747971817</v>
      </c>
      <c r="M479" s="332">
        <f>Gasto_o_ing_per_capita!M479*100/Gasto_o_ing_per_capita!$D479</f>
        <v>97.197570619364157</v>
      </c>
      <c r="N479" s="332">
        <f>Gasto_o_ing_per_capita!N479*100/Gasto_o_ing_per_capita!$D479</f>
        <v>89.105024156000169</v>
      </c>
      <c r="O479" s="332">
        <f>Gasto_o_ing_per_capita!O479*100/Gasto_o_ing_per_capita!$D479</f>
        <v>116.63982257291516</v>
      </c>
      <c r="P479" s="332">
        <f>Gasto_o_ing_per_capita!P479*100/Gasto_o_ing_per_capita!$D479</f>
        <v>118.93121988876388</v>
      </c>
      <c r="Q479" s="332">
        <f>Gasto_o_ing_per_capita!Q479*100/Gasto_o_ing_per_capita!$D479</f>
        <v>87.30013316692316</v>
      </c>
      <c r="R479" s="332">
        <f>Gasto_o_ing_per_capita!R479*100/Gasto_o_ing_per_capita!$D479</f>
        <v>88.809190742971197</v>
      </c>
      <c r="S479" s="332">
        <f>Gasto_o_ing_per_capita!S479*100/Gasto_o_ing_per_capita!$D479</f>
        <v>77.275810479914341</v>
      </c>
      <c r="T479" s="332">
        <f>Gasto_o_ing_per_capita!T479*100/Gasto_o_ing_per_capita!$D479</f>
        <v>98.078813213136272</v>
      </c>
      <c r="U479" s="332">
        <f>Gasto_o_ing_per_capita!U479*100/Gasto_o_ing_per_capita!$D479</f>
        <v>110.17692706989742</v>
      </c>
      <c r="V479" s="332">
        <f>Gasto_o_ing_per_capita!V479*100/Gasto_o_ing_per_capita!$D479</f>
        <v>178.48443324749954</v>
      </c>
    </row>
    <row r="480" spans="1:22" s="102" customFormat="1">
      <c r="A480" s="352"/>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C481" s="103" t="s">
        <v>7</v>
      </c>
      <c r="D481" s="110">
        <f>Gasto_o_ing_per_capita!D481*100/Gasto_o_ing_per_capita!$D481</f>
        <v>100</v>
      </c>
      <c r="E481" s="110">
        <f>Gasto_o_ing_per_capita!E481*100/Gasto_o_ing_per_capita!$D481</f>
        <v>91.799359189390856</v>
      </c>
      <c r="F481" s="110">
        <f>Gasto_o_ing_per_capita!F481*100/Gasto_o_ing_per_capita!$D481</f>
        <v>113.53234443271344</v>
      </c>
      <c r="G481" s="110">
        <f>Gasto_o_ing_per_capita!G481*100/Gasto_o_ing_per_capita!$D481</f>
        <v>124.34667586618812</v>
      </c>
      <c r="H481" s="110">
        <f>Gasto_o_ing_per_capita!H481*100/Gasto_o_ing_per_capita!$D481</f>
        <v>91.977498469606758</v>
      </c>
      <c r="I481" s="110">
        <f>Gasto_o_ing_per_capita!I481*100/Gasto_o_ing_per_capita!$D481</f>
        <v>98.122924287307541</v>
      </c>
      <c r="J481" s="110">
        <f>Gasto_o_ing_per_capita!J481*100/Gasto_o_ing_per_capita!$D481</f>
        <v>112.13399789418376</v>
      </c>
      <c r="K481" s="110">
        <f>Gasto_o_ing_per_capita!K481*100/Gasto_o_ing_per_capita!$D481</f>
        <v>115.91476802477594</v>
      </c>
      <c r="L481" s="110">
        <f>Gasto_o_ing_per_capita!L481*100/Gasto_o_ing_per_capita!$D481</f>
        <v>93.448313096001641</v>
      </c>
      <c r="M481" s="110">
        <f>Gasto_o_ing_per_capita!M481*100/Gasto_o_ing_per_capita!$D481</f>
        <v>100.22954970551096</v>
      </c>
      <c r="N481" s="110">
        <f>Gasto_o_ing_per_capita!N481*100/Gasto_o_ing_per_capita!$D481</f>
        <v>87.106800788022028</v>
      </c>
      <c r="O481" s="110">
        <f>Gasto_o_ing_per_capita!O481*100/Gasto_o_ing_per_capita!$D481</f>
        <v>107.1532491819727</v>
      </c>
      <c r="P481" s="110">
        <f>Gasto_o_ing_per_capita!P481*100/Gasto_o_ing_per_capita!$D481</f>
        <v>108.02232529580162</v>
      </c>
      <c r="Q481" s="110">
        <f>Gasto_o_ing_per_capita!Q481*100/Gasto_o_ing_per_capita!$D481</f>
        <v>95.005142489884747</v>
      </c>
      <c r="R481" s="110">
        <f>Gasto_o_ing_per_capita!R481*100/Gasto_o_ing_per_capita!$D481</f>
        <v>85.319281774654897</v>
      </c>
      <c r="S481" s="110">
        <f>Gasto_o_ing_per_capita!S481*100/Gasto_o_ing_per_capita!$D481</f>
        <v>112.44657953010426</v>
      </c>
      <c r="T481" s="110">
        <f>Gasto_o_ing_per_capita!T481*100/Gasto_o_ing_per_capita!$D481</f>
        <v>135.5868702895356</v>
      </c>
      <c r="U481" s="110">
        <f>Gasto_o_ing_per_capita!U481*100/Gasto_o_ing_per_capita!$D481</f>
        <v>103.89852913296941</v>
      </c>
      <c r="V481" s="110">
        <f>Gasto_o_ing_per_capita!V481*100/Gasto_o_ing_per_capita!$D481</f>
        <v>126.13064774831165</v>
      </c>
    </row>
    <row r="482" spans="1:22" s="102" customFormat="1">
      <c r="A482" s="352"/>
      <c r="C482" s="103" t="s">
        <v>80</v>
      </c>
      <c r="D482" s="110">
        <f>Gasto_o_ing_per_capita!D482*100/Gasto_o_ing_per_capita!$D482</f>
        <v>100</v>
      </c>
      <c r="E482" s="110">
        <f>Gasto_o_ing_per_capita!E482*100/Gasto_o_ing_per_capita!$D482</f>
        <v>91.334441271108986</v>
      </c>
      <c r="F482" s="110">
        <f>Gasto_o_ing_per_capita!F482*100/Gasto_o_ing_per_capita!$D482</f>
        <v>112.86686182820863</v>
      </c>
      <c r="G482" s="110">
        <f>Gasto_o_ing_per_capita!G482*100/Gasto_o_ing_per_capita!$D482</f>
        <v>123.77930826278372</v>
      </c>
      <c r="H482" s="110">
        <f>Gasto_o_ing_per_capita!H482*100/Gasto_o_ing_per_capita!$D482</f>
        <v>90.285162397043067</v>
      </c>
      <c r="I482" s="110">
        <f>Gasto_o_ing_per_capita!I482*100/Gasto_o_ing_per_capita!$D482</f>
        <v>97.951367587060219</v>
      </c>
      <c r="J482" s="110">
        <f>Gasto_o_ing_per_capita!J482*100/Gasto_o_ing_per_capita!$D482</f>
        <v>111.81051639932282</v>
      </c>
      <c r="K482" s="110">
        <f>Gasto_o_ing_per_capita!K482*100/Gasto_o_ing_per_capita!$D482</f>
        <v>115.62650767660222</v>
      </c>
      <c r="L482" s="110">
        <f>Gasto_o_ing_per_capita!L482*100/Gasto_o_ing_per_capita!$D482</f>
        <v>93.692986104244895</v>
      </c>
      <c r="M482" s="110">
        <f>Gasto_o_ing_per_capita!M482*100/Gasto_o_ing_per_capita!$D482</f>
        <v>99.28531765992588</v>
      </c>
      <c r="N482" s="110">
        <f>Gasto_o_ing_per_capita!N482*100/Gasto_o_ing_per_capita!$D482</f>
        <v>86.209458730124865</v>
      </c>
      <c r="O482" s="110">
        <f>Gasto_o_ing_per_capita!O482*100/Gasto_o_ing_per_capita!$D482</f>
        <v>105.85494293020149</v>
      </c>
      <c r="P482" s="110">
        <f>Gasto_o_ing_per_capita!P482*100/Gasto_o_ing_per_capita!$D482</f>
        <v>107.36045284691936</v>
      </c>
      <c r="Q482" s="110">
        <f>Gasto_o_ing_per_capita!Q482*100/Gasto_o_ing_per_capita!$D482</f>
        <v>96.215865937674863</v>
      </c>
      <c r="R482" s="110">
        <f>Gasto_o_ing_per_capita!R482*100/Gasto_o_ing_per_capita!$D482</f>
        <v>84.309173372772236</v>
      </c>
      <c r="S482" s="110">
        <f>Gasto_o_ing_per_capita!S482*100/Gasto_o_ing_per_capita!$D482</f>
        <v>120.61805481445671</v>
      </c>
      <c r="T482" s="110">
        <f>Gasto_o_ing_per_capita!T482*100/Gasto_o_ing_per_capita!$D482</f>
        <v>140.74071259165578</v>
      </c>
      <c r="U482" s="110">
        <f>Gasto_o_ing_per_capita!U482*100/Gasto_o_ing_per_capita!$D482</f>
        <v>103.59283969521816</v>
      </c>
      <c r="V482" s="110">
        <f>Gasto_o_ing_per_capita!V482*100/Gasto_o_ing_per_capita!$D482</f>
        <v>126.61878154268767</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s="102" customFormat="1">
      <c r="A485" s="352"/>
      <c r="C485" s="120"/>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c r="A486" s="352"/>
      <c r="C486" s="121" t="s">
        <v>85</v>
      </c>
      <c r="D486" s="110"/>
      <c r="E486" s="110"/>
      <c r="F486" s="110"/>
      <c r="G486" s="110"/>
      <c r="H486" s="110"/>
      <c r="I486" s="110"/>
      <c r="J486" s="110"/>
      <c r="K486" s="110"/>
      <c r="L486" s="110"/>
      <c r="M486" s="110"/>
      <c r="N486" s="110"/>
      <c r="O486" s="110"/>
      <c r="P486" s="110"/>
      <c r="Q486" s="110"/>
      <c r="R486" s="110"/>
      <c r="S486" s="110"/>
      <c r="T486" s="110"/>
      <c r="U486" s="110"/>
      <c r="V486" s="110"/>
    </row>
    <row r="487" spans="1:22" s="102" customFormat="1">
      <c r="A487" s="352"/>
      <c r="C487" s="120"/>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0"/>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Gasto_o_ing_per_capita!D492*100/Gasto_o_ing_per_capita!$D492</f>
        <v>100</v>
      </c>
      <c r="E492" s="110">
        <f>Gasto_o_ing_per_capita!E492*100/Gasto_o_ing_per_capita!$D492</f>
        <v>77.229800360981145</v>
      </c>
      <c r="F492" s="110">
        <f>Gasto_o_ing_per_capita!F492*100/Gasto_o_ing_per_capita!$D492</f>
        <v>104.37783774981801</v>
      </c>
      <c r="G492" s="110">
        <f>Gasto_o_ing_per_capita!G492*100/Gasto_o_ing_per_capita!$D492</f>
        <v>101.8615070932438</v>
      </c>
      <c r="H492" s="110">
        <f>Gasto_o_ing_per_capita!H492*100/Gasto_o_ing_per_capita!$D492</f>
        <v>102.60785341867127</v>
      </c>
      <c r="I492" s="110">
        <f>Gasto_o_ing_per_capita!I492*100/Gasto_o_ing_per_capita!$D492</f>
        <v>77.14760108561579</v>
      </c>
      <c r="J492" s="110">
        <f>Gasto_o_ing_per_capita!J492*100/Gasto_o_ing_per_capita!$D492</f>
        <v>100.61855110879878</v>
      </c>
      <c r="K492" s="110">
        <f>Gasto_o_ing_per_capita!K492*100/Gasto_o_ing_per_capita!$D492</f>
        <v>93.716540886524783</v>
      </c>
      <c r="L492" s="110">
        <f>Gasto_o_ing_per_capita!L492*100/Gasto_o_ing_per_capita!$D492</f>
        <v>78.764433872914552</v>
      </c>
      <c r="M492" s="110">
        <f>Gasto_o_ing_per_capita!M492*100/Gasto_o_ing_per_capita!$D492</f>
        <v>115.22992773884276</v>
      </c>
      <c r="N492" s="110">
        <f>Gasto_o_ing_per_capita!N492*100/Gasto_o_ing_per_capita!$D492</f>
        <v>88.183317904889847</v>
      </c>
      <c r="O492" s="110">
        <f>Gasto_o_ing_per_capita!O492*100/Gasto_o_ing_per_capita!$D492</f>
        <v>71.203298898242053</v>
      </c>
      <c r="P492" s="110">
        <f>Gasto_o_ing_per_capita!P492*100/Gasto_o_ing_per_capita!$D492</f>
        <v>91.00867789978787</v>
      </c>
      <c r="Q492" s="110">
        <f>Gasto_o_ing_per_capita!Q492*100/Gasto_o_ing_per_capita!$D492</f>
        <v>140.24504802342074</v>
      </c>
      <c r="R492" s="110">
        <f>Gasto_o_ing_per_capita!R492*100/Gasto_o_ing_per_capita!$D492</f>
        <v>79.11861913628114</v>
      </c>
      <c r="S492" s="110">
        <f>Gasto_o_ing_per_capita!S492*100/Gasto_o_ing_per_capita!$D492</f>
        <v>117.18371454023608</v>
      </c>
      <c r="T492" s="110">
        <f>Gasto_o_ing_per_capita!T492*100/Gasto_o_ing_per_capita!$D492</f>
        <v>124.31667309743257</v>
      </c>
      <c r="U492" s="110">
        <f>Gasto_o_ing_per_capita!U492*100/Gasto_o_ing_per_capita!$D492</f>
        <v>99.585676419595856</v>
      </c>
      <c r="V492" s="110">
        <f>Gasto_o_ing_per_capita!V492*100/Gasto_o_ing_per_capita!$D492</f>
        <v>75.090255537082342</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3">
        <f>Gasto_o_ing_per_capita!D494*100/Gasto_o_ing_per_capita!$D494</f>
        <v>100</v>
      </c>
      <c r="E494" s="113">
        <f>Gasto_o_ing_per_capita!E494*100/Gasto_o_ing_per_capita!$D494</f>
        <v>65.027896063519165</v>
      </c>
      <c r="F494" s="113">
        <f>Gasto_o_ing_per_capita!F494*100/Gasto_o_ing_per_capita!$D494</f>
        <v>107.3371809204252</v>
      </c>
      <c r="G494" s="113">
        <f>Gasto_o_ing_per_capita!G494*100/Gasto_o_ing_per_capita!$D494</f>
        <v>104.52387757241536</v>
      </c>
      <c r="H494" s="113">
        <f>Gasto_o_ing_per_capita!H494*100/Gasto_o_ing_per_capita!$D494</f>
        <v>99.320738738789373</v>
      </c>
      <c r="I494" s="113">
        <f>Gasto_o_ing_per_capita!I494*100/Gasto_o_ing_per_capita!$D494</f>
        <v>71.305582855806648</v>
      </c>
      <c r="J494" s="113">
        <f>Gasto_o_ing_per_capita!J494*100/Gasto_o_ing_per_capita!$D494</f>
        <v>100.99691923341979</v>
      </c>
      <c r="K494" s="113">
        <f>Gasto_o_ing_per_capita!K494*100/Gasto_o_ing_per_capita!$D494</f>
        <v>92.181338530619726</v>
      </c>
      <c r="L494" s="113">
        <f>Gasto_o_ing_per_capita!L494*100/Gasto_o_ing_per_capita!$D494</f>
        <v>69.057741549341998</v>
      </c>
      <c r="M494" s="113">
        <f>Gasto_o_ing_per_capita!M494*100/Gasto_o_ing_per_capita!$D494</f>
        <v>121.28325201208705</v>
      </c>
      <c r="N494" s="113">
        <f>Gasto_o_ing_per_capita!N494*100/Gasto_o_ing_per_capita!$D494</f>
        <v>81.391803276316296</v>
      </c>
      <c r="O494" s="113">
        <f>Gasto_o_ing_per_capita!O494*100/Gasto_o_ing_per_capita!$D494</f>
        <v>60.277007940284768</v>
      </c>
      <c r="P494" s="113">
        <f>Gasto_o_ing_per_capita!P494*100/Gasto_o_ing_per_capita!$D494</f>
        <v>86.134419920004476</v>
      </c>
      <c r="Q494" s="113">
        <f>Gasto_o_ing_per_capita!Q494*100/Gasto_o_ing_per_capita!$D494</f>
        <v>160.65248428708864</v>
      </c>
      <c r="R494" s="113">
        <f>Gasto_o_ing_per_capita!R494*100/Gasto_o_ing_per_capita!$D494</f>
        <v>68.203505434618393</v>
      </c>
      <c r="S494" s="113">
        <f>Gasto_o_ing_per_capita!S494*100/Gasto_o_ing_per_capita!$D494</f>
        <v>126.10858314820004</v>
      </c>
      <c r="T494" s="113">
        <f>Gasto_o_ing_per_capita!T494*100/Gasto_o_ing_per_capita!$D494</f>
        <v>137.64856629942338</v>
      </c>
      <c r="U494" s="113">
        <f>Gasto_o_ing_per_capita!U494*100/Gasto_o_ing_per_capita!$D494</f>
        <v>100.86136734861128</v>
      </c>
      <c r="V494" s="113">
        <f>Gasto_o_ing_per_capita!V494*100/Gasto_o_ing_per_capita!$D494</f>
        <v>65.026209461253117</v>
      </c>
    </row>
    <row r="495" spans="1:22" s="102" customFormat="1">
      <c r="A495" s="351" t="str">
        <f>IF(B495="","",(IF(ISERROR(MATCH(B495,Tot_res!C:C,0)),"Eliminar!!!","")))</f>
        <v/>
      </c>
      <c r="B495" s="102" t="s">
        <v>427</v>
      </c>
      <c r="C495" s="329" t="str">
        <f>VLOOKUP(B495,Tot_res!C:D,2,FALSE)</f>
        <v>IRPF, ingresos homogeneizados</v>
      </c>
      <c r="D495" s="332">
        <f>Gasto_o_ing_per_capita!D495*100/Gasto_o_ing_per_capita!$D495</f>
        <v>100</v>
      </c>
      <c r="E495" s="332">
        <f>Gasto_o_ing_per_capita!E495*100/Gasto_o_ing_per_capita!$D495</f>
        <v>61.786417253509327</v>
      </c>
      <c r="F495" s="332">
        <f>Gasto_o_ing_per_capita!F495*100/Gasto_o_ing_per_capita!$D495</f>
        <v>106.58112211540865</v>
      </c>
      <c r="G495" s="332">
        <f>Gasto_o_ing_per_capita!G495*100/Gasto_o_ing_per_capita!$D495</f>
        <v>105.28526812485934</v>
      </c>
      <c r="H495" s="332">
        <f>Gasto_o_ing_per_capita!H495*100/Gasto_o_ing_per_capita!$D495</f>
        <v>98.90212874518501</v>
      </c>
      <c r="I495" s="332">
        <f>Gasto_o_ing_per_capita!I495*100/Gasto_o_ing_per_capita!$D495</f>
        <v>68.871344550921989</v>
      </c>
      <c r="J495" s="332">
        <f>Gasto_o_ing_per_capita!J495*100/Gasto_o_ing_per_capita!$D495</f>
        <v>98.05728222778653</v>
      </c>
      <c r="K495" s="332">
        <f>Gasto_o_ing_per_capita!K495*100/Gasto_o_ing_per_capita!$D495</f>
        <v>91.102471475065784</v>
      </c>
      <c r="L495" s="332">
        <f>Gasto_o_ing_per_capita!L495*100/Gasto_o_ing_per_capita!$D495</f>
        <v>66.734585453348686</v>
      </c>
      <c r="M495" s="332">
        <f>Gasto_o_ing_per_capita!M495*100/Gasto_o_ing_per_capita!$D495</f>
        <v>123.62913506553024</v>
      </c>
      <c r="N495" s="332">
        <f>Gasto_o_ing_per_capita!N495*100/Gasto_o_ing_per_capita!$D495</f>
        <v>78.362190114451948</v>
      </c>
      <c r="O495" s="332">
        <f>Gasto_o_ing_per_capita!O495*100/Gasto_o_ing_per_capita!$D495</f>
        <v>57.041504441010787</v>
      </c>
      <c r="P495" s="332">
        <f>Gasto_o_ing_per_capita!P495*100/Gasto_o_ing_per_capita!$D495</f>
        <v>82.77041100773458</v>
      </c>
      <c r="Q495" s="332">
        <f>Gasto_o_ing_per_capita!Q495*100/Gasto_o_ing_per_capita!$D495</f>
        <v>168.70438006255159</v>
      </c>
      <c r="R495" s="332">
        <f>Gasto_o_ing_per_capita!R495*100/Gasto_o_ing_per_capita!$D495</f>
        <v>65.083000862987063</v>
      </c>
      <c r="S495" s="332">
        <f>Gasto_o_ing_per_capita!S495*100/Gasto_o_ing_per_capita!$D495</f>
        <v>128.08753843057752</v>
      </c>
      <c r="T495" s="332">
        <f>Gasto_o_ing_per_capita!T495*100/Gasto_o_ing_per_capita!$D495</f>
        <v>140.19001456389861</v>
      </c>
      <c r="U495" s="332">
        <f>Gasto_o_ing_per_capita!U495*100/Gasto_o_ing_per_capita!$D495</f>
        <v>98.925872839958288</v>
      </c>
      <c r="V495" s="332">
        <f>Gasto_o_ing_per_capita!V495*100/Gasto_o_ing_per_capita!$D495</f>
        <v>58.809050108312455</v>
      </c>
    </row>
    <row r="496" spans="1:22" s="102" customFormat="1">
      <c r="A496" s="351" t="str">
        <f>IF(B496="","",(IF(ISERROR(MATCH(B496,Tot_res!C:C,0)),"Eliminar!!!","")))</f>
        <v/>
      </c>
      <c r="B496" s="102" t="s">
        <v>428</v>
      </c>
      <c r="C496" s="329" t="str">
        <f>VLOOKUP(B496,Tot_res!C:D,2,FALSE)</f>
        <v>Impuesto sobre sociedades, ingresos homogéneos</v>
      </c>
      <c r="D496" s="332">
        <f>Gasto_o_ing_per_capita!D496*100/Gasto_o_ing_per_capita!$D496</f>
        <v>100</v>
      </c>
      <c r="E496" s="332">
        <f>Gasto_o_ing_per_capita!E496*100/Gasto_o_ing_per_capita!$D496</f>
        <v>71.656091835443007</v>
      </c>
      <c r="F496" s="332">
        <f>Gasto_o_ing_per_capita!F496*100/Gasto_o_ing_per_capita!$D496</f>
        <v>108.17865590406299</v>
      </c>
      <c r="G496" s="332">
        <f>Gasto_o_ing_per_capita!G496*100/Gasto_o_ing_per_capita!$D496</f>
        <v>97.177784902874862</v>
      </c>
      <c r="H496" s="332">
        <f>Gasto_o_ing_per_capita!H496*100/Gasto_o_ing_per_capita!$D496</f>
        <v>102.73713606486049</v>
      </c>
      <c r="I496" s="332">
        <f>Gasto_o_ing_per_capita!I496*100/Gasto_o_ing_per_capita!$D496</f>
        <v>77.914131132291232</v>
      </c>
      <c r="J496" s="332">
        <f>Gasto_o_ing_per_capita!J496*100/Gasto_o_ing_per_capita!$D496</f>
        <v>108.11985877654067</v>
      </c>
      <c r="K496" s="332">
        <f>Gasto_o_ing_per_capita!K496*100/Gasto_o_ing_per_capita!$D496</f>
        <v>90.748308029466898</v>
      </c>
      <c r="L496" s="332">
        <f>Gasto_o_ing_per_capita!L496*100/Gasto_o_ing_per_capita!$D496</f>
        <v>72.133334451483265</v>
      </c>
      <c r="M496" s="332">
        <f>Gasto_o_ing_per_capita!M496*100/Gasto_o_ing_per_capita!$D496</f>
        <v>117.08754426577438</v>
      </c>
      <c r="N496" s="332">
        <f>Gasto_o_ing_per_capita!N496*100/Gasto_o_ing_per_capita!$D496</f>
        <v>89.210714631889488</v>
      </c>
      <c r="O496" s="332">
        <f>Gasto_o_ing_per_capita!O496*100/Gasto_o_ing_per_capita!$D496</f>
        <v>63.665867844517877</v>
      </c>
      <c r="P496" s="332">
        <f>Gasto_o_ing_per_capita!P496*100/Gasto_o_ing_per_capita!$D496</f>
        <v>91.882593568221026</v>
      </c>
      <c r="Q496" s="332">
        <f>Gasto_o_ing_per_capita!Q496*100/Gasto_o_ing_per_capita!$D496</f>
        <v>144.29117232140658</v>
      </c>
      <c r="R496" s="332">
        <f>Gasto_o_ing_per_capita!R496*100/Gasto_o_ing_per_capita!$D496</f>
        <v>76.171358050620242</v>
      </c>
      <c r="S496" s="332">
        <f>Gasto_o_ing_per_capita!S496*100/Gasto_o_ing_per_capita!$D496</f>
        <v>123.05402618236808</v>
      </c>
      <c r="T496" s="332">
        <f>Gasto_o_ing_per_capita!T496*100/Gasto_o_ing_per_capita!$D496</f>
        <v>133.18338819549146</v>
      </c>
      <c r="U496" s="332">
        <f>Gasto_o_ing_per_capita!U496*100/Gasto_o_ing_per_capita!$D496</f>
        <v>106.25024690536766</v>
      </c>
      <c r="V496" s="332">
        <f>Gasto_o_ing_per_capita!V496*100/Gasto_o_ing_per_capita!$D496</f>
        <v>83.437164976974586</v>
      </c>
    </row>
    <row r="497" spans="1:22" s="102" customFormat="1">
      <c r="A497" s="351" t="str">
        <f>IF(B497="","",(IF(ISERROR(MATCH(B497,Tot_res!C:C,0)),"Eliminar!!!","")))</f>
        <v/>
      </c>
      <c r="B497" s="102" t="s">
        <v>429</v>
      </c>
      <c r="C497" s="329" t="str">
        <f>VLOOKUP(B497,Tot_res!C:D,2,FALSE)</f>
        <v>Impuesto sobre la renta de no residentes</v>
      </c>
      <c r="D497" s="332">
        <f>Gasto_o_ing_per_capita!D497*100/Gasto_o_ing_per_capita!$D497</f>
        <v>100</v>
      </c>
      <c r="E497" s="332">
        <f>Gasto_o_ing_per_capita!E497*100/Gasto_o_ing_per_capita!$D497</f>
        <v>100</v>
      </c>
      <c r="F497" s="332">
        <f>Gasto_o_ing_per_capita!F497*100/Gasto_o_ing_per_capita!$D497</f>
        <v>100</v>
      </c>
      <c r="G497" s="332">
        <f>Gasto_o_ing_per_capita!G497*100/Gasto_o_ing_per_capita!$D497</f>
        <v>100</v>
      </c>
      <c r="H497" s="332">
        <f>Gasto_o_ing_per_capita!H497*100/Gasto_o_ing_per_capita!$D497</f>
        <v>99.999999999999986</v>
      </c>
      <c r="I497" s="332">
        <f>Gasto_o_ing_per_capita!I497*100/Gasto_o_ing_per_capita!$D497</f>
        <v>100</v>
      </c>
      <c r="J497" s="332">
        <f>Gasto_o_ing_per_capita!J497*100/Gasto_o_ing_per_capita!$D497</f>
        <v>100</v>
      </c>
      <c r="K497" s="332">
        <f>Gasto_o_ing_per_capita!K497*100/Gasto_o_ing_per_capita!$D497</f>
        <v>99.999999999999986</v>
      </c>
      <c r="L497" s="332">
        <f>Gasto_o_ing_per_capita!L497*100/Gasto_o_ing_per_capita!$D497</f>
        <v>100</v>
      </c>
      <c r="M497" s="332">
        <f>Gasto_o_ing_per_capita!M497*100/Gasto_o_ing_per_capita!$D497</f>
        <v>100</v>
      </c>
      <c r="N497" s="332">
        <f>Gasto_o_ing_per_capita!N497*100/Gasto_o_ing_per_capita!$D497</f>
        <v>100.00000000000001</v>
      </c>
      <c r="O497" s="332">
        <f>Gasto_o_ing_per_capita!O497*100/Gasto_o_ing_per_capita!$D497</f>
        <v>100</v>
      </c>
      <c r="P497" s="332">
        <f>Gasto_o_ing_per_capita!P497*100/Gasto_o_ing_per_capita!$D497</f>
        <v>100</v>
      </c>
      <c r="Q497" s="332">
        <f>Gasto_o_ing_per_capita!Q497*100/Gasto_o_ing_per_capita!$D497</f>
        <v>100</v>
      </c>
      <c r="R497" s="332">
        <f>Gasto_o_ing_per_capita!R497*100/Gasto_o_ing_per_capita!$D497</f>
        <v>100</v>
      </c>
      <c r="S497" s="332">
        <f>Gasto_o_ing_per_capita!S497*100/Gasto_o_ing_per_capita!$D497</f>
        <v>100</v>
      </c>
      <c r="T497" s="332">
        <f>Gasto_o_ing_per_capita!T497*100/Gasto_o_ing_per_capita!$D497</f>
        <v>100</v>
      </c>
      <c r="U497" s="332">
        <f>Gasto_o_ing_per_capita!U497*100/Gasto_o_ing_per_capita!$D497</f>
        <v>100</v>
      </c>
      <c r="V497" s="332">
        <f>Gasto_o_ing_per_capita!V497*100/Gasto_o_ing_per_capita!$D497</f>
        <v>100.00000000000001</v>
      </c>
    </row>
    <row r="498" spans="1:22" s="102" customFormat="1">
      <c r="A498" s="351" t="str">
        <f>IF(B498="","",(IF(ISERROR(MATCH(B498,Tot_res!C:C,0)),"Eliminar!!!","")))</f>
        <v/>
      </c>
      <c r="B498" s="102" t="s">
        <v>431</v>
      </c>
      <c r="C498" s="329" t="str">
        <f>VLOOKUP(B498,Tot_res!C:D,2,FALSE)</f>
        <v>Impuesto sobre sucesiones y donaciones, ing. homog.</v>
      </c>
      <c r="D498" s="332">
        <f>Gasto_o_ing_per_capita!D498*100/Gasto_o_ing_per_capita!$D498</f>
        <v>100</v>
      </c>
      <c r="E498" s="332">
        <f>Gasto_o_ing_per_capita!E498*100/Gasto_o_ing_per_capita!$D498</f>
        <v>76.715622025510925</v>
      </c>
      <c r="F498" s="332">
        <f>Gasto_o_ing_per_capita!F498*100/Gasto_o_ing_per_capita!$D498</f>
        <v>132.86138805440703</v>
      </c>
      <c r="G498" s="332">
        <f>Gasto_o_ing_per_capita!G498*100/Gasto_o_ing_per_capita!$D498</f>
        <v>142.42439081215949</v>
      </c>
      <c r="H498" s="332">
        <f>Gasto_o_ing_per_capita!H498*100/Gasto_o_ing_per_capita!$D498</f>
        <v>83.007629279591328</v>
      </c>
      <c r="I498" s="332">
        <f>Gasto_o_ing_per_capita!I498*100/Gasto_o_ing_per_capita!$D498</f>
        <v>68.16411624910566</v>
      </c>
      <c r="J498" s="332">
        <f>Gasto_o_ing_per_capita!J498*100/Gasto_o_ing_per_capita!$D498</f>
        <v>133.8223668585606</v>
      </c>
      <c r="K498" s="332">
        <f>Gasto_o_ing_per_capita!K498*100/Gasto_o_ing_per_capita!$D498</f>
        <v>127.76932372902016</v>
      </c>
      <c r="L498" s="332">
        <f>Gasto_o_ing_per_capita!L498*100/Gasto_o_ing_per_capita!$D498</f>
        <v>86.375112646647239</v>
      </c>
      <c r="M498" s="332">
        <f>Gasto_o_ing_per_capita!M498*100/Gasto_o_ing_per_capita!$D498</f>
        <v>104.3761294996691</v>
      </c>
      <c r="N498" s="332">
        <f>Gasto_o_ing_per_capita!N498*100/Gasto_o_ing_per_capita!$D498</f>
        <v>92.496831005562171</v>
      </c>
      <c r="O498" s="332">
        <f>Gasto_o_ing_per_capita!O498*100/Gasto_o_ing_per_capita!$D498</f>
        <v>92.732636472557743</v>
      </c>
      <c r="P498" s="332">
        <f>Gasto_o_ing_per_capita!P498*100/Gasto_o_ing_per_capita!$D498</f>
        <v>128.21166588879041</v>
      </c>
      <c r="Q498" s="332">
        <f>Gasto_o_ing_per_capita!Q498*100/Gasto_o_ing_per_capita!$D498</f>
        <v>102.74674844022198</v>
      </c>
      <c r="R498" s="332">
        <f>Gasto_o_ing_per_capita!R498*100/Gasto_o_ing_per_capita!$D498</f>
        <v>70.833842519410396</v>
      </c>
      <c r="S498" s="332">
        <f>Gasto_o_ing_per_capita!S498*100/Gasto_o_ing_per_capita!$D498</f>
        <v>119.97661415154481</v>
      </c>
      <c r="T498" s="332">
        <f>Gasto_o_ing_per_capita!T498*100/Gasto_o_ing_per_capita!$D498</f>
        <v>135.3877256384207</v>
      </c>
      <c r="U498" s="332">
        <f>Gasto_o_ing_per_capita!U498*100/Gasto_o_ing_per_capita!$D498</f>
        <v>119.67129659671599</v>
      </c>
      <c r="V498" s="332">
        <f>Gasto_o_ing_per_capita!V498*100/Gasto_o_ing_per_capita!$D498</f>
        <v>77.718460907504166</v>
      </c>
    </row>
    <row r="499" spans="1:22" s="102" customFormat="1">
      <c r="A499" s="351" t="str">
        <f>IF(B499="","",(IF(ISERROR(MATCH(B499,Tot_res!C:C,0)),"Eliminar!!!","")))</f>
        <v/>
      </c>
      <c r="B499" s="102" t="s">
        <v>650</v>
      </c>
      <c r="C499" s="329" t="str">
        <f>VLOOKUP(B499,Tot_res!C:D,2,FALSE)</f>
        <v>Impuesto sobre el patrimonio, recaudación real</v>
      </c>
      <c r="D499" s="332">
        <f>Gasto_o_ing_per_capita!D499*100/Gasto_o_ing_per_capita!$D499</f>
        <v>100</v>
      </c>
      <c r="E499" s="332">
        <f>Gasto_o_ing_per_capita!E499*100/Gasto_o_ing_per_capita!$D499</f>
        <v>99.999999999999986</v>
      </c>
      <c r="F499" s="332">
        <f>Gasto_o_ing_per_capita!F499*100/Gasto_o_ing_per_capita!$D499</f>
        <v>100.00000000000001</v>
      </c>
      <c r="G499" s="332">
        <f>Gasto_o_ing_per_capita!G499*100/Gasto_o_ing_per_capita!$D499</f>
        <v>100</v>
      </c>
      <c r="H499" s="332">
        <f>Gasto_o_ing_per_capita!H499*100/Gasto_o_ing_per_capita!$D499</f>
        <v>100</v>
      </c>
      <c r="I499" s="332">
        <f>Gasto_o_ing_per_capita!I499*100/Gasto_o_ing_per_capita!$D499</f>
        <v>99.999999999999986</v>
      </c>
      <c r="J499" s="332">
        <f>Gasto_o_ing_per_capita!J499*100/Gasto_o_ing_per_capita!$D499</f>
        <v>100</v>
      </c>
      <c r="K499" s="332">
        <f>Gasto_o_ing_per_capita!K499*100/Gasto_o_ing_per_capita!$D499</f>
        <v>100</v>
      </c>
      <c r="L499" s="332">
        <f>Gasto_o_ing_per_capita!L499*100/Gasto_o_ing_per_capita!$D499</f>
        <v>100.00000000000001</v>
      </c>
      <c r="M499" s="332">
        <f>Gasto_o_ing_per_capita!M499*100/Gasto_o_ing_per_capita!$D499</f>
        <v>100</v>
      </c>
      <c r="N499" s="332">
        <f>Gasto_o_ing_per_capita!N499*100/Gasto_o_ing_per_capita!$D499</f>
        <v>100</v>
      </c>
      <c r="O499" s="332">
        <f>Gasto_o_ing_per_capita!O499*100/Gasto_o_ing_per_capita!$D499</f>
        <v>99.999999999999986</v>
      </c>
      <c r="P499" s="332">
        <f>Gasto_o_ing_per_capita!P499*100/Gasto_o_ing_per_capita!$D499</f>
        <v>100</v>
      </c>
      <c r="Q499" s="332">
        <f>Gasto_o_ing_per_capita!Q499*100/Gasto_o_ing_per_capita!$D499</f>
        <v>100</v>
      </c>
      <c r="R499" s="332">
        <f>Gasto_o_ing_per_capita!R499*100/Gasto_o_ing_per_capita!$D499</f>
        <v>100</v>
      </c>
      <c r="S499" s="332">
        <f>Gasto_o_ing_per_capita!S499*100/Gasto_o_ing_per_capita!$D499</f>
        <v>99.999999999999986</v>
      </c>
      <c r="T499" s="332">
        <f>Gasto_o_ing_per_capita!T499*100/Gasto_o_ing_per_capita!$D499</f>
        <v>99.999999999999986</v>
      </c>
      <c r="U499" s="332">
        <f>Gasto_o_ing_per_capita!U499*100/Gasto_o_ing_per_capita!$D499</f>
        <v>100</v>
      </c>
      <c r="V499" s="332">
        <f>Gasto_o_ing_per_capita!V499*100/Gasto_o_ing_per_capita!$D499</f>
        <v>100.00000000000001</v>
      </c>
    </row>
    <row r="500" spans="1:22" s="102" customFormat="1">
      <c r="A500" s="351" t="str">
        <f>IF(B500="","",(IF(ISERROR(MATCH(B500,Tot_res!C:C,0)),"Eliminar!!!","")))</f>
        <v/>
      </c>
      <c r="B500" s="102" t="s">
        <v>1223</v>
      </c>
      <c r="C500" s="329" t="str">
        <f>VLOOKUP(B500,Tot_res!C:D,2,FALSE)</f>
        <v>Impuestos mediombientales. Ingresos homogeneizados</v>
      </c>
      <c r="D500" s="332">
        <f>Gasto_o_ing_per_capita!D500*100/Gasto_o_ing_per_capita!$D500</f>
        <v>100</v>
      </c>
      <c r="E500" s="332">
        <f>Gasto_o_ing_per_capita!E500*100/Gasto_o_ing_per_capita!$D500</f>
        <v>91.465206445724689</v>
      </c>
      <c r="F500" s="332">
        <f>Gasto_o_ing_per_capita!F500*100/Gasto_o_ing_per_capita!$D500</f>
        <v>100.0023253432727</v>
      </c>
      <c r="G500" s="332">
        <f>Gasto_o_ing_per_capita!G500*100/Gasto_o_ing_per_capita!$D500</f>
        <v>101.40964996838072</v>
      </c>
      <c r="H500" s="332">
        <f>Gasto_o_ing_per_capita!H500*100/Gasto_o_ing_per_capita!$D500</f>
        <v>105.84342175304226</v>
      </c>
      <c r="I500" s="332">
        <f>Gasto_o_ing_per_capita!I500*100/Gasto_o_ing_per_capita!$D500</f>
        <v>89.2946684367041</v>
      </c>
      <c r="J500" s="332">
        <f>Gasto_o_ing_per_capita!J500*100/Gasto_o_ing_per_capita!$D500</f>
        <v>102.49220659156806</v>
      </c>
      <c r="K500" s="332">
        <f>Gasto_o_ing_per_capita!K500*100/Gasto_o_ing_per_capita!$D500</f>
        <v>96.611038270933065</v>
      </c>
      <c r="L500" s="332">
        <f>Gasto_o_ing_per_capita!L500*100/Gasto_o_ing_per_capita!$D500</f>
        <v>89.210514914619623</v>
      </c>
      <c r="M500" s="332">
        <f>Gasto_o_ing_per_capita!M500*100/Gasto_o_ing_per_capita!$D500</f>
        <v>108.29684360284418</v>
      </c>
      <c r="N500" s="332">
        <f>Gasto_o_ing_per_capita!N500*100/Gasto_o_ing_per_capita!$D500</f>
        <v>97.42307446086329</v>
      </c>
      <c r="O500" s="332">
        <f>Gasto_o_ing_per_capita!O500*100/Gasto_o_ing_per_capita!$D500</f>
        <v>86.548631877997749</v>
      </c>
      <c r="P500" s="332">
        <f>Gasto_o_ing_per_capita!P500*100/Gasto_o_ing_per_capita!$D500</f>
        <v>96.588007900145072</v>
      </c>
      <c r="Q500" s="332">
        <f>Gasto_o_ing_per_capita!Q500*100/Gasto_o_ing_per_capita!$D500</f>
        <v>113.05308065254012</v>
      </c>
      <c r="R500" s="332">
        <f>Gasto_o_ing_per_capita!R500*100/Gasto_o_ing_per_capita!$D500</f>
        <v>89.84584490829792</v>
      </c>
      <c r="S500" s="332">
        <f>Gasto_o_ing_per_capita!S500*100/Gasto_o_ing_per_capita!$D500</f>
        <v>105.28867629125625</v>
      </c>
      <c r="T500" s="332">
        <f>Gasto_o_ing_per_capita!T500*100/Gasto_o_ing_per_capita!$D500</f>
        <v>109.08096265234057</v>
      </c>
      <c r="U500" s="332">
        <f>Gasto_o_ing_per_capita!U500*100/Gasto_o_ing_per_capita!$D500</f>
        <v>98.972373529912375</v>
      </c>
      <c r="V500" s="332">
        <f>Gasto_o_ing_per_capita!V500*100/Gasto_o_ing_per_capita!$D500</f>
        <v>88.11744602238258</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Gasto_o_ing_per_capita!D501*100/Gasto_o_ing_per_capita!$D501</f>
        <v>100</v>
      </c>
      <c r="E501" s="332">
        <f>Gasto_o_ing_per_capita!E501*100/Gasto_o_ing_per_capita!$D501</f>
        <v>53.812614094310959</v>
      </c>
      <c r="F501" s="332">
        <f>Gasto_o_ing_per_capita!F501*100/Gasto_o_ing_per_capita!$D501</f>
        <v>90.715533486060863</v>
      </c>
      <c r="G501" s="332">
        <f>Gasto_o_ing_per_capita!G501*100/Gasto_o_ing_per_capita!$D501</f>
        <v>86.706729063001035</v>
      </c>
      <c r="H501" s="332">
        <f>Gasto_o_ing_per_capita!H501*100/Gasto_o_ing_per_capita!$D501</f>
        <v>83.581410779625003</v>
      </c>
      <c r="I501" s="332">
        <f>Gasto_o_ing_per_capita!I501*100/Gasto_o_ing_per_capita!$D501</f>
        <v>57.872658978357499</v>
      </c>
      <c r="J501" s="332">
        <f>Gasto_o_ing_per_capita!J501*100/Gasto_o_ing_per_capita!$D501</f>
        <v>101.15884481489208</v>
      </c>
      <c r="K501" s="332">
        <f>Gasto_o_ing_per_capita!K501*100/Gasto_o_ing_per_capita!$D501</f>
        <v>89.223853189277193</v>
      </c>
      <c r="L501" s="332">
        <f>Gasto_o_ing_per_capita!L501*100/Gasto_o_ing_per_capita!$D501</f>
        <v>55.812906706958017</v>
      </c>
      <c r="M501" s="332">
        <f>Gasto_o_ing_per_capita!M501*100/Gasto_o_ing_per_capita!$D501</f>
        <v>103.0380442444167</v>
      </c>
      <c r="N501" s="332">
        <f>Gasto_o_ing_per_capita!N501*100/Gasto_o_ing_per_capita!$D501</f>
        <v>78.980265124605808</v>
      </c>
      <c r="O501" s="332">
        <f>Gasto_o_ing_per_capita!O501*100/Gasto_o_ing_per_capita!$D501</f>
        <v>58.412493615668339</v>
      </c>
      <c r="P501" s="332">
        <f>Gasto_o_ing_per_capita!P501*100/Gasto_o_ing_per_capita!$D501</f>
        <v>85.891480248849959</v>
      </c>
      <c r="Q501" s="332">
        <f>Gasto_o_ing_per_capita!Q501*100/Gasto_o_ing_per_capita!$D501</f>
        <v>230.00260927397747</v>
      </c>
      <c r="R501" s="332">
        <f>Gasto_o_ing_per_capita!R501*100/Gasto_o_ing_per_capita!$D501</f>
        <v>59.519504432906082</v>
      </c>
      <c r="S501" s="332">
        <f>Gasto_o_ing_per_capita!S501*100/Gasto_o_ing_per_capita!$D501</f>
        <v>92.302483196640566</v>
      </c>
      <c r="T501" s="332">
        <f>Gasto_o_ing_per_capita!T501*100/Gasto_o_ing_per_capita!$D501</f>
        <v>118.04442041070438</v>
      </c>
      <c r="U501" s="332">
        <f>Gasto_o_ing_per_capita!U501*100/Gasto_o_ing_per_capita!$D501</f>
        <v>93.735585895357161</v>
      </c>
      <c r="V501" s="332">
        <f>Gasto_o_ing_per_capita!V501*100/Gasto_o_ing_per_capita!$D501</f>
        <v>63.14911605328944</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3">
        <f>Gasto_o_ing_per_capita!D503*100/Gasto_o_ing_per_capita!$D503</f>
        <v>100</v>
      </c>
      <c r="E503" s="113">
        <f>Gasto_o_ing_per_capita!E503*100/Gasto_o_ing_per_capita!$D503</f>
        <v>90.614702233042721</v>
      </c>
      <c r="F503" s="113">
        <f>Gasto_o_ing_per_capita!F503*100/Gasto_o_ing_per_capita!$D503</f>
        <v>101.13158069201008</v>
      </c>
      <c r="G503" s="113">
        <f>Gasto_o_ing_per_capita!G503*100/Gasto_o_ing_per_capita!$D503</f>
        <v>98.941014787940532</v>
      </c>
      <c r="H503" s="113">
        <f>Gasto_o_ing_per_capita!H503*100/Gasto_o_ing_per_capita!$D503</f>
        <v>106.21366005014799</v>
      </c>
      <c r="I503" s="113">
        <f>Gasto_o_ing_per_capita!I503*100/Gasto_o_ing_per_capita!$D503</f>
        <v>83.556013972205534</v>
      </c>
      <c r="J503" s="113">
        <f>Gasto_o_ing_per_capita!J503*100/Gasto_o_ing_per_capita!$D503</f>
        <v>100.20349948274878</v>
      </c>
      <c r="K503" s="113">
        <f>Gasto_o_ing_per_capita!K503*100/Gasto_o_ing_per_capita!$D503</f>
        <v>95.400583998698707</v>
      </c>
      <c r="L503" s="113">
        <f>Gasto_o_ing_per_capita!L503*100/Gasto_o_ing_per_capita!$D503</f>
        <v>89.412208276483341</v>
      </c>
      <c r="M503" s="113">
        <f>Gasto_o_ing_per_capita!M503*100/Gasto_o_ing_per_capita!$D503</f>
        <v>108.58972229041974</v>
      </c>
      <c r="N503" s="113">
        <f>Gasto_o_ing_per_capita!N503*100/Gasto_o_ing_per_capita!$D503</f>
        <v>95.633282652198702</v>
      </c>
      <c r="O503" s="113">
        <f>Gasto_o_ing_per_capita!O503*100/Gasto_o_ing_per_capita!$D503</f>
        <v>83.188914317982054</v>
      </c>
      <c r="P503" s="113">
        <f>Gasto_o_ing_per_capita!P503*100/Gasto_o_ing_per_capita!$D503</f>
        <v>96.355504359661353</v>
      </c>
      <c r="Q503" s="113">
        <f>Gasto_o_ing_per_capita!Q503*100/Gasto_o_ing_per_capita!$D503</f>
        <v>117.85907242563127</v>
      </c>
      <c r="R503" s="113">
        <f>Gasto_o_ing_per_capita!R503*100/Gasto_o_ing_per_capita!$D503</f>
        <v>91.091973643703284</v>
      </c>
      <c r="S503" s="113">
        <f>Gasto_o_ing_per_capita!S503*100/Gasto_o_ing_per_capita!$D503</f>
        <v>107.39356313219002</v>
      </c>
      <c r="T503" s="113">
        <f>Gasto_o_ing_per_capita!T503*100/Gasto_o_ing_per_capita!$D503</f>
        <v>109.69222777092975</v>
      </c>
      <c r="U503" s="113">
        <f>Gasto_o_ing_per_capita!U503*100/Gasto_o_ing_per_capita!$D503</f>
        <v>98.186304855314447</v>
      </c>
      <c r="V503" s="113">
        <f>Gasto_o_ing_per_capita!V503*100/Gasto_o_ing_per_capita!$D503</f>
        <v>86.13002981140599</v>
      </c>
    </row>
    <row r="504" spans="1:22" s="102" customFormat="1">
      <c r="A504" s="351" t="str">
        <f>IF(B504="","",(IF(ISERROR(MATCH(B504,Tot_res!C:C,0)),"Eliminar!!!","")))</f>
        <v/>
      </c>
      <c r="B504" s="102" t="s">
        <v>432</v>
      </c>
      <c r="C504" s="329" t="str">
        <f>VLOOKUP(B504,Tot_res!C:D,2,FALSE)</f>
        <v>IVA</v>
      </c>
      <c r="D504" s="332">
        <f>Gasto_o_ing_per_capita!D504*100/Gasto_o_ing_per_capita!$D504</f>
        <v>100.00000000000001</v>
      </c>
      <c r="E504" s="332">
        <f>Gasto_o_ing_per_capita!E504*100/Gasto_o_ing_per_capita!$D504</f>
        <v>91.318713482117815</v>
      </c>
      <c r="F504" s="332">
        <f>Gasto_o_ing_per_capita!F504*100/Gasto_o_ing_per_capita!$D504</f>
        <v>105.80883948209154</v>
      </c>
      <c r="G504" s="332">
        <f>Gasto_o_ing_per_capita!G504*100/Gasto_o_ing_per_capita!$D504</f>
        <v>103.87072760895447</v>
      </c>
      <c r="H504" s="332">
        <f>Gasto_o_ing_per_capita!H504*100/Gasto_o_ing_per_capita!$D504</f>
        <v>108.72323319958635</v>
      </c>
      <c r="I504" s="332">
        <f>Gasto_o_ing_per_capita!I504*100/Gasto_o_ing_per_capita!$D504</f>
        <v>7.7072466891898026</v>
      </c>
      <c r="J504" s="332">
        <f>Gasto_o_ing_per_capita!J504*100/Gasto_o_ing_per_capita!$D504</f>
        <v>106.70140689984552</v>
      </c>
      <c r="K504" s="332">
        <f>Gasto_o_ing_per_capita!K504*100/Gasto_o_ing_per_capita!$D504</f>
        <v>99.996863008564532</v>
      </c>
      <c r="L504" s="332">
        <f>Gasto_o_ing_per_capita!L504*100/Gasto_o_ing_per_capita!$D504</f>
        <v>90.988461661262065</v>
      </c>
      <c r="M504" s="332">
        <f>Gasto_o_ing_per_capita!M504*100/Gasto_o_ing_per_capita!$D504</f>
        <v>116.45700709997945</v>
      </c>
      <c r="N504" s="332">
        <f>Gasto_o_ing_per_capita!N504*100/Gasto_o_ing_per_capita!$D504</f>
        <v>98.173118428606529</v>
      </c>
      <c r="O504" s="332">
        <f>Gasto_o_ing_per_capita!O504*100/Gasto_o_ing_per_capita!$D504</f>
        <v>84.738303747077765</v>
      </c>
      <c r="P504" s="332">
        <f>Gasto_o_ing_per_capita!P504*100/Gasto_o_ing_per_capita!$D504</f>
        <v>100.51052970493674</v>
      </c>
      <c r="Q504" s="332">
        <f>Gasto_o_ing_per_capita!Q504*100/Gasto_o_ing_per_capita!$D504</f>
        <v>121.69720676959776</v>
      </c>
      <c r="R504" s="332">
        <f>Gasto_o_ing_per_capita!R504*100/Gasto_o_ing_per_capita!$D504</f>
        <v>91.210603745885365</v>
      </c>
      <c r="S504" s="332">
        <f>Gasto_o_ing_per_capita!S504*100/Gasto_o_ing_per_capita!$D504</f>
        <v>117.12795173278069</v>
      </c>
      <c r="T504" s="332">
        <f>Gasto_o_ing_per_capita!T504*100/Gasto_o_ing_per_capita!$D504</f>
        <v>117.31600484948267</v>
      </c>
      <c r="U504" s="332">
        <f>Gasto_o_ing_per_capita!U504*100/Gasto_o_ing_per_capita!$D504</f>
        <v>102.89539138999798</v>
      </c>
      <c r="V504" s="332">
        <f>Gasto_o_ing_per_capita!V504*100/Gasto_o_ing_per_capita!$D504</f>
        <v>7.7314001409894839</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Gasto_o_ing_per_capita!D505*100/Gasto_o_ing_per_capita!$D505</f>
        <v>100</v>
      </c>
      <c r="E505" s="332">
        <f>Gasto_o_ing_per_capita!E505*100/Gasto_o_ing_per_capita!$D505</f>
        <v>105.44457718017085</v>
      </c>
      <c r="F505" s="332">
        <f>Gasto_o_ing_per_capita!F505*100/Gasto_o_ing_per_capita!$D505</f>
        <v>104.95376176539575</v>
      </c>
      <c r="G505" s="332">
        <f>Gasto_o_ing_per_capita!G505*100/Gasto_o_ing_per_capita!$D505</f>
        <v>102.72635878545566</v>
      </c>
      <c r="H505" s="332">
        <f>Gasto_o_ing_per_capita!H505*100/Gasto_o_ing_per_capita!$D505</f>
        <v>112.87558355500909</v>
      </c>
      <c r="I505" s="332">
        <f>Gasto_o_ing_per_capita!I505*100/Gasto_o_ing_per_capita!$D505</f>
        <v>19.09112399951206</v>
      </c>
      <c r="J505" s="332">
        <f>Gasto_o_ing_per_capita!J505*100/Gasto_o_ing_per_capita!$D505</f>
        <v>97.062076478258575</v>
      </c>
      <c r="K505" s="332">
        <f>Gasto_o_ing_per_capita!K505*100/Gasto_o_ing_per_capita!$D505</f>
        <v>96.945779535464339</v>
      </c>
      <c r="L505" s="332">
        <f>Gasto_o_ing_per_capita!L505*100/Gasto_o_ing_per_capita!$D505</f>
        <v>102.20902022101581</v>
      </c>
      <c r="M505" s="332">
        <f>Gasto_o_ing_per_capita!M505*100/Gasto_o_ing_per_capita!$D505</f>
        <v>101.82878931377469</v>
      </c>
      <c r="N505" s="332">
        <f>Gasto_o_ing_per_capita!N505*100/Gasto_o_ing_per_capita!$D505</f>
        <v>102.09674297110028</v>
      </c>
      <c r="O505" s="332">
        <f>Gasto_o_ing_per_capita!O505*100/Gasto_o_ing_per_capita!$D505</f>
        <v>94.557992676253335</v>
      </c>
      <c r="P505" s="332">
        <f>Gasto_o_ing_per_capita!P505*100/Gasto_o_ing_per_capita!$D505</f>
        <v>105.39802138590962</v>
      </c>
      <c r="Q505" s="332">
        <f>Gasto_o_ing_per_capita!Q505*100/Gasto_o_ing_per_capita!$D505</f>
        <v>110.5367628675548</v>
      </c>
      <c r="R505" s="332">
        <f>Gasto_o_ing_per_capita!R505*100/Gasto_o_ing_per_capita!$D505</f>
        <v>111.93576609047352</v>
      </c>
      <c r="S505" s="332">
        <f>Gasto_o_ing_per_capita!S505*100/Gasto_o_ing_per_capita!$D505</f>
        <v>98.527955572869331</v>
      </c>
      <c r="T505" s="332">
        <f>Gasto_o_ing_per_capita!T505*100/Gasto_o_ing_per_capita!$D505</f>
        <v>99.517010360030596</v>
      </c>
      <c r="U505" s="332">
        <f>Gasto_o_ing_per_capita!U505*100/Gasto_o_ing_per_capita!$D505</f>
        <v>98.456215303343654</v>
      </c>
      <c r="V505" s="332">
        <f>Gasto_o_ing_per_capita!V505*100/Gasto_o_ing_per_capita!$D505</f>
        <v>38.127342091205612</v>
      </c>
    </row>
    <row r="506" spans="1:22" s="102" customFormat="1">
      <c r="A506" s="351" t="str">
        <f>IF(B506="","",(IF(ISERROR(MATCH(B506,Tot_res!C:C,0)),"Eliminar!!!","")))</f>
        <v/>
      </c>
      <c r="B506" s="102" t="s">
        <v>434</v>
      </c>
      <c r="C506" s="329" t="str">
        <f>VLOOKUP(B506,Tot_res!C:D,2,FALSE)</f>
        <v>Electricidad</v>
      </c>
      <c r="D506" s="332">
        <f>Gasto_o_ing_per_capita!D506*100/Gasto_o_ing_per_capita!$D506</f>
        <v>100</v>
      </c>
      <c r="E506" s="332">
        <f>Gasto_o_ing_per_capita!E506*100/Gasto_o_ing_per_capita!$D506</f>
        <v>94.015395498756675</v>
      </c>
      <c r="F506" s="332">
        <f>Gasto_o_ing_per_capita!F506*100/Gasto_o_ing_per_capita!$D506</f>
        <v>100.8579673215535</v>
      </c>
      <c r="G506" s="332">
        <f>Gasto_o_ing_per_capita!G506*100/Gasto_o_ing_per_capita!$D506</f>
        <v>101.69906091248147</v>
      </c>
      <c r="H506" s="332">
        <f>Gasto_o_ing_per_capita!H506*100/Gasto_o_ing_per_capita!$D506</f>
        <v>114.55569755122285</v>
      </c>
      <c r="I506" s="332">
        <f>Gasto_o_ing_per_capita!I506*100/Gasto_o_ing_per_capita!$D506</f>
        <v>86.075929697721918</v>
      </c>
      <c r="J506" s="332">
        <f>Gasto_o_ing_per_capita!J506*100/Gasto_o_ing_per_capita!$D506</f>
        <v>100.0644836369255</v>
      </c>
      <c r="K506" s="332">
        <f>Gasto_o_ing_per_capita!K506*100/Gasto_o_ing_per_capita!$D506</f>
        <v>93.90305006874442</v>
      </c>
      <c r="L506" s="332">
        <f>Gasto_o_ing_per_capita!L506*100/Gasto_o_ing_per_capita!$D506</f>
        <v>94.461265419457064</v>
      </c>
      <c r="M506" s="332">
        <f>Gasto_o_ing_per_capita!M506*100/Gasto_o_ing_per_capita!$D506</f>
        <v>105.93031972097097</v>
      </c>
      <c r="N506" s="332">
        <f>Gasto_o_ing_per_capita!N506*100/Gasto_o_ing_per_capita!$D506</f>
        <v>103.03987292656775</v>
      </c>
      <c r="O506" s="332">
        <f>Gasto_o_ing_per_capita!O506*100/Gasto_o_ing_per_capita!$D506</f>
        <v>90.732200544646346</v>
      </c>
      <c r="P506" s="332">
        <f>Gasto_o_ing_per_capita!P506*100/Gasto_o_ing_per_capita!$D506</f>
        <v>95.764147472561547</v>
      </c>
      <c r="Q506" s="332">
        <f>Gasto_o_ing_per_capita!Q506*100/Gasto_o_ing_per_capita!$D506</f>
        <v>108.90670155188282</v>
      </c>
      <c r="R506" s="332">
        <f>Gasto_o_ing_per_capita!R506*100/Gasto_o_ing_per_capita!$D506</f>
        <v>95.302328325665655</v>
      </c>
      <c r="S506" s="332">
        <f>Gasto_o_ing_per_capita!S506*100/Gasto_o_ing_per_capita!$D506</f>
        <v>99.135064130394539</v>
      </c>
      <c r="T506" s="332">
        <f>Gasto_o_ing_per_capita!T506*100/Gasto_o_ing_per_capita!$D506</f>
        <v>101.76058082578422</v>
      </c>
      <c r="U506" s="332">
        <f>Gasto_o_ing_per_capita!U506*100/Gasto_o_ing_per_capita!$D506</f>
        <v>95.023988154650354</v>
      </c>
      <c r="V506" s="332">
        <f>Gasto_o_ing_per_capita!V506*100/Gasto_o_ing_per_capita!$D506</f>
        <v>81.809047026056675</v>
      </c>
    </row>
    <row r="507" spans="1:22" s="102" customFormat="1">
      <c r="A507" s="351" t="str">
        <f>IF(B507="","",(IF(ISERROR(MATCH(B507,Tot_res!C:C,0)),"Eliminar!!!","")))</f>
        <v/>
      </c>
      <c r="B507" s="102" t="s">
        <v>435</v>
      </c>
      <c r="C507" s="329" t="str">
        <f>VLOOKUP(B507,Tot_res!C:D,2,FALSE)</f>
        <v>Determinados medios de transporte, homogeneizado</v>
      </c>
      <c r="D507" s="332">
        <f>Gasto_o_ing_per_capita!D507*100/Gasto_o_ing_per_capita!$D507</f>
        <v>100</v>
      </c>
      <c r="E507" s="332">
        <f>Gasto_o_ing_per_capita!E507*100/Gasto_o_ing_per_capita!$D507</f>
        <v>84.699540971137083</v>
      </c>
      <c r="F507" s="332">
        <f>Gasto_o_ing_per_capita!F507*100/Gasto_o_ing_per_capita!$D507</f>
        <v>68.702789711749617</v>
      </c>
      <c r="G507" s="332">
        <f>Gasto_o_ing_per_capita!G507*100/Gasto_o_ing_per_capita!$D507</f>
        <v>91.366853932166848</v>
      </c>
      <c r="H507" s="332">
        <f>Gasto_o_ing_per_capita!H507*100/Gasto_o_ing_per_capita!$D507</f>
        <v>111.02123225611797</v>
      </c>
      <c r="I507" s="332">
        <f>Gasto_o_ing_per_capita!I507*100/Gasto_o_ing_per_capita!$D507</f>
        <v>14.64174682614407</v>
      </c>
      <c r="J507" s="332">
        <f>Gasto_o_ing_per_capita!J507*100/Gasto_o_ing_per_capita!$D507</f>
        <v>128.19259817716079</v>
      </c>
      <c r="K507" s="332">
        <f>Gasto_o_ing_per_capita!K507*100/Gasto_o_ing_per_capita!$D507</f>
        <v>88.315857673368214</v>
      </c>
      <c r="L507" s="332">
        <f>Gasto_o_ing_per_capita!L507*100/Gasto_o_ing_per_capita!$D507</f>
        <v>88.913949319882462</v>
      </c>
      <c r="M507" s="332">
        <f>Gasto_o_ing_per_capita!M507*100/Gasto_o_ing_per_capita!$D507</f>
        <v>123.04478842886439</v>
      </c>
      <c r="N507" s="332">
        <f>Gasto_o_ing_per_capita!N507*100/Gasto_o_ing_per_capita!$D507</f>
        <v>96.330975217100828</v>
      </c>
      <c r="O507" s="332">
        <f>Gasto_o_ing_per_capita!O507*100/Gasto_o_ing_per_capita!$D507</f>
        <v>71.198473610984067</v>
      </c>
      <c r="P507" s="332">
        <f>Gasto_o_ing_per_capita!P507*100/Gasto_o_ing_per_capita!$D507</f>
        <v>85.368927155715127</v>
      </c>
      <c r="Q507" s="332">
        <f>Gasto_o_ing_per_capita!Q507*100/Gasto_o_ing_per_capita!$D507</f>
        <v>145.23893304766801</v>
      </c>
      <c r="R507" s="332">
        <f>Gasto_o_ing_per_capita!R507*100/Gasto_o_ing_per_capita!$D507</f>
        <v>91.759804695860382</v>
      </c>
      <c r="S507" s="332">
        <f>Gasto_o_ing_per_capita!S507*100/Gasto_o_ing_per_capita!$D507</f>
        <v>118.8002610090121</v>
      </c>
      <c r="T507" s="332">
        <f>Gasto_o_ing_per_capita!T507*100/Gasto_o_ing_per_capita!$D507</f>
        <v>110.1530821546869</v>
      </c>
      <c r="U507" s="332">
        <f>Gasto_o_ing_per_capita!U507*100/Gasto_o_ing_per_capita!$D507</f>
        <v>89.811168241924065</v>
      </c>
      <c r="V507" s="332">
        <f>Gasto_o_ing_per_capita!V507*100/Gasto_o_ing_per_capita!$D507</f>
        <v>29.463124542561825</v>
      </c>
    </row>
    <row r="508" spans="1:22" s="102" customFormat="1">
      <c r="A508" s="351" t="str">
        <f>IF(B508="","",(IF(ISERROR(MATCH(B508,Tot_res!C:C,0)),"Eliminar!!!","")))</f>
        <v/>
      </c>
      <c r="B508" s="102" t="s">
        <v>437</v>
      </c>
      <c r="C508" s="329" t="str">
        <f>VLOOKUP(B508,Tot_res!C:D,2,FALSE)</f>
        <v xml:space="preserve">Tráfico exterior </v>
      </c>
      <c r="D508" s="332">
        <f>Gasto_o_ing_per_capita!D508*100/Gasto_o_ing_per_capita!$D508</f>
        <v>100</v>
      </c>
      <c r="E508" s="332">
        <f>Gasto_o_ing_per_capita!E508*100/Gasto_o_ing_per_capita!$D508</f>
        <v>91.880611925445436</v>
      </c>
      <c r="F508" s="332">
        <f>Gasto_o_ing_per_capita!F508*100/Gasto_o_ing_per_capita!$D508</f>
        <v>103.92305843381008</v>
      </c>
      <c r="G508" s="332">
        <f>Gasto_o_ing_per_capita!G508*100/Gasto_o_ing_per_capita!$D508</f>
        <v>105.74855461244125</v>
      </c>
      <c r="H508" s="332">
        <f>Gasto_o_ing_per_capita!H508*100/Gasto_o_ing_per_capita!$D508</f>
        <v>112.24774119161091</v>
      </c>
      <c r="I508" s="332">
        <f>Gasto_o_ing_per_capita!I508*100/Gasto_o_ing_per_capita!$D508</f>
        <v>8.3896495021887993</v>
      </c>
      <c r="J508" s="332">
        <f>Gasto_o_ing_per_capita!J508*100/Gasto_o_ing_per_capita!$D508</f>
        <v>107.38419297749907</v>
      </c>
      <c r="K508" s="332">
        <f>Gasto_o_ing_per_capita!K508*100/Gasto_o_ing_per_capita!$D508</f>
        <v>99.066360187604843</v>
      </c>
      <c r="L508" s="332">
        <f>Gasto_o_ing_per_capita!L508*100/Gasto_o_ing_per_capita!$D508</f>
        <v>88.72612433285434</v>
      </c>
      <c r="M508" s="332">
        <f>Gasto_o_ing_per_capita!M508*100/Gasto_o_ing_per_capita!$D508</f>
        <v>115.66768416441954</v>
      </c>
      <c r="N508" s="332">
        <f>Gasto_o_ing_per_capita!N508*100/Gasto_o_ing_per_capita!$D508</f>
        <v>100.29952216096784</v>
      </c>
      <c r="O508" s="332">
        <f>Gasto_o_ing_per_capita!O508*100/Gasto_o_ing_per_capita!$D508</f>
        <v>84.912312407465038</v>
      </c>
      <c r="P508" s="332">
        <f>Gasto_o_ing_per_capita!P508*100/Gasto_o_ing_per_capita!$D508</f>
        <v>99.014901413809966</v>
      </c>
      <c r="Q508" s="332">
        <f>Gasto_o_ing_per_capita!Q508*100/Gasto_o_ing_per_capita!$D508</f>
        <v>122.34084487536184</v>
      </c>
      <c r="R508" s="332">
        <f>Gasto_o_ing_per_capita!R508*100/Gasto_o_ing_per_capita!$D508</f>
        <v>89.643526650943627</v>
      </c>
      <c r="S508" s="332">
        <f>Gasto_o_ing_per_capita!S508*100/Gasto_o_ing_per_capita!$D508</f>
        <v>111.31597198069052</v>
      </c>
      <c r="T508" s="332">
        <f>Gasto_o_ing_per_capita!T508*100/Gasto_o_ing_per_capita!$D508</f>
        <v>116.56614719708088</v>
      </c>
      <c r="U508" s="332">
        <f>Gasto_o_ing_per_capita!U508*100/Gasto_o_ing_per_capita!$D508</f>
        <v>102.43368375077308</v>
      </c>
      <c r="V508" s="332">
        <f>Gasto_o_ing_per_capita!V508*100/Gasto_o_ing_per_capita!$D508</f>
        <v>7.3597019228389033</v>
      </c>
    </row>
    <row r="509" spans="1:22" s="102" customFormat="1">
      <c r="A509" s="351" t="str">
        <f>IF(B509="","",(IF(ISERROR(MATCH(B509,Tot_res!C:C,0)),"Eliminar!!!","")))</f>
        <v/>
      </c>
      <c r="B509" s="102" t="s">
        <v>438</v>
      </c>
      <c r="C509" s="329" t="str">
        <f>VLOOKUP(B509,Tot_res!C:D,2,FALSE)</f>
        <v>Impuesto sobre las primas de seguros</v>
      </c>
      <c r="D509" s="332">
        <f>Gasto_o_ing_per_capita!D509*100/Gasto_o_ing_per_capita!$D509</f>
        <v>100</v>
      </c>
      <c r="E509" s="332">
        <f>Gasto_o_ing_per_capita!E509*100/Gasto_o_ing_per_capita!$D509</f>
        <v>87.594308624856595</v>
      </c>
      <c r="F509" s="332">
        <f>Gasto_o_ing_per_capita!F509*100/Gasto_o_ing_per_capita!$D509</f>
        <v>98.271379180702993</v>
      </c>
      <c r="G509" s="332">
        <f>Gasto_o_ing_per_capita!G509*100/Gasto_o_ing_per_capita!$D509</f>
        <v>101.51359236335986</v>
      </c>
      <c r="H509" s="332">
        <f>Gasto_o_ing_per_capita!H509*100/Gasto_o_ing_per_capita!$D509</f>
        <v>106.41726594748482</v>
      </c>
      <c r="I509" s="332">
        <f>Gasto_o_ing_per_capita!I509*100/Gasto_o_ing_per_capita!$D509</f>
        <v>84.805218239414231</v>
      </c>
      <c r="J509" s="332">
        <f>Gasto_o_ing_per_capita!J509*100/Gasto_o_ing_per_capita!$D509</f>
        <v>107.43807086912474</v>
      </c>
      <c r="K509" s="332">
        <f>Gasto_o_ing_per_capita!K509*100/Gasto_o_ing_per_capita!$D509</f>
        <v>96.553970649220531</v>
      </c>
      <c r="L509" s="332">
        <f>Gasto_o_ing_per_capita!L509*100/Gasto_o_ing_per_capita!$D509</f>
        <v>88.644153443378869</v>
      </c>
      <c r="M509" s="332">
        <f>Gasto_o_ing_per_capita!M509*100/Gasto_o_ing_per_capita!$D509</f>
        <v>103.0473784137122</v>
      </c>
      <c r="N509" s="332">
        <f>Gasto_o_ing_per_capita!N509*100/Gasto_o_ing_per_capita!$D509</f>
        <v>99.043851068111223</v>
      </c>
      <c r="O509" s="332">
        <f>Gasto_o_ing_per_capita!O509*100/Gasto_o_ing_per_capita!$D509</f>
        <v>87.238971516786179</v>
      </c>
      <c r="P509" s="332">
        <f>Gasto_o_ing_per_capita!P509*100/Gasto_o_ing_per_capita!$D509</f>
        <v>100.11277349281947</v>
      </c>
      <c r="Q509" s="332">
        <f>Gasto_o_ing_per_capita!Q509*100/Gasto_o_ing_per_capita!$D509</f>
        <v>122.03001032573923</v>
      </c>
      <c r="R509" s="332">
        <f>Gasto_o_ing_per_capita!R509*100/Gasto_o_ing_per_capita!$D509</f>
        <v>95.417193675262439</v>
      </c>
      <c r="S509" s="332">
        <f>Gasto_o_ing_per_capita!S509*100/Gasto_o_ing_per_capita!$D509</f>
        <v>103.53136647092036</v>
      </c>
      <c r="T509" s="332">
        <f>Gasto_o_ing_per_capita!T509*100/Gasto_o_ing_per_capita!$D509</f>
        <v>108.38543135059767</v>
      </c>
      <c r="U509" s="332">
        <f>Gasto_o_ing_per_capita!U509*100/Gasto_o_ing_per_capita!$D509</f>
        <v>102.8582617189185</v>
      </c>
      <c r="V509" s="332">
        <f>Gasto_o_ing_per_capita!V509*100/Gasto_o_ing_per_capita!$D509</f>
        <v>77.637787418183322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Gasto_o_ing_per_capita!D510*100/Gasto_o_ing_per_capita!$D510</f>
        <v>100</v>
      </c>
      <c r="E510" s="332">
        <f>Gasto_o_ing_per_capita!E510*100/Gasto_o_ing_per_capita!$D510</f>
        <v>84.172022331641045</v>
      </c>
      <c r="F510" s="332">
        <f>Gasto_o_ing_per_capita!F510*100/Gasto_o_ing_per_capita!$D510</f>
        <v>94.89337250307841</v>
      </c>
      <c r="G510" s="332">
        <f>Gasto_o_ing_per_capita!G510*100/Gasto_o_ing_per_capita!$D510</f>
        <v>82.462927772351065</v>
      </c>
      <c r="H510" s="332">
        <f>Gasto_o_ing_per_capita!H510*100/Gasto_o_ing_per_capita!$D510</f>
        <v>109.35192186314272</v>
      </c>
      <c r="I510" s="332">
        <f>Gasto_o_ing_per_capita!I510*100/Gasto_o_ing_per_capita!$D510</f>
        <v>81.073398583598433</v>
      </c>
      <c r="J510" s="332">
        <f>Gasto_o_ing_per_capita!J510*100/Gasto_o_ing_per_capita!$D510</f>
        <v>87.773804781426833</v>
      </c>
      <c r="K510" s="332">
        <f>Gasto_o_ing_per_capita!K510*100/Gasto_o_ing_per_capita!$D510</f>
        <v>87.643877160252799</v>
      </c>
      <c r="L510" s="332">
        <f>Gasto_o_ing_per_capita!L510*100/Gasto_o_ing_per_capita!$D510</f>
        <v>75.761154454845666</v>
      </c>
      <c r="M510" s="332">
        <f>Gasto_o_ing_per_capita!M510*100/Gasto_o_ing_per_capita!$D510</f>
        <v>110.23054777164525</v>
      </c>
      <c r="N510" s="332">
        <f>Gasto_o_ing_per_capita!N510*100/Gasto_o_ing_per_capita!$D510</f>
        <v>89.471581447997835</v>
      </c>
      <c r="O510" s="332">
        <f>Gasto_o_ing_per_capita!O510*100/Gasto_o_ing_per_capita!$D510</f>
        <v>69.979588670356577</v>
      </c>
      <c r="P510" s="332">
        <f>Gasto_o_ing_per_capita!P510*100/Gasto_o_ing_per_capita!$D510</f>
        <v>73.788217411419325</v>
      </c>
      <c r="Q510" s="332">
        <f>Gasto_o_ing_per_capita!Q510*100/Gasto_o_ing_per_capita!$D510</f>
        <v>153.32603781801654</v>
      </c>
      <c r="R510" s="332">
        <f>Gasto_o_ing_per_capita!R510*100/Gasto_o_ing_per_capita!$D510</f>
        <v>72.221204222066973</v>
      </c>
      <c r="S510" s="332">
        <f>Gasto_o_ing_per_capita!S510*100/Gasto_o_ing_per_capita!$D510</f>
        <v>95.680320241892034</v>
      </c>
      <c r="T510" s="332">
        <f>Gasto_o_ing_per_capita!T510*100/Gasto_o_ing_per_capita!$D510</f>
        <v>126.18850757936528</v>
      </c>
      <c r="U510" s="332">
        <f>Gasto_o_ing_per_capita!U510*100/Gasto_o_ing_per_capita!$D510</f>
        <v>102.0143284028215</v>
      </c>
      <c r="V510" s="332">
        <f>Gasto_o_ing_per_capita!V510*100/Gasto_o_ing_per_capita!$D510</f>
        <v>88.160547071156046</v>
      </c>
    </row>
    <row r="511" spans="1:22" s="102" customFormat="1">
      <c r="A511" s="351" t="str">
        <f>IF(B511="","",(IF(ISERROR(MATCH(B511,Tot_res!C:C,0)),"Eliminar!!!","")))</f>
        <v/>
      </c>
      <c r="B511" s="102" t="s">
        <v>441</v>
      </c>
      <c r="C511" s="329" t="str">
        <f>VLOOKUP(B511,Tot_res!C:D,2,FALSE)</f>
        <v>Venta Minorista de Hidrocarburos, ingr. Homog.</v>
      </c>
      <c r="D511" s="332">
        <f>Gasto_o_ing_per_capita!D511*100/Gasto_o_ing_per_capita!$D511</f>
        <v>100</v>
      </c>
      <c r="E511" s="332">
        <f>Gasto_o_ing_per_capita!E511*100/Gasto_o_ing_per_capita!$D511</f>
        <v>99.527873678360805</v>
      </c>
      <c r="F511" s="332">
        <f>Gasto_o_ing_per_capita!F511*100/Gasto_o_ing_per_capita!$D511</f>
        <v>95.008009843160082</v>
      </c>
      <c r="G511" s="332">
        <f>Gasto_o_ing_per_capita!G511*100/Gasto_o_ing_per_capita!$D511</f>
        <v>100.78515922746099</v>
      </c>
      <c r="H511" s="332">
        <f>Gasto_o_ing_per_capita!H511*100/Gasto_o_ing_per_capita!$D511</f>
        <v>119.33986325684366</v>
      </c>
      <c r="I511" s="332">
        <f>Gasto_o_ing_per_capita!I511*100/Gasto_o_ing_per_capita!$D511</f>
        <v>24.992203556491813</v>
      </c>
      <c r="J511" s="332">
        <f>Gasto_o_ing_per_capita!J511*100/Gasto_o_ing_per_capita!$D511</f>
        <v>108.97498671659598</v>
      </c>
      <c r="K511" s="332">
        <f>Gasto_o_ing_per_capita!K511*100/Gasto_o_ing_per_capita!$D511</f>
        <v>100.51866759778028</v>
      </c>
      <c r="L511" s="332">
        <f>Gasto_o_ing_per_capita!L511*100/Gasto_o_ing_per_capita!$D511</f>
        <v>96.964493754267096</v>
      </c>
      <c r="M511" s="332">
        <f>Gasto_o_ing_per_capita!M511*100/Gasto_o_ing_per_capita!$D511</f>
        <v>105.47628174593737</v>
      </c>
      <c r="N511" s="332">
        <f>Gasto_o_ing_per_capita!N511*100/Gasto_o_ing_per_capita!$D511</f>
        <v>100.98279341018507</v>
      </c>
      <c r="O511" s="332">
        <f>Gasto_o_ing_per_capita!O511*100/Gasto_o_ing_per_capita!$D511</f>
        <v>93.118991772202833</v>
      </c>
      <c r="P511" s="332">
        <f>Gasto_o_ing_per_capita!P511*100/Gasto_o_ing_per_capita!$D511</f>
        <v>110.27598189967662</v>
      </c>
      <c r="Q511" s="332">
        <f>Gasto_o_ing_per_capita!Q511*100/Gasto_o_ing_per_capita!$D511</f>
        <v>113.40057551164128</v>
      </c>
      <c r="R511" s="332">
        <f>Gasto_o_ing_per_capita!R511*100/Gasto_o_ing_per_capita!$D511</f>
        <v>103.23710441331285</v>
      </c>
      <c r="S511" s="332">
        <f>Gasto_o_ing_per_capita!S511*100/Gasto_o_ing_per_capita!$D511</f>
        <v>97.916887599648859</v>
      </c>
      <c r="T511" s="332">
        <f>Gasto_o_ing_per_capita!T511*100/Gasto_o_ing_per_capita!$D511</f>
        <v>97.903044201169962</v>
      </c>
      <c r="U511" s="332">
        <f>Gasto_o_ing_per_capita!U511*100/Gasto_o_ing_per_capita!$D511</f>
        <v>99.6340453502076</v>
      </c>
      <c r="V511" s="332">
        <f>Gasto_o_ing_per_capita!V511*100/Gasto_o_ing_per_capita!$D511</f>
        <v>65.000412869228185</v>
      </c>
    </row>
    <row r="512" spans="1:22" s="102" customFormat="1">
      <c r="A512" s="351" t="str">
        <f>IF(B512="","",(IF(ISERROR(MATCH(B512,Tot_res!C:C,0)),"Eliminar!!!","")))</f>
        <v/>
      </c>
      <c r="B512" s="102" t="s">
        <v>442</v>
      </c>
      <c r="C512" s="329" t="str">
        <f>VLOOKUP(B512,Tot_res!C:D,2,FALSE)</f>
        <v>Tasas sobre el juego, ingresos homogeneizados</v>
      </c>
      <c r="D512" s="332">
        <f>Gasto_o_ing_per_capita!D512*100/Gasto_o_ing_per_capita!$D512</f>
        <v>100</v>
      </c>
      <c r="E512" s="332">
        <f>Gasto_o_ing_per_capita!E512*100/Gasto_o_ing_per_capita!$D512</f>
        <v>76.520194717687104</v>
      </c>
      <c r="F512" s="332">
        <f>Gasto_o_ing_per_capita!F512*100/Gasto_o_ing_per_capita!$D512</f>
        <v>96.915861376366919</v>
      </c>
      <c r="G512" s="332">
        <f>Gasto_o_ing_per_capita!G512*100/Gasto_o_ing_per_capita!$D512</f>
        <v>88.879008867053628</v>
      </c>
      <c r="H512" s="332">
        <f>Gasto_o_ing_per_capita!H512*100/Gasto_o_ing_per_capita!$D512</f>
        <v>120.12470168440724</v>
      </c>
      <c r="I512" s="332">
        <f>Gasto_o_ing_per_capita!I512*100/Gasto_o_ing_per_capita!$D512</f>
        <v>72.741201789660167</v>
      </c>
      <c r="J512" s="332">
        <f>Gasto_o_ing_per_capita!J512*100/Gasto_o_ing_per_capita!$D512</f>
        <v>102.30257866590415</v>
      </c>
      <c r="K512" s="332">
        <f>Gasto_o_ing_per_capita!K512*100/Gasto_o_ing_per_capita!$D512</f>
        <v>104.62498683475631</v>
      </c>
      <c r="L512" s="332">
        <f>Gasto_o_ing_per_capita!L512*100/Gasto_o_ing_per_capita!$D512</f>
        <v>92.193054287071888</v>
      </c>
      <c r="M512" s="332">
        <f>Gasto_o_ing_per_capita!M512*100/Gasto_o_ing_per_capita!$D512</f>
        <v>82.945261677046361</v>
      </c>
      <c r="N512" s="332">
        <f>Gasto_o_ing_per_capita!N512*100/Gasto_o_ing_per_capita!$D512</f>
        <v>119.53307321203883</v>
      </c>
      <c r="O512" s="332">
        <f>Gasto_o_ing_per_capita!O512*100/Gasto_o_ing_per_capita!$D512</f>
        <v>73.347419622487308</v>
      </c>
      <c r="P512" s="332">
        <f>Gasto_o_ing_per_capita!P512*100/Gasto_o_ing_per_capita!$D512</f>
        <v>77.917898315628278</v>
      </c>
      <c r="Q512" s="332">
        <f>Gasto_o_ing_per_capita!Q512*100/Gasto_o_ing_per_capita!$D512</f>
        <v>182.22638860684532</v>
      </c>
      <c r="R512" s="332">
        <f>Gasto_o_ing_per_capita!R512*100/Gasto_o_ing_per_capita!$D512</f>
        <v>66.593264497223643</v>
      </c>
      <c r="S512" s="332">
        <f>Gasto_o_ing_per_capita!S512*100/Gasto_o_ing_per_capita!$D512</f>
        <v>76.078434441516265</v>
      </c>
      <c r="T512" s="332">
        <f>Gasto_o_ing_per_capita!T512*100/Gasto_o_ing_per_capita!$D512</f>
        <v>63.623595975615103</v>
      </c>
      <c r="U512" s="332">
        <f>Gasto_o_ing_per_capita!U512*100/Gasto_o_ing_per_capita!$D512</f>
        <v>68.777312761118552</v>
      </c>
      <c r="V512" s="332">
        <f>Gasto_o_ing_per_capita!V512*100/Gasto_o_ing_per_capita!$D512</f>
        <v>74.794343233586631</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Gasto_o_ing_per_capita!D513*100/Gasto_o_ing_per_capita!$D513</f>
        <v>100</v>
      </c>
      <c r="E513" s="332">
        <f>Gasto_o_ing_per_capita!E513*100/Gasto_o_ing_per_capita!$D513</f>
        <v>26.709253393955574</v>
      </c>
      <c r="F513" s="332">
        <f>Gasto_o_ing_per_capita!F513*100/Gasto_o_ing_per_capita!$D513</f>
        <v>27.529235754216113</v>
      </c>
      <c r="G513" s="332">
        <f>Gasto_o_ing_per_capita!G513*100/Gasto_o_ing_per_capita!$D513</f>
        <v>30.866921633670099</v>
      </c>
      <c r="H513" s="332">
        <f>Gasto_o_ing_per_capita!H513*100/Gasto_o_ing_per_capita!$D513</f>
        <v>26.38061542547258</v>
      </c>
      <c r="I513" s="332">
        <f>Gasto_o_ing_per_capita!I513*100/Gasto_o_ing_per_capita!$D513</f>
        <v>1632.3093819478488</v>
      </c>
      <c r="J513" s="332">
        <f>Gasto_o_ing_per_capita!J513*100/Gasto_o_ing_per_capita!$D513</f>
        <v>28.793039318637295</v>
      </c>
      <c r="K513" s="332">
        <f>Gasto_o_ing_per_capita!K513*100/Gasto_o_ing_per_capita!$D513</f>
        <v>28.666716258640495</v>
      </c>
      <c r="L513" s="332">
        <f>Gasto_o_ing_per_capita!L513*100/Gasto_o_ing_per_capita!$D513</f>
        <v>25.971687022737925</v>
      </c>
      <c r="M513" s="332">
        <f>Gasto_o_ing_per_capita!M513*100/Gasto_o_ing_per_capita!$D513</f>
        <v>27.435577539185498</v>
      </c>
      <c r="N513" s="332">
        <f>Gasto_o_ing_per_capita!N513*100/Gasto_o_ing_per_capita!$D513</f>
        <v>26.985646628555848</v>
      </c>
      <c r="O513" s="332">
        <f>Gasto_o_ing_per_capita!O513*100/Gasto_o_ing_per_capita!$D513</f>
        <v>26.898631456398522</v>
      </c>
      <c r="P513" s="332">
        <f>Gasto_o_ing_per_capita!P513*100/Gasto_o_ing_per_capita!$D513</f>
        <v>29.045021603607388</v>
      </c>
      <c r="Q513" s="332">
        <f>Gasto_o_ing_per_capita!Q513*100/Gasto_o_ing_per_capita!$D513</f>
        <v>28.614042535972054</v>
      </c>
      <c r="R513" s="332">
        <f>Gasto_o_ing_per_capita!R513*100/Gasto_o_ing_per_capita!$D513</f>
        <v>25.607372826904218</v>
      </c>
      <c r="S513" s="332">
        <f>Gasto_o_ing_per_capita!S513*100/Gasto_o_ing_per_capita!$D513</f>
        <v>29.320704118910022</v>
      </c>
      <c r="T513" s="332">
        <f>Gasto_o_ing_per_capita!T513*100/Gasto_o_ing_per_capita!$D513</f>
        <v>31.674925793631065</v>
      </c>
      <c r="U513" s="332">
        <f>Gasto_o_ing_per_capita!U513*100/Gasto_o_ing_per_capita!$D513</f>
        <v>28.162903039843744</v>
      </c>
      <c r="V513" s="332">
        <f>Gasto_o_ing_per_capita!V513*100/Gasto_o_ing_per_capita!$D513</f>
        <v>25.913634662517858</v>
      </c>
    </row>
    <row r="514" spans="1:22" s="102" customFormat="1">
      <c r="A514" s="351" t="str">
        <f>IF(B514="","",(IF(ISERROR(MATCH(B514,Tot_res!C:C,0)),"Eliminar!!!","")))</f>
        <v/>
      </c>
      <c r="B514" s="102" t="s">
        <v>445</v>
      </c>
      <c r="C514" s="329" t="str">
        <f>VLOOKUP(B514,Tot_res!C:D,2,FALSE)</f>
        <v>IPSI, Ceuta y Melilla</v>
      </c>
      <c r="D514" s="332">
        <f>Gasto_o_ing_per_capita!D514*100/Gasto_o_ing_per_capita!$D514</f>
        <v>100</v>
      </c>
      <c r="E514" s="332">
        <f>Gasto_o_ing_per_capita!E514*100/Gasto_o_ing_per_capita!$D514</f>
        <v>0</v>
      </c>
      <c r="F514" s="332">
        <f>Gasto_o_ing_per_capita!F514*100/Gasto_o_ing_per_capita!$D514</f>
        <v>0</v>
      </c>
      <c r="G514" s="332">
        <f>Gasto_o_ing_per_capita!G514*100/Gasto_o_ing_per_capita!$D514</f>
        <v>0</v>
      </c>
      <c r="H514" s="332">
        <f>Gasto_o_ing_per_capita!H514*100/Gasto_o_ing_per_capita!$D514</f>
        <v>0</v>
      </c>
      <c r="I514" s="332">
        <f>Gasto_o_ing_per_capita!I514*100/Gasto_o_ing_per_capita!$D514</f>
        <v>0</v>
      </c>
      <c r="J514" s="332">
        <f>Gasto_o_ing_per_capita!J514*100/Gasto_o_ing_per_capita!$D514</f>
        <v>0</v>
      </c>
      <c r="K514" s="332">
        <f>Gasto_o_ing_per_capita!K514*100/Gasto_o_ing_per_capita!$D514</f>
        <v>0</v>
      </c>
      <c r="L514" s="332">
        <f>Gasto_o_ing_per_capita!L514*100/Gasto_o_ing_per_capita!$D514</f>
        <v>0</v>
      </c>
      <c r="M514" s="332">
        <f>Gasto_o_ing_per_capita!M514*100/Gasto_o_ing_per_capita!$D514</f>
        <v>0</v>
      </c>
      <c r="N514" s="332">
        <f>Gasto_o_ing_per_capita!N514*100/Gasto_o_ing_per_capita!$D514</f>
        <v>0</v>
      </c>
      <c r="O514" s="332">
        <f>Gasto_o_ing_per_capita!O514*100/Gasto_o_ing_per_capita!$D514</f>
        <v>0</v>
      </c>
      <c r="P514" s="332">
        <f>Gasto_o_ing_per_capita!P514*100/Gasto_o_ing_per_capita!$D514</f>
        <v>0</v>
      </c>
      <c r="Q514" s="332">
        <f>Gasto_o_ing_per_capita!Q514*100/Gasto_o_ing_per_capita!$D514</f>
        <v>0</v>
      </c>
      <c r="R514" s="332">
        <f>Gasto_o_ing_per_capita!R514*100/Gasto_o_ing_per_capita!$D514</f>
        <v>0</v>
      </c>
      <c r="S514" s="332">
        <f>Gasto_o_ing_per_capita!S514*100/Gasto_o_ing_per_capita!$D514</f>
        <v>0</v>
      </c>
      <c r="T514" s="332">
        <f>Gasto_o_ing_per_capita!T514*100/Gasto_o_ing_per_capita!$D514</f>
        <v>0</v>
      </c>
      <c r="U514" s="332">
        <f>Gasto_o_ing_per_capita!U514*100/Gasto_o_ing_per_capita!$D514</f>
        <v>0</v>
      </c>
      <c r="V514" s="332">
        <f>Gasto_o_ing_per_capita!V514*100/Gasto_o_ing_per_capita!$D514</f>
        <v>27524.46016874976</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Gasto_o_ing_per_capita!D515*100/Gasto_o_ing_per_capita!$D515</f>
        <v>100</v>
      </c>
      <c r="E515" s="332">
        <f>Gasto_o_ing_per_capita!E515*100/Gasto_o_ing_per_capita!$D515</f>
        <v>50.997689230722855</v>
      </c>
      <c r="F515" s="332">
        <f>Gasto_o_ing_per_capita!F515*100/Gasto_o_ing_per_capita!$D515</f>
        <v>105.8897540896448</v>
      </c>
      <c r="G515" s="332">
        <f>Gasto_o_ing_per_capita!G515*100/Gasto_o_ing_per_capita!$D515</f>
        <v>127.16389070003459</v>
      </c>
      <c r="H515" s="332">
        <f>Gasto_o_ing_per_capita!H515*100/Gasto_o_ing_per_capita!$D515</f>
        <v>108.76209993180942</v>
      </c>
      <c r="I515" s="332">
        <f>Gasto_o_ing_per_capita!I515*100/Gasto_o_ing_per_capita!$D515</f>
        <v>65.353960168448381</v>
      </c>
      <c r="J515" s="332">
        <f>Gasto_o_ing_per_capita!J515*100/Gasto_o_ing_per_capita!$D515</f>
        <v>111.65212441457302</v>
      </c>
      <c r="K515" s="332">
        <f>Gasto_o_ing_per_capita!K515*100/Gasto_o_ing_per_capita!$D515</f>
        <v>120.04251385872149</v>
      </c>
      <c r="L515" s="332">
        <f>Gasto_o_ing_per_capita!L515*100/Gasto_o_ing_per_capita!$D515</f>
        <v>73.175144793781854</v>
      </c>
      <c r="M515" s="332">
        <f>Gasto_o_ing_per_capita!M515*100/Gasto_o_ing_per_capita!$D515</f>
        <v>103.47363457409863</v>
      </c>
      <c r="N515" s="332">
        <f>Gasto_o_ing_per_capita!N515*100/Gasto_o_ing_per_capita!$D515</f>
        <v>83.425123506900604</v>
      </c>
      <c r="O515" s="332">
        <f>Gasto_o_ing_per_capita!O515*100/Gasto_o_ing_per_capita!$D515</f>
        <v>56.896165971102839</v>
      </c>
      <c r="P515" s="332">
        <f>Gasto_o_ing_per_capita!P515*100/Gasto_o_ing_per_capita!$D515</f>
        <v>104.61529595472562</v>
      </c>
      <c r="Q515" s="332">
        <f>Gasto_o_ing_per_capita!Q515*100/Gasto_o_ing_per_capita!$D515</f>
        <v>140.13924434527974</v>
      </c>
      <c r="R515" s="332">
        <f>Gasto_o_ing_per_capita!R515*100/Gasto_o_ing_per_capita!$D515</f>
        <v>61.074202040946439</v>
      </c>
      <c r="S515" s="332">
        <f>Gasto_o_ing_per_capita!S515*100/Gasto_o_ing_per_capita!$D515</f>
        <v>174.71779061068813</v>
      </c>
      <c r="T515" s="332">
        <f>Gasto_o_ing_per_capita!T515*100/Gasto_o_ing_per_capita!$D515</f>
        <v>227.38218163715575</v>
      </c>
      <c r="U515" s="332">
        <f>Gasto_o_ing_per_capita!U515*100/Gasto_o_ing_per_capita!$D515</f>
        <v>146.98646538633295</v>
      </c>
      <c r="V515" s="332">
        <f>Gasto_o_ing_per_capita!V515*100/Gasto_o_ing_per_capita!$D515</f>
        <v>12.796844512410139</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Gasto_o_ing_per_capita!D516*100/Gasto_o_ing_per_capita!$D516</f>
        <v>99.999999999999986</v>
      </c>
      <c r="E516" s="332">
        <f>Gasto_o_ing_per_capita!E516*100/Gasto_o_ing_per_capita!$D516</f>
        <v>93.469537936251882</v>
      </c>
      <c r="F516" s="332">
        <f>Gasto_o_ing_per_capita!F516*100/Gasto_o_ing_per_capita!$D516</f>
        <v>105.74718271619496</v>
      </c>
      <c r="G516" s="332">
        <f>Gasto_o_ing_per_capita!G516*100/Gasto_o_ing_per_capita!$D516</f>
        <v>95.934455132756995</v>
      </c>
      <c r="H516" s="332">
        <f>Gasto_o_ing_per_capita!H516*100/Gasto_o_ing_per_capita!$D516</f>
        <v>108.46166542144881</v>
      </c>
      <c r="I516" s="332">
        <f>Gasto_o_ing_per_capita!I516*100/Gasto_o_ing_per_capita!$D516</f>
        <v>87.639943527949171</v>
      </c>
      <c r="J516" s="332">
        <f>Gasto_o_ing_per_capita!J516*100/Gasto_o_ing_per_capita!$D516</f>
        <v>98.834437531642067</v>
      </c>
      <c r="K516" s="332">
        <f>Gasto_o_ing_per_capita!K516*100/Gasto_o_ing_per_capita!$D516</f>
        <v>103.94457572142443</v>
      </c>
      <c r="L516" s="332">
        <f>Gasto_o_ing_per_capita!L516*100/Gasto_o_ing_per_capita!$D516</f>
        <v>97.526168832189043</v>
      </c>
      <c r="M516" s="332">
        <f>Gasto_o_ing_per_capita!M516*100/Gasto_o_ing_per_capita!$D516</f>
        <v>104.90630989731341</v>
      </c>
      <c r="N516" s="332">
        <f>Gasto_o_ing_per_capita!N516*100/Gasto_o_ing_per_capita!$D516</f>
        <v>96.384296480978989</v>
      </c>
      <c r="O516" s="332">
        <f>Gasto_o_ing_per_capita!O516*100/Gasto_o_ing_per_capita!$D516</f>
        <v>95.871126114686774</v>
      </c>
      <c r="P516" s="332">
        <f>Gasto_o_ing_per_capita!P516*100/Gasto_o_ing_per_capita!$D516</f>
        <v>99.417754081481277</v>
      </c>
      <c r="Q516" s="332">
        <f>Gasto_o_ing_per_capita!Q516*100/Gasto_o_ing_per_capita!$D516</f>
        <v>108.51126982121437</v>
      </c>
      <c r="R516" s="332">
        <f>Gasto_o_ing_per_capita!R516*100/Gasto_o_ing_per_capita!$D516</f>
        <v>91.283956076052647</v>
      </c>
      <c r="S516" s="332">
        <f>Gasto_o_ing_per_capita!S516*100/Gasto_o_ing_per_capita!$D516</f>
        <v>106.24268371905694</v>
      </c>
      <c r="T516" s="332">
        <f>Gasto_o_ing_per_capita!T516*100/Gasto_o_ing_per_capita!$D516</f>
        <v>105.97678993719688</v>
      </c>
      <c r="U516" s="332">
        <f>Gasto_o_ing_per_capita!U516*100/Gasto_o_ing_per_capita!$D516</f>
        <v>92.212677124479583</v>
      </c>
      <c r="V516" s="332">
        <f>Gasto_o_ing_per_capita!V516*100/Gasto_o_ing_per_capita!$D516</f>
        <v>69.601151562030608</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3">
        <f>Gasto_o_ing_per_capita!D518*100/Gasto_o_ing_per_capita!$D518</f>
        <v>100.00000000000001</v>
      </c>
      <c r="E518" s="113">
        <f>Gasto_o_ing_per_capita!E518*100/Gasto_o_ing_per_capita!$D518</f>
        <v>-347.33845178973621</v>
      </c>
      <c r="F518" s="113">
        <f>Gasto_o_ing_per_capita!F518*100/Gasto_o_ing_per_capita!$D518</f>
        <v>-639.77227644539551</v>
      </c>
      <c r="G518" s="113">
        <f>Gasto_o_ing_per_capita!G518*100/Gasto_o_ing_per_capita!$D518</f>
        <v>-555.39344056518792</v>
      </c>
      <c r="H518" s="113">
        <f>Gasto_o_ing_per_capita!H518*100/Gasto_o_ing_per_capita!$D518</f>
        <v>-1156.341560222163</v>
      </c>
      <c r="I518" s="113">
        <f>Gasto_o_ing_per_capita!I518*100/Gasto_o_ing_per_capita!$D518</f>
        <v>5330.8805737455068</v>
      </c>
      <c r="J518" s="113">
        <f>Gasto_o_ing_per_capita!J518*100/Gasto_o_ing_per_capita!$D518</f>
        <v>-368.29445898967737</v>
      </c>
      <c r="K518" s="113">
        <f>Gasto_o_ing_per_capita!K518*100/Gasto_o_ing_per_capita!$D518</f>
        <v>-370.44783773371711</v>
      </c>
      <c r="L518" s="113">
        <f>Gasto_o_ing_per_capita!L518*100/Gasto_o_ing_per_capita!$D518</f>
        <v>4.9879394788452824</v>
      </c>
      <c r="M518" s="113">
        <f>Gasto_o_ing_per_capita!M518*100/Gasto_o_ing_per_capita!$D518</f>
        <v>-708.30651248221864</v>
      </c>
      <c r="N518" s="113">
        <f>Gasto_o_ing_per_capita!N518*100/Gasto_o_ing_per_capita!$D518</f>
        <v>-611.81483982077975</v>
      </c>
      <c r="O518" s="113">
        <f>Gasto_o_ing_per_capita!O518*100/Gasto_o_ing_per_capita!$D518</f>
        <v>-955.69674554889696</v>
      </c>
      <c r="P518" s="113">
        <f>Gasto_o_ing_per_capita!P518*100/Gasto_o_ing_per_capita!$D518</f>
        <v>-583.4203796771443</v>
      </c>
      <c r="Q518" s="113">
        <f>Gasto_o_ing_per_capita!Q518*100/Gasto_o_ing_per_capita!$D518</f>
        <v>503.52746867745611</v>
      </c>
      <c r="R518" s="113">
        <f>Gasto_o_ing_per_capita!R518*100/Gasto_o_ing_per_capita!$D518</f>
        <v>-732.48978569391807</v>
      </c>
      <c r="S518" s="113">
        <f>Gasto_o_ing_per_capita!S518*100/Gasto_o_ing_per_capita!$D518</f>
        <v>3902.0653097176955</v>
      </c>
      <c r="T518" s="113">
        <f>Gasto_o_ing_per_capita!T518*100/Gasto_o_ing_per_capita!$D518</f>
        <v>2708.7696471350737</v>
      </c>
      <c r="U518" s="113">
        <f>Gasto_o_ing_per_capita!U518*100/Gasto_o_ing_per_capita!$D518</f>
        <v>-395.54121247514695</v>
      </c>
      <c r="V518" s="113">
        <f>Gasto_o_ing_per_capita!V518*100/Gasto_o_ing_per_capita!$D518</f>
        <v>4492.2541922843247</v>
      </c>
    </row>
    <row r="519" spans="1:22" s="102" customFormat="1">
      <c r="A519" s="351" t="str">
        <f>IF(B519="","",(IF(ISERROR(MATCH(B519,Tot_res!C:C,0)),"Eliminar!!!","")))</f>
        <v/>
      </c>
      <c r="B519" s="102" t="s">
        <v>447</v>
      </c>
      <c r="C519" s="329" t="str">
        <f>VLOOKUP(B519,Tot_res!C:D,2,FALSE)</f>
        <v>IRPF, sobreesfuerzo fiscal</v>
      </c>
      <c r="D519" s="332">
        <f>Gasto_o_ing_per_capita!D519*100/Gasto_o_ing_per_capita!$D519</f>
        <v>100</v>
      </c>
      <c r="E519" s="332">
        <f>Gasto_o_ing_per_capita!E519*100/Gasto_o_ing_per_capita!$D519</f>
        <v>-3.764425467584843</v>
      </c>
      <c r="F519" s="332">
        <f>Gasto_o_ing_per_capita!F519*100/Gasto_o_ing_per_capita!$D519</f>
        <v>10.320229971687807</v>
      </c>
      <c r="G519" s="332">
        <f>Gasto_o_ing_per_capita!G519*100/Gasto_o_ing_per_capita!$D519</f>
        <v>1.7543604844033378</v>
      </c>
      <c r="H519" s="332">
        <f>Gasto_o_ing_per_capita!H519*100/Gasto_o_ing_per_capita!$D519</f>
        <v>11.493257234530285</v>
      </c>
      <c r="I519" s="332">
        <f>Gasto_o_ing_per_capita!I519*100/Gasto_o_ing_per_capita!$D519</f>
        <v>37.711068664675608</v>
      </c>
      <c r="J519" s="332">
        <f>Gasto_o_ing_per_capita!J519*100/Gasto_o_ing_per_capita!$D519</f>
        <v>87.412346065920815</v>
      </c>
      <c r="K519" s="332">
        <f>Gasto_o_ing_per_capita!K519*100/Gasto_o_ing_per_capita!$D519</f>
        <v>33.445480334768369</v>
      </c>
      <c r="L519" s="332">
        <f>Gasto_o_ing_per_capita!L519*100/Gasto_o_ing_per_capita!$D519</f>
        <v>67.505491323745431</v>
      </c>
      <c r="M519" s="332">
        <f>Gasto_o_ing_per_capita!M519*100/Gasto_o_ing_per_capita!$D519</f>
        <v>1.6459580075736895</v>
      </c>
      <c r="N519" s="332">
        <f>Gasto_o_ing_per_capita!N519*100/Gasto_o_ing_per_capita!$D519</f>
        <v>21.319011945942357</v>
      </c>
      <c r="O519" s="332">
        <f>Gasto_o_ing_per_capita!O519*100/Gasto_o_ing_per_capita!$D519</f>
        <v>6.9853883304230742</v>
      </c>
      <c r="P519" s="332">
        <f>Gasto_o_ing_per_capita!P519*100/Gasto_o_ing_per_capita!$D519</f>
        <v>22.201525580473284</v>
      </c>
      <c r="Q519" s="332">
        <f>Gasto_o_ing_per_capita!Q519*100/Gasto_o_ing_per_capita!$D519</f>
        <v>166.35287436065761</v>
      </c>
      <c r="R519" s="332">
        <f>Gasto_o_ing_per_capita!R519*100/Gasto_o_ing_per_capita!$D519</f>
        <v>1.7603932046904514</v>
      </c>
      <c r="S519" s="332">
        <f>Gasto_o_ing_per_capita!S519*100/Gasto_o_ing_per_capita!$D519</f>
        <v>1266.7200474129722</v>
      </c>
      <c r="T519" s="332">
        <f>Gasto_o_ing_per_capita!T519*100/Gasto_o_ing_per_capita!$D519</f>
        <v>984.7464729072592</v>
      </c>
      <c r="U519" s="332">
        <f>Gasto_o_ing_per_capita!U519*100/Gasto_o_ing_per_capita!$D519</f>
        <v>48.326114840146431</v>
      </c>
      <c r="V519" s="332">
        <f>Gasto_o_ing_per_capita!V519*100/Gasto_o_ing_per_capita!$D519</f>
        <v>442.98730470826331</v>
      </c>
    </row>
    <row r="520" spans="1:22" s="102" customFormat="1">
      <c r="A520" s="351" t="str">
        <f>IF(B520="","",(IF(ISERROR(MATCH(B520,Tot_res!C:C,0)),"Eliminar!!!","")))</f>
        <v/>
      </c>
      <c r="B520" s="102" t="s">
        <v>449</v>
      </c>
      <c r="C520" s="329" t="str">
        <f>VLOOKUP(B520,Tot_res!C:D,2,FALSE)</f>
        <v>Sociedades, sobreesfuerzo fiscal</v>
      </c>
      <c r="D520" s="332">
        <f>Gasto_o_ing_per_capita!D520*100/Gasto_o_ing_per_capita!$D520</f>
        <v>100</v>
      </c>
      <c r="E520" s="332">
        <f>Gasto_o_ing_per_capita!E520*100/Gasto_o_ing_per_capita!$D520</f>
        <v>36.984932148342303</v>
      </c>
      <c r="F520" s="332">
        <f>Gasto_o_ing_per_capita!F520*100/Gasto_o_ing_per_capita!$D520</f>
        <v>55.835870280210415</v>
      </c>
      <c r="G520" s="332">
        <f>Gasto_o_ing_per_capita!G520*100/Gasto_o_ing_per_capita!$D520</f>
        <v>50.157825927945559</v>
      </c>
      <c r="H520" s="332">
        <f>Gasto_o_ing_per_capita!H520*100/Gasto_o_ing_per_capita!$D520</f>
        <v>53.027257126998819</v>
      </c>
      <c r="I520" s="332">
        <f>Gasto_o_ing_per_capita!I520*100/Gasto_o_ing_per_capita!$D520</f>
        <v>40.214987721385839</v>
      </c>
      <c r="J520" s="332">
        <f>Gasto_o_ing_per_capita!J520*100/Gasto_o_ing_per_capita!$D520</f>
        <v>55.805522437951247</v>
      </c>
      <c r="K520" s="332">
        <f>Gasto_o_ing_per_capita!K520*100/Gasto_o_ing_per_capita!$D520</f>
        <v>46.839283710231271</v>
      </c>
      <c r="L520" s="332">
        <f>Gasto_o_ing_per_capita!L520*100/Gasto_o_ing_per_capita!$D520</f>
        <v>37.231258529260217</v>
      </c>
      <c r="M520" s="332">
        <f>Gasto_o_ing_per_capita!M520*100/Gasto_o_ing_per_capita!$D520</f>
        <v>60.434148293079602</v>
      </c>
      <c r="N520" s="332">
        <f>Gasto_o_ing_per_capita!N520*100/Gasto_o_ing_per_capita!$D520</f>
        <v>46.04566259548033</v>
      </c>
      <c r="O520" s="332">
        <f>Gasto_o_ing_per_capita!O520*100/Gasto_o_ing_per_capita!$D520</f>
        <v>32.860818139542133</v>
      </c>
      <c r="P520" s="332">
        <f>Gasto_o_ing_per_capita!P520*100/Gasto_o_ing_per_capita!$D520</f>
        <v>47.424739497912348</v>
      </c>
      <c r="Q520" s="332">
        <f>Gasto_o_ing_per_capita!Q520*100/Gasto_o_ing_per_capita!$D520</f>
        <v>74.47516437496202</v>
      </c>
      <c r="R520" s="332">
        <f>Gasto_o_ing_per_capita!R520*100/Gasto_o_ing_per_capita!$D520</f>
        <v>39.315464142517179</v>
      </c>
      <c r="S520" s="332">
        <f>Gasto_o_ing_per_capita!S520*100/Gasto_o_ing_per_capita!$D520</f>
        <v>2549.76871788065</v>
      </c>
      <c r="T520" s="332">
        <f>Gasto_o_ing_per_capita!T520*100/Gasto_o_ing_per_capita!$D520</f>
        <v>373.30366220590804</v>
      </c>
      <c r="U520" s="332">
        <f>Gasto_o_ing_per_capita!U520*100/Gasto_o_ing_per_capita!$D520</f>
        <v>54.840531654503778</v>
      </c>
      <c r="V520" s="332">
        <f>Gasto_o_ing_per_capita!V520*100/Gasto_o_ing_per_capita!$D520</f>
        <v>43.065673919395522</v>
      </c>
    </row>
    <row r="521" spans="1:22" s="102" customFormat="1">
      <c r="A521" s="351" t="str">
        <f>IF(B521="","",(IF(ISERROR(MATCH(B521,Tot_res!C:C,0)),"Eliminar!!!","")))</f>
        <v/>
      </c>
      <c r="B521" s="102" t="s">
        <v>450</v>
      </c>
      <c r="C521" s="329" t="str">
        <f>VLOOKUP(B521,Tot_res!C:D,2,FALSE)</f>
        <v>Sucesiones y donaciones, sobreesfuerzo fiscal</v>
      </c>
      <c r="D521" s="332">
        <f>Gasto_o_ing_per_capita!D521*100/Gasto_o_ing_per_capita!$D521</f>
        <v>100</v>
      </c>
      <c r="E521" s="332">
        <f>Gasto_o_ing_per_capita!E521*100/Gasto_o_ing_per_capita!$D521</f>
        <v>-197.80631589998885</v>
      </c>
      <c r="F521" s="332">
        <f>Gasto_o_ing_per_capita!F521*100/Gasto_o_ing_per_capita!$D521</f>
        <v>-2874.9250597775008</v>
      </c>
      <c r="G521" s="332">
        <f>Gasto_o_ing_per_capita!G521*100/Gasto_o_ing_per_capita!$D521</f>
        <v>-1947.3373392923852</v>
      </c>
      <c r="H521" s="332">
        <f>Gasto_o_ing_per_capita!H521*100/Gasto_o_ing_per_capita!$D521</f>
        <v>-2781.1397196527564</v>
      </c>
      <c r="I521" s="332">
        <f>Gasto_o_ing_per_capita!I521*100/Gasto_o_ing_per_capita!$D521</f>
        <v>441.73968650809491</v>
      </c>
      <c r="J521" s="332">
        <f>Gasto_o_ing_per_capita!J521*100/Gasto_o_ing_per_capita!$D521</f>
        <v>1334.455056554365</v>
      </c>
      <c r="K521" s="332">
        <f>Gasto_o_ing_per_capita!K521*100/Gasto_o_ing_per_capita!$D521</f>
        <v>418.96402143654177</v>
      </c>
      <c r="L521" s="332">
        <f>Gasto_o_ing_per_capita!L521*100/Gasto_o_ing_per_capita!$D521</f>
        <v>1209.4687146221511</v>
      </c>
      <c r="M521" s="332">
        <f>Gasto_o_ing_per_capita!M521*100/Gasto_o_ing_per_capita!$D521</f>
        <v>1481.9247447488658</v>
      </c>
      <c r="N521" s="332">
        <f>Gasto_o_ing_per_capita!N521*100/Gasto_o_ing_per_capita!$D521</f>
        <v>1331.7263197683553</v>
      </c>
      <c r="O521" s="332">
        <f>Gasto_o_ing_per_capita!O521*100/Gasto_o_ing_per_capita!$D521</f>
        <v>578.92504085603184</v>
      </c>
      <c r="P521" s="332">
        <f>Gasto_o_ing_per_capita!P521*100/Gasto_o_ing_per_capita!$D521</f>
        <v>-1302.6143921554985</v>
      </c>
      <c r="Q521" s="332">
        <f>Gasto_o_ing_per_capita!Q521*100/Gasto_o_ing_per_capita!$D521</f>
        <v>-958.07911122613939</v>
      </c>
      <c r="R521" s="332">
        <f>Gasto_o_ing_per_capita!R521*100/Gasto_o_ing_per_capita!$D521</f>
        <v>-2566.1275761794409</v>
      </c>
      <c r="S521" s="332">
        <f>Gasto_o_ing_per_capita!S521*100/Gasto_o_ing_per_capita!$D521</f>
        <v>-1315.2282043077498</v>
      </c>
      <c r="T521" s="332">
        <f>Gasto_o_ing_per_capita!T521*100/Gasto_o_ing_per_capita!$D521</f>
        <v>2261.6874118730589</v>
      </c>
      <c r="U521" s="332">
        <f>Gasto_o_ing_per_capita!U521*100/Gasto_o_ing_per_capita!$D521</f>
        <v>1339.5030773818053</v>
      </c>
      <c r="V521" s="332">
        <f>Gasto_o_ing_per_capita!V521*100/Gasto_o_ing_per_capita!$D521</f>
        <v>3308.1397236425287</v>
      </c>
    </row>
    <row r="522" spans="1:22" s="102" customFormat="1">
      <c r="A522" s="351" t="str">
        <f>IF(B522="","",(IF(ISERROR(MATCH(B522,Tot_res!C:C,0)),"Eliminar!!!","")))</f>
        <v/>
      </c>
      <c r="B522" s="102" t="s">
        <v>652</v>
      </c>
      <c r="C522" s="329" t="str">
        <f>VLOOKUP(B522,Tot_res!C:D,2,FALSE)</f>
        <v>Patrimonio, sobreesfuerzo fiscal</v>
      </c>
      <c r="D522" s="332">
        <f>Gasto_o_ing_per_capita!D522*100/Gasto_o_ing_per_capita!$D522</f>
        <v>100</v>
      </c>
      <c r="E522" s="332">
        <f>Gasto_o_ing_per_capita!E522*100/Gasto_o_ing_per_capita!$D522</f>
        <v>0</v>
      </c>
      <c r="F522" s="332">
        <f>Gasto_o_ing_per_capita!F522*100/Gasto_o_ing_per_capita!$D522</f>
        <v>0</v>
      </c>
      <c r="G522" s="332">
        <f>Gasto_o_ing_per_capita!G522*100/Gasto_o_ing_per_capita!$D522</f>
        <v>0</v>
      </c>
      <c r="H522" s="332">
        <f>Gasto_o_ing_per_capita!H522*100/Gasto_o_ing_per_capita!$D522</f>
        <v>0</v>
      </c>
      <c r="I522" s="332">
        <f>Gasto_o_ing_per_capita!I522*100/Gasto_o_ing_per_capita!$D522</f>
        <v>0</v>
      </c>
      <c r="J522" s="332">
        <f>Gasto_o_ing_per_capita!J522*100/Gasto_o_ing_per_capita!$D522</f>
        <v>0</v>
      </c>
      <c r="K522" s="332">
        <f>Gasto_o_ing_per_capita!K522*100/Gasto_o_ing_per_capita!$D522</f>
        <v>0</v>
      </c>
      <c r="L522" s="332">
        <f>Gasto_o_ing_per_capita!L522*100/Gasto_o_ing_per_capita!$D522</f>
        <v>0</v>
      </c>
      <c r="M522" s="332">
        <f>Gasto_o_ing_per_capita!M522*100/Gasto_o_ing_per_capita!$D522</f>
        <v>0</v>
      </c>
      <c r="N522" s="332">
        <f>Gasto_o_ing_per_capita!N522*100/Gasto_o_ing_per_capita!$D522</f>
        <v>0</v>
      </c>
      <c r="O522" s="332">
        <f>Gasto_o_ing_per_capita!O522*100/Gasto_o_ing_per_capita!$D522</f>
        <v>0</v>
      </c>
      <c r="P522" s="332">
        <f>Gasto_o_ing_per_capita!P522*100/Gasto_o_ing_per_capita!$D522</f>
        <v>0</v>
      </c>
      <c r="Q522" s="332">
        <f>Gasto_o_ing_per_capita!Q522*100/Gasto_o_ing_per_capita!$D522</f>
        <v>0</v>
      </c>
      <c r="R522" s="332">
        <f>Gasto_o_ing_per_capita!R522*100/Gasto_o_ing_per_capita!$D522</f>
        <v>0</v>
      </c>
      <c r="S522" s="332">
        <f>Gasto_o_ing_per_capita!S522*100/Gasto_o_ing_per_capita!$D522</f>
        <v>0</v>
      </c>
      <c r="T522" s="332">
        <f>Gasto_o_ing_per_capita!T522*100/Gasto_o_ing_per_capita!$D522</f>
        <v>0</v>
      </c>
      <c r="U522" s="332">
        <f>Gasto_o_ing_per_capita!U522*100/Gasto_o_ing_per_capita!$D522</f>
        <v>0</v>
      </c>
      <c r="V522" s="332">
        <f>Gasto_o_ing_per_capita!V522*100/Gasto_o_ing_per_capita!$D522</f>
        <v>27524.46016874976</v>
      </c>
    </row>
    <row r="523" spans="1:22" s="102" customFormat="1">
      <c r="A523" s="351" t="str">
        <f>IF(B523="","",(IF(ISERROR(MATCH(B523,Tot_res!C:C,0)),"Eliminar!!!","")))</f>
        <v/>
      </c>
      <c r="B523" s="102" t="s">
        <v>1095</v>
      </c>
      <c r="C523" s="329" t="str">
        <f>VLOOKUP(B523,Tot_res!C:D,2,FALSE)</f>
        <v>IH, sobreesfuerzo fiscal</v>
      </c>
      <c r="D523" s="332">
        <f>Gasto_o_ing_per_capita!D523*100/Gasto_o_ing_per_capita!$D523</f>
        <v>100</v>
      </c>
      <c r="E523" s="332">
        <f>Gasto_o_ing_per_capita!E523*100/Gasto_o_ing_per_capita!$D523</f>
        <v>119.25694588456223</v>
      </c>
      <c r="F523" s="332">
        <f>Gasto_o_ing_per_capita!F523*100/Gasto_o_ing_per_capita!$D523</f>
        <v>16.129242475611431</v>
      </c>
      <c r="G523" s="332">
        <f>Gasto_o_ing_per_capita!G523*100/Gasto_o_ing_per_capita!$D523</f>
        <v>107.60070495914174</v>
      </c>
      <c r="H523" s="332">
        <f>Gasto_o_ing_per_capita!H523*100/Gasto_o_ing_per_capita!$D523</f>
        <v>144.91373378577441</v>
      </c>
      <c r="I523" s="332">
        <f>Gasto_o_ing_per_capita!I523*100/Gasto_o_ing_per_capita!$D523</f>
        <v>7.856361806770729</v>
      </c>
      <c r="J523" s="332">
        <f>Gasto_o_ing_per_capita!J523*100/Gasto_o_ing_per_capita!$D523</f>
        <v>161.65096061206589</v>
      </c>
      <c r="K523" s="332">
        <f>Gasto_o_ing_per_capita!K523*100/Gasto_o_ing_per_capita!$D523</f>
        <v>153.20804447879689</v>
      </c>
      <c r="L523" s="332">
        <f>Gasto_o_ing_per_capita!L523*100/Gasto_o_ing_per_capita!$D523</f>
        <v>143.01085994983634</v>
      </c>
      <c r="M523" s="332">
        <f>Gasto_o_ing_per_capita!M523*100/Gasto_o_ing_per_capita!$D523</f>
        <v>129.58233949684333</v>
      </c>
      <c r="N523" s="332">
        <f>Gasto_o_ing_per_capita!N523*100/Gasto_o_ing_per_capita!$D523</f>
        <v>113.14937937765309</v>
      </c>
      <c r="O523" s="332">
        <f>Gasto_o_ing_per_capita!O523*100/Gasto_o_ing_per_capita!$D523</f>
        <v>121.25651150535938</v>
      </c>
      <c r="P523" s="332">
        <f>Gasto_o_ing_per_capita!P523*100/Gasto_o_ing_per_capita!$D523</f>
        <v>118.63976193485647</v>
      </c>
      <c r="Q523" s="332">
        <f>Gasto_o_ing_per_capita!Q523*100/Gasto_o_ing_per_capita!$D523</f>
        <v>51.730149140887988</v>
      </c>
      <c r="R523" s="332">
        <f>Gasto_o_ing_per_capita!R523*100/Gasto_o_ing_per_capita!$D523</f>
        <v>135.41560330774126</v>
      </c>
      <c r="S523" s="332">
        <f>Gasto_o_ing_per_capita!S523*100/Gasto_o_ing_per_capita!$D523</f>
        <v>16.974244241984625</v>
      </c>
      <c r="T523" s="332">
        <f>Gasto_o_ing_per_capita!T523*100/Gasto_o_ing_per_capita!$D523</f>
        <v>17.577522064257952</v>
      </c>
      <c r="U523" s="332">
        <f>Gasto_o_ing_per_capita!U523*100/Gasto_o_ing_per_capita!$D523</f>
        <v>15.945177624720785</v>
      </c>
      <c r="V523" s="332">
        <f>Gasto_o_ing_per_capita!V523*100/Gasto_o_ing_per_capita!$D523</f>
        <v>12.273895723092032</v>
      </c>
    </row>
    <row r="524" spans="1:22">
      <c r="A524" s="351" t="str">
        <f>IF(B524="","",(IF(ISERROR(MATCH(B524,Tot_res!C:C,0)),"Eliminar!!!","")))</f>
        <v/>
      </c>
      <c r="B524" s="102" t="s">
        <v>452</v>
      </c>
      <c r="C524" s="329" t="str">
        <f>VLOOKUP(B524,Tot_res!C:D,2,FALSE)</f>
        <v>ITP y AJD, sobreesfuerzo fiscal</v>
      </c>
      <c r="D524" s="332">
        <f>Gasto_o_ing_per_capita!D524*100/Gasto_o_ing_per_capita!$D524</f>
        <v>100.00000000000001</v>
      </c>
      <c r="E524" s="332">
        <f>Gasto_o_ing_per_capita!E524*100/Gasto_o_ing_per_capita!$D524</f>
        <v>106.50813739988791</v>
      </c>
      <c r="F524" s="332">
        <f>Gasto_o_ing_per_capita!F524*100/Gasto_o_ing_per_capita!$D524</f>
        <v>38.057973606274643</v>
      </c>
      <c r="G524" s="332">
        <f>Gasto_o_ing_per_capita!G524*100/Gasto_o_ing_per_capita!$D524</f>
        <v>92.006806835488845</v>
      </c>
      <c r="H524" s="332">
        <f>Gasto_o_ing_per_capita!H524*100/Gasto_o_ing_per_capita!$D524</f>
        <v>136.36826516564182</v>
      </c>
      <c r="I524" s="332">
        <f>Gasto_o_ing_per_capita!I524*100/Gasto_o_ing_per_capita!$D524</f>
        <v>-5.9395443427357302</v>
      </c>
      <c r="J524" s="332">
        <f>Gasto_o_ing_per_capita!J524*100/Gasto_o_ing_per_capita!$D524</f>
        <v>103.99154517520563</v>
      </c>
      <c r="K524" s="332">
        <f>Gasto_o_ing_per_capita!K524*100/Gasto_o_ing_per_capita!$D524</f>
        <v>110.28063732191507</v>
      </c>
      <c r="L524" s="332">
        <f>Gasto_o_ing_per_capita!L524*100/Gasto_o_ing_per_capita!$D524</f>
        <v>92.03836699283454</v>
      </c>
      <c r="M524" s="332">
        <f>Gasto_o_ing_per_capita!M524*100/Gasto_o_ing_per_capita!$D524</f>
        <v>344.38173429302344</v>
      </c>
      <c r="N524" s="332">
        <f>Gasto_o_ing_per_capita!N524*100/Gasto_o_ing_per_capita!$D524</f>
        <v>263.16385643663858</v>
      </c>
      <c r="O524" s="332">
        <f>Gasto_o_ing_per_capita!O524*100/Gasto_o_ing_per_capita!$D524</f>
        <v>84.168602325894312</v>
      </c>
      <c r="P524" s="332">
        <f>Gasto_o_ing_per_capita!P524*100/Gasto_o_ing_per_capita!$D524</f>
        <v>185.15051325865815</v>
      </c>
      <c r="Q524" s="332">
        <f>Gasto_o_ing_per_capita!Q524*100/Gasto_o_ing_per_capita!$D524</f>
        <v>-108.62450218526641</v>
      </c>
      <c r="R524" s="332">
        <f>Gasto_o_ing_per_capita!R524*100/Gasto_o_ing_per_capita!$D524</f>
        <v>88.808357459991868</v>
      </c>
      <c r="S524" s="332">
        <f>Gasto_o_ing_per_capita!S524*100/Gasto_o_ing_per_capita!$D524</f>
        <v>-284.54817374993848</v>
      </c>
      <c r="T524" s="332">
        <f>Gasto_o_ing_per_capita!T524*100/Gasto_o_ing_per_capita!$D524</f>
        <v>-434.50219688316542</v>
      </c>
      <c r="U524" s="332">
        <f>Gasto_o_ing_per_capita!U524*100/Gasto_o_ing_per_capita!$D524</f>
        <v>37.399752363474349</v>
      </c>
      <c r="V524" s="332">
        <f>Gasto_o_ing_per_capita!V524*100/Gasto_o_ing_per_capita!$D524</f>
        <v>910.63616642820136</v>
      </c>
    </row>
    <row r="525" spans="1:22" s="102" customFormat="1">
      <c r="A525" s="351" t="str">
        <f>IF(B525="","",(IF(ISERROR(MATCH(B525,Tot_res!C:C,0)),"Eliminar!!!","")))</f>
        <v/>
      </c>
      <c r="B525" s="102" t="s">
        <v>453</v>
      </c>
      <c r="C525" s="329" t="str">
        <f>VLOOKUP(B525,Tot_res!C:D,2,FALSE)</f>
        <v>IVMH, sobreesfuerzo fiscal</v>
      </c>
      <c r="D525" s="332">
        <f>Gasto_o_ing_per_capita!D525*100/Gasto_o_ing_per_capita!$D525</f>
        <v>99.999999999999986</v>
      </c>
      <c r="E525" s="332">
        <f>Gasto_o_ing_per_capita!E525*100/Gasto_o_ing_per_capita!$D525</f>
        <v>188.78086545865858</v>
      </c>
      <c r="F525" s="332">
        <f>Gasto_o_ing_per_capita!F525*100/Gasto_o_ing_per_capita!$D525</f>
        <v>15.568513929958323</v>
      </c>
      <c r="G525" s="332">
        <f>Gasto_o_ing_per_capita!G525*100/Gasto_o_ing_per_capita!$D525</f>
        <v>56.623403158656266</v>
      </c>
      <c r="H525" s="332">
        <f>Gasto_o_ing_per_capita!H525*100/Gasto_o_ing_per_capita!$D525</f>
        <v>69.572523207695454</v>
      </c>
      <c r="I525" s="332">
        <f>Gasto_o_ing_per_capita!I525*100/Gasto_o_ing_per_capita!$D525</f>
        <v>7.5848065275696595</v>
      </c>
      <c r="J525" s="332">
        <f>Gasto_o_ing_per_capita!J525*100/Gasto_o_ing_per_capita!$D525</f>
        <v>183.86904611266624</v>
      </c>
      <c r="K525" s="332">
        <f>Gasto_o_ing_per_capita!K525*100/Gasto_o_ing_per_capita!$D525</f>
        <v>160.49838820369087</v>
      </c>
      <c r="L525" s="332">
        <f>Gasto_o_ing_per_capita!L525*100/Gasto_o_ing_per_capita!$D525</f>
        <v>122.21008414585543</v>
      </c>
      <c r="M525" s="332">
        <f>Gasto_o_ing_per_capita!M525*100/Gasto_o_ing_per_capita!$D525</f>
        <v>77.180442001321893</v>
      </c>
      <c r="N525" s="332">
        <f>Gasto_o_ing_per_capita!N525*100/Gasto_o_ing_per_capita!$D525</f>
        <v>182.91927273767311</v>
      </c>
      <c r="O525" s="332">
        <f>Gasto_o_ing_per_capita!O525*100/Gasto_o_ing_per_capita!$D525</f>
        <v>267.8770234705496</v>
      </c>
      <c r="P525" s="332">
        <f>Gasto_o_ing_per_capita!P525*100/Gasto_o_ing_per_capita!$D525</f>
        <v>73.509547469886499</v>
      </c>
      <c r="Q525" s="332">
        <f>Gasto_o_ing_per_capita!Q525*100/Gasto_o_ing_per_capita!$D525</f>
        <v>50.432013361814818</v>
      </c>
      <c r="R525" s="332">
        <f>Gasto_o_ing_per_capita!R525*100/Gasto_o_ing_per_capita!$D525</f>
        <v>192.80532335793171</v>
      </c>
      <c r="S525" s="332">
        <f>Gasto_o_ing_per_capita!S525*100/Gasto_o_ing_per_capita!$D525</f>
        <v>-763.11635453605425</v>
      </c>
      <c r="T525" s="332">
        <f>Gasto_o_ing_per_capita!T525*100/Gasto_o_ing_per_capita!$D525</f>
        <v>16.969954715754621</v>
      </c>
      <c r="U525" s="332">
        <f>Gasto_o_ing_per_capita!U525*100/Gasto_o_ing_per_capita!$D525</f>
        <v>15.402267147016108</v>
      </c>
      <c r="V525" s="332">
        <f>Gasto_o_ing_per_capita!V525*100/Gasto_o_ing_per_capita!$D525</f>
        <v>11.849648309092256</v>
      </c>
    </row>
    <row r="526" spans="1:22" s="102" customFormat="1">
      <c r="A526" s="351" t="str">
        <f>IF(B526="","",(IF(ISERROR(MATCH(B526,Tot_res!C:C,0)),"Eliminar!!!","")))</f>
        <v/>
      </c>
      <c r="B526" s="102" t="s">
        <v>455</v>
      </c>
      <c r="C526" s="329" t="str">
        <f>VLOOKUP(B526,Tot_res!C:D,2,FALSE)</f>
        <v>Tasas sobre el juego, sobreesfuerzo fiscal</v>
      </c>
      <c r="D526" s="332">
        <f>Gasto_o_ing_per_capita!D526*100/Gasto_o_ing_per_capita!$D526</f>
        <v>100</v>
      </c>
      <c r="E526" s="332">
        <f>Gasto_o_ing_per_capita!E526*100/Gasto_o_ing_per_capita!$D526</f>
        <v>457.09361731738579</v>
      </c>
      <c r="F526" s="332">
        <f>Gasto_o_ing_per_capita!F526*100/Gasto_o_ing_per_capita!$D526</f>
        <v>1805.0822169075589</v>
      </c>
      <c r="G526" s="332">
        <f>Gasto_o_ing_per_capita!G526*100/Gasto_o_ing_per_capita!$D526</f>
        <v>1385.2029457956605</v>
      </c>
      <c r="H526" s="332">
        <f>Gasto_o_ing_per_capita!H526*100/Gasto_o_ing_per_capita!$D526</f>
        <v>-1198.7845092256948</v>
      </c>
      <c r="I526" s="332">
        <f>Gasto_o_ing_per_capita!I526*100/Gasto_o_ing_per_capita!$D526</f>
        <v>2212.8325654796954</v>
      </c>
      <c r="J526" s="332">
        <f>Gasto_o_ing_per_capita!J526*100/Gasto_o_ing_per_capita!$D526</f>
        <v>713.34928850302015</v>
      </c>
      <c r="K526" s="332">
        <f>Gasto_o_ing_per_capita!K526*100/Gasto_o_ing_per_capita!$D526</f>
        <v>309.84081385746259</v>
      </c>
      <c r="L526" s="332">
        <f>Gasto_o_ing_per_capita!L526*100/Gasto_o_ing_per_capita!$D526</f>
        <v>-604.64105867435626</v>
      </c>
      <c r="M526" s="332">
        <f>Gasto_o_ing_per_capita!M526*100/Gasto_o_ing_per_capita!$D526</f>
        <v>1773.2160497954721</v>
      </c>
      <c r="N526" s="332">
        <f>Gasto_o_ing_per_capita!N526*100/Gasto_o_ing_per_capita!$D526</f>
        <v>-288.0472259150622</v>
      </c>
      <c r="O526" s="332">
        <f>Gasto_o_ing_per_capita!O526*100/Gasto_o_ing_per_capita!$D526</f>
        <v>993.59694184014779</v>
      </c>
      <c r="P526" s="332">
        <f>Gasto_o_ing_per_capita!P526*100/Gasto_o_ing_per_capita!$D526</f>
        <v>-678.76826028139567</v>
      </c>
      <c r="Q526" s="332">
        <f>Gasto_o_ing_per_capita!Q526*100/Gasto_o_ing_per_capita!$D526</f>
        <v>-3794.816223366337</v>
      </c>
      <c r="R526" s="332">
        <f>Gasto_o_ing_per_capita!R526*100/Gasto_o_ing_per_capita!$D526</f>
        <v>1020.9599499972081</v>
      </c>
      <c r="S526" s="332">
        <f>Gasto_o_ing_per_capita!S526*100/Gasto_o_ing_per_capita!$D526</f>
        <v>-332.48932825073877</v>
      </c>
      <c r="T526" s="332">
        <f>Gasto_o_ing_per_capita!T526*100/Gasto_o_ing_per_capita!$D526</f>
        <v>2199.9039935585465</v>
      </c>
      <c r="U526" s="332">
        <f>Gasto_o_ing_per_capita!U526*100/Gasto_o_ing_per_capita!$D526</f>
        <v>2914.2048326199724</v>
      </c>
      <c r="V526" s="332">
        <f>Gasto_o_ing_per_capita!V526*100/Gasto_o_ing_per_capita!$D526</f>
        <v>195.91631243851202</v>
      </c>
    </row>
    <row r="527" spans="1:22" s="102" customFormat="1">
      <c r="A527" s="351" t="str">
        <f>IF(B527="","",(IF(ISERROR(MATCH(B527,Tot_res!C:C,0)),"Eliminar!!!","")))</f>
        <v/>
      </c>
      <c r="B527" s="102" t="s">
        <v>456</v>
      </c>
      <c r="C527" s="329" t="str">
        <f>VLOOKUP(B527,Tot_res!C:D,2,FALSE)</f>
        <v>Canarias, sobreesfuerzo fiscal consumo</v>
      </c>
      <c r="D527" s="332">
        <f>Gasto_o_ing_per_capita!D527*100/Gasto_o_ing_per_capita!$D527</f>
        <v>100.00000000000001</v>
      </c>
      <c r="E527" s="332">
        <f>Gasto_o_ing_per_capita!E527*100/Gasto_o_ing_per_capita!$D527</f>
        <v>24.5811035505272</v>
      </c>
      <c r="F527" s="332">
        <f>Gasto_o_ing_per_capita!F527*100/Gasto_o_ing_per_capita!$D527</f>
        <v>25.335878477959412</v>
      </c>
      <c r="G527" s="332">
        <f>Gasto_o_ing_per_capita!G527*100/Gasto_o_ing_per_capita!$D527</f>
        <v>28.40758350657379</v>
      </c>
      <c r="H527" s="332">
        <f>Gasto_o_ing_per_capita!H527*100/Gasto_o_ing_per_capita!$D527</f>
        <v>24.278662124033634</v>
      </c>
      <c r="I527" s="332">
        <f>Gasto_o_ing_per_capita!I527*100/Gasto_o_ing_per_capita!$D527</f>
        <v>1679.2142979275841</v>
      </c>
      <c r="J527" s="332">
        <f>Gasto_o_ing_per_capita!J527*100/Gasto_o_ing_per_capita!$D527</f>
        <v>26.498907803944114</v>
      </c>
      <c r="K527" s="332">
        <f>Gasto_o_ing_per_capita!K527*100/Gasto_o_ing_per_capita!$D527</f>
        <v>26.382706929008673</v>
      </c>
      <c r="L527" s="332">
        <f>Gasto_o_ing_per_capita!L527*100/Gasto_o_ing_per_capita!$D527</f>
        <v>23.902415822466626</v>
      </c>
      <c r="M527" s="332">
        <f>Gasto_o_ing_per_capita!M527*100/Gasto_o_ing_per_capita!$D527</f>
        <v>25.249564949157808</v>
      </c>
      <c r="N527" s="332">
        <f>Gasto_o_ing_per_capita!N527*100/Gasto_o_ing_per_capita!$D527</f>
        <v>24.835633584544997</v>
      </c>
      <c r="O527" s="332">
        <f>Gasto_o_ing_per_capita!O527*100/Gasto_o_ing_per_capita!$D527</f>
        <v>24.755430052609842</v>
      </c>
      <c r="P527" s="332">
        <f>Gasto_o_ing_per_capita!P527*100/Gasto_o_ing_per_capita!$D527</f>
        <v>26.730818999547424</v>
      </c>
      <c r="Q527" s="332">
        <f>Gasto_o_ing_per_capita!Q527*100/Gasto_o_ing_per_capita!$D527</f>
        <v>26.334155761028669</v>
      </c>
      <c r="R527" s="332">
        <f>Gasto_o_ing_per_capita!R527*100/Gasto_o_ing_per_capita!$D527</f>
        <v>23.567005081970159</v>
      </c>
      <c r="S527" s="332">
        <f>Gasto_o_ing_per_capita!S527*100/Gasto_o_ing_per_capita!$D527</f>
        <v>26.984492101597958</v>
      </c>
      <c r="T527" s="332">
        <f>Gasto_o_ing_per_capita!T527*100/Gasto_o_ing_per_capita!$D527</f>
        <v>29.151099497835354</v>
      </c>
      <c r="U527" s="332">
        <f>Gasto_o_ing_per_capita!U527*100/Gasto_o_ing_per_capita!$D527</f>
        <v>25.919009490469822</v>
      </c>
      <c r="V527" s="332">
        <f>Gasto_o_ing_per_capita!V527*100/Gasto_o_ing_per_capita!$D527</f>
        <v>23.848755655638271</v>
      </c>
    </row>
    <row r="528" spans="1:22" s="102" customFormat="1">
      <c r="A528" s="351" t="str">
        <f>IF(B528="","",(IF(ISERROR(MATCH(B528,Tot_res!C:C,0)),"Eliminar!!!","")))</f>
        <v/>
      </c>
      <c r="B528" s="102" t="s">
        <v>457</v>
      </c>
      <c r="C528" s="329" t="str">
        <f>VLOOKUP(B528,Tot_res!C:D,2,FALSE)</f>
        <v>Ceuta y Melilla, sobreesfuerzo fiscal consumo</v>
      </c>
      <c r="D528" s="332">
        <f>Gasto_o_ing_per_capita!D528*100/Gasto_o_ing_per_capita!$D528</f>
        <v>100</v>
      </c>
      <c r="E528" s="332">
        <f>Gasto_o_ing_per_capita!E528*100/Gasto_o_ing_per_capita!$D528</f>
        <v>0</v>
      </c>
      <c r="F528" s="332">
        <f>Gasto_o_ing_per_capita!F528*100/Gasto_o_ing_per_capita!$D528</f>
        <v>0</v>
      </c>
      <c r="G528" s="332">
        <f>Gasto_o_ing_per_capita!G528*100/Gasto_o_ing_per_capita!$D528</f>
        <v>0</v>
      </c>
      <c r="H528" s="332">
        <f>Gasto_o_ing_per_capita!H528*100/Gasto_o_ing_per_capita!$D528</f>
        <v>0</v>
      </c>
      <c r="I528" s="332">
        <f>Gasto_o_ing_per_capita!I528*100/Gasto_o_ing_per_capita!$D528</f>
        <v>0</v>
      </c>
      <c r="J528" s="332">
        <f>Gasto_o_ing_per_capita!J528*100/Gasto_o_ing_per_capita!$D528</f>
        <v>0</v>
      </c>
      <c r="K528" s="332">
        <f>Gasto_o_ing_per_capita!K528*100/Gasto_o_ing_per_capita!$D528</f>
        <v>0</v>
      </c>
      <c r="L528" s="332">
        <f>Gasto_o_ing_per_capita!L528*100/Gasto_o_ing_per_capita!$D528</f>
        <v>0</v>
      </c>
      <c r="M528" s="332">
        <f>Gasto_o_ing_per_capita!M528*100/Gasto_o_ing_per_capita!$D528</f>
        <v>0</v>
      </c>
      <c r="N528" s="332">
        <f>Gasto_o_ing_per_capita!N528*100/Gasto_o_ing_per_capita!$D528</f>
        <v>0</v>
      </c>
      <c r="O528" s="332">
        <f>Gasto_o_ing_per_capita!O528*100/Gasto_o_ing_per_capita!$D528</f>
        <v>0</v>
      </c>
      <c r="P528" s="332">
        <f>Gasto_o_ing_per_capita!P528*100/Gasto_o_ing_per_capita!$D528</f>
        <v>0</v>
      </c>
      <c r="Q528" s="332">
        <f>Gasto_o_ing_per_capita!Q528*100/Gasto_o_ing_per_capita!$D528</f>
        <v>0</v>
      </c>
      <c r="R528" s="332">
        <f>Gasto_o_ing_per_capita!R528*100/Gasto_o_ing_per_capita!$D528</f>
        <v>0</v>
      </c>
      <c r="S528" s="332">
        <f>Gasto_o_ing_per_capita!S528*100/Gasto_o_ing_per_capita!$D528</f>
        <v>0</v>
      </c>
      <c r="T528" s="332">
        <f>Gasto_o_ing_per_capita!T528*100/Gasto_o_ing_per_capita!$D528</f>
        <v>0</v>
      </c>
      <c r="U528" s="332">
        <f>Gasto_o_ing_per_capita!U528*100/Gasto_o_ing_per_capita!$D528</f>
        <v>0</v>
      </c>
      <c r="V528" s="332">
        <f>Gasto_o_ing_per_capita!V528*100/Gasto_o_ing_per_capita!$D528</f>
        <v>27524.46016874976</v>
      </c>
    </row>
    <row r="529" spans="1:22" s="102" customFormat="1">
      <c r="A529" s="351" t="str">
        <f>IF(B529="","",(IF(ISERROR(MATCH(B529,Tot_res!C:C,0)),"Eliminar!!!","")))</f>
        <v/>
      </c>
      <c r="B529" s="102" t="s">
        <v>458</v>
      </c>
      <c r="C529" s="329" t="str">
        <f>VLOOKUP(B529,Tot_res!C:D,2,FALSE)</f>
        <v>Impuesto de matriculación, sobreesfuerzo fiscal</v>
      </c>
      <c r="D529" s="332">
        <f>Gasto_o_ing_per_capita!D529*100/Gasto_o_ing_per_capita!$D529</f>
        <v>99.999999999999986</v>
      </c>
      <c r="E529" s="332">
        <f>Gasto_o_ing_per_capita!E529*100/Gasto_o_ing_per_capita!$D529</f>
        <v>206.66100317299581</v>
      </c>
      <c r="F529" s="332">
        <f>Gasto_o_ing_per_capita!F529*100/Gasto_o_ing_per_capita!$D529</f>
        <v>9.7274655531481908</v>
      </c>
      <c r="G529" s="332">
        <f>Gasto_o_ing_per_capita!G529*100/Gasto_o_ing_per_capita!$D529</f>
        <v>106.0755154213912</v>
      </c>
      <c r="H529" s="332">
        <f>Gasto_o_ing_per_capita!H529*100/Gasto_o_ing_per_capita!$D529</f>
        <v>274.71922276556757</v>
      </c>
      <c r="I529" s="332">
        <f>Gasto_o_ing_per_capita!I529*100/Gasto_o_ing_per_capita!$D529</f>
        <v>4.4721443295146504</v>
      </c>
      <c r="J529" s="332">
        <f>Gasto_o_ing_per_capita!J529*100/Gasto_o_ing_per_capita!$D529</f>
        <v>296.2587350651948</v>
      </c>
      <c r="K529" s="332">
        <f>Gasto_o_ing_per_capita!K529*100/Gasto_o_ing_per_capita!$D529</f>
        <v>9.4331513302822909</v>
      </c>
      <c r="L529" s="332">
        <f>Gasto_o_ing_per_capita!L529*100/Gasto_o_ing_per_capita!$D529</f>
        <v>8.7597848941687637</v>
      </c>
      <c r="M529" s="332">
        <f>Gasto_o_ing_per_capita!M529*100/Gasto_o_ing_per_capita!$D529</f>
        <v>195.00149391160079</v>
      </c>
      <c r="N529" s="332">
        <f>Gasto_o_ing_per_capita!N529*100/Gasto_o_ing_per_capita!$D529</f>
        <v>9.2468049756530846</v>
      </c>
      <c r="O529" s="332">
        <f>Gasto_o_ing_per_capita!O529*100/Gasto_o_ing_per_capita!$D529</f>
        <v>547.22096309845472</v>
      </c>
      <c r="P529" s="332">
        <f>Gasto_o_ing_per_capita!P529*100/Gasto_o_ing_per_capita!$D529</f>
        <v>9.2973144711367208</v>
      </c>
      <c r="Q529" s="332">
        <f>Gasto_o_ing_per_capita!Q529*100/Gasto_o_ing_per_capita!$D529</f>
        <v>10.642934295026373</v>
      </c>
      <c r="R529" s="332">
        <f>Gasto_o_ing_per_capita!R529*100/Gasto_o_ing_per_capita!$D529</f>
        <v>27.839042216499731</v>
      </c>
      <c r="S529" s="332">
        <f>Gasto_o_ing_per_capita!S529*100/Gasto_o_ing_per_capita!$D529</f>
        <v>9.9776057465507506</v>
      </c>
      <c r="T529" s="332">
        <f>Gasto_o_ing_per_capita!T529*100/Gasto_o_ing_per_capita!$D529</f>
        <v>10.887887062875828</v>
      </c>
      <c r="U529" s="332">
        <f>Gasto_o_ing_per_capita!U529*100/Gasto_o_ing_per_capita!$D529</f>
        <v>9.5534890550439631</v>
      </c>
      <c r="V529" s="332">
        <f>Gasto_o_ing_per_capita!V529*100/Gasto_o_ing_per_capita!$D529</f>
        <v>7.2730084691077561</v>
      </c>
    </row>
    <row r="530" spans="1:22" s="102" customFormat="1">
      <c r="A530" s="351" t="str">
        <f>IF(B530="","",(IF(ISERROR(MATCH(B530,Tot_res!C:C,0)),"Eliminar!!!","")))</f>
        <v/>
      </c>
      <c r="B530" s="102" t="s">
        <v>459</v>
      </c>
      <c r="C530" s="329" t="str">
        <f>VLOOKUP(B530,Tot_res!C:D,2,FALSE)</f>
        <v>Impuestos propios de las CCAA</v>
      </c>
      <c r="D530" s="332">
        <f>Gasto_o_ing_per_capita!D530*100/Gasto_o_ing_per_capita!$D530</f>
        <v>100</v>
      </c>
      <c r="E530" s="332">
        <f>Gasto_o_ing_per_capita!E530*100/Gasto_o_ing_per_capita!$D530</f>
        <v>48.264922886072398</v>
      </c>
      <c r="F530" s="332">
        <f>Gasto_o_ing_per_capita!F530*100/Gasto_o_ing_per_capita!$D530</f>
        <v>133.3194506672663</v>
      </c>
      <c r="G530" s="332">
        <f>Gasto_o_ing_per_capita!G530*100/Gasto_o_ing_per_capita!$D530</f>
        <v>80.198448310806839</v>
      </c>
      <c r="H530" s="332">
        <f>Gasto_o_ing_per_capita!H530*100/Gasto_o_ing_per_capita!$D530</f>
        <v>237.03314858181156</v>
      </c>
      <c r="I530" s="332">
        <f>Gasto_o_ing_per_capita!I530*100/Gasto_o_ing_per_capita!$D530</f>
        <v>31.323514966020451</v>
      </c>
      <c r="J530" s="332">
        <f>Gasto_o_ing_per_capita!J530*100/Gasto_o_ing_per_capita!$D530</f>
        <v>144.02816884921037</v>
      </c>
      <c r="K530" s="332">
        <f>Gasto_o_ing_per_capita!K530*100/Gasto_o_ing_per_capita!$D530</f>
        <v>86.800430173133435</v>
      </c>
      <c r="L530" s="332">
        <f>Gasto_o_ing_per_capita!L530*100/Gasto_o_ing_per_capita!$D530</f>
        <v>33.751216239277781</v>
      </c>
      <c r="M530" s="332">
        <f>Gasto_o_ing_per_capita!M530*100/Gasto_o_ing_per_capita!$D530</f>
        <v>148.0730634933887</v>
      </c>
      <c r="N530" s="332">
        <f>Gasto_o_ing_per_capita!N530*100/Gasto_o_ing_per_capita!$D530</f>
        <v>165.27569523111086</v>
      </c>
      <c r="O530" s="332">
        <f>Gasto_o_ing_per_capita!O530*100/Gasto_o_ing_per_capita!$D530</f>
        <v>246.58249581842014</v>
      </c>
      <c r="P530" s="332">
        <f>Gasto_o_ing_per_capita!P530*100/Gasto_o_ing_per_capita!$D530</f>
        <v>114.75927164661562</v>
      </c>
      <c r="Q530" s="332">
        <f>Gasto_o_ing_per_capita!Q530*100/Gasto_o_ing_per_capita!$D530</f>
        <v>20.482788015038519</v>
      </c>
      <c r="R530" s="332">
        <f>Gasto_o_ing_per_capita!R530*100/Gasto_o_ing_per_capita!$D530</f>
        <v>103.52297377338697</v>
      </c>
      <c r="S530" s="332">
        <f>Gasto_o_ing_per_capita!S530*100/Gasto_o_ing_per_capita!$D530</f>
        <v>156.60981054539801</v>
      </c>
      <c r="T530" s="332">
        <f>Gasto_o_ing_per_capita!T530*100/Gasto_o_ing_per_capita!$D530</f>
        <v>156.34311906750185</v>
      </c>
      <c r="U530" s="332">
        <f>Gasto_o_ing_per_capita!U530*100/Gasto_o_ing_per_capita!$D530</f>
        <v>176.21746112503652</v>
      </c>
      <c r="V530" s="332">
        <f>Gasto_o_ing_per_capita!V530*100/Gasto_o_ing_per_capita!$D530</f>
        <v>5.0486858693527932</v>
      </c>
    </row>
    <row r="531" spans="1:22" s="102" customFormat="1">
      <c r="A531" s="352"/>
      <c r="C531" s="119"/>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54" t="s">
        <v>425</v>
      </c>
      <c r="D532" s="110">
        <f>Gasto_o_ing_per_capita!D532*100/Gasto_o_ing_per_capita!$D532</f>
        <v>100</v>
      </c>
      <c r="E532" s="110">
        <f>Gasto_o_ing_per_capita!E532*100/Gasto_o_ing_per_capita!$D532</f>
        <v>82.264995364624099</v>
      </c>
      <c r="F532" s="110">
        <f>Gasto_o_ing_per_capita!F532*100/Gasto_o_ing_per_capita!$D532</f>
        <v>104.63478159710463</v>
      </c>
      <c r="G532" s="110">
        <f>Gasto_o_ing_per_capita!G532*100/Gasto_o_ing_per_capita!$D532</f>
        <v>92.575585831462661</v>
      </c>
      <c r="H532" s="110">
        <f>Gasto_o_ing_per_capita!H532*100/Gasto_o_ing_per_capita!$D532</f>
        <v>131.52064725067359</v>
      </c>
      <c r="I532" s="110">
        <f>Gasto_o_ing_per_capita!I532*100/Gasto_o_ing_per_capita!$D532</f>
        <v>78.601322846876897</v>
      </c>
      <c r="J532" s="110">
        <f>Gasto_o_ing_per_capita!J532*100/Gasto_o_ing_per_capita!$D532</f>
        <v>107.49217828191077</v>
      </c>
      <c r="K532" s="110">
        <f>Gasto_o_ing_per_capita!K532*100/Gasto_o_ing_per_capita!$D532</f>
        <v>92.961963882195676</v>
      </c>
      <c r="L532" s="110">
        <f>Gasto_o_ing_per_capita!L532*100/Gasto_o_ing_per_capita!$D532</f>
        <v>90.002774320320768</v>
      </c>
      <c r="M532" s="110">
        <f>Gasto_o_ing_per_capita!M532*100/Gasto_o_ing_per_capita!$D532</f>
        <v>124.02229214324754</v>
      </c>
      <c r="N532" s="110">
        <f>Gasto_o_ing_per_capita!N532*100/Gasto_o_ing_per_capita!$D532</f>
        <v>95.254728250026332</v>
      </c>
      <c r="O532" s="110">
        <f>Gasto_o_ing_per_capita!O532*100/Gasto_o_ing_per_capita!$D532</f>
        <v>68.638717425138083</v>
      </c>
      <c r="P532" s="110">
        <f>Gasto_o_ing_per_capita!P532*100/Gasto_o_ing_per_capita!$D532</f>
        <v>74.147612775662751</v>
      </c>
      <c r="Q532" s="110">
        <f>Gasto_o_ing_per_capita!Q532*100/Gasto_o_ing_per_capita!$D532</f>
        <v>126.09674998328143</v>
      </c>
      <c r="R532" s="110">
        <f>Gasto_o_ing_per_capita!R532*100/Gasto_o_ing_per_capita!$D532</f>
        <v>88.247652436595502</v>
      </c>
      <c r="S532" s="110">
        <f>Gasto_o_ing_per_capita!S532*100/Gasto_o_ing_per_capita!$D532</f>
        <v>112.54687642785977</v>
      </c>
      <c r="T532" s="110">
        <f>Gasto_o_ing_per_capita!T532*100/Gasto_o_ing_per_capita!$D532</f>
        <v>97.214099395122346</v>
      </c>
      <c r="U532" s="110">
        <f>Gasto_o_ing_per_capita!U532*100/Gasto_o_ing_per_capita!$D532</f>
        <v>102.55893268867808</v>
      </c>
      <c r="V532" s="110">
        <f>Gasto_o_ing_per_capita!V532*100/Gasto_o_ing_per_capita!$D532</f>
        <v>37.348021289585525</v>
      </c>
    </row>
    <row r="533" spans="1:22" s="102" customFormat="1">
      <c r="A533" s="351" t="str">
        <f>IF(B533="","",(IF(ISERROR(MATCH(B533,Tot_res!C:C,0)),"Eliminar!!!","")))</f>
        <v/>
      </c>
      <c r="B533" s="102" t="s">
        <v>615</v>
      </c>
      <c r="C533" s="329" t="str">
        <f>VLOOKUP(B533,Tot_res!C:D,2,FALSE)</f>
        <v>Impuestos y tasas municipales</v>
      </c>
      <c r="D533" s="332">
        <f>Gasto_o_ing_per_capita!D533*100/Gasto_o_ing_per_capita!$D533</f>
        <v>100</v>
      </c>
      <c r="E533" s="332">
        <f>Gasto_o_ing_per_capita!E533*100/Gasto_o_ing_per_capita!$D533</f>
        <v>82.264995364624099</v>
      </c>
      <c r="F533" s="332">
        <f>Gasto_o_ing_per_capita!F533*100/Gasto_o_ing_per_capita!$D533</f>
        <v>104.63478159710463</v>
      </c>
      <c r="G533" s="332">
        <f>Gasto_o_ing_per_capita!G533*100/Gasto_o_ing_per_capita!$D533</f>
        <v>92.575585831462661</v>
      </c>
      <c r="H533" s="332">
        <f>Gasto_o_ing_per_capita!H533*100/Gasto_o_ing_per_capita!$D533</f>
        <v>131.52064725067359</v>
      </c>
      <c r="I533" s="332">
        <f>Gasto_o_ing_per_capita!I533*100/Gasto_o_ing_per_capita!$D533</f>
        <v>78.601322846876897</v>
      </c>
      <c r="J533" s="332">
        <f>Gasto_o_ing_per_capita!J533*100/Gasto_o_ing_per_capita!$D533</f>
        <v>107.49217828191077</v>
      </c>
      <c r="K533" s="332">
        <f>Gasto_o_ing_per_capita!K533*100/Gasto_o_ing_per_capita!$D533</f>
        <v>92.961963882195676</v>
      </c>
      <c r="L533" s="332">
        <f>Gasto_o_ing_per_capita!L533*100/Gasto_o_ing_per_capita!$D533</f>
        <v>90.002774320320768</v>
      </c>
      <c r="M533" s="332">
        <f>Gasto_o_ing_per_capita!M533*100/Gasto_o_ing_per_capita!$D533</f>
        <v>124.02229214324754</v>
      </c>
      <c r="N533" s="332">
        <f>Gasto_o_ing_per_capita!N533*100/Gasto_o_ing_per_capita!$D533</f>
        <v>95.254728250026332</v>
      </c>
      <c r="O533" s="332">
        <f>Gasto_o_ing_per_capita!O533*100/Gasto_o_ing_per_capita!$D533</f>
        <v>68.638717425138083</v>
      </c>
      <c r="P533" s="332">
        <f>Gasto_o_ing_per_capita!P533*100/Gasto_o_ing_per_capita!$D533</f>
        <v>74.147612775662751</v>
      </c>
      <c r="Q533" s="332">
        <f>Gasto_o_ing_per_capita!Q533*100/Gasto_o_ing_per_capita!$D533</f>
        <v>126.09674998328143</v>
      </c>
      <c r="R533" s="332">
        <f>Gasto_o_ing_per_capita!R533*100/Gasto_o_ing_per_capita!$D533</f>
        <v>88.247652436595502</v>
      </c>
      <c r="S533" s="332">
        <f>Gasto_o_ing_per_capita!S533*100/Gasto_o_ing_per_capita!$D533</f>
        <v>112.54687642785977</v>
      </c>
      <c r="T533" s="332">
        <f>Gasto_o_ing_per_capita!T533*100/Gasto_o_ing_per_capita!$D533</f>
        <v>97.214099395122346</v>
      </c>
      <c r="U533" s="332">
        <f>Gasto_o_ing_per_capita!U533*100/Gasto_o_ing_per_capita!$D533</f>
        <v>102.55893268867808</v>
      </c>
      <c r="V533" s="332">
        <f>Gasto_o_ing_per_capita!V533*100/Gasto_o_ing_per_capita!$D533</f>
        <v>37.348021289585525</v>
      </c>
    </row>
    <row r="534" spans="1:22" s="102" customFormat="1">
      <c r="A534" s="352"/>
      <c r="C534" s="104"/>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54" t="s">
        <v>94</v>
      </c>
      <c r="D535" s="110">
        <f>Gasto_o_ing_per_capita!D535*100/Gasto_o_ing_per_capita!$D535</f>
        <v>100</v>
      </c>
      <c r="E535" s="110">
        <f>Gasto_o_ing_per_capita!E535*100/Gasto_o_ing_per_capita!$D535</f>
        <v>79.033444576257622</v>
      </c>
      <c r="F535" s="110">
        <f>Gasto_o_ing_per_capita!F535*100/Gasto_o_ing_per_capita!$D535</f>
        <v>106.61423912424242</v>
      </c>
      <c r="G535" s="110">
        <f>Gasto_o_ing_per_capita!G535*100/Gasto_o_ing_per_capita!$D535</f>
        <v>102.80992393343359</v>
      </c>
      <c r="H535" s="110">
        <f>Gasto_o_ing_per_capita!H535*100/Gasto_o_ing_per_capita!$D535</f>
        <v>109.46536990920346</v>
      </c>
      <c r="I535" s="110">
        <f>Gasto_o_ing_per_capita!I535*100/Gasto_o_ing_per_capita!$D535</f>
        <v>61.711236036014675</v>
      </c>
      <c r="J535" s="110">
        <f>Gasto_o_ing_per_capita!J535*100/Gasto_o_ing_per_capita!$D535</f>
        <v>102.75225639839512</v>
      </c>
      <c r="K535" s="110">
        <f>Gasto_o_ing_per_capita!K535*100/Gasto_o_ing_per_capita!$D535</f>
        <v>95.012748141318127</v>
      </c>
      <c r="L535" s="110">
        <f>Gasto_o_ing_per_capita!L535*100/Gasto_o_ing_per_capita!$D535</f>
        <v>80.196494745739898</v>
      </c>
      <c r="M535" s="110">
        <f>Gasto_o_ing_per_capita!M535*100/Gasto_o_ing_per_capita!$D535</f>
        <v>118.62328149921321</v>
      </c>
      <c r="N535" s="110">
        <f>Gasto_o_ing_per_capita!N535*100/Gasto_o_ing_per_capita!$D535</f>
        <v>91.024241972674957</v>
      </c>
      <c r="O535" s="110">
        <f>Gasto_o_ing_per_capita!O535*100/Gasto_o_ing_per_capita!$D535</f>
        <v>73.974351809653541</v>
      </c>
      <c r="P535" s="110">
        <f>Gasto_o_ing_per_capita!P535*100/Gasto_o_ing_per_capita!$D535</f>
        <v>91.190391688478101</v>
      </c>
      <c r="Q535" s="110">
        <f>Gasto_o_ing_per_capita!Q535*100/Gasto_o_ing_per_capita!$D535</f>
        <v>137.63961560390175</v>
      </c>
      <c r="R535" s="110">
        <f>Gasto_o_ing_per_capita!R535*100/Gasto_o_ing_per_capita!$D535</f>
        <v>82.512910753184343</v>
      </c>
      <c r="S535" s="110">
        <f>Gasto_o_ing_per_capita!S535*100/Gasto_o_ing_per_capita!$D535</f>
        <v>105.44952976047404</v>
      </c>
      <c r="T535" s="110">
        <f>Gasto_o_ing_per_capita!T535*100/Gasto_o_ing_per_capita!$D535</f>
        <v>113.72040960500975</v>
      </c>
      <c r="U535" s="110">
        <f>Gasto_o_ing_per_capita!U535*100/Gasto_o_ing_per_capita!$D535</f>
        <v>101.3761715274813</v>
      </c>
      <c r="V535" s="110">
        <f>Gasto_o_ing_per_capita!V535*100/Gasto_o_ing_per_capita!$D535</f>
        <v>57.905968342415022</v>
      </c>
    </row>
    <row r="536" spans="1:22" s="102" customFormat="1">
      <c r="A536" s="352"/>
      <c r="C536" s="104"/>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Gasto_o_ing_per_capita!D537*100/Gasto_o_ing_per_capita!$D537</f>
        <v>100</v>
      </c>
      <c r="E537" s="110">
        <f>Gasto_o_ing_per_capita!E537*100/Gasto_o_ing_per_capita!$D537</f>
        <v>76.224725250201743</v>
      </c>
      <c r="F537" s="110">
        <f>Gasto_o_ing_per_capita!F537*100/Gasto_o_ing_per_capita!$D537</f>
        <v>108.91553919346615</v>
      </c>
      <c r="G537" s="110">
        <f>Gasto_o_ing_per_capita!G537*100/Gasto_o_ing_per_capita!$D537</f>
        <v>100.82780787234984</v>
      </c>
      <c r="H537" s="110">
        <f>Gasto_o_ing_per_capita!H537*100/Gasto_o_ing_per_capita!$D537</f>
        <v>107.93195312842849</v>
      </c>
      <c r="I537" s="110">
        <f>Gasto_o_ing_per_capita!I537*100/Gasto_o_ing_per_capita!$D537</f>
        <v>86.731579006559144</v>
      </c>
      <c r="J537" s="110">
        <f>Gasto_o_ing_per_capita!J537*100/Gasto_o_ing_per_capita!$D537</f>
        <v>102.17196859542551</v>
      </c>
      <c r="K537" s="110">
        <f>Gasto_o_ing_per_capita!K537*100/Gasto_o_ing_per_capita!$D537</f>
        <v>96.956262559857905</v>
      </c>
      <c r="L537" s="110">
        <f>Gasto_o_ing_per_capita!L537*100/Gasto_o_ing_per_capita!$D537</f>
        <v>84.476636927100159</v>
      </c>
      <c r="M537" s="110">
        <f>Gasto_o_ing_per_capita!M537*100/Gasto_o_ing_per_capita!$D537</f>
        <v>116.58386109475866</v>
      </c>
      <c r="N537" s="110">
        <f>Gasto_o_ing_per_capita!N537*100/Gasto_o_ing_per_capita!$D537</f>
        <v>86.4670940866678</v>
      </c>
      <c r="O537" s="110">
        <f>Gasto_o_ing_per_capita!O537*100/Gasto_o_ing_per_capita!$D537</f>
        <v>73.73870601378438</v>
      </c>
      <c r="P537" s="110">
        <f>Gasto_o_ing_per_capita!P537*100/Gasto_o_ing_per_capita!$D537</f>
        <v>91.841346066086572</v>
      </c>
      <c r="Q537" s="110">
        <f>Gasto_o_ing_per_capita!Q537*100/Gasto_o_ing_per_capita!$D537</f>
        <v>127.27037065174841</v>
      </c>
      <c r="R537" s="110">
        <f>Gasto_o_ing_per_capita!R537*100/Gasto_o_ing_per_capita!$D537</f>
        <v>80.149055435950842</v>
      </c>
      <c r="S537" s="110">
        <f>Gasto_o_ing_per_capita!S537*100/Gasto_o_ing_per_capita!$D537</f>
        <v>125.09523675302745</v>
      </c>
      <c r="T537" s="110">
        <f>Gasto_o_ing_per_capita!T537*100/Gasto_o_ing_per_capita!$D537</f>
        <v>135.3978343301022</v>
      </c>
      <c r="U537" s="110">
        <f>Gasto_o_ing_per_capita!U537*100/Gasto_o_ing_per_capita!$D537</f>
        <v>105.58146693341041</v>
      </c>
      <c r="V537" s="110">
        <f>Gasto_o_ing_per_capita!V537*100/Gasto_o_ing_per_capita!$D537</f>
        <v>80.719650132058632</v>
      </c>
    </row>
    <row r="538" spans="1:22" s="102" customFormat="1">
      <c r="A538" s="351" t="str">
        <f>IF(B538="","",(IF(ISERROR(MATCH(B538,Tot_res!C:C,0)),"Eliminar!!!","")))</f>
        <v/>
      </c>
      <c r="B538" s="102" t="s">
        <v>614</v>
      </c>
      <c r="C538" s="329" t="str">
        <f>VLOOKUP(B538,Tot_res!C:D,2,FALSE)</f>
        <v>Cotizaciones sociales</v>
      </c>
      <c r="D538" s="332">
        <f>Gasto_o_ing_per_capita!D538*100/Gasto_o_ing_per_capita!$D538</f>
        <v>100</v>
      </c>
      <c r="E538" s="332">
        <f>Gasto_o_ing_per_capita!E538*100/Gasto_o_ing_per_capita!$D538</f>
        <v>76.224725250201743</v>
      </c>
      <c r="F538" s="332">
        <f>Gasto_o_ing_per_capita!F538*100/Gasto_o_ing_per_capita!$D538</f>
        <v>108.91553919346615</v>
      </c>
      <c r="G538" s="332">
        <f>Gasto_o_ing_per_capita!G538*100/Gasto_o_ing_per_capita!$D538</f>
        <v>100.82780787234984</v>
      </c>
      <c r="H538" s="332">
        <f>Gasto_o_ing_per_capita!H538*100/Gasto_o_ing_per_capita!$D538</f>
        <v>107.93195312842849</v>
      </c>
      <c r="I538" s="332">
        <f>Gasto_o_ing_per_capita!I538*100/Gasto_o_ing_per_capita!$D538</f>
        <v>86.731579006559144</v>
      </c>
      <c r="J538" s="332">
        <f>Gasto_o_ing_per_capita!J538*100/Gasto_o_ing_per_capita!$D538</f>
        <v>102.17196859542551</v>
      </c>
      <c r="K538" s="332">
        <f>Gasto_o_ing_per_capita!K538*100/Gasto_o_ing_per_capita!$D538</f>
        <v>96.956262559857905</v>
      </c>
      <c r="L538" s="332">
        <f>Gasto_o_ing_per_capita!L538*100/Gasto_o_ing_per_capita!$D538</f>
        <v>84.476636927100159</v>
      </c>
      <c r="M538" s="332">
        <f>Gasto_o_ing_per_capita!M538*100/Gasto_o_ing_per_capita!$D538</f>
        <v>116.58386109475866</v>
      </c>
      <c r="N538" s="332">
        <f>Gasto_o_ing_per_capita!N538*100/Gasto_o_ing_per_capita!$D538</f>
        <v>86.4670940866678</v>
      </c>
      <c r="O538" s="332">
        <f>Gasto_o_ing_per_capita!O538*100/Gasto_o_ing_per_capita!$D538</f>
        <v>73.73870601378438</v>
      </c>
      <c r="P538" s="332">
        <f>Gasto_o_ing_per_capita!P538*100/Gasto_o_ing_per_capita!$D538</f>
        <v>91.841346066086572</v>
      </c>
      <c r="Q538" s="332">
        <f>Gasto_o_ing_per_capita!Q538*100/Gasto_o_ing_per_capita!$D538</f>
        <v>127.27037065174841</v>
      </c>
      <c r="R538" s="332">
        <f>Gasto_o_ing_per_capita!R538*100/Gasto_o_ing_per_capita!$D538</f>
        <v>80.149055435950842</v>
      </c>
      <c r="S538" s="332">
        <f>Gasto_o_ing_per_capita!S538*100/Gasto_o_ing_per_capita!$D538</f>
        <v>125.09523675302745</v>
      </c>
      <c r="T538" s="332">
        <f>Gasto_o_ing_per_capita!T538*100/Gasto_o_ing_per_capita!$D538</f>
        <v>135.3978343301022</v>
      </c>
      <c r="U538" s="332">
        <f>Gasto_o_ing_per_capita!U538*100/Gasto_o_ing_per_capita!$D538</f>
        <v>105.58146693341041</v>
      </c>
      <c r="V538" s="332">
        <f>Gasto_o_ing_per_capita!V538*100/Gasto_o_ing_per_capita!$D538</f>
        <v>80.719650132058632</v>
      </c>
    </row>
    <row r="539" spans="1:22" s="102" customFormat="1">
      <c r="A539" s="352"/>
      <c r="C539" s="154"/>
      <c r="D539" s="110"/>
      <c r="E539" s="110"/>
      <c r="F539" s="110"/>
      <c r="G539" s="110"/>
      <c r="H539" s="110"/>
      <c r="I539" s="110"/>
      <c r="J539" s="110"/>
      <c r="K539" s="110"/>
      <c r="L539" s="110"/>
      <c r="M539" s="110"/>
      <c r="N539" s="110"/>
      <c r="O539" s="110"/>
      <c r="P539" s="110"/>
      <c r="Q539" s="110"/>
      <c r="R539" s="110"/>
      <c r="S539" s="110"/>
      <c r="T539" s="110"/>
      <c r="U539" s="110"/>
      <c r="V539" s="110"/>
    </row>
    <row r="540" spans="1:22" s="102" customFormat="1">
      <c r="A540" s="352"/>
      <c r="C540" s="154" t="s">
        <v>95</v>
      </c>
      <c r="D540" s="110">
        <f>Gasto_o_ing_per_capita!D540*100/Gasto_o_ing_per_capita!$D540</f>
        <v>100</v>
      </c>
      <c r="E540" s="110">
        <f>Gasto_o_ing_per_capita!E540*100/Gasto_o_ing_per_capita!$D540</f>
        <v>99.980617367320491</v>
      </c>
      <c r="F540" s="110">
        <f>Gasto_o_ing_per_capita!F540*100/Gasto_o_ing_per_capita!$D540</f>
        <v>100.00208820482632</v>
      </c>
      <c r="G540" s="110">
        <f>Gasto_o_ing_per_capita!G540*100/Gasto_o_ing_per_capita!$D540</f>
        <v>100.00258044271648</v>
      </c>
      <c r="H540" s="110">
        <f>Gasto_o_ing_per_capita!H540*100/Gasto_o_ing_per_capita!$D540</f>
        <v>100.00748031673541</v>
      </c>
      <c r="I540" s="110">
        <f>Gasto_o_ing_per_capita!I540*100/Gasto_o_ing_per_capita!$D540</f>
        <v>99.981544468958333</v>
      </c>
      <c r="J540" s="110">
        <f>Gasto_o_ing_per_capita!J540*100/Gasto_o_ing_per_capita!$D540</f>
        <v>100.00406693399221</v>
      </c>
      <c r="K540" s="110">
        <f>Gasto_o_ing_per_capita!K540*100/Gasto_o_ing_per_capita!$D540</f>
        <v>99.994677179539252</v>
      </c>
      <c r="L540" s="110">
        <f>Gasto_o_ing_per_capita!L540*100/Gasto_o_ing_per_capita!$D540</f>
        <v>99.979735437910747</v>
      </c>
      <c r="M540" s="110">
        <f>Gasto_o_ing_per_capita!M540*100/Gasto_o_ing_per_capita!$D540</f>
        <v>100.01819045425103</v>
      </c>
      <c r="N540" s="110">
        <f>Gasto_o_ing_per_capita!N540*100/Gasto_o_ing_per_capita!$D540</f>
        <v>99.994480733296896</v>
      </c>
      <c r="O540" s="110">
        <f>Gasto_o_ing_per_capita!O540*100/Gasto_o_ing_per_capita!$D540</f>
        <v>99.974544297993901</v>
      </c>
      <c r="P540" s="110">
        <f>Gasto_o_ing_per_capita!P540*100/Gasto_o_ing_per_capita!$D540</f>
        <v>99.993021823456715</v>
      </c>
      <c r="Q540" s="110">
        <f>Gasto_o_ing_per_capita!Q540*100/Gasto_o_ing_per_capita!$D540</f>
        <v>100.02407278415849</v>
      </c>
      <c r="R540" s="110">
        <f>Gasto_o_ing_per_capita!R540*100/Gasto_o_ing_per_capita!$D540</f>
        <v>99.979503037261708</v>
      </c>
      <c r="S540" s="110">
        <f>Gasto_o_ing_per_capita!S540*100/Gasto_o_ing_per_capita!$D540</f>
        <v>100.01399291770922</v>
      </c>
      <c r="T540" s="110">
        <f>Gasto_o_ing_per_capita!T540*100/Gasto_o_ing_per_capita!$D540</f>
        <v>100.02179759754192</v>
      </c>
      <c r="U540" s="110">
        <f>Gasto_o_ing_per_capita!U540*100/Gasto_o_ing_per_capita!$D540</f>
        <v>100.00103962104323</v>
      </c>
      <c r="V540" s="110">
        <f>Gasto_o_ing_per_capita!V540*100/Gasto_o_ing_per_capita!$D540</f>
        <v>99.979070663861052</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Gasto_o_ing_per_capita!D541*100/Gasto_o_ing_per_capita!$D541</f>
        <v>100</v>
      </c>
      <c r="E541" s="332">
        <f>Gasto_o_ing_per_capita!E541*100/Gasto_o_ing_per_capita!$D541</f>
        <v>100</v>
      </c>
      <c r="F541" s="332">
        <f>Gasto_o_ing_per_capita!F541*100/Gasto_o_ing_per_capita!$D541</f>
        <v>100</v>
      </c>
      <c r="G541" s="332">
        <f>Gasto_o_ing_per_capita!G541*100/Gasto_o_ing_per_capita!$D541</f>
        <v>100.00000000000003</v>
      </c>
      <c r="H541" s="332">
        <f>Gasto_o_ing_per_capita!H541*100/Gasto_o_ing_per_capita!$D541</f>
        <v>100.00000000000003</v>
      </c>
      <c r="I541" s="332">
        <f>Gasto_o_ing_per_capita!I541*100/Gasto_o_ing_per_capita!$D541</f>
        <v>100.00000000000003</v>
      </c>
      <c r="J541" s="332">
        <f>Gasto_o_ing_per_capita!J541*100/Gasto_o_ing_per_capita!$D541</f>
        <v>100.00000000000003</v>
      </c>
      <c r="K541" s="332">
        <f>Gasto_o_ing_per_capita!K541*100/Gasto_o_ing_per_capita!$D541</f>
        <v>100.00000000000003</v>
      </c>
      <c r="L541" s="332">
        <f>Gasto_o_ing_per_capita!L541*100/Gasto_o_ing_per_capita!$D541</f>
        <v>100.00000000000003</v>
      </c>
      <c r="M541" s="332">
        <f>Gasto_o_ing_per_capita!M541*100/Gasto_o_ing_per_capita!$D541</f>
        <v>100.00000000000003</v>
      </c>
      <c r="N541" s="332">
        <f>Gasto_o_ing_per_capita!N541*100/Gasto_o_ing_per_capita!$D541</f>
        <v>100.00000000000003</v>
      </c>
      <c r="O541" s="332">
        <f>Gasto_o_ing_per_capita!O541*100/Gasto_o_ing_per_capita!$D541</f>
        <v>100</v>
      </c>
      <c r="P541" s="332">
        <f>Gasto_o_ing_per_capita!P541*100/Gasto_o_ing_per_capita!$D541</f>
        <v>100</v>
      </c>
      <c r="Q541" s="332">
        <f>Gasto_o_ing_per_capita!Q541*100/Gasto_o_ing_per_capita!$D541</f>
        <v>100</v>
      </c>
      <c r="R541" s="332">
        <f>Gasto_o_ing_per_capita!R541*100/Gasto_o_ing_per_capita!$D541</f>
        <v>100</v>
      </c>
      <c r="S541" s="332">
        <f>Gasto_o_ing_per_capita!S541*100/Gasto_o_ing_per_capita!$D541</f>
        <v>100</v>
      </c>
      <c r="T541" s="332">
        <f>Gasto_o_ing_per_capita!T541*100/Gasto_o_ing_per_capita!$D541</f>
        <v>100</v>
      </c>
      <c r="U541" s="332">
        <f>Gasto_o_ing_per_capita!U541*100/Gasto_o_ing_per_capita!$D541</f>
        <v>100.00000000000003</v>
      </c>
      <c r="V541" s="332">
        <f>Gasto_o_ing_per_capita!V541*100/Gasto_o_ing_per_capita!$D541</f>
        <v>100.00000000000003</v>
      </c>
    </row>
    <row r="542" spans="1:22" s="102" customFormat="1">
      <c r="A542" s="351" t="str">
        <f>IF(B542="","",(IF(ISERROR(MATCH(B542,Tot_res!C:C,0)),"Eliminar!!!","")))</f>
        <v/>
      </c>
      <c r="B542" s="102" t="s">
        <v>462</v>
      </c>
      <c r="C542" s="329" t="str">
        <f>VLOOKUP(B542,Tot_res!C:D,2,FALSE)</f>
        <v>Tasas, CNMV</v>
      </c>
      <c r="D542" s="332">
        <f>Gasto_o_ing_per_capita!D542*100/Gasto_o_ing_per_capita!$D542</f>
        <v>100</v>
      </c>
      <c r="E542" s="332">
        <f>Gasto_o_ing_per_capita!E542*100/Gasto_o_ing_per_capita!$D542</f>
        <v>89.135786418212007</v>
      </c>
      <c r="F542" s="332">
        <f>Gasto_o_ing_per_capita!F542*100/Gasto_o_ing_per_capita!$D542</f>
        <v>101.18408759179823</v>
      </c>
      <c r="G542" s="332">
        <f>Gasto_o_ing_per_capita!G542*100/Gasto_o_ing_per_capita!$D542</f>
        <v>101.44712312511859</v>
      </c>
      <c r="H542" s="332">
        <f>Gasto_o_ing_per_capita!H542*100/Gasto_o_ing_per_capita!$D542</f>
        <v>104.18920207007969</v>
      </c>
      <c r="I542" s="332">
        <f>Gasto_o_ing_per_capita!I542*100/Gasto_o_ing_per_capita!$D542</f>
        <v>89.660732173127457</v>
      </c>
      <c r="J542" s="332">
        <f>Gasto_o_ing_per_capita!J542*100/Gasto_o_ing_per_capita!$D542</f>
        <v>102.26730357018484</v>
      </c>
      <c r="K542" s="332">
        <f>Gasto_o_ing_per_capita!K542*100/Gasto_o_ing_per_capita!$D542</f>
        <v>97.026960085209481</v>
      </c>
      <c r="L542" s="332">
        <f>Gasto_o_ing_per_capita!L542*100/Gasto_o_ing_per_capita!$D542</f>
        <v>88.648949048586715</v>
      </c>
      <c r="M542" s="332">
        <f>Gasto_o_ing_per_capita!M542*100/Gasto_o_ing_per_capita!$D542</f>
        <v>110.18529167627743</v>
      </c>
      <c r="N542" s="332">
        <f>Gasto_o_ing_per_capita!N542*100/Gasto_o_ing_per_capita!$D542</f>
        <v>96.894130026972192</v>
      </c>
      <c r="O542" s="332">
        <f>Gasto_o_ing_per_capita!O542*100/Gasto_o_ing_per_capita!$D542</f>
        <v>85.734791362437392</v>
      </c>
      <c r="P542" s="332">
        <f>Gasto_o_ing_per_capita!P542*100/Gasto_o_ing_per_capita!$D542</f>
        <v>96.089521804960299</v>
      </c>
      <c r="Q542" s="332">
        <f>Gasto_o_ing_per_capita!Q542*100/Gasto_o_ing_per_capita!$D542</f>
        <v>113.49749911774789</v>
      </c>
      <c r="R542" s="332">
        <f>Gasto_o_ing_per_capita!R542*100/Gasto_o_ing_per_capita!$D542</f>
        <v>88.514956665028294</v>
      </c>
      <c r="S542" s="332">
        <f>Gasto_o_ing_per_capita!S542*100/Gasto_o_ing_per_capita!$D542</f>
        <v>107.85877769044332</v>
      </c>
      <c r="T542" s="332">
        <f>Gasto_o_ing_per_capita!T542*100/Gasto_o_ing_per_capita!$D542</f>
        <v>112.23185426380357</v>
      </c>
      <c r="U542" s="332">
        <f>Gasto_o_ing_per_capita!U542*100/Gasto_o_ing_per_capita!$D542</f>
        <v>100.58420051089146</v>
      </c>
      <c r="V542" s="332">
        <f>Gasto_o_ing_per_capita!V542*100/Gasto_o_ing_per_capita!$D542</f>
        <v>88.271791431580752</v>
      </c>
    </row>
    <row r="543" spans="1:22" s="102" customFormat="1">
      <c r="A543" s="351" t="str">
        <f>IF(B543="","",(IF(ISERROR(MATCH(B543,Tot_res!C:C,0)),"Eliminar!!!","")))</f>
        <v/>
      </c>
      <c r="B543" s="102" t="s">
        <v>1231</v>
      </c>
      <c r="C543" s="329" t="str">
        <f>VLOOKUP(B543,Tot_res!C:D,2,FALSE)</f>
        <v>Tasas, CNMC</v>
      </c>
      <c r="D543" s="332">
        <f>Gasto_o_ing_per_capita!D543*100/Gasto_o_ing_per_capita!$D543</f>
        <v>100</v>
      </c>
      <c r="E543" s="332">
        <f>Gasto_o_ing_per_capita!E543*100/Gasto_o_ing_per_capita!$D543</f>
        <v>88.100748955300091</v>
      </c>
      <c r="F543" s="332">
        <f>Gasto_o_ing_per_capita!F543*100/Gasto_o_ing_per_capita!$D543</f>
        <v>102.68394095314386</v>
      </c>
      <c r="G543" s="332">
        <f>Gasto_o_ing_per_capita!G543*100/Gasto_o_ing_per_capita!$D543</f>
        <v>101.66155921035698</v>
      </c>
      <c r="H543" s="332">
        <f>Gasto_o_ing_per_capita!H543*100/Gasto_o_ing_per_capita!$D543</f>
        <v>104.22060875258599</v>
      </c>
      <c r="I543" s="332">
        <f>Gasto_o_ing_per_capita!I543*100/Gasto_o_ing_per_capita!$D543</f>
        <v>89.214700853026415</v>
      </c>
      <c r="J543" s="332">
        <f>Gasto_o_ing_per_capita!J543*100/Gasto_o_ing_per_capita!$D543</f>
        <v>101.23445099988396</v>
      </c>
      <c r="K543" s="332">
        <f>Gasto_o_ing_per_capita!K543*100/Gasto_o_ing_per_capita!$D543</f>
        <v>97.809711111918745</v>
      </c>
      <c r="L543" s="332">
        <f>Gasto_o_ing_per_capita!L543*100/Gasto_o_ing_per_capita!$D543</f>
        <v>88.3307317357839</v>
      </c>
      <c r="M543" s="332">
        <f>Gasto_o_ing_per_capita!M543*100/Gasto_o_ing_per_capita!$D543</f>
        <v>110.0670908182106</v>
      </c>
      <c r="N543" s="332">
        <f>Gasto_o_ing_per_capita!N543*100/Gasto_o_ing_per_capita!$D543</f>
        <v>95.350858330319781</v>
      </c>
      <c r="O543" s="332">
        <f>Gasto_o_ing_per_capita!O543*100/Gasto_o_ing_per_capita!$D543</f>
        <v>84.685078759489542</v>
      </c>
      <c r="P543" s="332">
        <f>Gasto_o_ing_per_capita!P543*100/Gasto_o_ing_per_capita!$D543</f>
        <v>95.806474974935981</v>
      </c>
      <c r="Q543" s="332">
        <f>Gasto_o_ing_per_capita!Q543*100/Gasto_o_ing_per_capita!$D543</f>
        <v>115.23098838406186</v>
      </c>
      <c r="R543" s="332">
        <f>Gasto_o_ing_per_capita!R543*100/Gasto_o_ing_per_capita!$D543</f>
        <v>87.804290215148384</v>
      </c>
      <c r="S543" s="332">
        <f>Gasto_o_ing_per_capita!S543*100/Gasto_o_ing_per_capita!$D543</f>
        <v>110.19270267628605</v>
      </c>
      <c r="T543" s="332">
        <f>Gasto_o_ing_per_capita!T543*100/Gasto_o_ing_per_capita!$D543</f>
        <v>114.82495239426743</v>
      </c>
      <c r="U543" s="332">
        <f>Gasto_o_ing_per_capita!U543*100/Gasto_o_ing_per_capita!$D543</f>
        <v>100.7905169602497</v>
      </c>
      <c r="V543" s="332">
        <f>Gasto_o_ing_per_capita!V543*100/Gasto_o_ing_per_capita!$D543</f>
        <v>87.455032497626974</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Gasto_o_ing_per_capita!D544*100/Gasto_o_ing_per_capita!$D544</f>
        <v>100</v>
      </c>
      <c r="E544" s="332">
        <f>Gasto_o_ing_per_capita!E544*100/Gasto_o_ing_per_capita!$D544</f>
        <v>99.999999999999972</v>
      </c>
      <c r="F544" s="332">
        <f>Gasto_o_ing_per_capita!F544*100/Gasto_o_ing_per_capita!$D544</f>
        <v>100</v>
      </c>
      <c r="G544" s="332">
        <f>Gasto_o_ing_per_capita!G544*100/Gasto_o_ing_per_capita!$D544</f>
        <v>99.999999999999986</v>
      </c>
      <c r="H544" s="332">
        <f>Gasto_o_ing_per_capita!H544*100/Gasto_o_ing_per_capita!$D544</f>
        <v>99.999999999999986</v>
      </c>
      <c r="I544" s="332">
        <f>Gasto_o_ing_per_capita!I544*100/Gasto_o_ing_per_capita!$D544</f>
        <v>99.999999999999972</v>
      </c>
      <c r="J544" s="332">
        <f>Gasto_o_ing_per_capita!J544*100/Gasto_o_ing_per_capita!$D544</f>
        <v>99.999999999999986</v>
      </c>
      <c r="K544" s="332">
        <f>Gasto_o_ing_per_capita!K544*100/Gasto_o_ing_per_capita!$D544</f>
        <v>100</v>
      </c>
      <c r="L544" s="332">
        <f>Gasto_o_ing_per_capita!L544*100/Gasto_o_ing_per_capita!$D544</f>
        <v>99.999999999999986</v>
      </c>
      <c r="M544" s="332">
        <f>Gasto_o_ing_per_capita!M544*100/Gasto_o_ing_per_capita!$D544</f>
        <v>100</v>
      </c>
      <c r="N544" s="332">
        <f>Gasto_o_ing_per_capita!N544*100/Gasto_o_ing_per_capita!$D544</f>
        <v>99.999999999999972</v>
      </c>
      <c r="O544" s="332">
        <f>Gasto_o_ing_per_capita!O544*100/Gasto_o_ing_per_capita!$D544</f>
        <v>99.999999999999972</v>
      </c>
      <c r="P544" s="332">
        <f>Gasto_o_ing_per_capita!P544*100/Gasto_o_ing_per_capita!$D544</f>
        <v>99.999999999999972</v>
      </c>
      <c r="Q544" s="332">
        <f>Gasto_o_ing_per_capita!Q544*100/Gasto_o_ing_per_capita!$D544</f>
        <v>99.999999999999986</v>
      </c>
      <c r="R544" s="332">
        <f>Gasto_o_ing_per_capita!R544*100/Gasto_o_ing_per_capita!$D544</f>
        <v>99.999999999999986</v>
      </c>
      <c r="S544" s="332">
        <f>Gasto_o_ing_per_capita!S544*100/Gasto_o_ing_per_capita!$D544</f>
        <v>99.999999999999972</v>
      </c>
      <c r="T544" s="332">
        <f>Gasto_o_ing_per_capita!T544*100/Gasto_o_ing_per_capita!$D544</f>
        <v>99.999999999999986</v>
      </c>
      <c r="U544" s="332">
        <f>Gasto_o_ing_per_capita!U544*100/Gasto_o_ing_per_capita!$D544</f>
        <v>99.999999999999986</v>
      </c>
      <c r="V544" s="332">
        <f>Gasto_o_ing_per_capita!V544*100/Gasto_o_ing_per_capita!$D544</f>
        <v>99.999999999999986</v>
      </c>
    </row>
    <row r="545" spans="1:22" s="102" customFormat="1">
      <c r="A545" s="351" t="str">
        <f>IF(B545="","",(IF(ISERROR(MATCH(B545,Tot_res!C:C,0)),"Eliminar!!!","")))</f>
        <v/>
      </c>
      <c r="B545" s="102" t="s">
        <v>463</v>
      </c>
      <c r="C545" s="329" t="str">
        <f>VLOOKUP(B545,Tot_res!C:D,2,FALSE)</f>
        <v>Ingresos del Banco de España, BdE</v>
      </c>
      <c r="D545" s="332">
        <f>Gasto_o_ing_per_capita!D545*100/Gasto_o_ing_per_capita!$D545</f>
        <v>100</v>
      </c>
      <c r="E545" s="332">
        <f>Gasto_o_ing_per_capita!E545*100/Gasto_o_ing_per_capita!$D545</f>
        <v>100</v>
      </c>
      <c r="F545" s="332">
        <f>Gasto_o_ing_per_capita!F545*100/Gasto_o_ing_per_capita!$D545</f>
        <v>100.00000000000003</v>
      </c>
      <c r="G545" s="332">
        <f>Gasto_o_ing_per_capita!G545*100/Gasto_o_ing_per_capita!$D545</f>
        <v>100</v>
      </c>
      <c r="H545" s="332">
        <f>Gasto_o_ing_per_capita!H545*100/Gasto_o_ing_per_capita!$D545</f>
        <v>100</v>
      </c>
      <c r="I545" s="332">
        <f>Gasto_o_ing_per_capita!I545*100/Gasto_o_ing_per_capita!$D545</f>
        <v>100</v>
      </c>
      <c r="J545" s="332">
        <f>Gasto_o_ing_per_capita!J545*100/Gasto_o_ing_per_capita!$D545</f>
        <v>100</v>
      </c>
      <c r="K545" s="332">
        <f>Gasto_o_ing_per_capita!K545*100/Gasto_o_ing_per_capita!$D545</f>
        <v>100.00000000000003</v>
      </c>
      <c r="L545" s="332">
        <f>Gasto_o_ing_per_capita!L545*100/Gasto_o_ing_per_capita!$D545</f>
        <v>100</v>
      </c>
      <c r="M545" s="332">
        <f>Gasto_o_ing_per_capita!M545*100/Gasto_o_ing_per_capita!$D545</f>
        <v>100.00000000000003</v>
      </c>
      <c r="N545" s="332">
        <f>Gasto_o_ing_per_capita!N545*100/Gasto_o_ing_per_capita!$D545</f>
        <v>100</v>
      </c>
      <c r="O545" s="332">
        <f>Gasto_o_ing_per_capita!O545*100/Gasto_o_ing_per_capita!$D545</f>
        <v>100.00000000000003</v>
      </c>
      <c r="P545" s="332">
        <f>Gasto_o_ing_per_capita!P545*100/Gasto_o_ing_per_capita!$D545</f>
        <v>100</v>
      </c>
      <c r="Q545" s="332">
        <f>Gasto_o_ing_per_capita!Q545*100/Gasto_o_ing_per_capita!$D545</f>
        <v>100</v>
      </c>
      <c r="R545" s="332">
        <f>Gasto_o_ing_per_capita!R545*100/Gasto_o_ing_per_capita!$D545</f>
        <v>100.00000000000003</v>
      </c>
      <c r="S545" s="332">
        <f>Gasto_o_ing_per_capita!S545*100/Gasto_o_ing_per_capita!$D545</f>
        <v>100.00000000000003</v>
      </c>
      <c r="T545" s="332">
        <f>Gasto_o_ing_per_capita!T545*100/Gasto_o_ing_per_capita!$D545</f>
        <v>100</v>
      </c>
      <c r="U545" s="332">
        <f>Gasto_o_ing_per_capita!U545*100/Gasto_o_ing_per_capita!$D545</f>
        <v>100</v>
      </c>
      <c r="V545" s="332">
        <f>Gasto_o_ing_per_capita!V545*100/Gasto_o_ing_per_capita!$D545</f>
        <v>100.00000000000003</v>
      </c>
    </row>
    <row r="546" spans="1:22" s="102" customFormat="1">
      <c r="A546" s="349" t="s">
        <v>1086</v>
      </c>
      <c r="C546" s="154"/>
      <c r="D546" s="110"/>
      <c r="E546" s="110"/>
      <c r="F546" s="110"/>
      <c r="G546" s="110"/>
      <c r="H546" s="110"/>
      <c r="I546" s="110"/>
      <c r="J546" s="110"/>
      <c r="K546" s="110"/>
      <c r="L546" s="110"/>
      <c r="M546" s="110"/>
      <c r="N546" s="110"/>
      <c r="O546" s="110"/>
      <c r="P546" s="110"/>
      <c r="Q546" s="110"/>
      <c r="R546" s="110"/>
      <c r="S546" s="110"/>
      <c r="T546" s="110"/>
      <c r="U546" s="110"/>
      <c r="V546" s="110"/>
    </row>
    <row r="547" spans="1:22" s="102" customFormat="1">
      <c r="A547" s="349" t="str">
        <f>IF(B547="","",(IF(ISERROR(MATCH(B547,Tot_res!C:C,0)),"Eliminar!!!","")))</f>
        <v/>
      </c>
      <c r="D547" s="110"/>
      <c r="E547" s="110"/>
      <c r="F547" s="110"/>
      <c r="G547" s="110"/>
      <c r="H547" s="110"/>
      <c r="I547" s="110"/>
      <c r="J547" s="110"/>
      <c r="K547" s="110"/>
      <c r="L547" s="110"/>
      <c r="M547" s="110"/>
      <c r="N547" s="110"/>
      <c r="O547" s="110"/>
      <c r="P547" s="110"/>
      <c r="Q547" s="110"/>
      <c r="R547" s="110"/>
      <c r="S547" s="110"/>
      <c r="T547" s="110"/>
      <c r="U547" s="110"/>
      <c r="V547" s="110"/>
    </row>
    <row r="548" spans="1:22" s="102" customFormat="1">
      <c r="A548" s="349" t="str">
        <f>IF(B548="","",(IF(ISERROR(MATCH(B548,Tot_res!C:C,0)),"Eliminar!!!","")))</f>
        <v/>
      </c>
      <c r="C548" s="103" t="s">
        <v>96</v>
      </c>
      <c r="D548" s="110">
        <f>Gasto_o_ing_per_capita!D548*100/Gasto_o_ing_per_capita!$D548</f>
        <v>100</v>
      </c>
      <c r="E548" s="110">
        <f>Gasto_o_ing_per_capita!E548*100/Gasto_o_ing_per_capita!$D548</f>
        <v>79.605711513164863</v>
      </c>
      <c r="F548" s="110">
        <f>Gasto_o_ing_per_capita!F548*100/Gasto_o_ing_per_capita!$D548</f>
        <v>106.89124607182328</v>
      </c>
      <c r="G548" s="110">
        <f>Gasto_o_ing_per_capita!G548*100/Gasto_o_ing_per_capita!$D548</f>
        <v>101.97025560957371</v>
      </c>
      <c r="H548" s="110">
        <f>Gasto_o_ing_per_capita!H548*100/Gasto_o_ing_per_capita!$D548</f>
        <v>108.30068961360121</v>
      </c>
      <c r="I548" s="110">
        <f>Gasto_o_ing_per_capita!I548*100/Gasto_o_ing_per_capita!$D548</f>
        <v>72.510694184887697</v>
      </c>
      <c r="J548" s="110">
        <f>Gasto_o_ing_per_capita!J548*100/Gasto_o_ing_per_capita!$D548</f>
        <v>102.37025250718041</v>
      </c>
      <c r="K548" s="110">
        <f>Gasto_o_ing_per_capita!K548*100/Gasto_o_ing_per_capita!$D548</f>
        <v>95.993662377471395</v>
      </c>
      <c r="L548" s="110">
        <f>Gasto_o_ing_per_capita!L548*100/Gasto_o_ing_per_capita!$D548</f>
        <v>82.97967852625483</v>
      </c>
      <c r="M548" s="110">
        <f>Gasto_o_ing_per_capita!M548*100/Gasto_o_ing_per_capita!$D548</f>
        <v>116.64824675703281</v>
      </c>
      <c r="N548" s="110">
        <f>Gasto_o_ing_per_capita!N548*100/Gasto_o_ing_per_capita!$D548</f>
        <v>90.184188699889759</v>
      </c>
      <c r="O548" s="110">
        <f>Gasto_o_ing_per_capita!O548*100/Gasto_o_ing_per_capita!$D548</f>
        <v>75.736217131175323</v>
      </c>
      <c r="P548" s="110">
        <f>Gasto_o_ing_per_capita!P548*100/Gasto_o_ing_per_capita!$D548</f>
        <v>92.023277157274848</v>
      </c>
      <c r="Q548" s="110">
        <f>Gasto_o_ing_per_capita!Q548*100/Gasto_o_ing_per_capita!$D548</f>
        <v>131.62598328899546</v>
      </c>
      <c r="R548" s="110">
        <f>Gasto_o_ing_per_capita!R548*100/Gasto_o_ing_per_capita!$D548</f>
        <v>82.983027167813589</v>
      </c>
      <c r="S548" s="110">
        <f>Gasto_o_ing_per_capita!S548*100/Gasto_o_ing_per_capita!$D548</f>
        <v>111.42052312774909</v>
      </c>
      <c r="T548" s="110">
        <f>Gasto_o_ing_per_capita!T548*100/Gasto_o_ing_per_capita!$D548</f>
        <v>119.76448892327214</v>
      </c>
      <c r="U548" s="110">
        <f>Gasto_o_ing_per_capita!U548*100/Gasto_o_ing_per_capita!$D548</f>
        <v>102.63934223981005</v>
      </c>
      <c r="V548" s="110">
        <f>Gasto_o_ing_per_capita!V548*100/Gasto_o_ing_per_capita!$D548</f>
        <v>68.260425869588445</v>
      </c>
    </row>
    <row r="549" spans="1:22" s="102" customFormat="1">
      <c r="A549" s="349" t="str">
        <f>IF(B549="","",(IF(ISERROR(MATCH(B549,Tot_res!C:C,0)),"Eliminar!!!","")))</f>
        <v/>
      </c>
      <c r="C549" s="103" t="s">
        <v>97</v>
      </c>
      <c r="D549" s="110">
        <f>Gasto_o_ing_per_capita!D549*100/Gasto_o_ing_per_capita!$D549</f>
        <v>100</v>
      </c>
      <c r="E549" s="110">
        <f>Gasto_o_ing_per_capita!E549*100/Gasto_o_ing_per_capita!$D549</f>
        <v>78.839413768497565</v>
      </c>
      <c r="F549" s="110">
        <f>Gasto_o_ing_per_capita!F549*100/Gasto_o_ing_per_capita!$D549</f>
        <v>105.55110227197854</v>
      </c>
      <c r="G549" s="110">
        <f>Gasto_o_ing_per_capita!G549*100/Gasto_o_ing_per_capita!$D549</f>
        <v>100.79039097831159</v>
      </c>
      <c r="H549" s="110">
        <f>Gasto_o_ing_per_capita!H549*100/Gasto_o_ing_per_capita!$D549</f>
        <v>106.03085531872978</v>
      </c>
      <c r="I549" s="110">
        <f>Gasto_o_ing_per_capita!I549*100/Gasto_o_ing_per_capita!$D549</f>
        <v>81.948642576455015</v>
      </c>
      <c r="J549" s="110">
        <f>Gasto_o_ing_per_capita!J549*100/Gasto_o_ing_per_capita!$D549</f>
        <v>101.52548324244952</v>
      </c>
      <c r="K549" s="110">
        <f>Gasto_o_ing_per_capita!K549*100/Gasto_o_ing_per_capita!$D549</f>
        <v>95.15647311415114</v>
      </c>
      <c r="L549" s="110">
        <f>Gasto_o_ing_per_capita!L549*100/Gasto_o_ing_per_capita!$D549</f>
        <v>82.839695599043992</v>
      </c>
      <c r="M549" s="110">
        <f>Gasto_o_ing_per_capita!M549*100/Gasto_o_ing_per_capita!$D549</f>
        <v>115.16758247867119</v>
      </c>
      <c r="N549" s="110">
        <f>Gasto_o_ing_per_capita!N549*100/Gasto_o_ing_per_capita!$D549</f>
        <v>88.924210654628681</v>
      </c>
      <c r="O549" s="110">
        <f>Gasto_o_ing_per_capita!O549*100/Gasto_o_ing_per_capita!$D549</f>
        <v>73.884956893858316</v>
      </c>
      <c r="P549" s="110">
        <f>Gasto_o_ing_per_capita!P549*100/Gasto_o_ing_per_capita!$D549</f>
        <v>90.81096183510742</v>
      </c>
      <c r="Q549" s="110">
        <f>Gasto_o_ing_per_capita!Q549*100/Gasto_o_ing_per_capita!$D549</f>
        <v>132.29348806827826</v>
      </c>
      <c r="R549" s="110">
        <f>Gasto_o_ing_per_capita!R549*100/Gasto_o_ing_per_capita!$D549</f>
        <v>81.519381494573409</v>
      </c>
      <c r="S549" s="110">
        <f>Gasto_o_ing_per_capita!S549*100/Gasto_o_ing_per_capita!$D549</f>
        <v>118.22413540418118</v>
      </c>
      <c r="T549" s="110">
        <f>Gasto_o_ing_per_capita!T549*100/Gasto_o_ing_per_capita!$D549</f>
        <v>124.41134671919922</v>
      </c>
      <c r="U549" s="110">
        <f>Gasto_o_ing_per_capita!U549*100/Gasto_o_ing_per_capita!$D549</f>
        <v>101.74518635637585</v>
      </c>
      <c r="V549" s="110">
        <f>Gasto_o_ing_per_capita!V549*100/Gasto_o_ing_per_capita!$D549</f>
        <v>76.200800131645238</v>
      </c>
    </row>
    <row r="550" spans="1:22" s="102" customFormat="1">
      <c r="A550" s="349"/>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52"/>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875" customWidth="1"/>
    <col min="3" max="3" width="54.75" customWidth="1"/>
    <col min="5" max="5" width="12.125" customWidth="1"/>
  </cols>
  <sheetData>
    <row r="1" spans="1:24" s="102" customFormat="1">
      <c r="A1" s="349"/>
    </row>
    <row r="2" spans="1:24" s="102" customFormat="1">
      <c r="A2" s="349"/>
    </row>
    <row r="3" spans="1:24" s="102" customFormat="1">
      <c r="A3" s="349"/>
      <c r="C3" s="103" t="s">
        <v>90</v>
      </c>
    </row>
    <row r="4" spans="1:24" s="102" customFormat="1">
      <c r="A4" s="349"/>
      <c r="C4" s="103" t="s">
        <v>91</v>
      </c>
    </row>
    <row r="5" spans="1:24" s="102" customFormat="1">
      <c r="A5" s="349"/>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49"/>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c r="A8" s="349"/>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49"/>
      <c r="D9" s="110"/>
      <c r="E9" s="110"/>
      <c r="F9" s="110"/>
      <c r="G9" s="110"/>
      <c r="H9" s="110"/>
      <c r="I9" s="110"/>
      <c r="J9" s="110"/>
      <c r="K9" s="110"/>
      <c r="L9" s="110"/>
      <c r="M9" s="110"/>
      <c r="N9" s="110"/>
      <c r="O9" s="110"/>
      <c r="P9" s="110"/>
      <c r="Q9" s="110"/>
      <c r="R9" s="110"/>
      <c r="S9" s="110"/>
      <c r="T9" s="110"/>
      <c r="U9" s="110"/>
      <c r="V9" s="110"/>
      <c r="W9" s="105"/>
    </row>
    <row r="10" spans="1:24" s="102" customFormat="1" ht="13.5">
      <c r="A10" s="349"/>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c r="A11" s="351" t="str">
        <f>IF(B11="","",(IF(ISERROR(MATCH(B11,Tot_res!C:C,0)),"Eliminar!!!","")))</f>
        <v/>
      </c>
      <c r="B11" s="115" t="s">
        <v>114</v>
      </c>
      <c r="C11" s="329" t="str">
        <f>VLOOKUP(B11,Tot_res!C:D,2,FALSE)</f>
        <v>Gobierno del poder judicial</v>
      </c>
      <c r="D11" s="332">
        <f>Gasto_o_ing_per_capita!D11-Gasto_o_ing_per_capita!$D11</f>
        <v>0</v>
      </c>
      <c r="E11" s="332">
        <f>Gasto_o_ing_per_capita!E11-Gasto_o_ing_per_capita!$D11</f>
        <v>0</v>
      </c>
      <c r="F11" s="332">
        <f>Gasto_o_ing_per_capita!F11-Gasto_o_ing_per_capita!$D11</f>
        <v>0</v>
      </c>
      <c r="G11" s="332">
        <f>Gasto_o_ing_per_capita!G11-Gasto_o_ing_per_capita!$D11</f>
        <v>0</v>
      </c>
      <c r="H11" s="332">
        <f>Gasto_o_ing_per_capita!H11-Gasto_o_ing_per_capita!$D11</f>
        <v>0</v>
      </c>
      <c r="I11" s="332">
        <f>Gasto_o_ing_per_capita!I11-Gasto_o_ing_per_capita!$D11</f>
        <v>0</v>
      </c>
      <c r="J11" s="332">
        <f>Gasto_o_ing_per_capita!J11-Gasto_o_ing_per_capita!$D11</f>
        <v>0</v>
      </c>
      <c r="K11" s="332">
        <f>Gasto_o_ing_per_capita!K11-Gasto_o_ing_per_capita!$D11</f>
        <v>0</v>
      </c>
      <c r="L11" s="332">
        <f>Gasto_o_ing_per_capita!L11-Gasto_o_ing_per_capita!$D11</f>
        <v>0</v>
      </c>
      <c r="M11" s="332">
        <f>Gasto_o_ing_per_capita!M11-Gasto_o_ing_per_capita!$D11</f>
        <v>0</v>
      </c>
      <c r="N11" s="332">
        <f>Gasto_o_ing_per_capita!N11-Gasto_o_ing_per_capita!$D11</f>
        <v>0</v>
      </c>
      <c r="O11" s="332">
        <f>Gasto_o_ing_per_capita!O11-Gasto_o_ing_per_capita!$D11</f>
        <v>0</v>
      </c>
      <c r="P11" s="332">
        <f>Gasto_o_ing_per_capita!P11-Gasto_o_ing_per_capita!$D11</f>
        <v>0</v>
      </c>
      <c r="Q11" s="332">
        <f>Gasto_o_ing_per_capita!Q11-Gasto_o_ing_per_capita!$D11</f>
        <v>0</v>
      </c>
      <c r="R11" s="332">
        <f>Gasto_o_ing_per_capita!R11-Gasto_o_ing_per_capita!$D11</f>
        <v>0</v>
      </c>
      <c r="S11" s="332">
        <f>Gasto_o_ing_per_capita!S11-Gasto_o_ing_per_capita!$D11</f>
        <v>0</v>
      </c>
      <c r="T11" s="332">
        <f>Gasto_o_ing_per_capita!T11-Gasto_o_ing_per_capita!$D11</f>
        <v>0</v>
      </c>
      <c r="U11" s="332">
        <f>Gasto_o_ing_per_capita!U11-Gasto_o_ing_per_capita!$D11</f>
        <v>0</v>
      </c>
      <c r="V11" s="332">
        <f>Gasto_o_ing_per_capita!V11-Gasto_o_ing_per_capita!$D11</f>
        <v>0</v>
      </c>
      <c r="W11" s="122"/>
      <c r="X11" s="104"/>
    </row>
    <row r="12" spans="1:24" s="102" customFormat="1">
      <c r="A12" s="351" t="str">
        <f>IF(B12="","",(IF(ISERROR(MATCH(B12,Tot_res!C:C,0)),"Eliminar!!!","")))</f>
        <v/>
      </c>
      <c r="B12" s="115" t="s">
        <v>115</v>
      </c>
      <c r="C12" s="329" t="str">
        <f>VLOOKUP(B12,Tot_res!C:D,2,FALSE)</f>
        <v>Selección y formación de jueces</v>
      </c>
      <c r="D12" s="332">
        <f>Gasto_o_ing_per_capita!D12-Gasto_o_ing_per_capita!$D12</f>
        <v>0</v>
      </c>
      <c r="E12" s="332">
        <f>Gasto_o_ing_per_capita!E12-Gasto_o_ing_per_capita!$D12</f>
        <v>0</v>
      </c>
      <c r="F12" s="332">
        <f>Gasto_o_ing_per_capita!F12-Gasto_o_ing_per_capita!$D12</f>
        <v>0</v>
      </c>
      <c r="G12" s="332">
        <f>Gasto_o_ing_per_capita!G12-Gasto_o_ing_per_capita!$D12</f>
        <v>0</v>
      </c>
      <c r="H12" s="332">
        <f>Gasto_o_ing_per_capita!H12-Gasto_o_ing_per_capita!$D12</f>
        <v>0</v>
      </c>
      <c r="I12" s="332">
        <f>Gasto_o_ing_per_capita!I12-Gasto_o_ing_per_capita!$D12</f>
        <v>0</v>
      </c>
      <c r="J12" s="332">
        <f>Gasto_o_ing_per_capita!J12-Gasto_o_ing_per_capita!$D12</f>
        <v>0</v>
      </c>
      <c r="K12" s="332">
        <f>Gasto_o_ing_per_capita!K12-Gasto_o_ing_per_capita!$D12</f>
        <v>0</v>
      </c>
      <c r="L12" s="332">
        <f>Gasto_o_ing_per_capita!L12-Gasto_o_ing_per_capita!$D12</f>
        <v>0</v>
      </c>
      <c r="M12" s="332">
        <f>Gasto_o_ing_per_capita!M12-Gasto_o_ing_per_capita!$D12</f>
        <v>0</v>
      </c>
      <c r="N12" s="332">
        <f>Gasto_o_ing_per_capita!N12-Gasto_o_ing_per_capita!$D12</f>
        <v>0</v>
      </c>
      <c r="O12" s="332">
        <f>Gasto_o_ing_per_capita!O12-Gasto_o_ing_per_capita!$D12</f>
        <v>0</v>
      </c>
      <c r="P12" s="332">
        <f>Gasto_o_ing_per_capita!P12-Gasto_o_ing_per_capita!$D12</f>
        <v>0</v>
      </c>
      <c r="Q12" s="332">
        <f>Gasto_o_ing_per_capita!Q12-Gasto_o_ing_per_capita!$D12</f>
        <v>0</v>
      </c>
      <c r="R12" s="332">
        <f>Gasto_o_ing_per_capita!R12-Gasto_o_ing_per_capita!$D12</f>
        <v>0</v>
      </c>
      <c r="S12" s="332">
        <f>Gasto_o_ing_per_capita!S12-Gasto_o_ing_per_capita!$D12</f>
        <v>0</v>
      </c>
      <c r="T12" s="332">
        <f>Gasto_o_ing_per_capita!T12-Gasto_o_ing_per_capita!$D12</f>
        <v>0</v>
      </c>
      <c r="U12" s="332">
        <f>Gasto_o_ing_per_capita!U12-Gasto_o_ing_per_capita!$D12</f>
        <v>0</v>
      </c>
      <c r="V12" s="332">
        <f>Gasto_o_ing_per_capita!V12-Gasto_o_ing_per_capita!$D12</f>
        <v>0</v>
      </c>
      <c r="W12" s="122"/>
      <c r="X12" s="104"/>
    </row>
    <row r="13" spans="1:24" s="102" customFormat="1">
      <c r="A13" s="351" t="str">
        <f>IF(B13="","",(IF(ISERROR(MATCH(B13,Tot_res!C:C,0)),"Eliminar!!!","")))</f>
        <v/>
      </c>
      <c r="B13" s="115" t="s">
        <v>116</v>
      </c>
      <c r="C13" s="329" t="str">
        <f>VLOOKUP(B13,Tot_res!C:D,2,FALSE)</f>
        <v>Documentación y publicaciones judiciales</v>
      </c>
      <c r="D13" s="332">
        <f>Gasto_o_ing_per_capita!D13-Gasto_o_ing_per_capita!$D13</f>
        <v>0</v>
      </c>
      <c r="E13" s="332">
        <f>Gasto_o_ing_per_capita!E13-Gasto_o_ing_per_capita!$D13</f>
        <v>0</v>
      </c>
      <c r="F13" s="332">
        <f>Gasto_o_ing_per_capita!F13-Gasto_o_ing_per_capita!$D13</f>
        <v>0</v>
      </c>
      <c r="G13" s="332">
        <f>Gasto_o_ing_per_capita!G13-Gasto_o_ing_per_capita!$D13</f>
        <v>0</v>
      </c>
      <c r="H13" s="332">
        <f>Gasto_o_ing_per_capita!H13-Gasto_o_ing_per_capita!$D13</f>
        <v>0</v>
      </c>
      <c r="I13" s="332">
        <f>Gasto_o_ing_per_capita!I13-Gasto_o_ing_per_capita!$D13</f>
        <v>0</v>
      </c>
      <c r="J13" s="332">
        <f>Gasto_o_ing_per_capita!J13-Gasto_o_ing_per_capita!$D13</f>
        <v>0</v>
      </c>
      <c r="K13" s="332">
        <f>Gasto_o_ing_per_capita!K13-Gasto_o_ing_per_capita!$D13</f>
        <v>0</v>
      </c>
      <c r="L13" s="332">
        <f>Gasto_o_ing_per_capita!L13-Gasto_o_ing_per_capita!$D13</f>
        <v>0</v>
      </c>
      <c r="M13" s="332">
        <f>Gasto_o_ing_per_capita!M13-Gasto_o_ing_per_capita!$D13</f>
        <v>0</v>
      </c>
      <c r="N13" s="332">
        <f>Gasto_o_ing_per_capita!N13-Gasto_o_ing_per_capita!$D13</f>
        <v>0</v>
      </c>
      <c r="O13" s="332">
        <f>Gasto_o_ing_per_capita!O13-Gasto_o_ing_per_capita!$D13</f>
        <v>0</v>
      </c>
      <c r="P13" s="332">
        <f>Gasto_o_ing_per_capita!P13-Gasto_o_ing_per_capita!$D13</f>
        <v>0</v>
      </c>
      <c r="Q13" s="332">
        <f>Gasto_o_ing_per_capita!Q13-Gasto_o_ing_per_capita!$D13</f>
        <v>0</v>
      </c>
      <c r="R13" s="332">
        <f>Gasto_o_ing_per_capita!R13-Gasto_o_ing_per_capita!$D13</f>
        <v>0</v>
      </c>
      <c r="S13" s="332">
        <f>Gasto_o_ing_per_capita!S13-Gasto_o_ing_per_capita!$D13</f>
        <v>0</v>
      </c>
      <c r="T13" s="332">
        <f>Gasto_o_ing_per_capita!T13-Gasto_o_ing_per_capita!$D13</f>
        <v>0</v>
      </c>
      <c r="U13" s="332">
        <f>Gasto_o_ing_per_capita!U13-Gasto_o_ing_per_capita!$D13</f>
        <v>0</v>
      </c>
      <c r="V13" s="332">
        <f>Gasto_o_ing_per_capita!V13-Gasto_o_ing_per_capita!$D13</f>
        <v>0</v>
      </c>
      <c r="W13" s="122"/>
      <c r="X13" s="104"/>
    </row>
    <row r="14" spans="1:24" s="102" customFormat="1">
      <c r="A14" s="351" t="str">
        <f>IF(B14="","",(IF(ISERROR(MATCH(B14,Tot_res!C:C,0)),"Eliminar!!!","")))</f>
        <v/>
      </c>
      <c r="B14" s="115" t="s">
        <v>117</v>
      </c>
      <c r="C14" s="329" t="str">
        <f>VLOOKUP(B14,Tot_res!C:D,2,FALSE)</f>
        <v>Jefatura del estado</v>
      </c>
      <c r="D14" s="332">
        <f>Gasto_o_ing_per_capita!D14-Gasto_o_ing_per_capita!$D14</f>
        <v>0</v>
      </c>
      <c r="E14" s="332">
        <f>Gasto_o_ing_per_capita!E14-Gasto_o_ing_per_capita!$D14</f>
        <v>0</v>
      </c>
      <c r="F14" s="332">
        <f>Gasto_o_ing_per_capita!F14-Gasto_o_ing_per_capita!$D14</f>
        <v>0</v>
      </c>
      <c r="G14" s="332">
        <f>Gasto_o_ing_per_capita!G14-Gasto_o_ing_per_capita!$D14</f>
        <v>0</v>
      </c>
      <c r="H14" s="332">
        <f>Gasto_o_ing_per_capita!H14-Gasto_o_ing_per_capita!$D14</f>
        <v>0</v>
      </c>
      <c r="I14" s="332">
        <f>Gasto_o_ing_per_capita!I14-Gasto_o_ing_per_capita!$D14</f>
        <v>0</v>
      </c>
      <c r="J14" s="332">
        <f>Gasto_o_ing_per_capita!J14-Gasto_o_ing_per_capita!$D14</f>
        <v>0</v>
      </c>
      <c r="K14" s="332">
        <f>Gasto_o_ing_per_capita!K14-Gasto_o_ing_per_capita!$D14</f>
        <v>0</v>
      </c>
      <c r="L14" s="332">
        <f>Gasto_o_ing_per_capita!L14-Gasto_o_ing_per_capita!$D14</f>
        <v>0</v>
      </c>
      <c r="M14" s="332">
        <f>Gasto_o_ing_per_capita!M14-Gasto_o_ing_per_capita!$D14</f>
        <v>0</v>
      </c>
      <c r="N14" s="332">
        <f>Gasto_o_ing_per_capita!N14-Gasto_o_ing_per_capita!$D14</f>
        <v>0</v>
      </c>
      <c r="O14" s="332">
        <f>Gasto_o_ing_per_capita!O14-Gasto_o_ing_per_capita!$D14</f>
        <v>0</v>
      </c>
      <c r="P14" s="332">
        <f>Gasto_o_ing_per_capita!P14-Gasto_o_ing_per_capita!$D14</f>
        <v>0</v>
      </c>
      <c r="Q14" s="332">
        <f>Gasto_o_ing_per_capita!Q14-Gasto_o_ing_per_capita!$D14</f>
        <v>0</v>
      </c>
      <c r="R14" s="332">
        <f>Gasto_o_ing_per_capita!R14-Gasto_o_ing_per_capita!$D14</f>
        <v>0</v>
      </c>
      <c r="S14" s="332">
        <f>Gasto_o_ing_per_capita!S14-Gasto_o_ing_per_capita!$D14</f>
        <v>0</v>
      </c>
      <c r="T14" s="332">
        <f>Gasto_o_ing_per_capita!T14-Gasto_o_ing_per_capita!$D14</f>
        <v>0</v>
      </c>
      <c r="U14" s="332">
        <f>Gasto_o_ing_per_capita!U14-Gasto_o_ing_per_capita!$D14</f>
        <v>0</v>
      </c>
      <c r="V14" s="332">
        <f>Gasto_o_ing_per_capita!V14-Gasto_o_ing_per_capita!$D14</f>
        <v>0</v>
      </c>
      <c r="W14" s="122"/>
      <c r="X14" s="104"/>
    </row>
    <row r="15" spans="1:24" s="102" customFormat="1">
      <c r="A15" s="351" t="str">
        <f>IF(B15="","",(IF(ISERROR(MATCH(B15,Tot_res!C:C,0)),"Eliminar!!!","")))</f>
        <v/>
      </c>
      <c r="B15" s="115" t="s">
        <v>118</v>
      </c>
      <c r="C15" s="329" t="str">
        <f>VLOOKUP(B15,Tot_res!C:D,2,FALSE)</f>
        <v>Actividad legislativa</v>
      </c>
      <c r="D15" s="332">
        <f>Gasto_o_ing_per_capita!D15-Gasto_o_ing_per_capita!$D15</f>
        <v>0</v>
      </c>
      <c r="E15" s="332">
        <f>Gasto_o_ing_per_capita!E15-Gasto_o_ing_per_capita!$D15</f>
        <v>0</v>
      </c>
      <c r="F15" s="332">
        <f>Gasto_o_ing_per_capita!F15-Gasto_o_ing_per_capita!$D15</f>
        <v>0</v>
      </c>
      <c r="G15" s="332">
        <f>Gasto_o_ing_per_capita!G15-Gasto_o_ing_per_capita!$D15</f>
        <v>0</v>
      </c>
      <c r="H15" s="332">
        <f>Gasto_o_ing_per_capita!H15-Gasto_o_ing_per_capita!$D15</f>
        <v>0</v>
      </c>
      <c r="I15" s="332">
        <f>Gasto_o_ing_per_capita!I15-Gasto_o_ing_per_capita!$D15</f>
        <v>0</v>
      </c>
      <c r="J15" s="332">
        <f>Gasto_o_ing_per_capita!J15-Gasto_o_ing_per_capita!$D15</f>
        <v>0</v>
      </c>
      <c r="K15" s="332">
        <f>Gasto_o_ing_per_capita!K15-Gasto_o_ing_per_capita!$D15</f>
        <v>0</v>
      </c>
      <c r="L15" s="332">
        <f>Gasto_o_ing_per_capita!L15-Gasto_o_ing_per_capita!$D15</f>
        <v>0</v>
      </c>
      <c r="M15" s="332">
        <f>Gasto_o_ing_per_capita!M15-Gasto_o_ing_per_capita!$D15</f>
        <v>0</v>
      </c>
      <c r="N15" s="332">
        <f>Gasto_o_ing_per_capita!N15-Gasto_o_ing_per_capita!$D15</f>
        <v>0</v>
      </c>
      <c r="O15" s="332">
        <f>Gasto_o_ing_per_capita!O15-Gasto_o_ing_per_capita!$D15</f>
        <v>0</v>
      </c>
      <c r="P15" s="332">
        <f>Gasto_o_ing_per_capita!P15-Gasto_o_ing_per_capita!$D15</f>
        <v>0</v>
      </c>
      <c r="Q15" s="332">
        <f>Gasto_o_ing_per_capita!Q15-Gasto_o_ing_per_capita!$D15</f>
        <v>0</v>
      </c>
      <c r="R15" s="332">
        <f>Gasto_o_ing_per_capita!R15-Gasto_o_ing_per_capita!$D15</f>
        <v>0</v>
      </c>
      <c r="S15" s="332">
        <f>Gasto_o_ing_per_capita!S15-Gasto_o_ing_per_capita!$D15</f>
        <v>0</v>
      </c>
      <c r="T15" s="332">
        <f>Gasto_o_ing_per_capita!T15-Gasto_o_ing_per_capita!$D15</f>
        <v>0</v>
      </c>
      <c r="U15" s="332">
        <f>Gasto_o_ing_per_capita!U15-Gasto_o_ing_per_capita!$D15</f>
        <v>0</v>
      </c>
      <c r="V15" s="332">
        <f>Gasto_o_ing_per_capita!V15-Gasto_o_ing_per_capita!$D15</f>
        <v>0</v>
      </c>
      <c r="W15" s="122"/>
      <c r="X15" s="104"/>
    </row>
    <row r="16" spans="1:24" s="102" customFormat="1">
      <c r="A16" s="351" t="str">
        <f>IF(B16="","",(IF(ISERROR(MATCH(B16,Tot_res!C:C,0)),"Eliminar!!!","")))</f>
        <v/>
      </c>
      <c r="B16" s="115" t="s">
        <v>120</v>
      </c>
      <c r="C16" s="329" t="str">
        <f>VLOOKUP(B16,Tot_res!C:D,2,FALSE)</f>
        <v>Control externo del sector público</v>
      </c>
      <c r="D16" s="332">
        <f>Gasto_o_ing_per_capita!D16-Gasto_o_ing_per_capita!$D16</f>
        <v>0</v>
      </c>
      <c r="E16" s="332">
        <f>Gasto_o_ing_per_capita!E16-Gasto_o_ing_per_capita!$D16</f>
        <v>0</v>
      </c>
      <c r="F16" s="332">
        <f>Gasto_o_ing_per_capita!F16-Gasto_o_ing_per_capita!$D16</f>
        <v>0</v>
      </c>
      <c r="G16" s="332">
        <f>Gasto_o_ing_per_capita!G16-Gasto_o_ing_per_capita!$D16</f>
        <v>0</v>
      </c>
      <c r="H16" s="332">
        <f>Gasto_o_ing_per_capita!H16-Gasto_o_ing_per_capita!$D16</f>
        <v>0</v>
      </c>
      <c r="I16" s="332">
        <f>Gasto_o_ing_per_capita!I16-Gasto_o_ing_per_capita!$D16</f>
        <v>0</v>
      </c>
      <c r="J16" s="332">
        <f>Gasto_o_ing_per_capita!J16-Gasto_o_ing_per_capita!$D16</f>
        <v>0</v>
      </c>
      <c r="K16" s="332">
        <f>Gasto_o_ing_per_capita!K16-Gasto_o_ing_per_capita!$D16</f>
        <v>0</v>
      </c>
      <c r="L16" s="332">
        <f>Gasto_o_ing_per_capita!L16-Gasto_o_ing_per_capita!$D16</f>
        <v>0</v>
      </c>
      <c r="M16" s="332">
        <f>Gasto_o_ing_per_capita!M16-Gasto_o_ing_per_capita!$D16</f>
        <v>0</v>
      </c>
      <c r="N16" s="332">
        <f>Gasto_o_ing_per_capita!N16-Gasto_o_ing_per_capita!$D16</f>
        <v>0</v>
      </c>
      <c r="O16" s="332">
        <f>Gasto_o_ing_per_capita!O16-Gasto_o_ing_per_capita!$D16</f>
        <v>0</v>
      </c>
      <c r="P16" s="332">
        <f>Gasto_o_ing_per_capita!P16-Gasto_o_ing_per_capita!$D16</f>
        <v>0</v>
      </c>
      <c r="Q16" s="332">
        <f>Gasto_o_ing_per_capita!Q16-Gasto_o_ing_per_capita!$D16</f>
        <v>0</v>
      </c>
      <c r="R16" s="332">
        <f>Gasto_o_ing_per_capita!R16-Gasto_o_ing_per_capita!$D16</f>
        <v>0</v>
      </c>
      <c r="S16" s="332">
        <f>Gasto_o_ing_per_capita!S16-Gasto_o_ing_per_capita!$D16</f>
        <v>0</v>
      </c>
      <c r="T16" s="332">
        <f>Gasto_o_ing_per_capita!T16-Gasto_o_ing_per_capita!$D16</f>
        <v>0</v>
      </c>
      <c r="U16" s="332">
        <f>Gasto_o_ing_per_capita!U16-Gasto_o_ing_per_capita!$D16</f>
        <v>0</v>
      </c>
      <c r="V16" s="332">
        <f>Gasto_o_ing_per_capita!V16-Gasto_o_ing_per_capita!$D16</f>
        <v>0</v>
      </c>
      <c r="W16" s="122"/>
      <c r="X16" s="104"/>
    </row>
    <row r="17" spans="1:24" s="102" customFormat="1">
      <c r="A17" s="351" t="str">
        <f>IF(B17="","",(IF(ISERROR(MATCH(B17,Tot_res!C:C,0)),"Eliminar!!!","")))</f>
        <v/>
      </c>
      <c r="B17" s="115" t="s">
        <v>121</v>
      </c>
      <c r="C17" s="329" t="str">
        <f>VLOOKUP(B17,Tot_res!C:D,2,FALSE)</f>
        <v>Control constitucional</v>
      </c>
      <c r="D17" s="332">
        <f>Gasto_o_ing_per_capita!D17-Gasto_o_ing_per_capita!$D17</f>
        <v>0</v>
      </c>
      <c r="E17" s="332">
        <f>Gasto_o_ing_per_capita!E17-Gasto_o_ing_per_capita!$D17</f>
        <v>0</v>
      </c>
      <c r="F17" s="332">
        <f>Gasto_o_ing_per_capita!F17-Gasto_o_ing_per_capita!$D17</f>
        <v>0</v>
      </c>
      <c r="G17" s="332">
        <f>Gasto_o_ing_per_capita!G17-Gasto_o_ing_per_capita!$D17</f>
        <v>0</v>
      </c>
      <c r="H17" s="332">
        <f>Gasto_o_ing_per_capita!H17-Gasto_o_ing_per_capita!$D17</f>
        <v>0</v>
      </c>
      <c r="I17" s="332">
        <f>Gasto_o_ing_per_capita!I17-Gasto_o_ing_per_capita!$D17</f>
        <v>0</v>
      </c>
      <c r="J17" s="332">
        <f>Gasto_o_ing_per_capita!J17-Gasto_o_ing_per_capita!$D17</f>
        <v>0</v>
      </c>
      <c r="K17" s="332">
        <f>Gasto_o_ing_per_capita!K17-Gasto_o_ing_per_capita!$D17</f>
        <v>0</v>
      </c>
      <c r="L17" s="332">
        <f>Gasto_o_ing_per_capita!L17-Gasto_o_ing_per_capita!$D17</f>
        <v>0</v>
      </c>
      <c r="M17" s="332">
        <f>Gasto_o_ing_per_capita!M17-Gasto_o_ing_per_capita!$D17</f>
        <v>0</v>
      </c>
      <c r="N17" s="332">
        <f>Gasto_o_ing_per_capita!N17-Gasto_o_ing_per_capita!$D17</f>
        <v>0</v>
      </c>
      <c r="O17" s="332">
        <f>Gasto_o_ing_per_capita!O17-Gasto_o_ing_per_capita!$D17</f>
        <v>0</v>
      </c>
      <c r="P17" s="332">
        <f>Gasto_o_ing_per_capita!P17-Gasto_o_ing_per_capita!$D17</f>
        <v>0</v>
      </c>
      <c r="Q17" s="332">
        <f>Gasto_o_ing_per_capita!Q17-Gasto_o_ing_per_capita!$D17</f>
        <v>0</v>
      </c>
      <c r="R17" s="332">
        <f>Gasto_o_ing_per_capita!R17-Gasto_o_ing_per_capita!$D17</f>
        <v>0</v>
      </c>
      <c r="S17" s="332">
        <f>Gasto_o_ing_per_capita!S17-Gasto_o_ing_per_capita!$D17</f>
        <v>0</v>
      </c>
      <c r="T17" s="332">
        <f>Gasto_o_ing_per_capita!T17-Gasto_o_ing_per_capita!$D17</f>
        <v>0</v>
      </c>
      <c r="U17" s="332">
        <f>Gasto_o_ing_per_capita!U17-Gasto_o_ing_per_capita!$D17</f>
        <v>0</v>
      </c>
      <c r="V17" s="332">
        <f>Gasto_o_ing_per_capita!V17-Gasto_o_ing_per_capita!$D17</f>
        <v>0</v>
      </c>
      <c r="W17" s="122"/>
      <c r="X17" s="104"/>
    </row>
    <row r="18" spans="1:24" s="102" customFormat="1">
      <c r="A18" s="351" t="str">
        <f>IF(B18="","",(IF(ISERROR(MATCH(B18,Tot_res!C:C,0)),"Eliminar!!!","")))</f>
        <v/>
      </c>
      <c r="B18" s="115" t="s">
        <v>122</v>
      </c>
      <c r="C18" s="329" t="str">
        <f>VLOOKUP(B18,Tot_res!C:D,2,FALSE)</f>
        <v>Apoyo a la gestión administrativa de la jefatura del estado</v>
      </c>
      <c r="D18" s="332">
        <f>Gasto_o_ing_per_capita!D18-Gasto_o_ing_per_capita!$D18</f>
        <v>0</v>
      </c>
      <c r="E18" s="332">
        <f>Gasto_o_ing_per_capita!E18-Gasto_o_ing_per_capita!$D18</f>
        <v>0</v>
      </c>
      <c r="F18" s="332">
        <f>Gasto_o_ing_per_capita!F18-Gasto_o_ing_per_capita!$D18</f>
        <v>0</v>
      </c>
      <c r="G18" s="332">
        <f>Gasto_o_ing_per_capita!G18-Gasto_o_ing_per_capita!$D18</f>
        <v>0</v>
      </c>
      <c r="H18" s="332">
        <f>Gasto_o_ing_per_capita!H18-Gasto_o_ing_per_capita!$D18</f>
        <v>0</v>
      </c>
      <c r="I18" s="332">
        <f>Gasto_o_ing_per_capita!I18-Gasto_o_ing_per_capita!$D18</f>
        <v>0</v>
      </c>
      <c r="J18" s="332">
        <f>Gasto_o_ing_per_capita!J18-Gasto_o_ing_per_capita!$D18</f>
        <v>0</v>
      </c>
      <c r="K18" s="332">
        <f>Gasto_o_ing_per_capita!K18-Gasto_o_ing_per_capita!$D18</f>
        <v>0</v>
      </c>
      <c r="L18" s="332">
        <f>Gasto_o_ing_per_capita!L18-Gasto_o_ing_per_capita!$D18</f>
        <v>0</v>
      </c>
      <c r="M18" s="332">
        <f>Gasto_o_ing_per_capita!M18-Gasto_o_ing_per_capita!$D18</f>
        <v>0</v>
      </c>
      <c r="N18" s="332">
        <f>Gasto_o_ing_per_capita!N18-Gasto_o_ing_per_capita!$D18</f>
        <v>0</v>
      </c>
      <c r="O18" s="332">
        <f>Gasto_o_ing_per_capita!O18-Gasto_o_ing_per_capita!$D18</f>
        <v>0</v>
      </c>
      <c r="P18" s="332">
        <f>Gasto_o_ing_per_capita!P18-Gasto_o_ing_per_capita!$D18</f>
        <v>0</v>
      </c>
      <c r="Q18" s="332">
        <f>Gasto_o_ing_per_capita!Q18-Gasto_o_ing_per_capita!$D18</f>
        <v>0</v>
      </c>
      <c r="R18" s="332">
        <f>Gasto_o_ing_per_capita!R18-Gasto_o_ing_per_capita!$D18</f>
        <v>0</v>
      </c>
      <c r="S18" s="332">
        <f>Gasto_o_ing_per_capita!S18-Gasto_o_ing_per_capita!$D18</f>
        <v>0</v>
      </c>
      <c r="T18" s="332">
        <f>Gasto_o_ing_per_capita!T18-Gasto_o_ing_per_capita!$D18</f>
        <v>0</v>
      </c>
      <c r="U18" s="332">
        <f>Gasto_o_ing_per_capita!U18-Gasto_o_ing_per_capita!$D18</f>
        <v>0</v>
      </c>
      <c r="V18" s="332">
        <f>Gasto_o_ing_per_capita!V18-Gasto_o_ing_per_capita!$D18</f>
        <v>0</v>
      </c>
      <c r="W18" s="122"/>
      <c r="X18" s="104"/>
    </row>
    <row r="19" spans="1:24" s="102" customFormat="1">
      <c r="A19" s="351" t="str">
        <f>IF(B19="","",(IF(ISERROR(MATCH(B19,Tot_res!C:C,0)),"Eliminar!!!","")))</f>
        <v/>
      </c>
      <c r="B19" s="115" t="s">
        <v>123</v>
      </c>
      <c r="C19" s="329" t="str">
        <f>VLOOKUP(B19,Tot_res!C:D,2,FALSE)</f>
        <v>Presidencia del gobierno</v>
      </c>
      <c r="D19" s="332">
        <f>Gasto_o_ing_per_capita!D19-Gasto_o_ing_per_capita!$D19</f>
        <v>0</v>
      </c>
      <c r="E19" s="332">
        <f>Gasto_o_ing_per_capita!E19-Gasto_o_ing_per_capita!$D19</f>
        <v>0</v>
      </c>
      <c r="F19" s="332">
        <f>Gasto_o_ing_per_capita!F19-Gasto_o_ing_per_capita!$D19</f>
        <v>0</v>
      </c>
      <c r="G19" s="332">
        <f>Gasto_o_ing_per_capita!G19-Gasto_o_ing_per_capita!$D19</f>
        <v>0</v>
      </c>
      <c r="H19" s="332">
        <f>Gasto_o_ing_per_capita!H19-Gasto_o_ing_per_capita!$D19</f>
        <v>0</v>
      </c>
      <c r="I19" s="332">
        <f>Gasto_o_ing_per_capita!I19-Gasto_o_ing_per_capita!$D19</f>
        <v>0</v>
      </c>
      <c r="J19" s="332">
        <f>Gasto_o_ing_per_capita!J19-Gasto_o_ing_per_capita!$D19</f>
        <v>0</v>
      </c>
      <c r="K19" s="332">
        <f>Gasto_o_ing_per_capita!K19-Gasto_o_ing_per_capita!$D19</f>
        <v>0</v>
      </c>
      <c r="L19" s="332">
        <f>Gasto_o_ing_per_capita!L19-Gasto_o_ing_per_capita!$D19</f>
        <v>0</v>
      </c>
      <c r="M19" s="332">
        <f>Gasto_o_ing_per_capita!M19-Gasto_o_ing_per_capita!$D19</f>
        <v>0</v>
      </c>
      <c r="N19" s="332">
        <f>Gasto_o_ing_per_capita!N19-Gasto_o_ing_per_capita!$D19</f>
        <v>0</v>
      </c>
      <c r="O19" s="332">
        <f>Gasto_o_ing_per_capita!O19-Gasto_o_ing_per_capita!$D19</f>
        <v>0</v>
      </c>
      <c r="P19" s="332">
        <f>Gasto_o_ing_per_capita!P19-Gasto_o_ing_per_capita!$D19</f>
        <v>0</v>
      </c>
      <c r="Q19" s="332">
        <f>Gasto_o_ing_per_capita!Q19-Gasto_o_ing_per_capita!$D19</f>
        <v>0</v>
      </c>
      <c r="R19" s="332">
        <f>Gasto_o_ing_per_capita!R19-Gasto_o_ing_per_capita!$D19</f>
        <v>0</v>
      </c>
      <c r="S19" s="332">
        <f>Gasto_o_ing_per_capita!S19-Gasto_o_ing_per_capita!$D19</f>
        <v>0</v>
      </c>
      <c r="T19" s="332">
        <f>Gasto_o_ing_per_capita!T19-Gasto_o_ing_per_capita!$D19</f>
        <v>0</v>
      </c>
      <c r="U19" s="332">
        <f>Gasto_o_ing_per_capita!U19-Gasto_o_ing_per_capita!$D19</f>
        <v>0</v>
      </c>
      <c r="V19" s="332">
        <f>Gasto_o_ing_per_capita!V19-Gasto_o_ing_per_capita!$D19</f>
        <v>0</v>
      </c>
      <c r="W19" s="122"/>
      <c r="X19" s="104"/>
    </row>
    <row r="20" spans="1:24" s="102" customFormat="1">
      <c r="A20" s="351" t="str">
        <f>IF(B20="","",(IF(ISERROR(MATCH(B20,Tot_res!C:C,0)),"Eliminar!!!","")))</f>
        <v/>
      </c>
      <c r="B20" s="115" t="s">
        <v>124</v>
      </c>
      <c r="C20" s="329" t="str">
        <f>VLOOKUP(B20,Tot_res!C:D,2,FALSE)</f>
        <v>Alto asesoramiento del estado</v>
      </c>
      <c r="D20" s="332">
        <f>Gasto_o_ing_per_capita!D20-Gasto_o_ing_per_capita!$D20</f>
        <v>0</v>
      </c>
      <c r="E20" s="332">
        <f>Gasto_o_ing_per_capita!E20-Gasto_o_ing_per_capita!$D20</f>
        <v>0</v>
      </c>
      <c r="F20" s="332">
        <f>Gasto_o_ing_per_capita!F20-Gasto_o_ing_per_capita!$D20</f>
        <v>0</v>
      </c>
      <c r="G20" s="332">
        <f>Gasto_o_ing_per_capita!G20-Gasto_o_ing_per_capita!$D20</f>
        <v>0</v>
      </c>
      <c r="H20" s="332">
        <f>Gasto_o_ing_per_capita!H20-Gasto_o_ing_per_capita!$D20</f>
        <v>0</v>
      </c>
      <c r="I20" s="332">
        <f>Gasto_o_ing_per_capita!I20-Gasto_o_ing_per_capita!$D20</f>
        <v>0</v>
      </c>
      <c r="J20" s="332">
        <f>Gasto_o_ing_per_capita!J20-Gasto_o_ing_per_capita!$D20</f>
        <v>0</v>
      </c>
      <c r="K20" s="332">
        <f>Gasto_o_ing_per_capita!K20-Gasto_o_ing_per_capita!$D20</f>
        <v>0</v>
      </c>
      <c r="L20" s="332">
        <f>Gasto_o_ing_per_capita!L20-Gasto_o_ing_per_capita!$D20</f>
        <v>0</v>
      </c>
      <c r="M20" s="332">
        <f>Gasto_o_ing_per_capita!M20-Gasto_o_ing_per_capita!$D20</f>
        <v>0</v>
      </c>
      <c r="N20" s="332">
        <f>Gasto_o_ing_per_capita!N20-Gasto_o_ing_per_capita!$D20</f>
        <v>0</v>
      </c>
      <c r="O20" s="332">
        <f>Gasto_o_ing_per_capita!O20-Gasto_o_ing_per_capita!$D20</f>
        <v>0</v>
      </c>
      <c r="P20" s="332">
        <f>Gasto_o_ing_per_capita!P20-Gasto_o_ing_per_capita!$D20</f>
        <v>0</v>
      </c>
      <c r="Q20" s="332">
        <f>Gasto_o_ing_per_capita!Q20-Gasto_o_ing_per_capita!$D20</f>
        <v>0</v>
      </c>
      <c r="R20" s="332">
        <f>Gasto_o_ing_per_capita!R20-Gasto_o_ing_per_capita!$D20</f>
        <v>0</v>
      </c>
      <c r="S20" s="332">
        <f>Gasto_o_ing_per_capita!S20-Gasto_o_ing_per_capita!$D20</f>
        <v>0</v>
      </c>
      <c r="T20" s="332">
        <f>Gasto_o_ing_per_capita!T20-Gasto_o_ing_per_capita!$D20</f>
        <v>0</v>
      </c>
      <c r="U20" s="332">
        <f>Gasto_o_ing_per_capita!U20-Gasto_o_ing_per_capita!$D20</f>
        <v>0</v>
      </c>
      <c r="V20" s="332">
        <f>Gasto_o_ing_per_capita!V20-Gasto_o_ing_per_capita!$D20</f>
        <v>0</v>
      </c>
      <c r="W20" s="122"/>
      <c r="X20" s="104"/>
    </row>
    <row r="21" spans="1:24"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Gasto_o_ing_per_capita!D21-Gasto_o_ing_per_capita!$D21</f>
        <v>0</v>
      </c>
      <c r="E21" s="332">
        <f>Gasto_o_ing_per_capita!E21-Gasto_o_ing_per_capita!$D21</f>
        <v>0</v>
      </c>
      <c r="F21" s="332">
        <f>Gasto_o_ing_per_capita!F21-Gasto_o_ing_per_capita!$D21</f>
        <v>0</v>
      </c>
      <c r="G21" s="332">
        <f>Gasto_o_ing_per_capita!G21-Gasto_o_ing_per_capita!$D21</f>
        <v>0</v>
      </c>
      <c r="H21" s="332">
        <f>Gasto_o_ing_per_capita!H21-Gasto_o_ing_per_capita!$D21</f>
        <v>0</v>
      </c>
      <c r="I21" s="332">
        <f>Gasto_o_ing_per_capita!I21-Gasto_o_ing_per_capita!$D21</f>
        <v>0</v>
      </c>
      <c r="J21" s="332">
        <f>Gasto_o_ing_per_capita!J21-Gasto_o_ing_per_capita!$D21</f>
        <v>0</v>
      </c>
      <c r="K21" s="332">
        <f>Gasto_o_ing_per_capita!K21-Gasto_o_ing_per_capita!$D21</f>
        <v>0</v>
      </c>
      <c r="L21" s="332">
        <f>Gasto_o_ing_per_capita!L21-Gasto_o_ing_per_capita!$D21</f>
        <v>0</v>
      </c>
      <c r="M21" s="332">
        <f>Gasto_o_ing_per_capita!M21-Gasto_o_ing_per_capita!$D21</f>
        <v>0</v>
      </c>
      <c r="N21" s="332">
        <f>Gasto_o_ing_per_capita!N21-Gasto_o_ing_per_capita!$D21</f>
        <v>0</v>
      </c>
      <c r="O21" s="332">
        <f>Gasto_o_ing_per_capita!O21-Gasto_o_ing_per_capita!$D21</f>
        <v>0</v>
      </c>
      <c r="P21" s="332">
        <f>Gasto_o_ing_per_capita!P21-Gasto_o_ing_per_capita!$D21</f>
        <v>0</v>
      </c>
      <c r="Q21" s="332">
        <f>Gasto_o_ing_per_capita!Q21-Gasto_o_ing_per_capita!$D21</f>
        <v>0</v>
      </c>
      <c r="R21" s="332">
        <f>Gasto_o_ing_per_capita!R21-Gasto_o_ing_per_capita!$D21</f>
        <v>0</v>
      </c>
      <c r="S21" s="332">
        <f>Gasto_o_ing_per_capita!S21-Gasto_o_ing_per_capita!$D21</f>
        <v>0</v>
      </c>
      <c r="T21" s="332">
        <f>Gasto_o_ing_per_capita!T21-Gasto_o_ing_per_capita!$D21</f>
        <v>0</v>
      </c>
      <c r="U21" s="332">
        <f>Gasto_o_ing_per_capita!U21-Gasto_o_ing_per_capita!$D21</f>
        <v>0</v>
      </c>
      <c r="V21" s="332">
        <f>Gasto_o_ing_per_capita!V21-Gasto_o_ing_per_capita!$D21</f>
        <v>0</v>
      </c>
      <c r="W21" s="122"/>
      <c r="X21" s="104"/>
    </row>
    <row r="22" spans="1:24" s="102" customFormat="1">
      <c r="A22" s="351" t="str">
        <f>IF(B22="","",(IF(ISERROR(MATCH(B22,Tot_res!C:C,0)),"Eliminar!!!","")))</f>
        <v/>
      </c>
      <c r="B22" s="115" t="s">
        <v>126</v>
      </c>
      <c r="C22" s="329" t="str">
        <f>VLOOKUP(B22,Tot_res!C:D,2,FALSE)</f>
        <v>Asesoramiento del gobierno en materia social, económica y laboral</v>
      </c>
      <c r="D22" s="332">
        <f>Gasto_o_ing_per_capita!D22-Gasto_o_ing_per_capita!$D22</f>
        <v>0</v>
      </c>
      <c r="E22" s="332">
        <f>Gasto_o_ing_per_capita!E22-Gasto_o_ing_per_capita!$D22</f>
        <v>0</v>
      </c>
      <c r="F22" s="332">
        <f>Gasto_o_ing_per_capita!F22-Gasto_o_ing_per_capita!$D22</f>
        <v>0</v>
      </c>
      <c r="G22" s="332">
        <f>Gasto_o_ing_per_capita!G22-Gasto_o_ing_per_capita!$D22</f>
        <v>0</v>
      </c>
      <c r="H22" s="332">
        <f>Gasto_o_ing_per_capita!H22-Gasto_o_ing_per_capita!$D22</f>
        <v>0</v>
      </c>
      <c r="I22" s="332">
        <f>Gasto_o_ing_per_capita!I22-Gasto_o_ing_per_capita!$D22</f>
        <v>0</v>
      </c>
      <c r="J22" s="332">
        <f>Gasto_o_ing_per_capita!J22-Gasto_o_ing_per_capita!$D22</f>
        <v>0</v>
      </c>
      <c r="K22" s="332">
        <f>Gasto_o_ing_per_capita!K22-Gasto_o_ing_per_capita!$D22</f>
        <v>0</v>
      </c>
      <c r="L22" s="332">
        <f>Gasto_o_ing_per_capita!L22-Gasto_o_ing_per_capita!$D22</f>
        <v>0</v>
      </c>
      <c r="M22" s="332">
        <f>Gasto_o_ing_per_capita!M22-Gasto_o_ing_per_capita!$D22</f>
        <v>0</v>
      </c>
      <c r="N22" s="332">
        <f>Gasto_o_ing_per_capita!N22-Gasto_o_ing_per_capita!$D22</f>
        <v>0</v>
      </c>
      <c r="O22" s="332">
        <f>Gasto_o_ing_per_capita!O22-Gasto_o_ing_per_capita!$D22</f>
        <v>0</v>
      </c>
      <c r="P22" s="332">
        <f>Gasto_o_ing_per_capita!P22-Gasto_o_ing_per_capita!$D22</f>
        <v>0</v>
      </c>
      <c r="Q22" s="332">
        <f>Gasto_o_ing_per_capita!Q22-Gasto_o_ing_per_capita!$D22</f>
        <v>0</v>
      </c>
      <c r="R22" s="332">
        <f>Gasto_o_ing_per_capita!R22-Gasto_o_ing_per_capita!$D22</f>
        <v>0</v>
      </c>
      <c r="S22" s="332">
        <f>Gasto_o_ing_per_capita!S22-Gasto_o_ing_per_capita!$D22</f>
        <v>0</v>
      </c>
      <c r="T22" s="332">
        <f>Gasto_o_ing_per_capita!T22-Gasto_o_ing_per_capita!$D22</f>
        <v>0</v>
      </c>
      <c r="U22" s="332">
        <f>Gasto_o_ing_per_capita!U22-Gasto_o_ing_per_capita!$D22</f>
        <v>0</v>
      </c>
      <c r="V22" s="332">
        <f>Gasto_o_ing_per_capita!V22-Gasto_o_ing_per_capita!$D22</f>
        <v>0</v>
      </c>
      <c r="W22" s="122"/>
      <c r="X22" s="104"/>
    </row>
    <row r="23" spans="1:24" s="102" customFormat="1">
      <c r="A23" s="351" t="str">
        <f>IF(B23="","",(IF(ISERROR(MATCH(B23,Tot_res!C:C,0)),"Eliminar!!!","")))</f>
        <v/>
      </c>
      <c r="B23" s="115" t="s">
        <v>127</v>
      </c>
      <c r="C23" s="329" t="str">
        <f>VLOOKUP(B23,Tot_res!C:D,2,FALSE)</f>
        <v>Cobertura informativa</v>
      </c>
      <c r="D23" s="332">
        <f>Gasto_o_ing_per_capita!D23-Gasto_o_ing_per_capita!$D23</f>
        <v>0</v>
      </c>
      <c r="E23" s="332">
        <f>Gasto_o_ing_per_capita!E23-Gasto_o_ing_per_capita!$D23</f>
        <v>0</v>
      </c>
      <c r="F23" s="332">
        <f>Gasto_o_ing_per_capita!F23-Gasto_o_ing_per_capita!$D23</f>
        <v>0</v>
      </c>
      <c r="G23" s="332">
        <f>Gasto_o_ing_per_capita!G23-Gasto_o_ing_per_capita!$D23</f>
        <v>0</v>
      </c>
      <c r="H23" s="332">
        <f>Gasto_o_ing_per_capita!H23-Gasto_o_ing_per_capita!$D23</f>
        <v>0</v>
      </c>
      <c r="I23" s="332">
        <f>Gasto_o_ing_per_capita!I23-Gasto_o_ing_per_capita!$D23</f>
        <v>0</v>
      </c>
      <c r="J23" s="332">
        <f>Gasto_o_ing_per_capita!J23-Gasto_o_ing_per_capita!$D23</f>
        <v>0</v>
      </c>
      <c r="K23" s="332">
        <f>Gasto_o_ing_per_capita!K23-Gasto_o_ing_per_capita!$D23</f>
        <v>0</v>
      </c>
      <c r="L23" s="332">
        <f>Gasto_o_ing_per_capita!L23-Gasto_o_ing_per_capita!$D23</f>
        <v>0</v>
      </c>
      <c r="M23" s="332">
        <f>Gasto_o_ing_per_capita!M23-Gasto_o_ing_per_capita!$D23</f>
        <v>0</v>
      </c>
      <c r="N23" s="332">
        <f>Gasto_o_ing_per_capita!N23-Gasto_o_ing_per_capita!$D23</f>
        <v>0</v>
      </c>
      <c r="O23" s="332">
        <f>Gasto_o_ing_per_capita!O23-Gasto_o_ing_per_capita!$D23</f>
        <v>0</v>
      </c>
      <c r="P23" s="332">
        <f>Gasto_o_ing_per_capita!P23-Gasto_o_ing_per_capita!$D23</f>
        <v>0</v>
      </c>
      <c r="Q23" s="332">
        <f>Gasto_o_ing_per_capita!Q23-Gasto_o_ing_per_capita!$D23</f>
        <v>0</v>
      </c>
      <c r="R23" s="332">
        <f>Gasto_o_ing_per_capita!R23-Gasto_o_ing_per_capita!$D23</f>
        <v>0</v>
      </c>
      <c r="S23" s="332">
        <f>Gasto_o_ing_per_capita!S23-Gasto_o_ing_per_capita!$D23</f>
        <v>0</v>
      </c>
      <c r="T23" s="332">
        <f>Gasto_o_ing_per_capita!T23-Gasto_o_ing_per_capita!$D23</f>
        <v>0</v>
      </c>
      <c r="U23" s="332">
        <f>Gasto_o_ing_per_capita!U23-Gasto_o_ing_per_capita!$D23</f>
        <v>0</v>
      </c>
      <c r="V23" s="332">
        <f>Gasto_o_ing_per_capita!V23-Gasto_o_ing_per_capita!$D23</f>
        <v>0</v>
      </c>
      <c r="W23" s="122"/>
      <c r="X23" s="104"/>
    </row>
    <row r="24" spans="1:24" s="102" customFormat="1">
      <c r="A24" s="352"/>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5">
      <c r="A25" s="352"/>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c r="A26" s="351" t="str">
        <f>IF(B26="","",(IF(ISERROR(MATCH(B26,Tot_res!C:C,0)),"Eliminar!!!","")))</f>
        <v/>
      </c>
      <c r="B26" s="115" t="s">
        <v>129</v>
      </c>
      <c r="C26" s="329" t="str">
        <f>VLOOKUP(B26,Tot_res!C:D,2,FALSE)</f>
        <v>Dirección y servicios generales de asuntos exteriores</v>
      </c>
      <c r="D26" s="332">
        <f>Gasto_o_ing_per_capita!D26-Gasto_o_ing_per_capita!$D26</f>
        <v>0</v>
      </c>
      <c r="E26" s="332">
        <f>Gasto_o_ing_per_capita!E26-Gasto_o_ing_per_capita!$D26</f>
        <v>0</v>
      </c>
      <c r="F26" s="332">
        <f>Gasto_o_ing_per_capita!F26-Gasto_o_ing_per_capita!$D26</f>
        <v>0</v>
      </c>
      <c r="G26" s="332">
        <f>Gasto_o_ing_per_capita!G26-Gasto_o_ing_per_capita!$D26</f>
        <v>0</v>
      </c>
      <c r="H26" s="332">
        <f>Gasto_o_ing_per_capita!H26-Gasto_o_ing_per_capita!$D26</f>
        <v>0</v>
      </c>
      <c r="I26" s="332">
        <f>Gasto_o_ing_per_capita!I26-Gasto_o_ing_per_capita!$D26</f>
        <v>0</v>
      </c>
      <c r="J26" s="332">
        <f>Gasto_o_ing_per_capita!J26-Gasto_o_ing_per_capita!$D26</f>
        <v>0</v>
      </c>
      <c r="K26" s="332">
        <f>Gasto_o_ing_per_capita!K26-Gasto_o_ing_per_capita!$D26</f>
        <v>0</v>
      </c>
      <c r="L26" s="332">
        <f>Gasto_o_ing_per_capita!L26-Gasto_o_ing_per_capita!$D26</f>
        <v>0</v>
      </c>
      <c r="M26" s="332">
        <f>Gasto_o_ing_per_capita!M26-Gasto_o_ing_per_capita!$D26</f>
        <v>0</v>
      </c>
      <c r="N26" s="332">
        <f>Gasto_o_ing_per_capita!N26-Gasto_o_ing_per_capita!$D26</f>
        <v>0</v>
      </c>
      <c r="O26" s="332">
        <f>Gasto_o_ing_per_capita!O26-Gasto_o_ing_per_capita!$D26</f>
        <v>0</v>
      </c>
      <c r="P26" s="332">
        <f>Gasto_o_ing_per_capita!P26-Gasto_o_ing_per_capita!$D26</f>
        <v>0</v>
      </c>
      <c r="Q26" s="332">
        <f>Gasto_o_ing_per_capita!Q26-Gasto_o_ing_per_capita!$D26</f>
        <v>0</v>
      </c>
      <c r="R26" s="332">
        <f>Gasto_o_ing_per_capita!R26-Gasto_o_ing_per_capita!$D26</f>
        <v>0</v>
      </c>
      <c r="S26" s="332">
        <f>Gasto_o_ing_per_capita!S26-Gasto_o_ing_per_capita!$D26</f>
        <v>0</v>
      </c>
      <c r="T26" s="332">
        <f>Gasto_o_ing_per_capita!T26-Gasto_o_ing_per_capita!$D26</f>
        <v>0</v>
      </c>
      <c r="U26" s="332">
        <f>Gasto_o_ing_per_capita!U26-Gasto_o_ing_per_capita!$D26</f>
        <v>0</v>
      </c>
      <c r="V26" s="332">
        <f>Gasto_o_ing_per_capita!V26-Gasto_o_ing_per_capita!$D26</f>
        <v>0</v>
      </c>
      <c r="W26" s="127"/>
      <c r="X26" s="104"/>
    </row>
    <row r="27" spans="1:24" s="102" customFormat="1">
      <c r="A27" s="351" t="str">
        <f>IF(B27="","",(IF(ISERROR(MATCH(B27,Tot_res!C:C,0)),"Eliminar!!!","")))</f>
        <v/>
      </c>
      <c r="B27" s="115" t="s">
        <v>130</v>
      </c>
      <c r="C27" s="329" t="str">
        <f>VLOOKUP(B27,Tot_res!C:D,2,FALSE)</f>
        <v>Acción del estado en el exterior</v>
      </c>
      <c r="D27" s="332">
        <f>Gasto_o_ing_per_capita!D27-Gasto_o_ing_per_capita!$D27</f>
        <v>0</v>
      </c>
      <c r="E27" s="332">
        <f>Gasto_o_ing_per_capita!E27-Gasto_o_ing_per_capita!$D27</f>
        <v>0</v>
      </c>
      <c r="F27" s="332">
        <f>Gasto_o_ing_per_capita!F27-Gasto_o_ing_per_capita!$D27</f>
        <v>0</v>
      </c>
      <c r="G27" s="332">
        <f>Gasto_o_ing_per_capita!G27-Gasto_o_ing_per_capita!$D27</f>
        <v>0</v>
      </c>
      <c r="H27" s="332">
        <f>Gasto_o_ing_per_capita!H27-Gasto_o_ing_per_capita!$D27</f>
        <v>0</v>
      </c>
      <c r="I27" s="332">
        <f>Gasto_o_ing_per_capita!I27-Gasto_o_ing_per_capita!$D27</f>
        <v>0</v>
      </c>
      <c r="J27" s="332">
        <f>Gasto_o_ing_per_capita!J27-Gasto_o_ing_per_capita!$D27</f>
        <v>0</v>
      </c>
      <c r="K27" s="332">
        <f>Gasto_o_ing_per_capita!K27-Gasto_o_ing_per_capita!$D27</f>
        <v>0</v>
      </c>
      <c r="L27" s="332">
        <f>Gasto_o_ing_per_capita!L27-Gasto_o_ing_per_capita!$D27</f>
        <v>0</v>
      </c>
      <c r="M27" s="332">
        <f>Gasto_o_ing_per_capita!M27-Gasto_o_ing_per_capita!$D27</f>
        <v>0</v>
      </c>
      <c r="N27" s="332">
        <f>Gasto_o_ing_per_capita!N27-Gasto_o_ing_per_capita!$D27</f>
        <v>0</v>
      </c>
      <c r="O27" s="332">
        <f>Gasto_o_ing_per_capita!O27-Gasto_o_ing_per_capita!$D27</f>
        <v>0</v>
      </c>
      <c r="P27" s="332">
        <f>Gasto_o_ing_per_capita!P27-Gasto_o_ing_per_capita!$D27</f>
        <v>0</v>
      </c>
      <c r="Q27" s="332">
        <f>Gasto_o_ing_per_capita!Q27-Gasto_o_ing_per_capita!$D27</f>
        <v>0</v>
      </c>
      <c r="R27" s="332">
        <f>Gasto_o_ing_per_capita!R27-Gasto_o_ing_per_capita!$D27</f>
        <v>0</v>
      </c>
      <c r="S27" s="332">
        <f>Gasto_o_ing_per_capita!S27-Gasto_o_ing_per_capita!$D27</f>
        <v>0</v>
      </c>
      <c r="T27" s="332">
        <f>Gasto_o_ing_per_capita!T27-Gasto_o_ing_per_capita!$D27</f>
        <v>0</v>
      </c>
      <c r="U27" s="332">
        <f>Gasto_o_ing_per_capita!U27-Gasto_o_ing_per_capita!$D27</f>
        <v>0</v>
      </c>
      <c r="V27" s="332">
        <f>Gasto_o_ing_per_capita!V27-Gasto_o_ing_per_capita!$D27</f>
        <v>0</v>
      </c>
      <c r="W27" s="122"/>
      <c r="X27" s="104"/>
    </row>
    <row r="28" spans="1:24" s="102" customFormat="1">
      <c r="A28" s="351" t="str">
        <f>IF(B28="","",(IF(ISERROR(MATCH(B28,Tot_res!C:C,0)),"Eliminar!!!","")))</f>
        <v/>
      </c>
      <c r="B28" s="115" t="s">
        <v>131</v>
      </c>
      <c r="C28" s="329" t="str">
        <f>VLOOKUP(B28,Tot_res!C:D,2,FALSE)</f>
        <v>Acción diplomática ante la unión europea</v>
      </c>
      <c r="D28" s="332">
        <f>Gasto_o_ing_per_capita!D28-Gasto_o_ing_per_capita!$D28</f>
        <v>0</v>
      </c>
      <c r="E28" s="332">
        <f>Gasto_o_ing_per_capita!E28-Gasto_o_ing_per_capita!$D28</f>
        <v>0</v>
      </c>
      <c r="F28" s="332">
        <f>Gasto_o_ing_per_capita!F28-Gasto_o_ing_per_capita!$D28</f>
        <v>0</v>
      </c>
      <c r="G28" s="332">
        <f>Gasto_o_ing_per_capita!G28-Gasto_o_ing_per_capita!$D28</f>
        <v>0</v>
      </c>
      <c r="H28" s="332">
        <f>Gasto_o_ing_per_capita!H28-Gasto_o_ing_per_capita!$D28</f>
        <v>0</v>
      </c>
      <c r="I28" s="332">
        <f>Gasto_o_ing_per_capita!I28-Gasto_o_ing_per_capita!$D28</f>
        <v>0</v>
      </c>
      <c r="J28" s="332">
        <f>Gasto_o_ing_per_capita!J28-Gasto_o_ing_per_capita!$D28</f>
        <v>0</v>
      </c>
      <c r="K28" s="332">
        <f>Gasto_o_ing_per_capita!K28-Gasto_o_ing_per_capita!$D28</f>
        <v>0</v>
      </c>
      <c r="L28" s="332">
        <f>Gasto_o_ing_per_capita!L28-Gasto_o_ing_per_capita!$D28</f>
        <v>0</v>
      </c>
      <c r="M28" s="332">
        <f>Gasto_o_ing_per_capita!M28-Gasto_o_ing_per_capita!$D28</f>
        <v>0</v>
      </c>
      <c r="N28" s="332">
        <f>Gasto_o_ing_per_capita!N28-Gasto_o_ing_per_capita!$D28</f>
        <v>0</v>
      </c>
      <c r="O28" s="332">
        <f>Gasto_o_ing_per_capita!O28-Gasto_o_ing_per_capita!$D28</f>
        <v>0</v>
      </c>
      <c r="P28" s="332">
        <f>Gasto_o_ing_per_capita!P28-Gasto_o_ing_per_capita!$D28</f>
        <v>0</v>
      </c>
      <c r="Q28" s="332">
        <f>Gasto_o_ing_per_capita!Q28-Gasto_o_ing_per_capita!$D28</f>
        <v>0</v>
      </c>
      <c r="R28" s="332">
        <f>Gasto_o_ing_per_capita!R28-Gasto_o_ing_per_capita!$D28</f>
        <v>0</v>
      </c>
      <c r="S28" s="332">
        <f>Gasto_o_ing_per_capita!S28-Gasto_o_ing_per_capita!$D28</f>
        <v>0</v>
      </c>
      <c r="T28" s="332">
        <f>Gasto_o_ing_per_capita!T28-Gasto_o_ing_per_capita!$D28</f>
        <v>0</v>
      </c>
      <c r="U28" s="332">
        <f>Gasto_o_ing_per_capita!U28-Gasto_o_ing_per_capita!$D28</f>
        <v>0</v>
      </c>
      <c r="V28" s="332">
        <f>Gasto_o_ing_per_capita!V28-Gasto_o_ing_per_capita!$D28</f>
        <v>0</v>
      </c>
      <c r="W28" s="122"/>
      <c r="X28" s="104"/>
    </row>
    <row r="29" spans="1:24" s="102" customFormat="1">
      <c r="A29" s="351" t="str">
        <f>IF(B29="","",(IF(ISERROR(MATCH(B29,Tot_res!C:C,0)),"Eliminar!!!","")))</f>
        <v/>
      </c>
      <c r="B29" s="115" t="s">
        <v>132</v>
      </c>
      <c r="C29" s="329" t="str">
        <f>VLOOKUP(B29,Tot_res!C:D,2,FALSE)</f>
        <v>Cooperación para el desarrollo</v>
      </c>
      <c r="D29" s="332">
        <f>Gasto_o_ing_per_capita!D29-Gasto_o_ing_per_capita!$D29</f>
        <v>0</v>
      </c>
      <c r="E29" s="332">
        <f>Gasto_o_ing_per_capita!E29-Gasto_o_ing_per_capita!$D29</f>
        <v>0</v>
      </c>
      <c r="F29" s="332">
        <f>Gasto_o_ing_per_capita!F29-Gasto_o_ing_per_capita!$D29</f>
        <v>0</v>
      </c>
      <c r="G29" s="332">
        <f>Gasto_o_ing_per_capita!G29-Gasto_o_ing_per_capita!$D29</f>
        <v>0</v>
      </c>
      <c r="H29" s="332">
        <f>Gasto_o_ing_per_capita!H29-Gasto_o_ing_per_capita!$D29</f>
        <v>0</v>
      </c>
      <c r="I29" s="332">
        <f>Gasto_o_ing_per_capita!I29-Gasto_o_ing_per_capita!$D29</f>
        <v>0</v>
      </c>
      <c r="J29" s="332">
        <f>Gasto_o_ing_per_capita!J29-Gasto_o_ing_per_capita!$D29</f>
        <v>0</v>
      </c>
      <c r="K29" s="332">
        <f>Gasto_o_ing_per_capita!K29-Gasto_o_ing_per_capita!$D29</f>
        <v>0</v>
      </c>
      <c r="L29" s="332">
        <f>Gasto_o_ing_per_capita!L29-Gasto_o_ing_per_capita!$D29</f>
        <v>0</v>
      </c>
      <c r="M29" s="332">
        <f>Gasto_o_ing_per_capita!M29-Gasto_o_ing_per_capita!$D29</f>
        <v>0</v>
      </c>
      <c r="N29" s="332">
        <f>Gasto_o_ing_per_capita!N29-Gasto_o_ing_per_capita!$D29</f>
        <v>0</v>
      </c>
      <c r="O29" s="332">
        <f>Gasto_o_ing_per_capita!O29-Gasto_o_ing_per_capita!$D29</f>
        <v>0</v>
      </c>
      <c r="P29" s="332">
        <f>Gasto_o_ing_per_capita!P29-Gasto_o_ing_per_capita!$D29</f>
        <v>0</v>
      </c>
      <c r="Q29" s="332">
        <f>Gasto_o_ing_per_capita!Q29-Gasto_o_ing_per_capita!$D29</f>
        <v>0</v>
      </c>
      <c r="R29" s="332">
        <f>Gasto_o_ing_per_capita!R29-Gasto_o_ing_per_capita!$D29</f>
        <v>0</v>
      </c>
      <c r="S29" s="332">
        <f>Gasto_o_ing_per_capita!S29-Gasto_o_ing_per_capita!$D29</f>
        <v>0</v>
      </c>
      <c r="T29" s="332">
        <f>Gasto_o_ing_per_capita!T29-Gasto_o_ing_per_capita!$D29</f>
        <v>0</v>
      </c>
      <c r="U29" s="332">
        <f>Gasto_o_ing_per_capita!U29-Gasto_o_ing_per_capita!$D29</f>
        <v>0</v>
      </c>
      <c r="V29" s="332">
        <f>Gasto_o_ing_per_capita!V29-Gasto_o_ing_per_capita!$D29</f>
        <v>0</v>
      </c>
      <c r="W29" s="122"/>
      <c r="X29" s="104"/>
    </row>
    <row r="30" spans="1:24" s="102" customFormat="1">
      <c r="A30" s="351" t="str">
        <f>IF(B30="","",(IF(ISERROR(MATCH(B30,Tot_res!C:C,0)),"Eliminar!!!","")))</f>
        <v/>
      </c>
      <c r="B30" s="115" t="s">
        <v>134</v>
      </c>
      <c r="C30" s="329" t="str">
        <f>VLOOKUP(B30,Tot_res!C:D,2,FALSE)</f>
        <v>Cooperación, promoción y difusión cultural en el exterior</v>
      </c>
      <c r="D30" s="332">
        <f>Gasto_o_ing_per_capita!D30-Gasto_o_ing_per_capita!$D30</f>
        <v>0</v>
      </c>
      <c r="E30" s="332">
        <f>Gasto_o_ing_per_capita!E30-Gasto_o_ing_per_capita!$D30</f>
        <v>0</v>
      </c>
      <c r="F30" s="332">
        <f>Gasto_o_ing_per_capita!F30-Gasto_o_ing_per_capita!$D30</f>
        <v>0</v>
      </c>
      <c r="G30" s="332">
        <f>Gasto_o_ing_per_capita!G30-Gasto_o_ing_per_capita!$D30</f>
        <v>0</v>
      </c>
      <c r="H30" s="332">
        <f>Gasto_o_ing_per_capita!H30-Gasto_o_ing_per_capita!$D30</f>
        <v>0</v>
      </c>
      <c r="I30" s="332">
        <f>Gasto_o_ing_per_capita!I30-Gasto_o_ing_per_capita!$D30</f>
        <v>0</v>
      </c>
      <c r="J30" s="332">
        <f>Gasto_o_ing_per_capita!J30-Gasto_o_ing_per_capita!$D30</f>
        <v>0</v>
      </c>
      <c r="K30" s="332">
        <f>Gasto_o_ing_per_capita!K30-Gasto_o_ing_per_capita!$D30</f>
        <v>0</v>
      </c>
      <c r="L30" s="332">
        <f>Gasto_o_ing_per_capita!L30-Gasto_o_ing_per_capita!$D30</f>
        <v>0</v>
      </c>
      <c r="M30" s="332">
        <f>Gasto_o_ing_per_capita!M30-Gasto_o_ing_per_capita!$D30</f>
        <v>0</v>
      </c>
      <c r="N30" s="332">
        <f>Gasto_o_ing_per_capita!N30-Gasto_o_ing_per_capita!$D30</f>
        <v>0</v>
      </c>
      <c r="O30" s="332">
        <f>Gasto_o_ing_per_capita!O30-Gasto_o_ing_per_capita!$D30</f>
        <v>0</v>
      </c>
      <c r="P30" s="332">
        <f>Gasto_o_ing_per_capita!P30-Gasto_o_ing_per_capita!$D30</f>
        <v>0</v>
      </c>
      <c r="Q30" s="332">
        <f>Gasto_o_ing_per_capita!Q30-Gasto_o_ing_per_capita!$D30</f>
        <v>0</v>
      </c>
      <c r="R30" s="332">
        <f>Gasto_o_ing_per_capita!R30-Gasto_o_ing_per_capita!$D30</f>
        <v>0</v>
      </c>
      <c r="S30" s="332">
        <f>Gasto_o_ing_per_capita!S30-Gasto_o_ing_per_capita!$D30</f>
        <v>0</v>
      </c>
      <c r="T30" s="332">
        <f>Gasto_o_ing_per_capita!T30-Gasto_o_ing_per_capita!$D30</f>
        <v>0</v>
      </c>
      <c r="U30" s="332">
        <f>Gasto_o_ing_per_capita!U30-Gasto_o_ing_per_capita!$D30</f>
        <v>0</v>
      </c>
      <c r="V30" s="332">
        <f>Gasto_o_ing_per_capita!V30-Gasto_o_ing_per_capita!$D30</f>
        <v>0</v>
      </c>
      <c r="W30" s="122"/>
      <c r="X30" s="104"/>
    </row>
    <row r="31" spans="1:24" s="102" customFormat="1">
      <c r="A31" s="351" t="str">
        <f>IF(B31="","",(IF(ISERROR(MATCH(B31,Tot_res!C:C,0)),"Eliminar!!!","")))</f>
        <v/>
      </c>
      <c r="B31" s="119" t="s">
        <v>136</v>
      </c>
      <c r="C31" s="329" t="str">
        <f>VLOOKUP(B31,Tot_res!C:D,2,FALSE)</f>
        <v>Educación en el exterior</v>
      </c>
      <c r="D31" s="332">
        <f>Gasto_o_ing_per_capita!D31-Gasto_o_ing_per_capita!$D31</f>
        <v>0</v>
      </c>
      <c r="E31" s="332">
        <f>Gasto_o_ing_per_capita!E31-Gasto_o_ing_per_capita!$D31</f>
        <v>0</v>
      </c>
      <c r="F31" s="332">
        <f>Gasto_o_ing_per_capita!F31-Gasto_o_ing_per_capita!$D31</f>
        <v>0</v>
      </c>
      <c r="G31" s="332">
        <f>Gasto_o_ing_per_capita!G31-Gasto_o_ing_per_capita!$D31</f>
        <v>0</v>
      </c>
      <c r="H31" s="332">
        <f>Gasto_o_ing_per_capita!H31-Gasto_o_ing_per_capita!$D31</f>
        <v>0</v>
      </c>
      <c r="I31" s="332">
        <f>Gasto_o_ing_per_capita!I31-Gasto_o_ing_per_capita!$D31</f>
        <v>0</v>
      </c>
      <c r="J31" s="332">
        <f>Gasto_o_ing_per_capita!J31-Gasto_o_ing_per_capita!$D31</f>
        <v>0</v>
      </c>
      <c r="K31" s="332">
        <f>Gasto_o_ing_per_capita!K31-Gasto_o_ing_per_capita!$D31</f>
        <v>0</v>
      </c>
      <c r="L31" s="332">
        <f>Gasto_o_ing_per_capita!L31-Gasto_o_ing_per_capita!$D31</f>
        <v>0</v>
      </c>
      <c r="M31" s="332">
        <f>Gasto_o_ing_per_capita!M31-Gasto_o_ing_per_capita!$D31</f>
        <v>0</v>
      </c>
      <c r="N31" s="332">
        <f>Gasto_o_ing_per_capita!N31-Gasto_o_ing_per_capita!$D31</f>
        <v>0</v>
      </c>
      <c r="O31" s="332">
        <f>Gasto_o_ing_per_capita!O31-Gasto_o_ing_per_capita!$D31</f>
        <v>0</v>
      </c>
      <c r="P31" s="332">
        <f>Gasto_o_ing_per_capita!P31-Gasto_o_ing_per_capita!$D31</f>
        <v>0</v>
      </c>
      <c r="Q31" s="332">
        <f>Gasto_o_ing_per_capita!Q31-Gasto_o_ing_per_capita!$D31</f>
        <v>0</v>
      </c>
      <c r="R31" s="332">
        <f>Gasto_o_ing_per_capita!R31-Gasto_o_ing_per_capita!$D31</f>
        <v>0</v>
      </c>
      <c r="S31" s="332">
        <f>Gasto_o_ing_per_capita!S31-Gasto_o_ing_per_capita!$D31</f>
        <v>0</v>
      </c>
      <c r="T31" s="332">
        <f>Gasto_o_ing_per_capita!T31-Gasto_o_ing_per_capita!$D31</f>
        <v>0</v>
      </c>
      <c r="U31" s="332">
        <f>Gasto_o_ing_per_capita!U31-Gasto_o_ing_per_capita!$D31</f>
        <v>0</v>
      </c>
      <c r="V31" s="332">
        <f>Gasto_o_ing_per_capita!V31-Gasto_o_ing_per_capita!$D31</f>
        <v>0</v>
      </c>
      <c r="W31" s="122"/>
      <c r="X31" s="104"/>
    </row>
    <row r="32" spans="1:24" s="102" customFormat="1">
      <c r="A32" s="351" t="str">
        <f>IF(B32="","",(IF(ISERROR(MATCH(B32,Tot_res!C:C,0)),"Eliminar!!!","")))</f>
        <v/>
      </c>
      <c r="B32" s="115" t="s">
        <v>138</v>
      </c>
      <c r="C32" s="329" t="str">
        <f>VLOOKUP(B32,Tot_res!C:D,2,FALSE)</f>
        <v>Relaciones con los organismos financieros multilaterales</v>
      </c>
      <c r="D32" s="332">
        <f>Gasto_o_ing_per_capita!D32-Gasto_o_ing_per_capita!$D32</f>
        <v>0</v>
      </c>
      <c r="E32" s="332">
        <f>Gasto_o_ing_per_capita!E32-Gasto_o_ing_per_capita!$D32</f>
        <v>0</v>
      </c>
      <c r="F32" s="332">
        <f>Gasto_o_ing_per_capita!F32-Gasto_o_ing_per_capita!$D32</f>
        <v>0</v>
      </c>
      <c r="G32" s="332">
        <f>Gasto_o_ing_per_capita!G32-Gasto_o_ing_per_capita!$D32</f>
        <v>0</v>
      </c>
      <c r="H32" s="332">
        <f>Gasto_o_ing_per_capita!H32-Gasto_o_ing_per_capita!$D32</f>
        <v>0</v>
      </c>
      <c r="I32" s="332">
        <f>Gasto_o_ing_per_capita!I32-Gasto_o_ing_per_capita!$D32</f>
        <v>0</v>
      </c>
      <c r="J32" s="332">
        <f>Gasto_o_ing_per_capita!J32-Gasto_o_ing_per_capita!$D32</f>
        <v>0</v>
      </c>
      <c r="K32" s="332">
        <f>Gasto_o_ing_per_capita!K32-Gasto_o_ing_per_capita!$D32</f>
        <v>0</v>
      </c>
      <c r="L32" s="332">
        <f>Gasto_o_ing_per_capita!L32-Gasto_o_ing_per_capita!$D32</f>
        <v>0</v>
      </c>
      <c r="M32" s="332">
        <f>Gasto_o_ing_per_capita!M32-Gasto_o_ing_per_capita!$D32</f>
        <v>0</v>
      </c>
      <c r="N32" s="332">
        <f>Gasto_o_ing_per_capita!N32-Gasto_o_ing_per_capita!$D32</f>
        <v>0</v>
      </c>
      <c r="O32" s="332">
        <f>Gasto_o_ing_per_capita!O32-Gasto_o_ing_per_capita!$D32</f>
        <v>0</v>
      </c>
      <c r="P32" s="332">
        <f>Gasto_o_ing_per_capita!P32-Gasto_o_ing_per_capita!$D32</f>
        <v>0</v>
      </c>
      <c r="Q32" s="332">
        <f>Gasto_o_ing_per_capita!Q32-Gasto_o_ing_per_capita!$D32</f>
        <v>0</v>
      </c>
      <c r="R32" s="332">
        <f>Gasto_o_ing_per_capita!R32-Gasto_o_ing_per_capita!$D32</f>
        <v>0</v>
      </c>
      <c r="S32" s="332">
        <f>Gasto_o_ing_per_capita!S32-Gasto_o_ing_per_capita!$D32</f>
        <v>0</v>
      </c>
      <c r="T32" s="332">
        <f>Gasto_o_ing_per_capita!T32-Gasto_o_ing_per_capita!$D32</f>
        <v>0</v>
      </c>
      <c r="U32" s="332">
        <f>Gasto_o_ing_per_capita!U32-Gasto_o_ing_per_capita!$D32</f>
        <v>0</v>
      </c>
      <c r="V32" s="332">
        <f>Gasto_o_ing_per_capita!V32-Gasto_o_ing_per_capita!$D32</f>
        <v>0</v>
      </c>
      <c r="W32" s="122"/>
      <c r="X32" s="104"/>
    </row>
    <row r="33" spans="1:24" s="102" customFormat="1">
      <c r="A33" s="351" t="str">
        <f>IF(B33="","",(IF(ISERROR(MATCH(B33,Tot_res!C:C,0)),"Eliminar!!!","")))</f>
        <v/>
      </c>
      <c r="B33" s="115" t="s">
        <v>139</v>
      </c>
      <c r="C33" s="329" t="str">
        <f>VLOOKUP(B33,Tot_res!C:D,2,FALSE)</f>
        <v>Cooperación al desarrollo a través del fondo europeo de desarrollo</v>
      </c>
      <c r="D33" s="332">
        <f>Gasto_o_ing_per_capita!D33-Gasto_o_ing_per_capita!$D33</f>
        <v>0</v>
      </c>
      <c r="E33" s="332">
        <f>Gasto_o_ing_per_capita!E33-Gasto_o_ing_per_capita!$D33</f>
        <v>0</v>
      </c>
      <c r="F33" s="332">
        <f>Gasto_o_ing_per_capita!F33-Gasto_o_ing_per_capita!$D33</f>
        <v>0</v>
      </c>
      <c r="G33" s="332">
        <f>Gasto_o_ing_per_capita!G33-Gasto_o_ing_per_capita!$D33</f>
        <v>0</v>
      </c>
      <c r="H33" s="332">
        <f>Gasto_o_ing_per_capita!H33-Gasto_o_ing_per_capita!$D33</f>
        <v>0</v>
      </c>
      <c r="I33" s="332">
        <f>Gasto_o_ing_per_capita!I33-Gasto_o_ing_per_capita!$D33</f>
        <v>0</v>
      </c>
      <c r="J33" s="332">
        <f>Gasto_o_ing_per_capita!J33-Gasto_o_ing_per_capita!$D33</f>
        <v>0</v>
      </c>
      <c r="K33" s="332">
        <f>Gasto_o_ing_per_capita!K33-Gasto_o_ing_per_capita!$D33</f>
        <v>0</v>
      </c>
      <c r="L33" s="332">
        <f>Gasto_o_ing_per_capita!L33-Gasto_o_ing_per_capita!$D33</f>
        <v>0</v>
      </c>
      <c r="M33" s="332">
        <f>Gasto_o_ing_per_capita!M33-Gasto_o_ing_per_capita!$D33</f>
        <v>0</v>
      </c>
      <c r="N33" s="332">
        <f>Gasto_o_ing_per_capita!N33-Gasto_o_ing_per_capita!$D33</f>
        <v>0</v>
      </c>
      <c r="O33" s="332">
        <f>Gasto_o_ing_per_capita!O33-Gasto_o_ing_per_capita!$D33</f>
        <v>0</v>
      </c>
      <c r="P33" s="332">
        <f>Gasto_o_ing_per_capita!P33-Gasto_o_ing_per_capita!$D33</f>
        <v>0</v>
      </c>
      <c r="Q33" s="332">
        <f>Gasto_o_ing_per_capita!Q33-Gasto_o_ing_per_capita!$D33</f>
        <v>0</v>
      </c>
      <c r="R33" s="332">
        <f>Gasto_o_ing_per_capita!R33-Gasto_o_ing_per_capita!$D33</f>
        <v>0</v>
      </c>
      <c r="S33" s="332">
        <f>Gasto_o_ing_per_capita!S33-Gasto_o_ing_per_capita!$D33</f>
        <v>0</v>
      </c>
      <c r="T33" s="332">
        <f>Gasto_o_ing_per_capita!T33-Gasto_o_ing_per_capita!$D33</f>
        <v>0</v>
      </c>
      <c r="U33" s="332">
        <f>Gasto_o_ing_per_capita!U33-Gasto_o_ing_per_capita!$D33</f>
        <v>0</v>
      </c>
      <c r="V33" s="332">
        <f>Gasto_o_ing_per_capita!V33-Gasto_o_ing_per_capita!$D33</f>
        <v>0</v>
      </c>
      <c r="W33" s="122"/>
      <c r="X33" s="104"/>
    </row>
    <row r="34" spans="1:24" s="102" customFormat="1">
      <c r="A34" s="352"/>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5">
      <c r="A35" s="352"/>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c r="A36" s="351" t="str">
        <f>IF(B36="","",(IF(ISERROR(MATCH(B36,Tot_res!C:C,0)),"Eliminar!!!","")))</f>
        <v/>
      </c>
      <c r="B36" s="115" t="s">
        <v>140</v>
      </c>
      <c r="C36" s="329" t="str">
        <f>VLOOKUP(B36,Tot_res!C:D,2,FALSE)</f>
        <v>Administración y servicios generales de defensa</v>
      </c>
      <c r="D36" s="332">
        <f>Gasto_o_ing_per_capita!D36-Gasto_o_ing_per_capita!$D36</f>
        <v>0</v>
      </c>
      <c r="E36" s="332">
        <f>Gasto_o_ing_per_capita!E36-Gasto_o_ing_per_capita!$D36</f>
        <v>0</v>
      </c>
      <c r="F36" s="332">
        <f>Gasto_o_ing_per_capita!F36-Gasto_o_ing_per_capita!$D36</f>
        <v>0</v>
      </c>
      <c r="G36" s="332">
        <f>Gasto_o_ing_per_capita!G36-Gasto_o_ing_per_capita!$D36</f>
        <v>0</v>
      </c>
      <c r="H36" s="332">
        <f>Gasto_o_ing_per_capita!H36-Gasto_o_ing_per_capita!$D36</f>
        <v>0</v>
      </c>
      <c r="I36" s="332">
        <f>Gasto_o_ing_per_capita!I36-Gasto_o_ing_per_capita!$D36</f>
        <v>0</v>
      </c>
      <c r="J36" s="332">
        <f>Gasto_o_ing_per_capita!J36-Gasto_o_ing_per_capita!$D36</f>
        <v>0</v>
      </c>
      <c r="K36" s="332">
        <f>Gasto_o_ing_per_capita!K36-Gasto_o_ing_per_capita!$D36</f>
        <v>0</v>
      </c>
      <c r="L36" s="332">
        <f>Gasto_o_ing_per_capita!L36-Gasto_o_ing_per_capita!$D36</f>
        <v>0</v>
      </c>
      <c r="M36" s="332">
        <f>Gasto_o_ing_per_capita!M36-Gasto_o_ing_per_capita!$D36</f>
        <v>0</v>
      </c>
      <c r="N36" s="332">
        <f>Gasto_o_ing_per_capita!N36-Gasto_o_ing_per_capita!$D36</f>
        <v>0</v>
      </c>
      <c r="O36" s="332">
        <f>Gasto_o_ing_per_capita!O36-Gasto_o_ing_per_capita!$D36</f>
        <v>0</v>
      </c>
      <c r="P36" s="332">
        <f>Gasto_o_ing_per_capita!P36-Gasto_o_ing_per_capita!$D36</f>
        <v>0</v>
      </c>
      <c r="Q36" s="332">
        <f>Gasto_o_ing_per_capita!Q36-Gasto_o_ing_per_capita!$D36</f>
        <v>0</v>
      </c>
      <c r="R36" s="332">
        <f>Gasto_o_ing_per_capita!R36-Gasto_o_ing_per_capita!$D36</f>
        <v>0</v>
      </c>
      <c r="S36" s="332">
        <f>Gasto_o_ing_per_capita!S36-Gasto_o_ing_per_capita!$D36</f>
        <v>0</v>
      </c>
      <c r="T36" s="332">
        <f>Gasto_o_ing_per_capita!T36-Gasto_o_ing_per_capita!$D36</f>
        <v>0</v>
      </c>
      <c r="U36" s="332">
        <f>Gasto_o_ing_per_capita!U36-Gasto_o_ing_per_capita!$D36</f>
        <v>0</v>
      </c>
      <c r="V36" s="332">
        <f>Gasto_o_ing_per_capita!V36-Gasto_o_ing_per_capita!$D36</f>
        <v>0</v>
      </c>
      <c r="W36" s="127"/>
      <c r="X36" s="104"/>
    </row>
    <row r="37" spans="1:24" s="102" customFormat="1">
      <c r="A37" s="351" t="str">
        <f>IF(B37="","",(IF(ISERROR(MATCH(B37,Tot_res!C:C,0)),"Eliminar!!!","")))</f>
        <v/>
      </c>
      <c r="B37" s="115" t="s">
        <v>141</v>
      </c>
      <c r="C37" s="329" t="str">
        <f>VLOOKUP(B37,Tot_res!C:D,2,FALSE)</f>
        <v>Formación del personal de las fuerzas armadas</v>
      </c>
      <c r="D37" s="332">
        <f>Gasto_o_ing_per_capita!D37-Gasto_o_ing_per_capita!$D37</f>
        <v>0</v>
      </c>
      <c r="E37" s="332">
        <f>Gasto_o_ing_per_capita!E37-Gasto_o_ing_per_capita!$D37</f>
        <v>0</v>
      </c>
      <c r="F37" s="332">
        <f>Gasto_o_ing_per_capita!F37-Gasto_o_ing_per_capita!$D37</f>
        <v>0</v>
      </c>
      <c r="G37" s="332">
        <f>Gasto_o_ing_per_capita!G37-Gasto_o_ing_per_capita!$D37</f>
        <v>0</v>
      </c>
      <c r="H37" s="332">
        <f>Gasto_o_ing_per_capita!H37-Gasto_o_ing_per_capita!$D37</f>
        <v>0</v>
      </c>
      <c r="I37" s="332">
        <f>Gasto_o_ing_per_capita!I37-Gasto_o_ing_per_capita!$D37</f>
        <v>0</v>
      </c>
      <c r="J37" s="332">
        <f>Gasto_o_ing_per_capita!J37-Gasto_o_ing_per_capita!$D37</f>
        <v>0</v>
      </c>
      <c r="K37" s="332">
        <f>Gasto_o_ing_per_capita!K37-Gasto_o_ing_per_capita!$D37</f>
        <v>0</v>
      </c>
      <c r="L37" s="332">
        <f>Gasto_o_ing_per_capita!L37-Gasto_o_ing_per_capita!$D37</f>
        <v>0</v>
      </c>
      <c r="M37" s="332">
        <f>Gasto_o_ing_per_capita!M37-Gasto_o_ing_per_capita!$D37</f>
        <v>0</v>
      </c>
      <c r="N37" s="332">
        <f>Gasto_o_ing_per_capita!N37-Gasto_o_ing_per_capita!$D37</f>
        <v>0</v>
      </c>
      <c r="O37" s="332">
        <f>Gasto_o_ing_per_capita!O37-Gasto_o_ing_per_capita!$D37</f>
        <v>0</v>
      </c>
      <c r="P37" s="332">
        <f>Gasto_o_ing_per_capita!P37-Gasto_o_ing_per_capita!$D37</f>
        <v>0</v>
      </c>
      <c r="Q37" s="332">
        <f>Gasto_o_ing_per_capita!Q37-Gasto_o_ing_per_capita!$D37</f>
        <v>0</v>
      </c>
      <c r="R37" s="332">
        <f>Gasto_o_ing_per_capita!R37-Gasto_o_ing_per_capita!$D37</f>
        <v>0</v>
      </c>
      <c r="S37" s="332">
        <f>Gasto_o_ing_per_capita!S37-Gasto_o_ing_per_capita!$D37</f>
        <v>0</v>
      </c>
      <c r="T37" s="332">
        <f>Gasto_o_ing_per_capita!T37-Gasto_o_ing_per_capita!$D37</f>
        <v>0</v>
      </c>
      <c r="U37" s="332">
        <f>Gasto_o_ing_per_capita!U37-Gasto_o_ing_per_capita!$D37</f>
        <v>0</v>
      </c>
      <c r="V37" s="332">
        <f>Gasto_o_ing_per_capita!V37-Gasto_o_ing_per_capita!$D37</f>
        <v>0</v>
      </c>
      <c r="W37" s="122"/>
      <c r="X37" s="104"/>
    </row>
    <row r="38" spans="1:24" s="102" customFormat="1">
      <c r="A38" s="351" t="str">
        <f>IF(B38="","",(IF(ISERROR(MATCH(B38,Tot_res!C:C,0)),"Eliminar!!!","")))</f>
        <v/>
      </c>
      <c r="B38" s="115" t="s">
        <v>142</v>
      </c>
      <c r="C38" s="329" t="str">
        <f>VLOOKUP(B38,Tot_res!C:D,2,FALSE)</f>
        <v>Personal en reserva</v>
      </c>
      <c r="D38" s="332">
        <f>Gasto_o_ing_per_capita!D38-Gasto_o_ing_per_capita!$D38</f>
        <v>0</v>
      </c>
      <c r="E38" s="332">
        <f>Gasto_o_ing_per_capita!E38-Gasto_o_ing_per_capita!$D38</f>
        <v>0</v>
      </c>
      <c r="F38" s="332">
        <f>Gasto_o_ing_per_capita!F38-Gasto_o_ing_per_capita!$D38</f>
        <v>0</v>
      </c>
      <c r="G38" s="332">
        <f>Gasto_o_ing_per_capita!G38-Gasto_o_ing_per_capita!$D38</f>
        <v>0</v>
      </c>
      <c r="H38" s="332">
        <f>Gasto_o_ing_per_capita!H38-Gasto_o_ing_per_capita!$D38</f>
        <v>0</v>
      </c>
      <c r="I38" s="332">
        <f>Gasto_o_ing_per_capita!I38-Gasto_o_ing_per_capita!$D38</f>
        <v>0</v>
      </c>
      <c r="J38" s="332">
        <f>Gasto_o_ing_per_capita!J38-Gasto_o_ing_per_capita!$D38</f>
        <v>0</v>
      </c>
      <c r="K38" s="332">
        <f>Gasto_o_ing_per_capita!K38-Gasto_o_ing_per_capita!$D38</f>
        <v>0</v>
      </c>
      <c r="L38" s="332">
        <f>Gasto_o_ing_per_capita!L38-Gasto_o_ing_per_capita!$D38</f>
        <v>0</v>
      </c>
      <c r="M38" s="332">
        <f>Gasto_o_ing_per_capita!M38-Gasto_o_ing_per_capita!$D38</f>
        <v>0</v>
      </c>
      <c r="N38" s="332">
        <f>Gasto_o_ing_per_capita!N38-Gasto_o_ing_per_capita!$D38</f>
        <v>0</v>
      </c>
      <c r="O38" s="332">
        <f>Gasto_o_ing_per_capita!O38-Gasto_o_ing_per_capita!$D38</f>
        <v>0</v>
      </c>
      <c r="P38" s="332">
        <f>Gasto_o_ing_per_capita!P38-Gasto_o_ing_per_capita!$D38</f>
        <v>0</v>
      </c>
      <c r="Q38" s="332">
        <f>Gasto_o_ing_per_capita!Q38-Gasto_o_ing_per_capita!$D38</f>
        <v>0</v>
      </c>
      <c r="R38" s="332">
        <f>Gasto_o_ing_per_capita!R38-Gasto_o_ing_per_capita!$D38</f>
        <v>0</v>
      </c>
      <c r="S38" s="332">
        <f>Gasto_o_ing_per_capita!S38-Gasto_o_ing_per_capita!$D38</f>
        <v>0</v>
      </c>
      <c r="T38" s="332">
        <f>Gasto_o_ing_per_capita!T38-Gasto_o_ing_per_capita!$D38</f>
        <v>0</v>
      </c>
      <c r="U38" s="332">
        <f>Gasto_o_ing_per_capita!U38-Gasto_o_ing_per_capita!$D38</f>
        <v>0</v>
      </c>
      <c r="V38" s="332">
        <f>Gasto_o_ing_per_capita!V38-Gasto_o_ing_per_capita!$D38</f>
        <v>0</v>
      </c>
      <c r="W38" s="122"/>
      <c r="X38" s="104"/>
    </row>
    <row r="39" spans="1:24" s="102" customFormat="1">
      <c r="A39" s="351" t="str">
        <f>IF(B39="","",(IF(ISERROR(MATCH(B39,Tot_res!C:C,0)),"Eliminar!!!","")))</f>
        <v/>
      </c>
      <c r="B39" s="115" t="s">
        <v>144</v>
      </c>
      <c r="C39" s="329" t="str">
        <f>VLOOKUP(B39,Tot_res!C:D,2,FALSE)</f>
        <v>Modernización de las fuerzas armadas</v>
      </c>
      <c r="D39" s="332">
        <f>Gasto_o_ing_per_capita!D39-Gasto_o_ing_per_capita!$D39</f>
        <v>0</v>
      </c>
      <c r="E39" s="332">
        <f>Gasto_o_ing_per_capita!E39-Gasto_o_ing_per_capita!$D39</f>
        <v>0</v>
      </c>
      <c r="F39" s="332">
        <f>Gasto_o_ing_per_capita!F39-Gasto_o_ing_per_capita!$D39</f>
        <v>0</v>
      </c>
      <c r="G39" s="332">
        <f>Gasto_o_ing_per_capita!G39-Gasto_o_ing_per_capita!$D39</f>
        <v>0</v>
      </c>
      <c r="H39" s="332">
        <f>Gasto_o_ing_per_capita!H39-Gasto_o_ing_per_capita!$D39</f>
        <v>0</v>
      </c>
      <c r="I39" s="332">
        <f>Gasto_o_ing_per_capita!I39-Gasto_o_ing_per_capita!$D39</f>
        <v>0</v>
      </c>
      <c r="J39" s="332">
        <f>Gasto_o_ing_per_capita!J39-Gasto_o_ing_per_capita!$D39</f>
        <v>0</v>
      </c>
      <c r="K39" s="332">
        <f>Gasto_o_ing_per_capita!K39-Gasto_o_ing_per_capita!$D39</f>
        <v>0</v>
      </c>
      <c r="L39" s="332">
        <f>Gasto_o_ing_per_capita!L39-Gasto_o_ing_per_capita!$D39</f>
        <v>0</v>
      </c>
      <c r="M39" s="332">
        <f>Gasto_o_ing_per_capita!M39-Gasto_o_ing_per_capita!$D39</f>
        <v>0</v>
      </c>
      <c r="N39" s="332">
        <f>Gasto_o_ing_per_capita!N39-Gasto_o_ing_per_capita!$D39</f>
        <v>0</v>
      </c>
      <c r="O39" s="332">
        <f>Gasto_o_ing_per_capita!O39-Gasto_o_ing_per_capita!$D39</f>
        <v>0</v>
      </c>
      <c r="P39" s="332">
        <f>Gasto_o_ing_per_capita!P39-Gasto_o_ing_per_capita!$D39</f>
        <v>0</v>
      </c>
      <c r="Q39" s="332">
        <f>Gasto_o_ing_per_capita!Q39-Gasto_o_ing_per_capita!$D39</f>
        <v>0</v>
      </c>
      <c r="R39" s="332">
        <f>Gasto_o_ing_per_capita!R39-Gasto_o_ing_per_capita!$D39</f>
        <v>0</v>
      </c>
      <c r="S39" s="332">
        <f>Gasto_o_ing_per_capita!S39-Gasto_o_ing_per_capita!$D39</f>
        <v>0</v>
      </c>
      <c r="T39" s="332">
        <f>Gasto_o_ing_per_capita!T39-Gasto_o_ing_per_capita!$D39</f>
        <v>0</v>
      </c>
      <c r="U39" s="332">
        <f>Gasto_o_ing_per_capita!U39-Gasto_o_ing_per_capita!$D39</f>
        <v>0</v>
      </c>
      <c r="V39" s="332">
        <f>Gasto_o_ing_per_capita!V39-Gasto_o_ing_per_capita!$D39</f>
        <v>0</v>
      </c>
      <c r="W39" s="122"/>
      <c r="X39" s="104"/>
    </row>
    <row r="40" spans="1:24" s="102" customFormat="1">
      <c r="A40" s="351" t="str">
        <f>IF(B40="","",(IF(ISERROR(MATCH(B40,Tot_res!C:C,0)),"Eliminar!!!","")))</f>
        <v/>
      </c>
      <c r="B40" s="115" t="s">
        <v>145</v>
      </c>
      <c r="C40" s="329" t="str">
        <f>VLOOKUP(B40,Tot_res!C:D,2,FALSE)</f>
        <v>Programas especiales de modernización</v>
      </c>
      <c r="D40" s="332">
        <f>Gasto_o_ing_per_capita!D40-Gasto_o_ing_per_capita!$D40</f>
        <v>0</v>
      </c>
      <c r="E40" s="332">
        <f>Gasto_o_ing_per_capita!E40-Gasto_o_ing_per_capita!$D40</f>
        <v>0</v>
      </c>
      <c r="F40" s="332">
        <f>Gasto_o_ing_per_capita!F40-Gasto_o_ing_per_capita!$D40</f>
        <v>0</v>
      </c>
      <c r="G40" s="332">
        <f>Gasto_o_ing_per_capita!G40-Gasto_o_ing_per_capita!$D40</f>
        <v>0</v>
      </c>
      <c r="H40" s="332">
        <f>Gasto_o_ing_per_capita!H40-Gasto_o_ing_per_capita!$D40</f>
        <v>0</v>
      </c>
      <c r="I40" s="332">
        <f>Gasto_o_ing_per_capita!I40-Gasto_o_ing_per_capita!$D40</f>
        <v>0</v>
      </c>
      <c r="J40" s="332">
        <f>Gasto_o_ing_per_capita!J40-Gasto_o_ing_per_capita!$D40</f>
        <v>0</v>
      </c>
      <c r="K40" s="332">
        <f>Gasto_o_ing_per_capita!K40-Gasto_o_ing_per_capita!$D40</f>
        <v>0</v>
      </c>
      <c r="L40" s="332">
        <f>Gasto_o_ing_per_capita!L40-Gasto_o_ing_per_capita!$D40</f>
        <v>0</v>
      </c>
      <c r="M40" s="332">
        <f>Gasto_o_ing_per_capita!M40-Gasto_o_ing_per_capita!$D40</f>
        <v>0</v>
      </c>
      <c r="N40" s="332">
        <f>Gasto_o_ing_per_capita!N40-Gasto_o_ing_per_capita!$D40</f>
        <v>0</v>
      </c>
      <c r="O40" s="332">
        <f>Gasto_o_ing_per_capita!O40-Gasto_o_ing_per_capita!$D40</f>
        <v>0</v>
      </c>
      <c r="P40" s="332">
        <f>Gasto_o_ing_per_capita!P40-Gasto_o_ing_per_capita!$D40</f>
        <v>0</v>
      </c>
      <c r="Q40" s="332">
        <f>Gasto_o_ing_per_capita!Q40-Gasto_o_ing_per_capita!$D40</f>
        <v>0</v>
      </c>
      <c r="R40" s="332">
        <f>Gasto_o_ing_per_capita!R40-Gasto_o_ing_per_capita!$D40</f>
        <v>0</v>
      </c>
      <c r="S40" s="332">
        <f>Gasto_o_ing_per_capita!S40-Gasto_o_ing_per_capita!$D40</f>
        <v>0</v>
      </c>
      <c r="T40" s="332">
        <f>Gasto_o_ing_per_capita!T40-Gasto_o_ing_per_capita!$D40</f>
        <v>0</v>
      </c>
      <c r="U40" s="332">
        <f>Gasto_o_ing_per_capita!U40-Gasto_o_ing_per_capita!$D40</f>
        <v>0</v>
      </c>
      <c r="V40" s="332">
        <f>Gasto_o_ing_per_capita!V40-Gasto_o_ing_per_capita!$D40</f>
        <v>0</v>
      </c>
      <c r="W40" s="122"/>
      <c r="X40" s="104"/>
    </row>
    <row r="41" spans="1:24" s="102" customFormat="1">
      <c r="A41" s="351" t="str">
        <f>IF(B41="","",(IF(ISERROR(MATCH(B41,Tot_res!C:C,0)),"Eliminar!!!","")))</f>
        <v/>
      </c>
      <c r="B41" s="115" t="s">
        <v>147</v>
      </c>
      <c r="C41" s="329" t="str">
        <f>VLOOKUP(B41,Tot_res!C:D,2,FALSE)</f>
        <v>Gastos operativos de las fuerzas armadas</v>
      </c>
      <c r="D41" s="332">
        <f>Gasto_o_ing_per_capita!D41-Gasto_o_ing_per_capita!$D41</f>
        <v>0</v>
      </c>
      <c r="E41" s="332">
        <f>Gasto_o_ing_per_capita!E41-Gasto_o_ing_per_capita!$D41</f>
        <v>0</v>
      </c>
      <c r="F41" s="332">
        <f>Gasto_o_ing_per_capita!F41-Gasto_o_ing_per_capita!$D41</f>
        <v>0</v>
      </c>
      <c r="G41" s="332">
        <f>Gasto_o_ing_per_capita!G41-Gasto_o_ing_per_capita!$D41</f>
        <v>0</v>
      </c>
      <c r="H41" s="332">
        <f>Gasto_o_ing_per_capita!H41-Gasto_o_ing_per_capita!$D41</f>
        <v>0</v>
      </c>
      <c r="I41" s="332">
        <f>Gasto_o_ing_per_capita!I41-Gasto_o_ing_per_capita!$D41</f>
        <v>0</v>
      </c>
      <c r="J41" s="332">
        <f>Gasto_o_ing_per_capita!J41-Gasto_o_ing_per_capita!$D41</f>
        <v>0</v>
      </c>
      <c r="K41" s="332">
        <f>Gasto_o_ing_per_capita!K41-Gasto_o_ing_per_capita!$D41</f>
        <v>0</v>
      </c>
      <c r="L41" s="332">
        <f>Gasto_o_ing_per_capita!L41-Gasto_o_ing_per_capita!$D41</f>
        <v>0</v>
      </c>
      <c r="M41" s="332">
        <f>Gasto_o_ing_per_capita!M41-Gasto_o_ing_per_capita!$D41</f>
        <v>0</v>
      </c>
      <c r="N41" s="332">
        <f>Gasto_o_ing_per_capita!N41-Gasto_o_ing_per_capita!$D41</f>
        <v>0</v>
      </c>
      <c r="O41" s="332">
        <f>Gasto_o_ing_per_capita!O41-Gasto_o_ing_per_capita!$D41</f>
        <v>0</v>
      </c>
      <c r="P41" s="332">
        <f>Gasto_o_ing_per_capita!P41-Gasto_o_ing_per_capita!$D41</f>
        <v>0</v>
      </c>
      <c r="Q41" s="332">
        <f>Gasto_o_ing_per_capita!Q41-Gasto_o_ing_per_capita!$D41</f>
        <v>0</v>
      </c>
      <c r="R41" s="332">
        <f>Gasto_o_ing_per_capita!R41-Gasto_o_ing_per_capita!$D41</f>
        <v>0</v>
      </c>
      <c r="S41" s="332">
        <f>Gasto_o_ing_per_capita!S41-Gasto_o_ing_per_capita!$D41</f>
        <v>0</v>
      </c>
      <c r="T41" s="332">
        <f>Gasto_o_ing_per_capita!T41-Gasto_o_ing_per_capita!$D41</f>
        <v>0</v>
      </c>
      <c r="U41" s="332">
        <f>Gasto_o_ing_per_capita!U41-Gasto_o_ing_per_capita!$D41</f>
        <v>0</v>
      </c>
      <c r="V41" s="332">
        <f>Gasto_o_ing_per_capita!V41-Gasto_o_ing_per_capita!$D41</f>
        <v>0</v>
      </c>
      <c r="W41" s="122"/>
      <c r="X41" s="104"/>
    </row>
    <row r="42" spans="1:24" s="102" customFormat="1">
      <c r="A42" s="351" t="str">
        <f>IF(B42="","",(IF(ISERROR(MATCH(B42,Tot_res!C:C,0)),"Eliminar!!!","")))</f>
        <v/>
      </c>
      <c r="B42" s="115" t="s">
        <v>148</v>
      </c>
      <c r="C42" s="329" t="str">
        <f>VLOOKUP(B42,Tot_res!C:D,2,FALSE)</f>
        <v>Apoyo logístico</v>
      </c>
      <c r="D42" s="332">
        <f>Gasto_o_ing_per_capita!D42-Gasto_o_ing_per_capita!$D42</f>
        <v>0</v>
      </c>
      <c r="E42" s="332">
        <f>Gasto_o_ing_per_capita!E42-Gasto_o_ing_per_capita!$D42</f>
        <v>0</v>
      </c>
      <c r="F42" s="332">
        <f>Gasto_o_ing_per_capita!F42-Gasto_o_ing_per_capita!$D42</f>
        <v>0</v>
      </c>
      <c r="G42" s="332">
        <f>Gasto_o_ing_per_capita!G42-Gasto_o_ing_per_capita!$D42</f>
        <v>0</v>
      </c>
      <c r="H42" s="332">
        <f>Gasto_o_ing_per_capita!H42-Gasto_o_ing_per_capita!$D42</f>
        <v>0</v>
      </c>
      <c r="I42" s="332">
        <f>Gasto_o_ing_per_capita!I42-Gasto_o_ing_per_capita!$D42</f>
        <v>0</v>
      </c>
      <c r="J42" s="332">
        <f>Gasto_o_ing_per_capita!J42-Gasto_o_ing_per_capita!$D42</f>
        <v>0</v>
      </c>
      <c r="K42" s="332">
        <f>Gasto_o_ing_per_capita!K42-Gasto_o_ing_per_capita!$D42</f>
        <v>0</v>
      </c>
      <c r="L42" s="332">
        <f>Gasto_o_ing_per_capita!L42-Gasto_o_ing_per_capita!$D42</f>
        <v>0</v>
      </c>
      <c r="M42" s="332">
        <f>Gasto_o_ing_per_capita!M42-Gasto_o_ing_per_capita!$D42</f>
        <v>0</v>
      </c>
      <c r="N42" s="332">
        <f>Gasto_o_ing_per_capita!N42-Gasto_o_ing_per_capita!$D42</f>
        <v>0</v>
      </c>
      <c r="O42" s="332">
        <f>Gasto_o_ing_per_capita!O42-Gasto_o_ing_per_capita!$D42</f>
        <v>0</v>
      </c>
      <c r="P42" s="332">
        <f>Gasto_o_ing_per_capita!P42-Gasto_o_ing_per_capita!$D42</f>
        <v>0</v>
      </c>
      <c r="Q42" s="332">
        <f>Gasto_o_ing_per_capita!Q42-Gasto_o_ing_per_capita!$D42</f>
        <v>0</v>
      </c>
      <c r="R42" s="332">
        <f>Gasto_o_ing_per_capita!R42-Gasto_o_ing_per_capita!$D42</f>
        <v>0</v>
      </c>
      <c r="S42" s="332">
        <f>Gasto_o_ing_per_capita!S42-Gasto_o_ing_per_capita!$D42</f>
        <v>0</v>
      </c>
      <c r="T42" s="332">
        <f>Gasto_o_ing_per_capita!T42-Gasto_o_ing_per_capita!$D42</f>
        <v>0</v>
      </c>
      <c r="U42" s="332">
        <f>Gasto_o_ing_per_capita!U42-Gasto_o_ing_per_capita!$D42</f>
        <v>0</v>
      </c>
      <c r="V42" s="332">
        <f>Gasto_o_ing_per_capita!V42-Gasto_o_ing_per_capita!$D42</f>
        <v>0</v>
      </c>
      <c r="W42" s="122"/>
      <c r="X42" s="104"/>
    </row>
    <row r="43" spans="1:24" s="102" customFormat="1">
      <c r="A43" s="351" t="str">
        <f>IF(B43="","",(IF(ISERROR(MATCH(B43,Tot_res!C:C,0)),"Eliminar!!!","")))</f>
        <v/>
      </c>
      <c r="B43" s="115" t="s">
        <v>149</v>
      </c>
      <c r="C43" s="329" t="str">
        <f>VLOOKUP(B43,Tot_res!C:D,2,FALSE)</f>
        <v>Asistencia hospitalaria en las fuerzas armadas</v>
      </c>
      <c r="D43" s="332">
        <f>Gasto_o_ing_per_capita!D43-Gasto_o_ing_per_capita!$D43</f>
        <v>0</v>
      </c>
      <c r="E43" s="332">
        <f>Gasto_o_ing_per_capita!E43-Gasto_o_ing_per_capita!$D43</f>
        <v>0</v>
      </c>
      <c r="F43" s="332">
        <f>Gasto_o_ing_per_capita!F43-Gasto_o_ing_per_capita!$D43</f>
        <v>0</v>
      </c>
      <c r="G43" s="332">
        <f>Gasto_o_ing_per_capita!G43-Gasto_o_ing_per_capita!$D43</f>
        <v>0</v>
      </c>
      <c r="H43" s="332">
        <f>Gasto_o_ing_per_capita!H43-Gasto_o_ing_per_capita!$D43</f>
        <v>0</v>
      </c>
      <c r="I43" s="332">
        <f>Gasto_o_ing_per_capita!I43-Gasto_o_ing_per_capita!$D43</f>
        <v>0</v>
      </c>
      <c r="J43" s="332">
        <f>Gasto_o_ing_per_capita!J43-Gasto_o_ing_per_capita!$D43</f>
        <v>0</v>
      </c>
      <c r="K43" s="332">
        <f>Gasto_o_ing_per_capita!K43-Gasto_o_ing_per_capita!$D43</f>
        <v>0</v>
      </c>
      <c r="L43" s="332">
        <f>Gasto_o_ing_per_capita!L43-Gasto_o_ing_per_capita!$D43</f>
        <v>0</v>
      </c>
      <c r="M43" s="332">
        <f>Gasto_o_ing_per_capita!M43-Gasto_o_ing_per_capita!$D43</f>
        <v>0</v>
      </c>
      <c r="N43" s="332">
        <f>Gasto_o_ing_per_capita!N43-Gasto_o_ing_per_capita!$D43</f>
        <v>0</v>
      </c>
      <c r="O43" s="332">
        <f>Gasto_o_ing_per_capita!O43-Gasto_o_ing_per_capita!$D43</f>
        <v>0</v>
      </c>
      <c r="P43" s="332">
        <f>Gasto_o_ing_per_capita!P43-Gasto_o_ing_per_capita!$D43</f>
        <v>0</v>
      </c>
      <c r="Q43" s="332">
        <f>Gasto_o_ing_per_capita!Q43-Gasto_o_ing_per_capita!$D43</f>
        <v>0</v>
      </c>
      <c r="R43" s="332">
        <f>Gasto_o_ing_per_capita!R43-Gasto_o_ing_per_capita!$D43</f>
        <v>0</v>
      </c>
      <c r="S43" s="332">
        <f>Gasto_o_ing_per_capita!S43-Gasto_o_ing_per_capita!$D43</f>
        <v>0</v>
      </c>
      <c r="T43" s="332">
        <f>Gasto_o_ing_per_capita!T43-Gasto_o_ing_per_capita!$D43</f>
        <v>0</v>
      </c>
      <c r="U43" s="332">
        <f>Gasto_o_ing_per_capita!U43-Gasto_o_ing_per_capita!$D43</f>
        <v>0</v>
      </c>
      <c r="V43" s="332">
        <f>Gasto_o_ing_per_capita!V43-Gasto_o_ing_per_capita!$D43</f>
        <v>0</v>
      </c>
      <c r="W43" s="122"/>
      <c r="X43" s="104"/>
    </row>
    <row r="44" spans="1:24" s="102" customFormat="1">
      <c r="A44" s="351" t="str">
        <f>IF(B44="","",(IF(ISERROR(MATCH(B44,Tot_res!C:C,0)),"Eliminar!!!","")))</f>
        <v/>
      </c>
      <c r="B44" s="115" t="s">
        <v>150</v>
      </c>
      <c r="C44" s="329" t="str">
        <f>VLOOKUP(B44,Tot_res!C:D,2,FALSE)</f>
        <v>Investigación y estudios de las fuerzas armadas</v>
      </c>
      <c r="D44" s="332">
        <f>Gasto_o_ing_per_capita!D44-Gasto_o_ing_per_capita!$D44</f>
        <v>0</v>
      </c>
      <c r="E44" s="332">
        <f>Gasto_o_ing_per_capita!E44-Gasto_o_ing_per_capita!$D44</f>
        <v>0</v>
      </c>
      <c r="F44" s="332">
        <f>Gasto_o_ing_per_capita!F44-Gasto_o_ing_per_capita!$D44</f>
        <v>0</v>
      </c>
      <c r="G44" s="332">
        <f>Gasto_o_ing_per_capita!G44-Gasto_o_ing_per_capita!$D44</f>
        <v>0</v>
      </c>
      <c r="H44" s="332">
        <f>Gasto_o_ing_per_capita!H44-Gasto_o_ing_per_capita!$D44</f>
        <v>0</v>
      </c>
      <c r="I44" s="332">
        <f>Gasto_o_ing_per_capita!I44-Gasto_o_ing_per_capita!$D44</f>
        <v>0</v>
      </c>
      <c r="J44" s="332">
        <f>Gasto_o_ing_per_capita!J44-Gasto_o_ing_per_capita!$D44</f>
        <v>0</v>
      </c>
      <c r="K44" s="332">
        <f>Gasto_o_ing_per_capita!K44-Gasto_o_ing_per_capita!$D44</f>
        <v>0</v>
      </c>
      <c r="L44" s="332">
        <f>Gasto_o_ing_per_capita!L44-Gasto_o_ing_per_capita!$D44</f>
        <v>0</v>
      </c>
      <c r="M44" s="332">
        <f>Gasto_o_ing_per_capita!M44-Gasto_o_ing_per_capita!$D44</f>
        <v>0</v>
      </c>
      <c r="N44" s="332">
        <f>Gasto_o_ing_per_capita!N44-Gasto_o_ing_per_capita!$D44</f>
        <v>0</v>
      </c>
      <c r="O44" s="332">
        <f>Gasto_o_ing_per_capita!O44-Gasto_o_ing_per_capita!$D44</f>
        <v>0</v>
      </c>
      <c r="P44" s="332">
        <f>Gasto_o_ing_per_capita!P44-Gasto_o_ing_per_capita!$D44</f>
        <v>0</v>
      </c>
      <c r="Q44" s="332">
        <f>Gasto_o_ing_per_capita!Q44-Gasto_o_ing_per_capita!$D44</f>
        <v>0</v>
      </c>
      <c r="R44" s="332">
        <f>Gasto_o_ing_per_capita!R44-Gasto_o_ing_per_capita!$D44</f>
        <v>0</v>
      </c>
      <c r="S44" s="332">
        <f>Gasto_o_ing_per_capita!S44-Gasto_o_ing_per_capita!$D44</f>
        <v>0</v>
      </c>
      <c r="T44" s="332">
        <f>Gasto_o_ing_per_capita!T44-Gasto_o_ing_per_capita!$D44</f>
        <v>0</v>
      </c>
      <c r="U44" s="332">
        <f>Gasto_o_ing_per_capita!U44-Gasto_o_ing_per_capita!$D44</f>
        <v>0</v>
      </c>
      <c r="V44" s="332">
        <f>Gasto_o_ing_per_capita!V44-Gasto_o_ing_per_capita!$D44</f>
        <v>0</v>
      </c>
      <c r="W44" s="122"/>
      <c r="X44" s="104"/>
    </row>
    <row r="45" spans="1:24" s="102" customFormat="1">
      <c r="A45" s="351" t="str">
        <f>IF(B45="","",(IF(ISERROR(MATCH(B45,Tot_res!C:C,0)),"Eliminar!!!","")))</f>
        <v/>
      </c>
      <c r="B45" s="115" t="s">
        <v>151</v>
      </c>
      <c r="C45" s="329" t="str">
        <f>VLOOKUP(B45,Tot_res!C:D,2,FALSE)</f>
        <v>Asesoramiento para la protección de los intereses nacionales</v>
      </c>
      <c r="D45" s="332">
        <f>Gasto_o_ing_per_capita!D45-Gasto_o_ing_per_capita!$D45</f>
        <v>0</v>
      </c>
      <c r="E45" s="332">
        <f>Gasto_o_ing_per_capita!E45-Gasto_o_ing_per_capita!$D45</f>
        <v>0</v>
      </c>
      <c r="F45" s="332">
        <f>Gasto_o_ing_per_capita!F45-Gasto_o_ing_per_capita!$D45</f>
        <v>0</v>
      </c>
      <c r="G45" s="332">
        <f>Gasto_o_ing_per_capita!G45-Gasto_o_ing_per_capita!$D45</f>
        <v>0</v>
      </c>
      <c r="H45" s="332">
        <f>Gasto_o_ing_per_capita!H45-Gasto_o_ing_per_capita!$D45</f>
        <v>0</v>
      </c>
      <c r="I45" s="332">
        <f>Gasto_o_ing_per_capita!I45-Gasto_o_ing_per_capita!$D45</f>
        <v>0</v>
      </c>
      <c r="J45" s="332">
        <f>Gasto_o_ing_per_capita!J45-Gasto_o_ing_per_capita!$D45</f>
        <v>0</v>
      </c>
      <c r="K45" s="332">
        <f>Gasto_o_ing_per_capita!K45-Gasto_o_ing_per_capita!$D45</f>
        <v>0</v>
      </c>
      <c r="L45" s="332">
        <f>Gasto_o_ing_per_capita!L45-Gasto_o_ing_per_capita!$D45</f>
        <v>0</v>
      </c>
      <c r="M45" s="332">
        <f>Gasto_o_ing_per_capita!M45-Gasto_o_ing_per_capita!$D45</f>
        <v>0</v>
      </c>
      <c r="N45" s="332">
        <f>Gasto_o_ing_per_capita!N45-Gasto_o_ing_per_capita!$D45</f>
        <v>0</v>
      </c>
      <c r="O45" s="332">
        <f>Gasto_o_ing_per_capita!O45-Gasto_o_ing_per_capita!$D45</f>
        <v>0</v>
      </c>
      <c r="P45" s="332">
        <f>Gasto_o_ing_per_capita!P45-Gasto_o_ing_per_capita!$D45</f>
        <v>0</v>
      </c>
      <c r="Q45" s="332">
        <f>Gasto_o_ing_per_capita!Q45-Gasto_o_ing_per_capita!$D45</f>
        <v>0</v>
      </c>
      <c r="R45" s="332">
        <f>Gasto_o_ing_per_capita!R45-Gasto_o_ing_per_capita!$D45</f>
        <v>0</v>
      </c>
      <c r="S45" s="332">
        <f>Gasto_o_ing_per_capita!S45-Gasto_o_ing_per_capita!$D45</f>
        <v>0</v>
      </c>
      <c r="T45" s="332">
        <f>Gasto_o_ing_per_capita!T45-Gasto_o_ing_per_capita!$D45</f>
        <v>0</v>
      </c>
      <c r="U45" s="332">
        <f>Gasto_o_ing_per_capita!U45-Gasto_o_ing_per_capita!$D45</f>
        <v>0</v>
      </c>
      <c r="V45" s="332">
        <f>Gasto_o_ing_per_capita!V45-Gasto_o_ing_per_capita!$D45</f>
        <v>0</v>
      </c>
      <c r="W45" s="122"/>
      <c r="X45" s="104"/>
    </row>
    <row r="46" spans="1:24"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5">
      <c r="A47" s="352"/>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c r="A48" s="351" t="str">
        <f>IF(B48="","",(IF(ISERROR(MATCH(B48,Tot_res!C:C,0)),"Eliminar!!!","")))</f>
        <v/>
      </c>
      <c r="B48" s="115" t="s">
        <v>152</v>
      </c>
      <c r="C48" s="329" t="str">
        <f>VLOOKUP(B48,Tot_res!C:D,2,FALSE)</f>
        <v>Coordinación y relaciones financieras con los entes territoriales</v>
      </c>
      <c r="D48" s="332">
        <f>Gasto_o_ing_per_capita!D48-Gasto_o_ing_per_capita!$D48</f>
        <v>0</v>
      </c>
      <c r="E48" s="332">
        <f>Gasto_o_ing_per_capita!E48-Gasto_o_ing_per_capita!$D48</f>
        <v>0</v>
      </c>
      <c r="F48" s="332">
        <f>Gasto_o_ing_per_capita!F48-Gasto_o_ing_per_capita!$D48</f>
        <v>0</v>
      </c>
      <c r="G48" s="332">
        <f>Gasto_o_ing_per_capita!G48-Gasto_o_ing_per_capita!$D48</f>
        <v>0</v>
      </c>
      <c r="H48" s="332">
        <f>Gasto_o_ing_per_capita!H48-Gasto_o_ing_per_capita!$D48</f>
        <v>0</v>
      </c>
      <c r="I48" s="332">
        <f>Gasto_o_ing_per_capita!I48-Gasto_o_ing_per_capita!$D48</f>
        <v>0</v>
      </c>
      <c r="J48" s="332">
        <f>Gasto_o_ing_per_capita!J48-Gasto_o_ing_per_capita!$D48</f>
        <v>0</v>
      </c>
      <c r="K48" s="332">
        <f>Gasto_o_ing_per_capita!K48-Gasto_o_ing_per_capita!$D48</f>
        <v>0</v>
      </c>
      <c r="L48" s="332">
        <f>Gasto_o_ing_per_capita!L48-Gasto_o_ing_per_capita!$D48</f>
        <v>0</v>
      </c>
      <c r="M48" s="332">
        <f>Gasto_o_ing_per_capita!M48-Gasto_o_ing_per_capita!$D48</f>
        <v>0</v>
      </c>
      <c r="N48" s="332">
        <f>Gasto_o_ing_per_capita!N48-Gasto_o_ing_per_capita!$D48</f>
        <v>0</v>
      </c>
      <c r="O48" s="332">
        <f>Gasto_o_ing_per_capita!O48-Gasto_o_ing_per_capita!$D48</f>
        <v>0</v>
      </c>
      <c r="P48" s="332">
        <f>Gasto_o_ing_per_capita!P48-Gasto_o_ing_per_capita!$D48</f>
        <v>0</v>
      </c>
      <c r="Q48" s="332">
        <f>Gasto_o_ing_per_capita!Q48-Gasto_o_ing_per_capita!$D48</f>
        <v>0</v>
      </c>
      <c r="R48" s="332">
        <f>Gasto_o_ing_per_capita!R48-Gasto_o_ing_per_capita!$D48</f>
        <v>0</v>
      </c>
      <c r="S48" s="332">
        <f>Gasto_o_ing_per_capita!S48-Gasto_o_ing_per_capita!$D48</f>
        <v>0</v>
      </c>
      <c r="T48" s="332">
        <f>Gasto_o_ing_per_capita!T48-Gasto_o_ing_per_capita!$D48</f>
        <v>0</v>
      </c>
      <c r="U48" s="332">
        <f>Gasto_o_ing_per_capita!U48-Gasto_o_ing_per_capita!$D48</f>
        <v>0</v>
      </c>
      <c r="V48" s="332">
        <f>Gasto_o_ing_per_capita!V48-Gasto_o_ing_per_capita!$D48</f>
        <v>0</v>
      </c>
      <c r="W48" s="131"/>
      <c r="X48" s="104"/>
    </row>
    <row r="49" spans="1:24" s="102" customFormat="1">
      <c r="A49" s="351" t="str">
        <f>IF(B49="","",(IF(ISERROR(MATCH(B49,Tot_res!C:C,0)),"Eliminar!!!","")))</f>
        <v/>
      </c>
      <c r="B49" s="115" t="s">
        <v>620</v>
      </c>
      <c r="C49" s="329" t="str">
        <f>VLOOKUP(B49,Tot_res!C:D,2,FALSE)</f>
        <v>Gestión del patrimonio del estado</v>
      </c>
      <c r="D49" s="332">
        <f>Gasto_o_ing_per_capita!D49-Gasto_o_ing_per_capita!$D49</f>
        <v>0</v>
      </c>
      <c r="E49" s="332">
        <f>Gasto_o_ing_per_capita!E49-Gasto_o_ing_per_capita!$D49</f>
        <v>0</v>
      </c>
      <c r="F49" s="332">
        <f>Gasto_o_ing_per_capita!F49-Gasto_o_ing_per_capita!$D49</f>
        <v>0</v>
      </c>
      <c r="G49" s="332">
        <f>Gasto_o_ing_per_capita!G49-Gasto_o_ing_per_capita!$D49</f>
        <v>0</v>
      </c>
      <c r="H49" s="332">
        <f>Gasto_o_ing_per_capita!H49-Gasto_o_ing_per_capita!$D49</f>
        <v>0</v>
      </c>
      <c r="I49" s="332">
        <f>Gasto_o_ing_per_capita!I49-Gasto_o_ing_per_capita!$D49</f>
        <v>0</v>
      </c>
      <c r="J49" s="332">
        <f>Gasto_o_ing_per_capita!J49-Gasto_o_ing_per_capita!$D49</f>
        <v>0</v>
      </c>
      <c r="K49" s="332">
        <f>Gasto_o_ing_per_capita!K49-Gasto_o_ing_per_capita!$D49</f>
        <v>0</v>
      </c>
      <c r="L49" s="332">
        <f>Gasto_o_ing_per_capita!L49-Gasto_o_ing_per_capita!$D49</f>
        <v>0</v>
      </c>
      <c r="M49" s="332">
        <f>Gasto_o_ing_per_capita!M49-Gasto_o_ing_per_capita!$D49</f>
        <v>0</v>
      </c>
      <c r="N49" s="332">
        <f>Gasto_o_ing_per_capita!N49-Gasto_o_ing_per_capita!$D49</f>
        <v>0</v>
      </c>
      <c r="O49" s="332">
        <f>Gasto_o_ing_per_capita!O49-Gasto_o_ing_per_capita!$D49</f>
        <v>0</v>
      </c>
      <c r="P49" s="332">
        <f>Gasto_o_ing_per_capita!P49-Gasto_o_ing_per_capita!$D49</f>
        <v>0</v>
      </c>
      <c r="Q49" s="332">
        <f>Gasto_o_ing_per_capita!Q49-Gasto_o_ing_per_capita!$D49</f>
        <v>0</v>
      </c>
      <c r="R49" s="332">
        <f>Gasto_o_ing_per_capita!R49-Gasto_o_ing_per_capita!$D49</f>
        <v>0</v>
      </c>
      <c r="S49" s="332">
        <f>Gasto_o_ing_per_capita!S49-Gasto_o_ing_per_capita!$D49</f>
        <v>0</v>
      </c>
      <c r="T49" s="332">
        <f>Gasto_o_ing_per_capita!T49-Gasto_o_ing_per_capita!$D49</f>
        <v>0</v>
      </c>
      <c r="U49" s="332">
        <f>Gasto_o_ing_per_capita!U49-Gasto_o_ing_per_capita!$D49</f>
        <v>0</v>
      </c>
      <c r="V49" s="332">
        <f>Gasto_o_ing_per_capita!V49-Gasto_o_ing_per_capita!$D49</f>
        <v>0</v>
      </c>
      <c r="W49" s="122"/>
      <c r="X49" s="104"/>
    </row>
    <row r="50" spans="1:24" s="102" customFormat="1">
      <c r="A50" s="351" t="str">
        <f>IF(B50="","",(IF(ISERROR(MATCH(B50,Tot_res!C:C,0)),"Eliminar!!!","")))</f>
        <v/>
      </c>
      <c r="B50" s="115" t="s">
        <v>683</v>
      </c>
      <c r="C50" s="329" t="str">
        <f>VLOOKUP(B50,Tot_res!C:D,2,FALSE)</f>
        <v>Dirección y servicios generales de hacienda y administraciones públicas</v>
      </c>
      <c r="D50" s="332">
        <f>Gasto_o_ing_per_capita!D50-Gasto_o_ing_per_capita!$D50</f>
        <v>0</v>
      </c>
      <c r="E50" s="332">
        <f>Gasto_o_ing_per_capita!E50-Gasto_o_ing_per_capita!$D50</f>
        <v>0</v>
      </c>
      <c r="F50" s="332">
        <f>Gasto_o_ing_per_capita!F50-Gasto_o_ing_per_capita!$D50</f>
        <v>0</v>
      </c>
      <c r="G50" s="332">
        <f>Gasto_o_ing_per_capita!G50-Gasto_o_ing_per_capita!$D50</f>
        <v>0</v>
      </c>
      <c r="H50" s="332">
        <f>Gasto_o_ing_per_capita!H50-Gasto_o_ing_per_capita!$D50</f>
        <v>0</v>
      </c>
      <c r="I50" s="332">
        <f>Gasto_o_ing_per_capita!I50-Gasto_o_ing_per_capita!$D50</f>
        <v>0</v>
      </c>
      <c r="J50" s="332">
        <f>Gasto_o_ing_per_capita!J50-Gasto_o_ing_per_capita!$D50</f>
        <v>0</v>
      </c>
      <c r="K50" s="332">
        <f>Gasto_o_ing_per_capita!K50-Gasto_o_ing_per_capita!$D50</f>
        <v>0</v>
      </c>
      <c r="L50" s="332">
        <f>Gasto_o_ing_per_capita!L50-Gasto_o_ing_per_capita!$D50</f>
        <v>0</v>
      </c>
      <c r="M50" s="332">
        <f>Gasto_o_ing_per_capita!M50-Gasto_o_ing_per_capita!$D50</f>
        <v>0</v>
      </c>
      <c r="N50" s="332">
        <f>Gasto_o_ing_per_capita!N50-Gasto_o_ing_per_capita!$D50</f>
        <v>0</v>
      </c>
      <c r="O50" s="332">
        <f>Gasto_o_ing_per_capita!O50-Gasto_o_ing_per_capita!$D50</f>
        <v>0</v>
      </c>
      <c r="P50" s="332">
        <f>Gasto_o_ing_per_capita!P50-Gasto_o_ing_per_capita!$D50</f>
        <v>0</v>
      </c>
      <c r="Q50" s="332">
        <f>Gasto_o_ing_per_capita!Q50-Gasto_o_ing_per_capita!$D50</f>
        <v>0</v>
      </c>
      <c r="R50" s="332">
        <f>Gasto_o_ing_per_capita!R50-Gasto_o_ing_per_capita!$D50</f>
        <v>0</v>
      </c>
      <c r="S50" s="332">
        <f>Gasto_o_ing_per_capita!S50-Gasto_o_ing_per_capita!$D50</f>
        <v>0</v>
      </c>
      <c r="T50" s="332">
        <f>Gasto_o_ing_per_capita!T50-Gasto_o_ing_per_capita!$D50</f>
        <v>0</v>
      </c>
      <c r="U50" s="332">
        <f>Gasto_o_ing_per_capita!U50-Gasto_o_ing_per_capita!$D50</f>
        <v>0</v>
      </c>
      <c r="V50" s="332">
        <f>Gasto_o_ing_per_capita!V50-Gasto_o_ing_per_capita!$D50</f>
        <v>0</v>
      </c>
      <c r="W50" s="122"/>
      <c r="X50" s="104"/>
    </row>
    <row r="51" spans="1:24" s="102" customFormat="1">
      <c r="A51" s="351" t="str">
        <f>IF(B51="","",(IF(ISERROR(MATCH(B51,Tot_res!C:C,0)),"Eliminar!!!","")))</f>
        <v/>
      </c>
      <c r="B51" s="115" t="s">
        <v>153</v>
      </c>
      <c r="C51" s="329" t="str">
        <f>VLOOKUP(B51,Tot_res!C:D,2,FALSE)</f>
        <v>Formación del personal de economía y hacienda</v>
      </c>
      <c r="D51" s="332">
        <f>Gasto_o_ing_per_capita!D51-Gasto_o_ing_per_capita!$D51</f>
        <v>0</v>
      </c>
      <c r="E51" s="332">
        <f>Gasto_o_ing_per_capita!E51-Gasto_o_ing_per_capita!$D51</f>
        <v>0</v>
      </c>
      <c r="F51" s="332">
        <f>Gasto_o_ing_per_capita!F51-Gasto_o_ing_per_capita!$D51</f>
        <v>0</v>
      </c>
      <c r="G51" s="332">
        <f>Gasto_o_ing_per_capita!G51-Gasto_o_ing_per_capita!$D51</f>
        <v>0</v>
      </c>
      <c r="H51" s="332">
        <f>Gasto_o_ing_per_capita!H51-Gasto_o_ing_per_capita!$D51</f>
        <v>0</v>
      </c>
      <c r="I51" s="332">
        <f>Gasto_o_ing_per_capita!I51-Gasto_o_ing_per_capita!$D51</f>
        <v>0</v>
      </c>
      <c r="J51" s="332">
        <f>Gasto_o_ing_per_capita!J51-Gasto_o_ing_per_capita!$D51</f>
        <v>0</v>
      </c>
      <c r="K51" s="332">
        <f>Gasto_o_ing_per_capita!K51-Gasto_o_ing_per_capita!$D51</f>
        <v>0</v>
      </c>
      <c r="L51" s="332">
        <f>Gasto_o_ing_per_capita!L51-Gasto_o_ing_per_capita!$D51</f>
        <v>0</v>
      </c>
      <c r="M51" s="332">
        <f>Gasto_o_ing_per_capita!M51-Gasto_o_ing_per_capita!$D51</f>
        <v>0</v>
      </c>
      <c r="N51" s="332">
        <f>Gasto_o_ing_per_capita!N51-Gasto_o_ing_per_capita!$D51</f>
        <v>0</v>
      </c>
      <c r="O51" s="332">
        <f>Gasto_o_ing_per_capita!O51-Gasto_o_ing_per_capita!$D51</f>
        <v>0</v>
      </c>
      <c r="P51" s="332">
        <f>Gasto_o_ing_per_capita!P51-Gasto_o_ing_per_capita!$D51</f>
        <v>0</v>
      </c>
      <c r="Q51" s="332">
        <f>Gasto_o_ing_per_capita!Q51-Gasto_o_ing_per_capita!$D51</f>
        <v>0</v>
      </c>
      <c r="R51" s="332">
        <f>Gasto_o_ing_per_capita!R51-Gasto_o_ing_per_capita!$D51</f>
        <v>0</v>
      </c>
      <c r="S51" s="332">
        <f>Gasto_o_ing_per_capita!S51-Gasto_o_ing_per_capita!$D51</f>
        <v>0</v>
      </c>
      <c r="T51" s="332">
        <f>Gasto_o_ing_per_capita!T51-Gasto_o_ing_per_capita!$D51</f>
        <v>0</v>
      </c>
      <c r="U51" s="332">
        <f>Gasto_o_ing_per_capita!U51-Gasto_o_ing_per_capita!$D51</f>
        <v>0</v>
      </c>
      <c r="V51" s="332">
        <f>Gasto_o_ing_per_capita!V51-Gasto_o_ing_per_capita!$D51</f>
        <v>0</v>
      </c>
      <c r="W51" s="122"/>
      <c r="X51" s="104"/>
    </row>
    <row r="52" spans="1:24" s="102" customFormat="1">
      <c r="A52" s="351" t="str">
        <f>IF(B52="","",(IF(ISERROR(MATCH(B52,Tot_res!C:C,0)),"Eliminar!!!","")))</f>
        <v/>
      </c>
      <c r="B52" s="115" t="s">
        <v>685</v>
      </c>
      <c r="C52" s="329" t="str">
        <f>VLOOKUP(B52,Tot_res!C:D,2,FALSE)</f>
        <v>Gestión de la deuda y de la tesorería del estado</v>
      </c>
      <c r="D52" s="332">
        <f>Gasto_o_ing_per_capita!D52-Gasto_o_ing_per_capita!$D52</f>
        <v>0</v>
      </c>
      <c r="E52" s="332">
        <f>Gasto_o_ing_per_capita!E52-Gasto_o_ing_per_capita!$D52</f>
        <v>0</v>
      </c>
      <c r="F52" s="332">
        <f>Gasto_o_ing_per_capita!F52-Gasto_o_ing_per_capita!$D52</f>
        <v>0</v>
      </c>
      <c r="G52" s="332">
        <f>Gasto_o_ing_per_capita!G52-Gasto_o_ing_per_capita!$D52</f>
        <v>0</v>
      </c>
      <c r="H52" s="332">
        <f>Gasto_o_ing_per_capita!H52-Gasto_o_ing_per_capita!$D52</f>
        <v>0</v>
      </c>
      <c r="I52" s="332">
        <f>Gasto_o_ing_per_capita!I52-Gasto_o_ing_per_capita!$D52</f>
        <v>0</v>
      </c>
      <c r="J52" s="332">
        <f>Gasto_o_ing_per_capita!J52-Gasto_o_ing_per_capita!$D52</f>
        <v>0</v>
      </c>
      <c r="K52" s="332">
        <f>Gasto_o_ing_per_capita!K52-Gasto_o_ing_per_capita!$D52</f>
        <v>0</v>
      </c>
      <c r="L52" s="332">
        <f>Gasto_o_ing_per_capita!L52-Gasto_o_ing_per_capita!$D52</f>
        <v>0</v>
      </c>
      <c r="M52" s="332">
        <f>Gasto_o_ing_per_capita!M52-Gasto_o_ing_per_capita!$D52</f>
        <v>0</v>
      </c>
      <c r="N52" s="332">
        <f>Gasto_o_ing_per_capita!N52-Gasto_o_ing_per_capita!$D52</f>
        <v>0</v>
      </c>
      <c r="O52" s="332">
        <f>Gasto_o_ing_per_capita!O52-Gasto_o_ing_per_capita!$D52</f>
        <v>0</v>
      </c>
      <c r="P52" s="332">
        <f>Gasto_o_ing_per_capita!P52-Gasto_o_ing_per_capita!$D52</f>
        <v>0</v>
      </c>
      <c r="Q52" s="332">
        <f>Gasto_o_ing_per_capita!Q52-Gasto_o_ing_per_capita!$D52</f>
        <v>0</v>
      </c>
      <c r="R52" s="332">
        <f>Gasto_o_ing_per_capita!R52-Gasto_o_ing_per_capita!$D52</f>
        <v>0</v>
      </c>
      <c r="S52" s="332">
        <f>Gasto_o_ing_per_capita!S52-Gasto_o_ing_per_capita!$D52</f>
        <v>0</v>
      </c>
      <c r="T52" s="332">
        <f>Gasto_o_ing_per_capita!T52-Gasto_o_ing_per_capita!$D52</f>
        <v>0</v>
      </c>
      <c r="U52" s="332">
        <f>Gasto_o_ing_per_capita!U52-Gasto_o_ing_per_capita!$D52</f>
        <v>0</v>
      </c>
      <c r="V52" s="332">
        <f>Gasto_o_ing_per_capita!V52-Gasto_o_ing_per_capita!$D52</f>
        <v>0</v>
      </c>
      <c r="W52" s="122"/>
      <c r="X52" s="104"/>
    </row>
    <row r="53" spans="1:24" s="102" customFormat="1">
      <c r="A53" s="351" t="str">
        <f>IF(B53="","",(IF(ISERROR(MATCH(B53,Tot_res!C:C,0)),"Eliminar!!!","")))</f>
        <v/>
      </c>
      <c r="B53" s="115" t="s">
        <v>1183</v>
      </c>
      <c r="C53" s="329" t="str">
        <f>VLOOKUP(B53,Tot_res!C:D,2,FALSE)</f>
        <v>Dirección y Servicios Generales de Economía y Competitividad</v>
      </c>
      <c r="D53" s="332">
        <f>Gasto_o_ing_per_capita!D53-Gasto_o_ing_per_capita!$D53</f>
        <v>0</v>
      </c>
      <c r="E53" s="332">
        <f>Gasto_o_ing_per_capita!E53-Gasto_o_ing_per_capita!$D53</f>
        <v>0</v>
      </c>
      <c r="F53" s="332">
        <f>Gasto_o_ing_per_capita!F53-Gasto_o_ing_per_capita!$D53</f>
        <v>0</v>
      </c>
      <c r="G53" s="332">
        <f>Gasto_o_ing_per_capita!G53-Gasto_o_ing_per_capita!$D53</f>
        <v>0</v>
      </c>
      <c r="H53" s="332">
        <f>Gasto_o_ing_per_capita!H53-Gasto_o_ing_per_capita!$D53</f>
        <v>0</v>
      </c>
      <c r="I53" s="332">
        <f>Gasto_o_ing_per_capita!I53-Gasto_o_ing_per_capita!$D53</f>
        <v>0</v>
      </c>
      <c r="J53" s="332">
        <f>Gasto_o_ing_per_capita!J53-Gasto_o_ing_per_capita!$D53</f>
        <v>0</v>
      </c>
      <c r="K53" s="332">
        <f>Gasto_o_ing_per_capita!K53-Gasto_o_ing_per_capita!$D53</f>
        <v>0</v>
      </c>
      <c r="L53" s="332">
        <f>Gasto_o_ing_per_capita!L53-Gasto_o_ing_per_capita!$D53</f>
        <v>0</v>
      </c>
      <c r="M53" s="332">
        <f>Gasto_o_ing_per_capita!M53-Gasto_o_ing_per_capita!$D53</f>
        <v>0</v>
      </c>
      <c r="N53" s="332">
        <f>Gasto_o_ing_per_capita!N53-Gasto_o_ing_per_capita!$D53</f>
        <v>0</v>
      </c>
      <c r="O53" s="332">
        <f>Gasto_o_ing_per_capita!O53-Gasto_o_ing_per_capita!$D53</f>
        <v>0</v>
      </c>
      <c r="P53" s="332">
        <f>Gasto_o_ing_per_capita!P53-Gasto_o_ing_per_capita!$D53</f>
        <v>0</v>
      </c>
      <c r="Q53" s="332">
        <f>Gasto_o_ing_per_capita!Q53-Gasto_o_ing_per_capita!$D53</f>
        <v>0</v>
      </c>
      <c r="R53" s="332">
        <f>Gasto_o_ing_per_capita!R53-Gasto_o_ing_per_capita!$D53</f>
        <v>0</v>
      </c>
      <c r="S53" s="332">
        <f>Gasto_o_ing_per_capita!S53-Gasto_o_ing_per_capita!$D53</f>
        <v>0</v>
      </c>
      <c r="T53" s="332">
        <f>Gasto_o_ing_per_capita!T53-Gasto_o_ing_per_capita!$D53</f>
        <v>0</v>
      </c>
      <c r="U53" s="332">
        <f>Gasto_o_ing_per_capita!U53-Gasto_o_ing_per_capita!$D53</f>
        <v>0</v>
      </c>
      <c r="V53" s="332">
        <f>Gasto_o_ing_per_capita!V53-Gasto_o_ing_per_capita!$D53</f>
        <v>0</v>
      </c>
      <c r="W53" s="122"/>
      <c r="X53" s="104"/>
    </row>
    <row r="54" spans="1:24" s="102" customFormat="1">
      <c r="A54" s="351" t="str">
        <f>IF(B54="","",(IF(ISERROR(MATCH(B54,Tot_res!C:C,0)),"Eliminar!!!","")))</f>
        <v/>
      </c>
      <c r="B54" s="115" t="s">
        <v>1185</v>
      </c>
      <c r="C54" s="329" t="str">
        <f>VLOOKUP(B54,Tot_res!C:D,2,FALSE)</f>
        <v>Contratación centralizada</v>
      </c>
      <c r="D54" s="332">
        <f>Gasto_o_ing_per_capita!D54-Gasto_o_ing_per_capita!$D54</f>
        <v>0</v>
      </c>
      <c r="E54" s="332">
        <f>Gasto_o_ing_per_capita!E54-Gasto_o_ing_per_capita!$D54</f>
        <v>0</v>
      </c>
      <c r="F54" s="332">
        <f>Gasto_o_ing_per_capita!F54-Gasto_o_ing_per_capita!$D54</f>
        <v>0</v>
      </c>
      <c r="G54" s="332">
        <f>Gasto_o_ing_per_capita!G54-Gasto_o_ing_per_capita!$D54</f>
        <v>0</v>
      </c>
      <c r="H54" s="332">
        <f>Gasto_o_ing_per_capita!H54-Gasto_o_ing_per_capita!$D54</f>
        <v>0</v>
      </c>
      <c r="I54" s="332">
        <f>Gasto_o_ing_per_capita!I54-Gasto_o_ing_per_capita!$D54</f>
        <v>0</v>
      </c>
      <c r="J54" s="332">
        <f>Gasto_o_ing_per_capita!J54-Gasto_o_ing_per_capita!$D54</f>
        <v>0</v>
      </c>
      <c r="K54" s="332">
        <f>Gasto_o_ing_per_capita!K54-Gasto_o_ing_per_capita!$D54</f>
        <v>0</v>
      </c>
      <c r="L54" s="332">
        <f>Gasto_o_ing_per_capita!L54-Gasto_o_ing_per_capita!$D54</f>
        <v>0</v>
      </c>
      <c r="M54" s="332">
        <f>Gasto_o_ing_per_capita!M54-Gasto_o_ing_per_capita!$D54</f>
        <v>0</v>
      </c>
      <c r="N54" s="332">
        <f>Gasto_o_ing_per_capita!N54-Gasto_o_ing_per_capita!$D54</f>
        <v>0</v>
      </c>
      <c r="O54" s="332">
        <f>Gasto_o_ing_per_capita!O54-Gasto_o_ing_per_capita!$D54</f>
        <v>0</v>
      </c>
      <c r="P54" s="332">
        <f>Gasto_o_ing_per_capita!P54-Gasto_o_ing_per_capita!$D54</f>
        <v>0</v>
      </c>
      <c r="Q54" s="332">
        <f>Gasto_o_ing_per_capita!Q54-Gasto_o_ing_per_capita!$D54</f>
        <v>0</v>
      </c>
      <c r="R54" s="332">
        <f>Gasto_o_ing_per_capita!R54-Gasto_o_ing_per_capita!$D54</f>
        <v>0</v>
      </c>
      <c r="S54" s="332">
        <f>Gasto_o_ing_per_capita!S54-Gasto_o_ing_per_capita!$D54</f>
        <v>0</v>
      </c>
      <c r="T54" s="332">
        <f>Gasto_o_ing_per_capita!T54-Gasto_o_ing_per_capita!$D54</f>
        <v>0</v>
      </c>
      <c r="U54" s="332">
        <f>Gasto_o_ing_per_capita!U54-Gasto_o_ing_per_capita!$D54</f>
        <v>0</v>
      </c>
      <c r="V54" s="332">
        <f>Gasto_o_ing_per_capita!V54-Gasto_o_ing_per_capita!$D54</f>
        <v>0</v>
      </c>
      <c r="W54" s="122"/>
      <c r="X54" s="104"/>
    </row>
    <row r="55" spans="1:24" s="102" customFormat="1">
      <c r="A55" s="351" t="str">
        <f>IF(B55="","",(IF(ISERROR(MATCH(B55,Tot_res!C:C,0)),"Eliminar!!!","")))</f>
        <v/>
      </c>
      <c r="B55" s="115" t="s">
        <v>687</v>
      </c>
      <c r="C55" s="329" t="str">
        <f>VLOOKUP(B55,Tot_res!C:D,2,FALSE)</f>
        <v>Previsión y política económica</v>
      </c>
      <c r="D55" s="332">
        <f>Gasto_o_ing_per_capita!D55-Gasto_o_ing_per_capita!$D55</f>
        <v>0</v>
      </c>
      <c r="E55" s="332">
        <f>Gasto_o_ing_per_capita!E55-Gasto_o_ing_per_capita!$D55</f>
        <v>0</v>
      </c>
      <c r="F55" s="332">
        <f>Gasto_o_ing_per_capita!F55-Gasto_o_ing_per_capita!$D55</f>
        <v>0</v>
      </c>
      <c r="G55" s="332">
        <f>Gasto_o_ing_per_capita!G55-Gasto_o_ing_per_capita!$D55</f>
        <v>0</v>
      </c>
      <c r="H55" s="332">
        <f>Gasto_o_ing_per_capita!H55-Gasto_o_ing_per_capita!$D55</f>
        <v>0</v>
      </c>
      <c r="I55" s="332">
        <f>Gasto_o_ing_per_capita!I55-Gasto_o_ing_per_capita!$D55</f>
        <v>0</v>
      </c>
      <c r="J55" s="332">
        <f>Gasto_o_ing_per_capita!J55-Gasto_o_ing_per_capita!$D55</f>
        <v>0</v>
      </c>
      <c r="K55" s="332">
        <f>Gasto_o_ing_per_capita!K55-Gasto_o_ing_per_capita!$D55</f>
        <v>0</v>
      </c>
      <c r="L55" s="332">
        <f>Gasto_o_ing_per_capita!L55-Gasto_o_ing_per_capita!$D55</f>
        <v>0</v>
      </c>
      <c r="M55" s="332">
        <f>Gasto_o_ing_per_capita!M55-Gasto_o_ing_per_capita!$D55</f>
        <v>0</v>
      </c>
      <c r="N55" s="332">
        <f>Gasto_o_ing_per_capita!N55-Gasto_o_ing_per_capita!$D55</f>
        <v>0</v>
      </c>
      <c r="O55" s="332">
        <f>Gasto_o_ing_per_capita!O55-Gasto_o_ing_per_capita!$D55</f>
        <v>0</v>
      </c>
      <c r="P55" s="332">
        <f>Gasto_o_ing_per_capita!P55-Gasto_o_ing_per_capita!$D55</f>
        <v>0</v>
      </c>
      <c r="Q55" s="332">
        <f>Gasto_o_ing_per_capita!Q55-Gasto_o_ing_per_capita!$D55</f>
        <v>0</v>
      </c>
      <c r="R55" s="332">
        <f>Gasto_o_ing_per_capita!R55-Gasto_o_ing_per_capita!$D55</f>
        <v>0</v>
      </c>
      <c r="S55" s="332">
        <f>Gasto_o_ing_per_capita!S55-Gasto_o_ing_per_capita!$D55</f>
        <v>0</v>
      </c>
      <c r="T55" s="332">
        <f>Gasto_o_ing_per_capita!T55-Gasto_o_ing_per_capita!$D55</f>
        <v>0</v>
      </c>
      <c r="U55" s="332">
        <f>Gasto_o_ing_per_capita!U55-Gasto_o_ing_per_capita!$D55</f>
        <v>0</v>
      </c>
      <c r="V55" s="332">
        <f>Gasto_o_ing_per_capita!V55-Gasto_o_ing_per_capita!$D55</f>
        <v>0</v>
      </c>
      <c r="W55" s="122"/>
      <c r="X55" s="104"/>
    </row>
    <row r="56" spans="1:24" s="102" customFormat="1">
      <c r="A56" s="351" t="str">
        <f>IF(B56="","",(IF(ISERROR(MATCH(B56,Tot_res!C:C,0)),"Eliminar!!!","")))</f>
        <v/>
      </c>
      <c r="B56" s="115" t="s">
        <v>155</v>
      </c>
      <c r="C56" s="329" t="str">
        <f>VLOOKUP(B56,Tot_res!C:D,2,FALSE)</f>
        <v>Política presupuestaria</v>
      </c>
      <c r="D56" s="332">
        <f>Gasto_o_ing_per_capita!D56-Gasto_o_ing_per_capita!$D56</f>
        <v>0</v>
      </c>
      <c r="E56" s="332">
        <f>Gasto_o_ing_per_capita!E56-Gasto_o_ing_per_capita!$D56</f>
        <v>0</v>
      </c>
      <c r="F56" s="332">
        <f>Gasto_o_ing_per_capita!F56-Gasto_o_ing_per_capita!$D56</f>
        <v>0</v>
      </c>
      <c r="G56" s="332">
        <f>Gasto_o_ing_per_capita!G56-Gasto_o_ing_per_capita!$D56</f>
        <v>0</v>
      </c>
      <c r="H56" s="332">
        <f>Gasto_o_ing_per_capita!H56-Gasto_o_ing_per_capita!$D56</f>
        <v>0</v>
      </c>
      <c r="I56" s="332">
        <f>Gasto_o_ing_per_capita!I56-Gasto_o_ing_per_capita!$D56</f>
        <v>0</v>
      </c>
      <c r="J56" s="332">
        <f>Gasto_o_ing_per_capita!J56-Gasto_o_ing_per_capita!$D56</f>
        <v>0</v>
      </c>
      <c r="K56" s="332">
        <f>Gasto_o_ing_per_capita!K56-Gasto_o_ing_per_capita!$D56</f>
        <v>0</v>
      </c>
      <c r="L56" s="332">
        <f>Gasto_o_ing_per_capita!L56-Gasto_o_ing_per_capita!$D56</f>
        <v>0</v>
      </c>
      <c r="M56" s="332">
        <f>Gasto_o_ing_per_capita!M56-Gasto_o_ing_per_capita!$D56</f>
        <v>0</v>
      </c>
      <c r="N56" s="332">
        <f>Gasto_o_ing_per_capita!N56-Gasto_o_ing_per_capita!$D56</f>
        <v>0</v>
      </c>
      <c r="O56" s="332">
        <f>Gasto_o_ing_per_capita!O56-Gasto_o_ing_per_capita!$D56</f>
        <v>0</v>
      </c>
      <c r="P56" s="332">
        <f>Gasto_o_ing_per_capita!P56-Gasto_o_ing_per_capita!$D56</f>
        <v>0</v>
      </c>
      <c r="Q56" s="332">
        <f>Gasto_o_ing_per_capita!Q56-Gasto_o_ing_per_capita!$D56</f>
        <v>0</v>
      </c>
      <c r="R56" s="332">
        <f>Gasto_o_ing_per_capita!R56-Gasto_o_ing_per_capita!$D56</f>
        <v>0</v>
      </c>
      <c r="S56" s="332">
        <f>Gasto_o_ing_per_capita!S56-Gasto_o_ing_per_capita!$D56</f>
        <v>0</v>
      </c>
      <c r="T56" s="332">
        <f>Gasto_o_ing_per_capita!T56-Gasto_o_ing_per_capita!$D56</f>
        <v>0</v>
      </c>
      <c r="U56" s="332">
        <f>Gasto_o_ing_per_capita!U56-Gasto_o_ing_per_capita!$D56</f>
        <v>0</v>
      </c>
      <c r="V56" s="332">
        <f>Gasto_o_ing_per_capita!V56-Gasto_o_ing_per_capita!$D56</f>
        <v>0</v>
      </c>
      <c r="W56" s="122"/>
      <c r="X56" s="104"/>
    </row>
    <row r="57" spans="1:24" s="102" customFormat="1">
      <c r="A57" s="351" t="str">
        <f>IF(B57="","",(IF(ISERROR(MATCH(B57,Tot_res!C:C,0)),"Eliminar!!!","")))</f>
        <v/>
      </c>
      <c r="B57" s="115" t="s">
        <v>157</v>
      </c>
      <c r="C57" s="329" t="str">
        <f>VLOOKUP(B57,Tot_res!C:D,2,FALSE)</f>
        <v>Política tributaria</v>
      </c>
      <c r="D57" s="332">
        <f>Gasto_o_ing_per_capita!D57-Gasto_o_ing_per_capita!$D57</f>
        <v>0</v>
      </c>
      <c r="E57" s="332">
        <f>Gasto_o_ing_per_capita!E57-Gasto_o_ing_per_capita!$D57</f>
        <v>0</v>
      </c>
      <c r="F57" s="332">
        <f>Gasto_o_ing_per_capita!F57-Gasto_o_ing_per_capita!$D57</f>
        <v>0</v>
      </c>
      <c r="G57" s="332">
        <f>Gasto_o_ing_per_capita!G57-Gasto_o_ing_per_capita!$D57</f>
        <v>0</v>
      </c>
      <c r="H57" s="332">
        <f>Gasto_o_ing_per_capita!H57-Gasto_o_ing_per_capita!$D57</f>
        <v>0</v>
      </c>
      <c r="I57" s="332">
        <f>Gasto_o_ing_per_capita!I57-Gasto_o_ing_per_capita!$D57</f>
        <v>0</v>
      </c>
      <c r="J57" s="332">
        <f>Gasto_o_ing_per_capita!J57-Gasto_o_ing_per_capita!$D57</f>
        <v>0</v>
      </c>
      <c r="K57" s="332">
        <f>Gasto_o_ing_per_capita!K57-Gasto_o_ing_per_capita!$D57</f>
        <v>0</v>
      </c>
      <c r="L57" s="332">
        <f>Gasto_o_ing_per_capita!L57-Gasto_o_ing_per_capita!$D57</f>
        <v>0</v>
      </c>
      <c r="M57" s="332">
        <f>Gasto_o_ing_per_capita!M57-Gasto_o_ing_per_capita!$D57</f>
        <v>0</v>
      </c>
      <c r="N57" s="332">
        <f>Gasto_o_ing_per_capita!N57-Gasto_o_ing_per_capita!$D57</f>
        <v>0</v>
      </c>
      <c r="O57" s="332">
        <f>Gasto_o_ing_per_capita!O57-Gasto_o_ing_per_capita!$D57</f>
        <v>0</v>
      </c>
      <c r="P57" s="332">
        <f>Gasto_o_ing_per_capita!P57-Gasto_o_ing_per_capita!$D57</f>
        <v>0</v>
      </c>
      <c r="Q57" s="332">
        <f>Gasto_o_ing_per_capita!Q57-Gasto_o_ing_per_capita!$D57</f>
        <v>0</v>
      </c>
      <c r="R57" s="332">
        <f>Gasto_o_ing_per_capita!R57-Gasto_o_ing_per_capita!$D57</f>
        <v>0</v>
      </c>
      <c r="S57" s="332">
        <f>Gasto_o_ing_per_capita!S57-Gasto_o_ing_per_capita!$D57</f>
        <v>0</v>
      </c>
      <c r="T57" s="332">
        <f>Gasto_o_ing_per_capita!T57-Gasto_o_ing_per_capita!$D57</f>
        <v>0</v>
      </c>
      <c r="U57" s="332">
        <f>Gasto_o_ing_per_capita!U57-Gasto_o_ing_per_capita!$D57</f>
        <v>0</v>
      </c>
      <c r="V57" s="332">
        <f>Gasto_o_ing_per_capita!V57-Gasto_o_ing_per_capita!$D57</f>
        <v>0</v>
      </c>
      <c r="W57" s="122"/>
      <c r="X57" s="104"/>
    </row>
    <row r="58" spans="1:24" s="102" customFormat="1">
      <c r="A58" s="351" t="str">
        <f>IF(B58="","",(IF(ISERROR(MATCH(B58,Tot_res!C:C,0)),"Eliminar!!!","")))</f>
        <v/>
      </c>
      <c r="B58" s="115" t="s">
        <v>159</v>
      </c>
      <c r="C58" s="329" t="str">
        <f>VLOOKUP(B58,Tot_res!C:D,2,FALSE)</f>
        <v>Control interno y contabilidad pública</v>
      </c>
      <c r="D58" s="332">
        <f>Gasto_o_ing_per_capita!D58-Gasto_o_ing_per_capita!$D58</f>
        <v>0</v>
      </c>
      <c r="E58" s="332">
        <f>Gasto_o_ing_per_capita!E58-Gasto_o_ing_per_capita!$D58</f>
        <v>0</v>
      </c>
      <c r="F58" s="332">
        <f>Gasto_o_ing_per_capita!F58-Gasto_o_ing_per_capita!$D58</f>
        <v>0</v>
      </c>
      <c r="G58" s="332">
        <f>Gasto_o_ing_per_capita!G58-Gasto_o_ing_per_capita!$D58</f>
        <v>0</v>
      </c>
      <c r="H58" s="332">
        <f>Gasto_o_ing_per_capita!H58-Gasto_o_ing_per_capita!$D58</f>
        <v>0</v>
      </c>
      <c r="I58" s="332">
        <f>Gasto_o_ing_per_capita!I58-Gasto_o_ing_per_capita!$D58</f>
        <v>0</v>
      </c>
      <c r="J58" s="332">
        <f>Gasto_o_ing_per_capita!J58-Gasto_o_ing_per_capita!$D58</f>
        <v>0</v>
      </c>
      <c r="K58" s="332">
        <f>Gasto_o_ing_per_capita!K58-Gasto_o_ing_per_capita!$D58</f>
        <v>0</v>
      </c>
      <c r="L58" s="332">
        <f>Gasto_o_ing_per_capita!L58-Gasto_o_ing_per_capita!$D58</f>
        <v>0</v>
      </c>
      <c r="M58" s="332">
        <f>Gasto_o_ing_per_capita!M58-Gasto_o_ing_per_capita!$D58</f>
        <v>0</v>
      </c>
      <c r="N58" s="332">
        <f>Gasto_o_ing_per_capita!N58-Gasto_o_ing_per_capita!$D58</f>
        <v>0</v>
      </c>
      <c r="O58" s="332">
        <f>Gasto_o_ing_per_capita!O58-Gasto_o_ing_per_capita!$D58</f>
        <v>0</v>
      </c>
      <c r="P58" s="332">
        <f>Gasto_o_ing_per_capita!P58-Gasto_o_ing_per_capita!$D58</f>
        <v>0</v>
      </c>
      <c r="Q58" s="332">
        <f>Gasto_o_ing_per_capita!Q58-Gasto_o_ing_per_capita!$D58</f>
        <v>0</v>
      </c>
      <c r="R58" s="332">
        <f>Gasto_o_ing_per_capita!R58-Gasto_o_ing_per_capita!$D58</f>
        <v>0</v>
      </c>
      <c r="S58" s="332">
        <f>Gasto_o_ing_per_capita!S58-Gasto_o_ing_per_capita!$D58</f>
        <v>0</v>
      </c>
      <c r="T58" s="332">
        <f>Gasto_o_ing_per_capita!T58-Gasto_o_ing_per_capita!$D58</f>
        <v>0</v>
      </c>
      <c r="U58" s="332">
        <f>Gasto_o_ing_per_capita!U58-Gasto_o_ing_per_capita!$D58</f>
        <v>0</v>
      </c>
      <c r="V58" s="332">
        <f>Gasto_o_ing_per_capita!V58-Gasto_o_ing_per_capita!$D58</f>
        <v>0</v>
      </c>
      <c r="W58" s="122"/>
      <c r="X58" s="104"/>
    </row>
    <row r="59" spans="1:24" s="102" customFormat="1">
      <c r="A59" s="351" t="str">
        <f>IF(B59="","",(IF(ISERROR(MATCH(B59,Tot_res!C:C,0)),"Eliminar!!!","")))</f>
        <v/>
      </c>
      <c r="B59" s="115" t="s">
        <v>160</v>
      </c>
      <c r="C59" s="329" t="str">
        <f>VLOOKUP(B59,Tot_res!C:D,2,FALSE)</f>
        <v>Aplicación del sistema tributario estatal +  AF01: ajuste forales, gestión tributaria</v>
      </c>
      <c r="D59" s="332">
        <f>Gasto_o_ing_per_capita!D59-Gasto_o_ing_per_capita!$D59</f>
        <v>0</v>
      </c>
      <c r="E59" s="332">
        <f>Gasto_o_ing_per_capita!E59-Gasto_o_ing_per_capita!$D59</f>
        <v>0</v>
      </c>
      <c r="F59" s="332">
        <f>Gasto_o_ing_per_capita!F59-Gasto_o_ing_per_capita!$D59</f>
        <v>0</v>
      </c>
      <c r="G59" s="332">
        <f>Gasto_o_ing_per_capita!G59-Gasto_o_ing_per_capita!$D59</f>
        <v>0</v>
      </c>
      <c r="H59" s="332">
        <f>Gasto_o_ing_per_capita!H59-Gasto_o_ing_per_capita!$D59</f>
        <v>0</v>
      </c>
      <c r="I59" s="332">
        <f>Gasto_o_ing_per_capita!I59-Gasto_o_ing_per_capita!$D59</f>
        <v>0</v>
      </c>
      <c r="J59" s="332">
        <f>Gasto_o_ing_per_capita!J59-Gasto_o_ing_per_capita!$D59</f>
        <v>0</v>
      </c>
      <c r="K59" s="332">
        <f>Gasto_o_ing_per_capita!K59-Gasto_o_ing_per_capita!$D59</f>
        <v>0</v>
      </c>
      <c r="L59" s="332">
        <f>Gasto_o_ing_per_capita!L59-Gasto_o_ing_per_capita!$D59</f>
        <v>0</v>
      </c>
      <c r="M59" s="332">
        <f>Gasto_o_ing_per_capita!M59-Gasto_o_ing_per_capita!$D59</f>
        <v>0</v>
      </c>
      <c r="N59" s="332">
        <f>Gasto_o_ing_per_capita!N59-Gasto_o_ing_per_capita!$D59</f>
        <v>0</v>
      </c>
      <c r="O59" s="332">
        <f>Gasto_o_ing_per_capita!O59-Gasto_o_ing_per_capita!$D59</f>
        <v>0</v>
      </c>
      <c r="P59" s="332">
        <f>Gasto_o_ing_per_capita!P59-Gasto_o_ing_per_capita!$D59</f>
        <v>0</v>
      </c>
      <c r="Q59" s="332">
        <f>Gasto_o_ing_per_capita!Q59-Gasto_o_ing_per_capita!$D59</f>
        <v>0</v>
      </c>
      <c r="R59" s="332">
        <f>Gasto_o_ing_per_capita!R59-Gasto_o_ing_per_capita!$D59</f>
        <v>0</v>
      </c>
      <c r="S59" s="332">
        <f>Gasto_o_ing_per_capita!S59-Gasto_o_ing_per_capita!$D59</f>
        <v>0</v>
      </c>
      <c r="T59" s="332">
        <f>Gasto_o_ing_per_capita!T59-Gasto_o_ing_per_capita!$D59</f>
        <v>0</v>
      </c>
      <c r="U59" s="332">
        <f>Gasto_o_ing_per_capita!U59-Gasto_o_ing_per_capita!$D59</f>
        <v>0</v>
      </c>
      <c r="V59" s="332">
        <f>Gasto_o_ing_per_capita!V59-Gasto_o_ing_per_capita!$D59</f>
        <v>0</v>
      </c>
      <c r="W59" s="122"/>
      <c r="X59" s="104"/>
    </row>
    <row r="60" spans="1:24" s="102" customFormat="1">
      <c r="A60" s="351" t="str">
        <f>IF(B60="","",(IF(ISERROR(MATCH(B60,Tot_res!C:C,0)),"Eliminar!!!","")))</f>
        <v/>
      </c>
      <c r="B60" s="115" t="s">
        <v>161</v>
      </c>
      <c r="C60" s="329" t="str">
        <f>VLOOKUP(B60,Tot_res!C:D,2,FALSE)</f>
        <v>Gestión del catastro inmobiliario + AF02: corrección forales, catastro</v>
      </c>
      <c r="D60" s="332">
        <f>Gasto_o_ing_per_capita!D60-Gasto_o_ing_per_capita!$D60</f>
        <v>0</v>
      </c>
      <c r="E60" s="332">
        <f>Gasto_o_ing_per_capita!E60-Gasto_o_ing_per_capita!$D60</f>
        <v>0</v>
      </c>
      <c r="F60" s="332">
        <f>Gasto_o_ing_per_capita!F60-Gasto_o_ing_per_capita!$D60</f>
        <v>0</v>
      </c>
      <c r="G60" s="332">
        <f>Gasto_o_ing_per_capita!G60-Gasto_o_ing_per_capita!$D60</f>
        <v>0</v>
      </c>
      <c r="H60" s="332">
        <f>Gasto_o_ing_per_capita!H60-Gasto_o_ing_per_capita!$D60</f>
        <v>0</v>
      </c>
      <c r="I60" s="332">
        <f>Gasto_o_ing_per_capita!I60-Gasto_o_ing_per_capita!$D60</f>
        <v>0</v>
      </c>
      <c r="J60" s="332">
        <f>Gasto_o_ing_per_capita!J60-Gasto_o_ing_per_capita!$D60</f>
        <v>0</v>
      </c>
      <c r="K60" s="332">
        <f>Gasto_o_ing_per_capita!K60-Gasto_o_ing_per_capita!$D60</f>
        <v>0</v>
      </c>
      <c r="L60" s="332">
        <f>Gasto_o_ing_per_capita!L60-Gasto_o_ing_per_capita!$D60</f>
        <v>0</v>
      </c>
      <c r="M60" s="332">
        <f>Gasto_o_ing_per_capita!M60-Gasto_o_ing_per_capita!$D60</f>
        <v>0</v>
      </c>
      <c r="N60" s="332">
        <f>Gasto_o_ing_per_capita!N60-Gasto_o_ing_per_capita!$D60</f>
        <v>0</v>
      </c>
      <c r="O60" s="332">
        <f>Gasto_o_ing_per_capita!O60-Gasto_o_ing_per_capita!$D60</f>
        <v>0</v>
      </c>
      <c r="P60" s="332">
        <f>Gasto_o_ing_per_capita!P60-Gasto_o_ing_per_capita!$D60</f>
        <v>0</v>
      </c>
      <c r="Q60" s="332">
        <f>Gasto_o_ing_per_capita!Q60-Gasto_o_ing_per_capita!$D60</f>
        <v>0</v>
      </c>
      <c r="R60" s="332">
        <f>Gasto_o_ing_per_capita!R60-Gasto_o_ing_per_capita!$D60</f>
        <v>0</v>
      </c>
      <c r="S60" s="332">
        <f>Gasto_o_ing_per_capita!S60-Gasto_o_ing_per_capita!$D60</f>
        <v>0</v>
      </c>
      <c r="T60" s="332">
        <f>Gasto_o_ing_per_capita!T60-Gasto_o_ing_per_capita!$D60</f>
        <v>0</v>
      </c>
      <c r="U60" s="332">
        <f>Gasto_o_ing_per_capita!U60-Gasto_o_ing_per_capita!$D60</f>
        <v>0</v>
      </c>
      <c r="V60" s="332">
        <f>Gasto_o_ing_per_capita!V60-Gasto_o_ing_per_capita!$D60</f>
        <v>0</v>
      </c>
      <c r="W60" s="122"/>
      <c r="X60" s="104"/>
    </row>
    <row r="61" spans="1:24" s="102" customFormat="1">
      <c r="A61" s="351" t="str">
        <f>IF(B61="","",(IF(ISERROR(MATCH(B61,Tot_res!C:C,0)),"Eliminar!!!","")))</f>
        <v/>
      </c>
      <c r="B61" s="115" t="s">
        <v>162</v>
      </c>
      <c r="C61" s="329" t="str">
        <f>VLOOKUP(B61,Tot_res!C:D,2,FALSE)</f>
        <v>Resolución de reclamaciones económico-administrativas</v>
      </c>
      <c r="D61" s="332">
        <f>Gasto_o_ing_per_capita!D61-Gasto_o_ing_per_capita!$D61</f>
        <v>0</v>
      </c>
      <c r="E61" s="332">
        <f>Gasto_o_ing_per_capita!E61-Gasto_o_ing_per_capita!$D61</f>
        <v>0</v>
      </c>
      <c r="F61" s="332">
        <f>Gasto_o_ing_per_capita!F61-Gasto_o_ing_per_capita!$D61</f>
        <v>0</v>
      </c>
      <c r="G61" s="332">
        <f>Gasto_o_ing_per_capita!G61-Gasto_o_ing_per_capita!$D61</f>
        <v>0</v>
      </c>
      <c r="H61" s="332">
        <f>Gasto_o_ing_per_capita!H61-Gasto_o_ing_per_capita!$D61</f>
        <v>0</v>
      </c>
      <c r="I61" s="332">
        <f>Gasto_o_ing_per_capita!I61-Gasto_o_ing_per_capita!$D61</f>
        <v>0</v>
      </c>
      <c r="J61" s="332">
        <f>Gasto_o_ing_per_capita!J61-Gasto_o_ing_per_capita!$D61</f>
        <v>0</v>
      </c>
      <c r="K61" s="332">
        <f>Gasto_o_ing_per_capita!K61-Gasto_o_ing_per_capita!$D61</f>
        <v>0</v>
      </c>
      <c r="L61" s="332">
        <f>Gasto_o_ing_per_capita!L61-Gasto_o_ing_per_capita!$D61</f>
        <v>0</v>
      </c>
      <c r="M61" s="332">
        <f>Gasto_o_ing_per_capita!M61-Gasto_o_ing_per_capita!$D61</f>
        <v>0</v>
      </c>
      <c r="N61" s="332">
        <f>Gasto_o_ing_per_capita!N61-Gasto_o_ing_per_capita!$D61</f>
        <v>0</v>
      </c>
      <c r="O61" s="332">
        <f>Gasto_o_ing_per_capita!O61-Gasto_o_ing_per_capita!$D61</f>
        <v>0</v>
      </c>
      <c r="P61" s="332">
        <f>Gasto_o_ing_per_capita!P61-Gasto_o_ing_per_capita!$D61</f>
        <v>0</v>
      </c>
      <c r="Q61" s="332">
        <f>Gasto_o_ing_per_capita!Q61-Gasto_o_ing_per_capita!$D61</f>
        <v>0</v>
      </c>
      <c r="R61" s="332">
        <f>Gasto_o_ing_per_capita!R61-Gasto_o_ing_per_capita!$D61</f>
        <v>0</v>
      </c>
      <c r="S61" s="332">
        <f>Gasto_o_ing_per_capita!S61-Gasto_o_ing_per_capita!$D61</f>
        <v>0</v>
      </c>
      <c r="T61" s="332">
        <f>Gasto_o_ing_per_capita!T61-Gasto_o_ing_per_capita!$D61</f>
        <v>0</v>
      </c>
      <c r="U61" s="332">
        <f>Gasto_o_ing_per_capita!U61-Gasto_o_ing_per_capita!$D61</f>
        <v>0</v>
      </c>
      <c r="V61" s="332">
        <f>Gasto_o_ing_per_capita!V61-Gasto_o_ing_per_capita!$D61</f>
        <v>0</v>
      </c>
      <c r="W61" s="122"/>
      <c r="X61" s="104"/>
    </row>
    <row r="62" spans="1:24" s="102" customFormat="1">
      <c r="A62" s="352"/>
      <c r="B62" s="115"/>
      <c r="D62" s="110"/>
      <c r="E62" s="110"/>
      <c r="F62" s="110"/>
      <c r="G62" s="110"/>
      <c r="H62" s="110"/>
      <c r="I62" s="110"/>
      <c r="J62" s="110"/>
      <c r="K62" s="110"/>
      <c r="L62" s="110"/>
      <c r="M62" s="110"/>
      <c r="N62" s="110"/>
      <c r="O62" s="110"/>
      <c r="P62" s="110"/>
      <c r="Q62" s="110"/>
      <c r="R62" s="110"/>
      <c r="S62" s="110"/>
      <c r="T62" s="110"/>
      <c r="U62" s="110"/>
      <c r="V62" s="110"/>
      <c r="W62" s="122"/>
      <c r="X62" s="104"/>
    </row>
    <row r="63" spans="1:24" s="102" customFormat="1" ht="13.5">
      <c r="A63" s="352"/>
      <c r="B63" s="115"/>
      <c r="C63" s="128" t="s">
        <v>0</v>
      </c>
      <c r="D63" s="113">
        <f>Gasto_o_ing_per_capita!D63-Gasto_o_ing_per_capita!$D63</f>
        <v>0</v>
      </c>
      <c r="E63" s="113">
        <f>Gasto_o_ing_per_capita!E63-Gasto_o_ing_per_capita!$D63</f>
        <v>0</v>
      </c>
      <c r="F63" s="113">
        <f>Gasto_o_ing_per_capita!F63-Gasto_o_ing_per_capita!$D63</f>
        <v>0</v>
      </c>
      <c r="G63" s="113">
        <f>Gasto_o_ing_per_capita!G63-Gasto_o_ing_per_capita!$D63</f>
        <v>0</v>
      </c>
      <c r="H63" s="113">
        <f>Gasto_o_ing_per_capita!H63-Gasto_o_ing_per_capita!$D63</f>
        <v>0</v>
      </c>
      <c r="I63" s="113">
        <f>Gasto_o_ing_per_capita!I63-Gasto_o_ing_per_capita!$D63</f>
        <v>0</v>
      </c>
      <c r="J63" s="113">
        <f>Gasto_o_ing_per_capita!J63-Gasto_o_ing_per_capita!$D63</f>
        <v>0</v>
      </c>
      <c r="K63" s="113">
        <f>Gasto_o_ing_per_capita!K63-Gasto_o_ing_per_capita!$D63</f>
        <v>0</v>
      </c>
      <c r="L63" s="113">
        <f>Gasto_o_ing_per_capita!L63-Gasto_o_ing_per_capita!$D63</f>
        <v>0</v>
      </c>
      <c r="M63" s="113">
        <f>Gasto_o_ing_per_capita!M63-Gasto_o_ing_per_capita!$D63</f>
        <v>0</v>
      </c>
      <c r="N63" s="113">
        <f>Gasto_o_ing_per_capita!N63-Gasto_o_ing_per_capita!$D63</f>
        <v>0</v>
      </c>
      <c r="O63" s="113">
        <f>Gasto_o_ing_per_capita!O63-Gasto_o_ing_per_capita!$D63</f>
        <v>0</v>
      </c>
      <c r="P63" s="113">
        <f>Gasto_o_ing_per_capita!P63-Gasto_o_ing_per_capita!$D63</f>
        <v>0</v>
      </c>
      <c r="Q63" s="113">
        <f>Gasto_o_ing_per_capita!Q63-Gasto_o_ing_per_capita!$D63</f>
        <v>0</v>
      </c>
      <c r="R63" s="113">
        <f>Gasto_o_ing_per_capita!R63-Gasto_o_ing_per_capita!$D63</f>
        <v>0</v>
      </c>
      <c r="S63" s="113">
        <f>Gasto_o_ing_per_capita!S63-Gasto_o_ing_per_capita!$D63</f>
        <v>0</v>
      </c>
      <c r="T63" s="113">
        <f>Gasto_o_ing_per_capita!T63-Gasto_o_ing_per_capita!$D63</f>
        <v>0</v>
      </c>
      <c r="U63" s="113">
        <f>Gasto_o_ing_per_capita!U63-Gasto_o_ing_per_capita!$D63</f>
        <v>0</v>
      </c>
      <c r="V63" s="113">
        <f>Gasto_o_ing_per_capita!V63-Gasto_o_ing_per_capita!$D63</f>
        <v>0</v>
      </c>
      <c r="W63" s="122"/>
      <c r="X63" s="104"/>
    </row>
    <row r="64" spans="1:24" s="102" customFormat="1">
      <c r="A64" s="351" t="str">
        <f>IF(B64="","",(IF(ISERROR(MATCH(B64,Tot_res!C:C,0)),"Eliminar!!!","")))</f>
        <v/>
      </c>
      <c r="B64" s="115" t="s">
        <v>163</v>
      </c>
      <c r="C64" s="329" t="str">
        <f>VLOOKUP(B64,Tot_res!C:D,2,FALSE)</f>
        <v>Registros vinculados con la fe pública</v>
      </c>
      <c r="D64" s="332">
        <f>Gasto_o_ing_per_capita!D64-Gasto_o_ing_per_capita!$D64</f>
        <v>0</v>
      </c>
      <c r="E64" s="332">
        <f>Gasto_o_ing_per_capita!E64-Gasto_o_ing_per_capita!$D64</f>
        <v>0</v>
      </c>
      <c r="F64" s="332">
        <f>Gasto_o_ing_per_capita!F64-Gasto_o_ing_per_capita!$D64</f>
        <v>0</v>
      </c>
      <c r="G64" s="332">
        <f>Gasto_o_ing_per_capita!G64-Gasto_o_ing_per_capita!$D64</f>
        <v>0</v>
      </c>
      <c r="H64" s="332">
        <f>Gasto_o_ing_per_capita!H64-Gasto_o_ing_per_capita!$D64</f>
        <v>0</v>
      </c>
      <c r="I64" s="332">
        <f>Gasto_o_ing_per_capita!I64-Gasto_o_ing_per_capita!$D64</f>
        <v>0</v>
      </c>
      <c r="J64" s="332">
        <f>Gasto_o_ing_per_capita!J64-Gasto_o_ing_per_capita!$D64</f>
        <v>0</v>
      </c>
      <c r="K64" s="332">
        <f>Gasto_o_ing_per_capita!K64-Gasto_o_ing_per_capita!$D64</f>
        <v>0</v>
      </c>
      <c r="L64" s="332">
        <f>Gasto_o_ing_per_capita!L64-Gasto_o_ing_per_capita!$D64</f>
        <v>0</v>
      </c>
      <c r="M64" s="332">
        <f>Gasto_o_ing_per_capita!M64-Gasto_o_ing_per_capita!$D64</f>
        <v>0</v>
      </c>
      <c r="N64" s="332">
        <f>Gasto_o_ing_per_capita!N64-Gasto_o_ing_per_capita!$D64</f>
        <v>0</v>
      </c>
      <c r="O64" s="332">
        <f>Gasto_o_ing_per_capita!O64-Gasto_o_ing_per_capita!$D64</f>
        <v>0</v>
      </c>
      <c r="P64" s="332">
        <f>Gasto_o_ing_per_capita!P64-Gasto_o_ing_per_capita!$D64</f>
        <v>0</v>
      </c>
      <c r="Q64" s="332">
        <f>Gasto_o_ing_per_capita!Q64-Gasto_o_ing_per_capita!$D64</f>
        <v>0</v>
      </c>
      <c r="R64" s="332">
        <f>Gasto_o_ing_per_capita!R64-Gasto_o_ing_per_capita!$D64</f>
        <v>0</v>
      </c>
      <c r="S64" s="332">
        <f>Gasto_o_ing_per_capita!S64-Gasto_o_ing_per_capita!$D64</f>
        <v>0</v>
      </c>
      <c r="T64" s="332">
        <f>Gasto_o_ing_per_capita!T64-Gasto_o_ing_per_capita!$D64</f>
        <v>0</v>
      </c>
      <c r="U64" s="332">
        <f>Gasto_o_ing_per_capita!U64-Gasto_o_ing_per_capita!$D64</f>
        <v>0</v>
      </c>
      <c r="V64" s="332">
        <f>Gasto_o_ing_per_capita!V64-Gasto_o_ing_per_capita!$D64</f>
        <v>0</v>
      </c>
      <c r="W64" s="131"/>
      <c r="X64" s="104"/>
    </row>
    <row r="65" spans="1:24" s="102" customFormat="1">
      <c r="A65" s="351" t="str">
        <f>IF(B65="","",(IF(ISERROR(MATCH(B65,Tot_res!C:C,0)),"Eliminar!!!","")))</f>
        <v/>
      </c>
      <c r="B65" s="115" t="s">
        <v>164</v>
      </c>
      <c r="C65" s="329" t="str">
        <f>VLOOKUP(B65,Tot_res!C:D,2,FALSE)</f>
        <v>Derecho de asilo y apátridas</v>
      </c>
      <c r="D65" s="332">
        <f>Gasto_o_ing_per_capita!D65-Gasto_o_ing_per_capita!$D65</f>
        <v>0</v>
      </c>
      <c r="E65" s="332">
        <f>Gasto_o_ing_per_capita!E65-Gasto_o_ing_per_capita!$D65</f>
        <v>0</v>
      </c>
      <c r="F65" s="332">
        <f>Gasto_o_ing_per_capita!F65-Gasto_o_ing_per_capita!$D65</f>
        <v>0</v>
      </c>
      <c r="G65" s="332">
        <f>Gasto_o_ing_per_capita!G65-Gasto_o_ing_per_capita!$D65</f>
        <v>0</v>
      </c>
      <c r="H65" s="332">
        <f>Gasto_o_ing_per_capita!H65-Gasto_o_ing_per_capita!$D65</f>
        <v>0</v>
      </c>
      <c r="I65" s="332">
        <f>Gasto_o_ing_per_capita!I65-Gasto_o_ing_per_capita!$D65</f>
        <v>0</v>
      </c>
      <c r="J65" s="332">
        <f>Gasto_o_ing_per_capita!J65-Gasto_o_ing_per_capita!$D65</f>
        <v>0</v>
      </c>
      <c r="K65" s="332">
        <f>Gasto_o_ing_per_capita!K65-Gasto_o_ing_per_capita!$D65</f>
        <v>0</v>
      </c>
      <c r="L65" s="332">
        <f>Gasto_o_ing_per_capita!L65-Gasto_o_ing_per_capita!$D65</f>
        <v>0</v>
      </c>
      <c r="M65" s="332">
        <f>Gasto_o_ing_per_capita!M65-Gasto_o_ing_per_capita!$D65</f>
        <v>0</v>
      </c>
      <c r="N65" s="332">
        <f>Gasto_o_ing_per_capita!N65-Gasto_o_ing_per_capita!$D65</f>
        <v>0</v>
      </c>
      <c r="O65" s="332">
        <f>Gasto_o_ing_per_capita!O65-Gasto_o_ing_per_capita!$D65</f>
        <v>0</v>
      </c>
      <c r="P65" s="332">
        <f>Gasto_o_ing_per_capita!P65-Gasto_o_ing_per_capita!$D65</f>
        <v>0</v>
      </c>
      <c r="Q65" s="332">
        <f>Gasto_o_ing_per_capita!Q65-Gasto_o_ing_per_capita!$D65</f>
        <v>0</v>
      </c>
      <c r="R65" s="332">
        <f>Gasto_o_ing_per_capita!R65-Gasto_o_ing_per_capita!$D65</f>
        <v>0</v>
      </c>
      <c r="S65" s="332">
        <f>Gasto_o_ing_per_capita!S65-Gasto_o_ing_per_capita!$D65</f>
        <v>0</v>
      </c>
      <c r="T65" s="332">
        <f>Gasto_o_ing_per_capita!T65-Gasto_o_ing_per_capita!$D65</f>
        <v>0</v>
      </c>
      <c r="U65" s="332">
        <f>Gasto_o_ing_per_capita!U65-Gasto_o_ing_per_capita!$D65</f>
        <v>0</v>
      </c>
      <c r="V65" s="332">
        <f>Gasto_o_ing_per_capita!V65-Gasto_o_ing_per_capita!$D65</f>
        <v>0</v>
      </c>
      <c r="W65" s="122"/>
      <c r="X65" s="104"/>
    </row>
    <row r="66" spans="1:24" s="102" customFormat="1">
      <c r="A66" s="351" t="str">
        <f>IF(B66="","",(IF(ISERROR(MATCH(B66,Tot_res!C:C,0)),"Eliminar!!!","")))</f>
        <v/>
      </c>
      <c r="B66" s="115" t="s">
        <v>165</v>
      </c>
      <c r="C66" s="329" t="str">
        <f>VLOOKUP(B66,Tot_res!C:D,2,FALSE)</f>
        <v>Protección de datos de carácter personal</v>
      </c>
      <c r="D66" s="332">
        <f>Gasto_o_ing_per_capita!D66-Gasto_o_ing_per_capita!$D66</f>
        <v>0</v>
      </c>
      <c r="E66" s="332">
        <f>Gasto_o_ing_per_capita!E66-Gasto_o_ing_per_capita!$D66</f>
        <v>0</v>
      </c>
      <c r="F66" s="332">
        <f>Gasto_o_ing_per_capita!F66-Gasto_o_ing_per_capita!$D66</f>
        <v>0</v>
      </c>
      <c r="G66" s="332">
        <f>Gasto_o_ing_per_capita!G66-Gasto_o_ing_per_capita!$D66</f>
        <v>0</v>
      </c>
      <c r="H66" s="332">
        <f>Gasto_o_ing_per_capita!H66-Gasto_o_ing_per_capita!$D66</f>
        <v>0</v>
      </c>
      <c r="I66" s="332">
        <f>Gasto_o_ing_per_capita!I66-Gasto_o_ing_per_capita!$D66</f>
        <v>0</v>
      </c>
      <c r="J66" s="332">
        <f>Gasto_o_ing_per_capita!J66-Gasto_o_ing_per_capita!$D66</f>
        <v>0</v>
      </c>
      <c r="K66" s="332">
        <f>Gasto_o_ing_per_capita!K66-Gasto_o_ing_per_capita!$D66</f>
        <v>0</v>
      </c>
      <c r="L66" s="332">
        <f>Gasto_o_ing_per_capita!L66-Gasto_o_ing_per_capita!$D66</f>
        <v>0</v>
      </c>
      <c r="M66" s="332">
        <f>Gasto_o_ing_per_capita!M66-Gasto_o_ing_per_capita!$D66</f>
        <v>0</v>
      </c>
      <c r="N66" s="332">
        <f>Gasto_o_ing_per_capita!N66-Gasto_o_ing_per_capita!$D66</f>
        <v>0</v>
      </c>
      <c r="O66" s="332">
        <f>Gasto_o_ing_per_capita!O66-Gasto_o_ing_per_capita!$D66</f>
        <v>0</v>
      </c>
      <c r="P66" s="332">
        <f>Gasto_o_ing_per_capita!P66-Gasto_o_ing_per_capita!$D66</f>
        <v>0</v>
      </c>
      <c r="Q66" s="332">
        <f>Gasto_o_ing_per_capita!Q66-Gasto_o_ing_per_capita!$D66</f>
        <v>0</v>
      </c>
      <c r="R66" s="332">
        <f>Gasto_o_ing_per_capita!R66-Gasto_o_ing_per_capita!$D66</f>
        <v>0</v>
      </c>
      <c r="S66" s="332">
        <f>Gasto_o_ing_per_capita!S66-Gasto_o_ing_per_capita!$D66</f>
        <v>0</v>
      </c>
      <c r="T66" s="332">
        <f>Gasto_o_ing_per_capita!T66-Gasto_o_ing_per_capita!$D66</f>
        <v>0</v>
      </c>
      <c r="U66" s="332">
        <f>Gasto_o_ing_per_capita!U66-Gasto_o_ing_per_capita!$D66</f>
        <v>0</v>
      </c>
      <c r="V66" s="332">
        <f>Gasto_o_ing_per_capita!V66-Gasto_o_ing_per_capita!$D66</f>
        <v>0</v>
      </c>
      <c r="W66" s="122"/>
      <c r="X66" s="104"/>
    </row>
    <row r="67" spans="1:24" s="102" customFormat="1">
      <c r="A67" s="351" t="str">
        <f>IF(B67="","",(IF(ISERROR(MATCH(B67,Tot_res!C:C,0)),"Eliminar!!!","")))</f>
        <v/>
      </c>
      <c r="B67" s="115" t="s">
        <v>166</v>
      </c>
      <c r="C67" s="329" t="str">
        <f>VLOOKUP(B67,Tot_res!C:D,2,FALSE)</f>
        <v>Meteorología</v>
      </c>
      <c r="D67" s="332">
        <f>Gasto_o_ing_per_capita!D67-Gasto_o_ing_per_capita!$D67</f>
        <v>0</v>
      </c>
      <c r="E67" s="332">
        <f>Gasto_o_ing_per_capita!E67-Gasto_o_ing_per_capita!$D67</f>
        <v>0</v>
      </c>
      <c r="F67" s="332">
        <f>Gasto_o_ing_per_capita!F67-Gasto_o_ing_per_capita!$D67</f>
        <v>0</v>
      </c>
      <c r="G67" s="332">
        <f>Gasto_o_ing_per_capita!G67-Gasto_o_ing_per_capita!$D67</f>
        <v>0</v>
      </c>
      <c r="H67" s="332">
        <f>Gasto_o_ing_per_capita!H67-Gasto_o_ing_per_capita!$D67</f>
        <v>0</v>
      </c>
      <c r="I67" s="332">
        <f>Gasto_o_ing_per_capita!I67-Gasto_o_ing_per_capita!$D67</f>
        <v>0</v>
      </c>
      <c r="J67" s="332">
        <f>Gasto_o_ing_per_capita!J67-Gasto_o_ing_per_capita!$D67</f>
        <v>0</v>
      </c>
      <c r="K67" s="332">
        <f>Gasto_o_ing_per_capita!K67-Gasto_o_ing_per_capita!$D67</f>
        <v>0</v>
      </c>
      <c r="L67" s="332">
        <f>Gasto_o_ing_per_capita!L67-Gasto_o_ing_per_capita!$D67</f>
        <v>0</v>
      </c>
      <c r="M67" s="332">
        <f>Gasto_o_ing_per_capita!M67-Gasto_o_ing_per_capita!$D67</f>
        <v>0</v>
      </c>
      <c r="N67" s="332">
        <f>Gasto_o_ing_per_capita!N67-Gasto_o_ing_per_capita!$D67</f>
        <v>0</v>
      </c>
      <c r="O67" s="332">
        <f>Gasto_o_ing_per_capita!O67-Gasto_o_ing_per_capita!$D67</f>
        <v>0</v>
      </c>
      <c r="P67" s="332">
        <f>Gasto_o_ing_per_capita!P67-Gasto_o_ing_per_capita!$D67</f>
        <v>0</v>
      </c>
      <c r="Q67" s="332">
        <f>Gasto_o_ing_per_capita!Q67-Gasto_o_ing_per_capita!$D67</f>
        <v>0</v>
      </c>
      <c r="R67" s="332">
        <f>Gasto_o_ing_per_capita!R67-Gasto_o_ing_per_capita!$D67</f>
        <v>0</v>
      </c>
      <c r="S67" s="332">
        <f>Gasto_o_ing_per_capita!S67-Gasto_o_ing_per_capita!$D67</f>
        <v>0</v>
      </c>
      <c r="T67" s="332">
        <f>Gasto_o_ing_per_capita!T67-Gasto_o_ing_per_capita!$D67</f>
        <v>0</v>
      </c>
      <c r="U67" s="332">
        <f>Gasto_o_ing_per_capita!U67-Gasto_o_ing_per_capita!$D67</f>
        <v>0</v>
      </c>
      <c r="V67" s="332">
        <f>Gasto_o_ing_per_capita!V67-Gasto_o_ing_per_capita!$D67</f>
        <v>0</v>
      </c>
      <c r="W67" s="122"/>
      <c r="X67" s="104"/>
    </row>
    <row r="68" spans="1:24" s="102" customFormat="1">
      <c r="A68" s="351" t="str">
        <f>IF(B68="","",(IF(ISERROR(MATCH(B68,Tot_res!C:C,0)),"Eliminar!!!","")))</f>
        <v/>
      </c>
      <c r="B68" s="115" t="s">
        <v>168</v>
      </c>
      <c r="C68" s="329" t="str">
        <f>VLOOKUP(B68,Tot_res!C:D,2,FALSE)</f>
        <v>Metrología</v>
      </c>
      <c r="D68" s="332">
        <f>Gasto_o_ing_per_capita!D68-Gasto_o_ing_per_capita!$D68</f>
        <v>0</v>
      </c>
      <c r="E68" s="332">
        <f>Gasto_o_ing_per_capita!E68-Gasto_o_ing_per_capita!$D68</f>
        <v>0</v>
      </c>
      <c r="F68" s="332">
        <f>Gasto_o_ing_per_capita!F68-Gasto_o_ing_per_capita!$D68</f>
        <v>0</v>
      </c>
      <c r="G68" s="332">
        <f>Gasto_o_ing_per_capita!G68-Gasto_o_ing_per_capita!$D68</f>
        <v>0</v>
      </c>
      <c r="H68" s="332">
        <f>Gasto_o_ing_per_capita!H68-Gasto_o_ing_per_capita!$D68</f>
        <v>0</v>
      </c>
      <c r="I68" s="332">
        <f>Gasto_o_ing_per_capita!I68-Gasto_o_ing_per_capita!$D68</f>
        <v>0</v>
      </c>
      <c r="J68" s="332">
        <f>Gasto_o_ing_per_capita!J68-Gasto_o_ing_per_capita!$D68</f>
        <v>0</v>
      </c>
      <c r="K68" s="332">
        <f>Gasto_o_ing_per_capita!K68-Gasto_o_ing_per_capita!$D68</f>
        <v>0</v>
      </c>
      <c r="L68" s="332">
        <f>Gasto_o_ing_per_capita!L68-Gasto_o_ing_per_capita!$D68</f>
        <v>0</v>
      </c>
      <c r="M68" s="332">
        <f>Gasto_o_ing_per_capita!M68-Gasto_o_ing_per_capita!$D68</f>
        <v>0</v>
      </c>
      <c r="N68" s="332">
        <f>Gasto_o_ing_per_capita!N68-Gasto_o_ing_per_capita!$D68</f>
        <v>0</v>
      </c>
      <c r="O68" s="332">
        <f>Gasto_o_ing_per_capita!O68-Gasto_o_ing_per_capita!$D68</f>
        <v>0</v>
      </c>
      <c r="P68" s="332">
        <f>Gasto_o_ing_per_capita!P68-Gasto_o_ing_per_capita!$D68</f>
        <v>0</v>
      </c>
      <c r="Q68" s="332">
        <f>Gasto_o_ing_per_capita!Q68-Gasto_o_ing_per_capita!$D68</f>
        <v>0</v>
      </c>
      <c r="R68" s="332">
        <f>Gasto_o_ing_per_capita!R68-Gasto_o_ing_per_capita!$D68</f>
        <v>0</v>
      </c>
      <c r="S68" s="332">
        <f>Gasto_o_ing_per_capita!S68-Gasto_o_ing_per_capita!$D68</f>
        <v>0</v>
      </c>
      <c r="T68" s="332">
        <f>Gasto_o_ing_per_capita!T68-Gasto_o_ing_per_capita!$D68</f>
        <v>0</v>
      </c>
      <c r="U68" s="332">
        <f>Gasto_o_ing_per_capita!U68-Gasto_o_ing_per_capita!$D68</f>
        <v>0</v>
      </c>
      <c r="V68" s="332">
        <f>Gasto_o_ing_per_capita!V68-Gasto_o_ing_per_capita!$D68</f>
        <v>0</v>
      </c>
      <c r="W68" s="122"/>
      <c r="X68" s="104"/>
    </row>
    <row r="69" spans="1:24" s="102" customFormat="1">
      <c r="A69" s="351" t="str">
        <f>IF(B69="","",(IF(ISERROR(MATCH(B69,Tot_res!C:C,0)),"Eliminar!!!","")))</f>
        <v/>
      </c>
      <c r="B69" s="115" t="s">
        <v>169</v>
      </c>
      <c r="C69" s="329" t="str">
        <f>VLOOKUP(B69,Tot_res!C:D,2,FALSE)</f>
        <v>Dirección y organización de la administración pública</v>
      </c>
      <c r="D69" s="332">
        <f>Gasto_o_ing_per_capita!D69-Gasto_o_ing_per_capita!$D69</f>
        <v>0</v>
      </c>
      <c r="E69" s="332">
        <f>Gasto_o_ing_per_capita!E69-Gasto_o_ing_per_capita!$D69</f>
        <v>0</v>
      </c>
      <c r="F69" s="332">
        <f>Gasto_o_ing_per_capita!F69-Gasto_o_ing_per_capita!$D69</f>
        <v>0</v>
      </c>
      <c r="G69" s="332">
        <f>Gasto_o_ing_per_capita!G69-Gasto_o_ing_per_capita!$D69</f>
        <v>0</v>
      </c>
      <c r="H69" s="332">
        <f>Gasto_o_ing_per_capita!H69-Gasto_o_ing_per_capita!$D69</f>
        <v>0</v>
      </c>
      <c r="I69" s="332">
        <f>Gasto_o_ing_per_capita!I69-Gasto_o_ing_per_capita!$D69</f>
        <v>0</v>
      </c>
      <c r="J69" s="332">
        <f>Gasto_o_ing_per_capita!J69-Gasto_o_ing_per_capita!$D69</f>
        <v>0</v>
      </c>
      <c r="K69" s="332">
        <f>Gasto_o_ing_per_capita!K69-Gasto_o_ing_per_capita!$D69</f>
        <v>0</v>
      </c>
      <c r="L69" s="332">
        <f>Gasto_o_ing_per_capita!L69-Gasto_o_ing_per_capita!$D69</f>
        <v>0</v>
      </c>
      <c r="M69" s="332">
        <f>Gasto_o_ing_per_capita!M69-Gasto_o_ing_per_capita!$D69</f>
        <v>0</v>
      </c>
      <c r="N69" s="332">
        <f>Gasto_o_ing_per_capita!N69-Gasto_o_ing_per_capita!$D69</f>
        <v>0</v>
      </c>
      <c r="O69" s="332">
        <f>Gasto_o_ing_per_capita!O69-Gasto_o_ing_per_capita!$D69</f>
        <v>0</v>
      </c>
      <c r="P69" s="332">
        <f>Gasto_o_ing_per_capita!P69-Gasto_o_ing_per_capita!$D69</f>
        <v>0</v>
      </c>
      <c r="Q69" s="332">
        <f>Gasto_o_ing_per_capita!Q69-Gasto_o_ing_per_capita!$D69</f>
        <v>0</v>
      </c>
      <c r="R69" s="332">
        <f>Gasto_o_ing_per_capita!R69-Gasto_o_ing_per_capita!$D69</f>
        <v>0</v>
      </c>
      <c r="S69" s="332">
        <f>Gasto_o_ing_per_capita!S69-Gasto_o_ing_per_capita!$D69</f>
        <v>0</v>
      </c>
      <c r="T69" s="332">
        <f>Gasto_o_ing_per_capita!T69-Gasto_o_ing_per_capita!$D69</f>
        <v>0</v>
      </c>
      <c r="U69" s="332">
        <f>Gasto_o_ing_per_capita!U69-Gasto_o_ing_per_capita!$D69</f>
        <v>0</v>
      </c>
      <c r="V69" s="332">
        <f>Gasto_o_ing_per_capita!V69-Gasto_o_ing_per_capita!$D69</f>
        <v>0</v>
      </c>
      <c r="W69" s="122"/>
      <c r="X69" s="104"/>
    </row>
    <row r="70" spans="1:24" s="102" customFormat="1">
      <c r="A70" s="351" t="str">
        <f>IF(B70="","",(IF(ISERROR(MATCH(B70,Tot_res!C:C,0)),"Eliminar!!!","")))</f>
        <v/>
      </c>
      <c r="B70" s="115" t="s">
        <v>698</v>
      </c>
      <c r="C70" s="329" t="str">
        <f>VLOOKUP(B70,Tot_res!C:D,2,FALSE)</f>
        <v>Formación del personal de las administraciones públicas</v>
      </c>
      <c r="D70" s="332">
        <f>Gasto_o_ing_per_capita!D70-Gasto_o_ing_per_capita!$D70</f>
        <v>0</v>
      </c>
      <c r="E70" s="332">
        <f>Gasto_o_ing_per_capita!E70-Gasto_o_ing_per_capita!$D70</f>
        <v>0</v>
      </c>
      <c r="F70" s="332">
        <f>Gasto_o_ing_per_capita!F70-Gasto_o_ing_per_capita!$D70</f>
        <v>0</v>
      </c>
      <c r="G70" s="332">
        <f>Gasto_o_ing_per_capita!G70-Gasto_o_ing_per_capita!$D70</f>
        <v>0</v>
      </c>
      <c r="H70" s="332">
        <f>Gasto_o_ing_per_capita!H70-Gasto_o_ing_per_capita!$D70</f>
        <v>0</v>
      </c>
      <c r="I70" s="332">
        <f>Gasto_o_ing_per_capita!I70-Gasto_o_ing_per_capita!$D70</f>
        <v>0</v>
      </c>
      <c r="J70" s="332">
        <f>Gasto_o_ing_per_capita!J70-Gasto_o_ing_per_capita!$D70</f>
        <v>0</v>
      </c>
      <c r="K70" s="332">
        <f>Gasto_o_ing_per_capita!K70-Gasto_o_ing_per_capita!$D70</f>
        <v>0</v>
      </c>
      <c r="L70" s="332">
        <f>Gasto_o_ing_per_capita!L70-Gasto_o_ing_per_capita!$D70</f>
        <v>0</v>
      </c>
      <c r="M70" s="332">
        <f>Gasto_o_ing_per_capita!M70-Gasto_o_ing_per_capita!$D70</f>
        <v>0</v>
      </c>
      <c r="N70" s="332">
        <f>Gasto_o_ing_per_capita!N70-Gasto_o_ing_per_capita!$D70</f>
        <v>0</v>
      </c>
      <c r="O70" s="332">
        <f>Gasto_o_ing_per_capita!O70-Gasto_o_ing_per_capita!$D70</f>
        <v>0</v>
      </c>
      <c r="P70" s="332">
        <f>Gasto_o_ing_per_capita!P70-Gasto_o_ing_per_capita!$D70</f>
        <v>0</v>
      </c>
      <c r="Q70" s="332">
        <f>Gasto_o_ing_per_capita!Q70-Gasto_o_ing_per_capita!$D70</f>
        <v>0</v>
      </c>
      <c r="R70" s="332">
        <f>Gasto_o_ing_per_capita!R70-Gasto_o_ing_per_capita!$D70</f>
        <v>0</v>
      </c>
      <c r="S70" s="332">
        <f>Gasto_o_ing_per_capita!S70-Gasto_o_ing_per_capita!$D70</f>
        <v>0</v>
      </c>
      <c r="T70" s="332">
        <f>Gasto_o_ing_per_capita!T70-Gasto_o_ing_per_capita!$D70</f>
        <v>0</v>
      </c>
      <c r="U70" s="332">
        <f>Gasto_o_ing_per_capita!U70-Gasto_o_ing_per_capita!$D70</f>
        <v>0</v>
      </c>
      <c r="V70" s="332">
        <f>Gasto_o_ing_per_capita!V70-Gasto_o_ing_per_capita!$D70</f>
        <v>0</v>
      </c>
      <c r="W70" s="122"/>
      <c r="X70" s="104"/>
    </row>
    <row r="71" spans="1:24" s="102" customFormat="1">
      <c r="A71" s="351" t="str">
        <f>IF(B71="","",(IF(ISERROR(MATCH(B71,Tot_res!C:C,0)),"Eliminar!!!","")))</f>
        <v/>
      </c>
      <c r="B71" s="115" t="s">
        <v>170</v>
      </c>
      <c r="C71" s="329" t="str">
        <f>VLOOKUP(B71,Tot_res!C:D,2,FALSE)</f>
        <v>Administración periférica del estado</v>
      </c>
      <c r="D71" s="332">
        <f>Gasto_o_ing_per_capita!D71-Gasto_o_ing_per_capita!$D71</f>
        <v>0</v>
      </c>
      <c r="E71" s="332">
        <f>Gasto_o_ing_per_capita!E71-Gasto_o_ing_per_capita!$D71</f>
        <v>0</v>
      </c>
      <c r="F71" s="332">
        <f>Gasto_o_ing_per_capita!F71-Gasto_o_ing_per_capita!$D71</f>
        <v>0</v>
      </c>
      <c r="G71" s="332">
        <f>Gasto_o_ing_per_capita!G71-Gasto_o_ing_per_capita!$D71</f>
        <v>0</v>
      </c>
      <c r="H71" s="332">
        <f>Gasto_o_ing_per_capita!H71-Gasto_o_ing_per_capita!$D71</f>
        <v>0</v>
      </c>
      <c r="I71" s="332">
        <f>Gasto_o_ing_per_capita!I71-Gasto_o_ing_per_capita!$D71</f>
        <v>0</v>
      </c>
      <c r="J71" s="332">
        <f>Gasto_o_ing_per_capita!J71-Gasto_o_ing_per_capita!$D71</f>
        <v>0</v>
      </c>
      <c r="K71" s="332">
        <f>Gasto_o_ing_per_capita!K71-Gasto_o_ing_per_capita!$D71</f>
        <v>0</v>
      </c>
      <c r="L71" s="332">
        <f>Gasto_o_ing_per_capita!L71-Gasto_o_ing_per_capita!$D71</f>
        <v>0</v>
      </c>
      <c r="M71" s="332">
        <f>Gasto_o_ing_per_capita!M71-Gasto_o_ing_per_capita!$D71</f>
        <v>0</v>
      </c>
      <c r="N71" s="332">
        <f>Gasto_o_ing_per_capita!N71-Gasto_o_ing_per_capita!$D71</f>
        <v>0</v>
      </c>
      <c r="O71" s="332">
        <f>Gasto_o_ing_per_capita!O71-Gasto_o_ing_per_capita!$D71</f>
        <v>0</v>
      </c>
      <c r="P71" s="332">
        <f>Gasto_o_ing_per_capita!P71-Gasto_o_ing_per_capita!$D71</f>
        <v>0</v>
      </c>
      <c r="Q71" s="332">
        <f>Gasto_o_ing_per_capita!Q71-Gasto_o_ing_per_capita!$D71</f>
        <v>0</v>
      </c>
      <c r="R71" s="332">
        <f>Gasto_o_ing_per_capita!R71-Gasto_o_ing_per_capita!$D71</f>
        <v>0</v>
      </c>
      <c r="S71" s="332">
        <f>Gasto_o_ing_per_capita!S71-Gasto_o_ing_per_capita!$D71</f>
        <v>0</v>
      </c>
      <c r="T71" s="332">
        <f>Gasto_o_ing_per_capita!T71-Gasto_o_ing_per_capita!$D71</f>
        <v>0</v>
      </c>
      <c r="U71" s="332">
        <f>Gasto_o_ing_per_capita!U71-Gasto_o_ing_per_capita!$D71</f>
        <v>0</v>
      </c>
      <c r="V71" s="332">
        <f>Gasto_o_ing_per_capita!V71-Gasto_o_ing_per_capita!$D71</f>
        <v>0</v>
      </c>
      <c r="W71" s="122"/>
      <c r="X71" s="104"/>
    </row>
    <row r="72" spans="1:24" s="102" customFormat="1">
      <c r="A72" s="351" t="str">
        <f>IF(B72="","",(IF(ISERROR(MATCH(B72,Tot_res!C:C,0)),"Eliminar!!!","")))</f>
        <v/>
      </c>
      <c r="B72" s="115" t="s">
        <v>171</v>
      </c>
      <c r="C72" s="329" t="str">
        <f>VLOOKUP(B72,Tot_res!C:D,2,FALSE)</f>
        <v>Publicidad de las normas legales</v>
      </c>
      <c r="D72" s="332">
        <f>Gasto_o_ing_per_capita!D72-Gasto_o_ing_per_capita!$D72</f>
        <v>0</v>
      </c>
      <c r="E72" s="332">
        <f>Gasto_o_ing_per_capita!E72-Gasto_o_ing_per_capita!$D72</f>
        <v>0</v>
      </c>
      <c r="F72" s="332">
        <f>Gasto_o_ing_per_capita!F72-Gasto_o_ing_per_capita!$D72</f>
        <v>0</v>
      </c>
      <c r="G72" s="332">
        <f>Gasto_o_ing_per_capita!G72-Gasto_o_ing_per_capita!$D72</f>
        <v>0</v>
      </c>
      <c r="H72" s="332">
        <f>Gasto_o_ing_per_capita!H72-Gasto_o_ing_per_capita!$D72</f>
        <v>0</v>
      </c>
      <c r="I72" s="332">
        <f>Gasto_o_ing_per_capita!I72-Gasto_o_ing_per_capita!$D72</f>
        <v>0</v>
      </c>
      <c r="J72" s="332">
        <f>Gasto_o_ing_per_capita!J72-Gasto_o_ing_per_capita!$D72</f>
        <v>0</v>
      </c>
      <c r="K72" s="332">
        <f>Gasto_o_ing_per_capita!K72-Gasto_o_ing_per_capita!$D72</f>
        <v>0</v>
      </c>
      <c r="L72" s="332">
        <f>Gasto_o_ing_per_capita!L72-Gasto_o_ing_per_capita!$D72</f>
        <v>0</v>
      </c>
      <c r="M72" s="332">
        <f>Gasto_o_ing_per_capita!M72-Gasto_o_ing_per_capita!$D72</f>
        <v>0</v>
      </c>
      <c r="N72" s="332">
        <f>Gasto_o_ing_per_capita!N72-Gasto_o_ing_per_capita!$D72</f>
        <v>0</v>
      </c>
      <c r="O72" s="332">
        <f>Gasto_o_ing_per_capita!O72-Gasto_o_ing_per_capita!$D72</f>
        <v>0</v>
      </c>
      <c r="P72" s="332">
        <f>Gasto_o_ing_per_capita!P72-Gasto_o_ing_per_capita!$D72</f>
        <v>0</v>
      </c>
      <c r="Q72" s="332">
        <f>Gasto_o_ing_per_capita!Q72-Gasto_o_ing_per_capita!$D72</f>
        <v>0</v>
      </c>
      <c r="R72" s="332">
        <f>Gasto_o_ing_per_capita!R72-Gasto_o_ing_per_capita!$D72</f>
        <v>0</v>
      </c>
      <c r="S72" s="332">
        <f>Gasto_o_ing_per_capita!S72-Gasto_o_ing_per_capita!$D72</f>
        <v>0</v>
      </c>
      <c r="T72" s="332">
        <f>Gasto_o_ing_per_capita!T72-Gasto_o_ing_per_capita!$D72</f>
        <v>0</v>
      </c>
      <c r="U72" s="332">
        <f>Gasto_o_ing_per_capita!U72-Gasto_o_ing_per_capita!$D72</f>
        <v>0</v>
      </c>
      <c r="V72" s="332">
        <f>Gasto_o_ing_per_capita!V72-Gasto_o_ing_per_capita!$D72</f>
        <v>0</v>
      </c>
      <c r="W72" s="122"/>
      <c r="X72" s="104"/>
    </row>
    <row r="73" spans="1:24" s="102" customFormat="1">
      <c r="A73" s="351" t="str">
        <f>IF(B73="","",(IF(ISERROR(MATCH(B73,Tot_res!C:C,0)),"Eliminar!!!","")))</f>
        <v/>
      </c>
      <c r="B73" s="115" t="s">
        <v>173</v>
      </c>
      <c r="C73" s="329" t="str">
        <f>VLOOKUP(B73,Tot_res!C:D,2,FALSE)</f>
        <v>Asesoramiento y defensa intereses del estado</v>
      </c>
      <c r="D73" s="332">
        <f>Gasto_o_ing_per_capita!D73-Gasto_o_ing_per_capita!$D73</f>
        <v>0</v>
      </c>
      <c r="E73" s="332">
        <f>Gasto_o_ing_per_capita!E73-Gasto_o_ing_per_capita!$D73</f>
        <v>0</v>
      </c>
      <c r="F73" s="332">
        <f>Gasto_o_ing_per_capita!F73-Gasto_o_ing_per_capita!$D73</f>
        <v>0</v>
      </c>
      <c r="G73" s="332">
        <f>Gasto_o_ing_per_capita!G73-Gasto_o_ing_per_capita!$D73</f>
        <v>0</v>
      </c>
      <c r="H73" s="332">
        <f>Gasto_o_ing_per_capita!H73-Gasto_o_ing_per_capita!$D73</f>
        <v>0</v>
      </c>
      <c r="I73" s="332">
        <f>Gasto_o_ing_per_capita!I73-Gasto_o_ing_per_capita!$D73</f>
        <v>0</v>
      </c>
      <c r="J73" s="332">
        <f>Gasto_o_ing_per_capita!J73-Gasto_o_ing_per_capita!$D73</f>
        <v>0</v>
      </c>
      <c r="K73" s="332">
        <f>Gasto_o_ing_per_capita!K73-Gasto_o_ing_per_capita!$D73</f>
        <v>0</v>
      </c>
      <c r="L73" s="332">
        <f>Gasto_o_ing_per_capita!L73-Gasto_o_ing_per_capita!$D73</f>
        <v>0</v>
      </c>
      <c r="M73" s="332">
        <f>Gasto_o_ing_per_capita!M73-Gasto_o_ing_per_capita!$D73</f>
        <v>0</v>
      </c>
      <c r="N73" s="332">
        <f>Gasto_o_ing_per_capita!N73-Gasto_o_ing_per_capita!$D73</f>
        <v>0</v>
      </c>
      <c r="O73" s="332">
        <f>Gasto_o_ing_per_capita!O73-Gasto_o_ing_per_capita!$D73</f>
        <v>0</v>
      </c>
      <c r="P73" s="332">
        <f>Gasto_o_ing_per_capita!P73-Gasto_o_ing_per_capita!$D73</f>
        <v>0</v>
      </c>
      <c r="Q73" s="332">
        <f>Gasto_o_ing_per_capita!Q73-Gasto_o_ing_per_capita!$D73</f>
        <v>0</v>
      </c>
      <c r="R73" s="332">
        <f>Gasto_o_ing_per_capita!R73-Gasto_o_ing_per_capita!$D73</f>
        <v>0</v>
      </c>
      <c r="S73" s="332">
        <f>Gasto_o_ing_per_capita!S73-Gasto_o_ing_per_capita!$D73</f>
        <v>0</v>
      </c>
      <c r="T73" s="332">
        <f>Gasto_o_ing_per_capita!T73-Gasto_o_ing_per_capita!$D73</f>
        <v>0</v>
      </c>
      <c r="U73" s="332">
        <f>Gasto_o_ing_per_capita!U73-Gasto_o_ing_per_capita!$D73</f>
        <v>0</v>
      </c>
      <c r="V73" s="332">
        <f>Gasto_o_ing_per_capita!V73-Gasto_o_ing_per_capita!$D73</f>
        <v>0</v>
      </c>
      <c r="W73" s="122"/>
      <c r="X73" s="104"/>
    </row>
    <row r="74" spans="1:24" s="102" customFormat="1">
      <c r="A74" s="351" t="str">
        <f>IF(B74="","",(IF(ISERROR(MATCH(B74,Tot_res!C:C,0)),"Eliminar!!!","")))</f>
        <v/>
      </c>
      <c r="B74" s="115" t="s">
        <v>174</v>
      </c>
      <c r="C74" s="329" t="str">
        <f>VLOOKUP(B74,Tot_res!C:D,2,FALSE)</f>
        <v>Servicios de transportes de ministerios</v>
      </c>
      <c r="D74" s="332">
        <f>Gasto_o_ing_per_capita!D74-Gasto_o_ing_per_capita!$D74</f>
        <v>0</v>
      </c>
      <c r="E74" s="332">
        <f>Gasto_o_ing_per_capita!E74-Gasto_o_ing_per_capita!$D74</f>
        <v>0</v>
      </c>
      <c r="F74" s="332">
        <f>Gasto_o_ing_per_capita!F74-Gasto_o_ing_per_capita!$D74</f>
        <v>0</v>
      </c>
      <c r="G74" s="332">
        <f>Gasto_o_ing_per_capita!G74-Gasto_o_ing_per_capita!$D74</f>
        <v>0</v>
      </c>
      <c r="H74" s="332">
        <f>Gasto_o_ing_per_capita!H74-Gasto_o_ing_per_capita!$D74</f>
        <v>0</v>
      </c>
      <c r="I74" s="332">
        <f>Gasto_o_ing_per_capita!I74-Gasto_o_ing_per_capita!$D74</f>
        <v>0</v>
      </c>
      <c r="J74" s="332">
        <f>Gasto_o_ing_per_capita!J74-Gasto_o_ing_per_capita!$D74</f>
        <v>0</v>
      </c>
      <c r="K74" s="332">
        <f>Gasto_o_ing_per_capita!K74-Gasto_o_ing_per_capita!$D74</f>
        <v>0</v>
      </c>
      <c r="L74" s="332">
        <f>Gasto_o_ing_per_capita!L74-Gasto_o_ing_per_capita!$D74</f>
        <v>0</v>
      </c>
      <c r="M74" s="332">
        <f>Gasto_o_ing_per_capita!M74-Gasto_o_ing_per_capita!$D74</f>
        <v>0</v>
      </c>
      <c r="N74" s="332">
        <f>Gasto_o_ing_per_capita!N74-Gasto_o_ing_per_capita!$D74</f>
        <v>0</v>
      </c>
      <c r="O74" s="332">
        <f>Gasto_o_ing_per_capita!O74-Gasto_o_ing_per_capita!$D74</f>
        <v>0</v>
      </c>
      <c r="P74" s="332">
        <f>Gasto_o_ing_per_capita!P74-Gasto_o_ing_per_capita!$D74</f>
        <v>0</v>
      </c>
      <c r="Q74" s="332">
        <f>Gasto_o_ing_per_capita!Q74-Gasto_o_ing_per_capita!$D74</f>
        <v>0</v>
      </c>
      <c r="R74" s="332">
        <f>Gasto_o_ing_per_capita!R74-Gasto_o_ing_per_capita!$D74</f>
        <v>0</v>
      </c>
      <c r="S74" s="332">
        <f>Gasto_o_ing_per_capita!S74-Gasto_o_ing_per_capita!$D74</f>
        <v>0</v>
      </c>
      <c r="T74" s="332">
        <f>Gasto_o_ing_per_capita!T74-Gasto_o_ing_per_capita!$D74</f>
        <v>0</v>
      </c>
      <c r="U74" s="332">
        <f>Gasto_o_ing_per_capita!U74-Gasto_o_ing_per_capita!$D74</f>
        <v>0</v>
      </c>
      <c r="V74" s="332">
        <f>Gasto_o_ing_per_capita!V74-Gasto_o_ing_per_capita!$D74</f>
        <v>0</v>
      </c>
      <c r="W74" s="122"/>
      <c r="X74" s="104"/>
    </row>
    <row r="75" spans="1:24"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Gasto_o_ing_per_capita!D75-Gasto_o_ing_per_capita!$D75</f>
        <v>0</v>
      </c>
      <c r="E75" s="332">
        <f>Gasto_o_ing_per_capita!E75-Gasto_o_ing_per_capita!$D75</f>
        <v>0</v>
      </c>
      <c r="F75" s="332">
        <f>Gasto_o_ing_per_capita!F75-Gasto_o_ing_per_capita!$D75</f>
        <v>0</v>
      </c>
      <c r="G75" s="332">
        <f>Gasto_o_ing_per_capita!G75-Gasto_o_ing_per_capita!$D75</f>
        <v>0</v>
      </c>
      <c r="H75" s="332">
        <f>Gasto_o_ing_per_capita!H75-Gasto_o_ing_per_capita!$D75</f>
        <v>0</v>
      </c>
      <c r="I75" s="332">
        <f>Gasto_o_ing_per_capita!I75-Gasto_o_ing_per_capita!$D75</f>
        <v>0</v>
      </c>
      <c r="J75" s="332">
        <f>Gasto_o_ing_per_capita!J75-Gasto_o_ing_per_capita!$D75</f>
        <v>0</v>
      </c>
      <c r="K75" s="332">
        <f>Gasto_o_ing_per_capita!K75-Gasto_o_ing_per_capita!$D75</f>
        <v>0</v>
      </c>
      <c r="L75" s="332">
        <f>Gasto_o_ing_per_capita!L75-Gasto_o_ing_per_capita!$D75</f>
        <v>0</v>
      </c>
      <c r="M75" s="332">
        <f>Gasto_o_ing_per_capita!M75-Gasto_o_ing_per_capita!$D75</f>
        <v>0</v>
      </c>
      <c r="N75" s="332">
        <f>Gasto_o_ing_per_capita!N75-Gasto_o_ing_per_capita!$D75</f>
        <v>0</v>
      </c>
      <c r="O75" s="332">
        <f>Gasto_o_ing_per_capita!O75-Gasto_o_ing_per_capita!$D75</f>
        <v>0</v>
      </c>
      <c r="P75" s="332">
        <f>Gasto_o_ing_per_capita!P75-Gasto_o_ing_per_capita!$D75</f>
        <v>0</v>
      </c>
      <c r="Q75" s="332">
        <f>Gasto_o_ing_per_capita!Q75-Gasto_o_ing_per_capita!$D75</f>
        <v>0</v>
      </c>
      <c r="R75" s="332">
        <f>Gasto_o_ing_per_capita!R75-Gasto_o_ing_per_capita!$D75</f>
        <v>0</v>
      </c>
      <c r="S75" s="332">
        <f>Gasto_o_ing_per_capita!S75-Gasto_o_ing_per_capita!$D75</f>
        <v>0</v>
      </c>
      <c r="T75" s="332">
        <f>Gasto_o_ing_per_capita!T75-Gasto_o_ing_per_capita!$D75</f>
        <v>0</v>
      </c>
      <c r="U75" s="332">
        <f>Gasto_o_ing_per_capita!U75-Gasto_o_ing_per_capita!$D75</f>
        <v>0</v>
      </c>
      <c r="V75" s="332">
        <f>Gasto_o_ing_per_capita!V75-Gasto_o_ing_per_capita!$D75</f>
        <v>0</v>
      </c>
      <c r="W75" s="122"/>
      <c r="X75" s="104"/>
    </row>
    <row r="76" spans="1:24" s="102" customFormat="1">
      <c r="A76" s="351" t="str">
        <f>IF(B76="","",(IF(ISERROR(MATCH(B76,Tot_res!C:C,0)),"Eliminar!!!","")))</f>
        <v/>
      </c>
      <c r="B76" s="115" t="s">
        <v>176</v>
      </c>
      <c r="C76" s="329" t="str">
        <f>VLOOKUP(B76,Tot_res!C:D,2,FALSE)</f>
        <v>Organización territorial del estado y desarrollo de sus sistemas de colaboración</v>
      </c>
      <c r="D76" s="332">
        <f>Gasto_o_ing_per_capita!D76-Gasto_o_ing_per_capita!$D76</f>
        <v>0</v>
      </c>
      <c r="E76" s="332">
        <f>Gasto_o_ing_per_capita!E76-Gasto_o_ing_per_capita!$D76</f>
        <v>0</v>
      </c>
      <c r="F76" s="332">
        <f>Gasto_o_ing_per_capita!F76-Gasto_o_ing_per_capita!$D76</f>
        <v>0</v>
      </c>
      <c r="G76" s="332">
        <f>Gasto_o_ing_per_capita!G76-Gasto_o_ing_per_capita!$D76</f>
        <v>0</v>
      </c>
      <c r="H76" s="332">
        <f>Gasto_o_ing_per_capita!H76-Gasto_o_ing_per_capita!$D76</f>
        <v>0</v>
      </c>
      <c r="I76" s="332">
        <f>Gasto_o_ing_per_capita!I76-Gasto_o_ing_per_capita!$D76</f>
        <v>0</v>
      </c>
      <c r="J76" s="332">
        <f>Gasto_o_ing_per_capita!J76-Gasto_o_ing_per_capita!$D76</f>
        <v>0</v>
      </c>
      <c r="K76" s="332">
        <f>Gasto_o_ing_per_capita!K76-Gasto_o_ing_per_capita!$D76</f>
        <v>0</v>
      </c>
      <c r="L76" s="332">
        <f>Gasto_o_ing_per_capita!L76-Gasto_o_ing_per_capita!$D76</f>
        <v>0</v>
      </c>
      <c r="M76" s="332">
        <f>Gasto_o_ing_per_capita!M76-Gasto_o_ing_per_capita!$D76</f>
        <v>0</v>
      </c>
      <c r="N76" s="332">
        <f>Gasto_o_ing_per_capita!N76-Gasto_o_ing_per_capita!$D76</f>
        <v>0</v>
      </c>
      <c r="O76" s="332">
        <f>Gasto_o_ing_per_capita!O76-Gasto_o_ing_per_capita!$D76</f>
        <v>0</v>
      </c>
      <c r="P76" s="332">
        <f>Gasto_o_ing_per_capita!P76-Gasto_o_ing_per_capita!$D76</f>
        <v>0</v>
      </c>
      <c r="Q76" s="332">
        <f>Gasto_o_ing_per_capita!Q76-Gasto_o_ing_per_capita!$D76</f>
        <v>0</v>
      </c>
      <c r="R76" s="332">
        <f>Gasto_o_ing_per_capita!R76-Gasto_o_ing_per_capita!$D76</f>
        <v>0</v>
      </c>
      <c r="S76" s="332">
        <f>Gasto_o_ing_per_capita!S76-Gasto_o_ing_per_capita!$D76</f>
        <v>0</v>
      </c>
      <c r="T76" s="332">
        <f>Gasto_o_ing_per_capita!T76-Gasto_o_ing_per_capita!$D76</f>
        <v>0</v>
      </c>
      <c r="U76" s="332">
        <f>Gasto_o_ing_per_capita!U76-Gasto_o_ing_per_capita!$D76</f>
        <v>0</v>
      </c>
      <c r="V76" s="332">
        <f>Gasto_o_ing_per_capita!V76-Gasto_o_ing_per_capita!$D76</f>
        <v>0</v>
      </c>
      <c r="W76" s="122"/>
      <c r="X76" s="104"/>
    </row>
    <row r="77" spans="1:24" s="102" customFormat="1">
      <c r="A77" s="351" t="str">
        <f>IF(B77="","",(IF(ISERROR(MATCH(B77,Tot_res!C:C,0)),"Eliminar!!!","")))</f>
        <v/>
      </c>
      <c r="B77" s="115" t="s">
        <v>177</v>
      </c>
      <c r="C77" s="329" t="str">
        <f>VLOOKUP(B77,Tot_res!C:D,2,FALSE)</f>
        <v>Elecciones y partidos políticos</v>
      </c>
      <c r="D77" s="332">
        <f>Gasto_o_ing_per_capita!D77-Gasto_o_ing_per_capita!$D77</f>
        <v>0</v>
      </c>
      <c r="E77" s="332">
        <f>Gasto_o_ing_per_capita!E77-Gasto_o_ing_per_capita!$D77</f>
        <v>0</v>
      </c>
      <c r="F77" s="332">
        <f>Gasto_o_ing_per_capita!F77-Gasto_o_ing_per_capita!$D77</f>
        <v>0</v>
      </c>
      <c r="G77" s="332">
        <f>Gasto_o_ing_per_capita!G77-Gasto_o_ing_per_capita!$D77</f>
        <v>0</v>
      </c>
      <c r="H77" s="332">
        <f>Gasto_o_ing_per_capita!H77-Gasto_o_ing_per_capita!$D77</f>
        <v>0</v>
      </c>
      <c r="I77" s="332">
        <f>Gasto_o_ing_per_capita!I77-Gasto_o_ing_per_capita!$D77</f>
        <v>0</v>
      </c>
      <c r="J77" s="332">
        <f>Gasto_o_ing_per_capita!J77-Gasto_o_ing_per_capita!$D77</f>
        <v>0</v>
      </c>
      <c r="K77" s="332">
        <f>Gasto_o_ing_per_capita!K77-Gasto_o_ing_per_capita!$D77</f>
        <v>0</v>
      </c>
      <c r="L77" s="332">
        <f>Gasto_o_ing_per_capita!L77-Gasto_o_ing_per_capita!$D77</f>
        <v>0</v>
      </c>
      <c r="M77" s="332">
        <f>Gasto_o_ing_per_capita!M77-Gasto_o_ing_per_capita!$D77</f>
        <v>0</v>
      </c>
      <c r="N77" s="332">
        <f>Gasto_o_ing_per_capita!N77-Gasto_o_ing_per_capita!$D77</f>
        <v>0</v>
      </c>
      <c r="O77" s="332">
        <f>Gasto_o_ing_per_capita!O77-Gasto_o_ing_per_capita!$D77</f>
        <v>0</v>
      </c>
      <c r="P77" s="332">
        <f>Gasto_o_ing_per_capita!P77-Gasto_o_ing_per_capita!$D77</f>
        <v>0</v>
      </c>
      <c r="Q77" s="332">
        <f>Gasto_o_ing_per_capita!Q77-Gasto_o_ing_per_capita!$D77</f>
        <v>0</v>
      </c>
      <c r="R77" s="332">
        <f>Gasto_o_ing_per_capita!R77-Gasto_o_ing_per_capita!$D77</f>
        <v>0</v>
      </c>
      <c r="S77" s="332">
        <f>Gasto_o_ing_per_capita!S77-Gasto_o_ing_per_capita!$D77</f>
        <v>0</v>
      </c>
      <c r="T77" s="332">
        <f>Gasto_o_ing_per_capita!T77-Gasto_o_ing_per_capita!$D77</f>
        <v>0</v>
      </c>
      <c r="U77" s="332">
        <f>Gasto_o_ing_per_capita!U77-Gasto_o_ing_per_capita!$D77</f>
        <v>0</v>
      </c>
      <c r="V77" s="332">
        <f>Gasto_o_ing_per_capita!V77-Gasto_o_ing_per_capita!$D77</f>
        <v>0</v>
      </c>
      <c r="W77" s="122"/>
      <c r="X77" s="104"/>
    </row>
    <row r="78" spans="1:24"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22"/>
      <c r="X78" s="104"/>
    </row>
    <row r="79" spans="1:24" s="102" customFormat="1" ht="13.5">
      <c r="A79" s="352"/>
      <c r="B79" s="115"/>
      <c r="C79" s="128" t="s">
        <v>25</v>
      </c>
      <c r="D79" s="113">
        <f>Gasto_o_ing_per_capita!D79-Gasto_o_ing_per_capita!$D79</f>
        <v>0</v>
      </c>
      <c r="E79" s="113">
        <f>Gasto_o_ing_per_capita!E79-Gasto_o_ing_per_capita!$D79</f>
        <v>0</v>
      </c>
      <c r="F79" s="113">
        <f>Gasto_o_ing_per_capita!F79-Gasto_o_ing_per_capita!$D79</f>
        <v>0</v>
      </c>
      <c r="G79" s="113">
        <f>Gasto_o_ing_per_capita!G79-Gasto_o_ing_per_capita!$D79</f>
        <v>0</v>
      </c>
      <c r="H79" s="113">
        <f>Gasto_o_ing_per_capita!H79-Gasto_o_ing_per_capita!$D79</f>
        <v>0</v>
      </c>
      <c r="I79" s="113">
        <f>Gasto_o_ing_per_capita!I79-Gasto_o_ing_per_capita!$D79</f>
        <v>0</v>
      </c>
      <c r="J79" s="113">
        <f>Gasto_o_ing_per_capita!J79-Gasto_o_ing_per_capita!$D79</f>
        <v>0</v>
      </c>
      <c r="K79" s="113">
        <f>Gasto_o_ing_per_capita!K79-Gasto_o_ing_per_capita!$D79</f>
        <v>0</v>
      </c>
      <c r="L79" s="113">
        <f>Gasto_o_ing_per_capita!L79-Gasto_o_ing_per_capita!$D79</f>
        <v>0</v>
      </c>
      <c r="M79" s="113">
        <f>Gasto_o_ing_per_capita!M79-Gasto_o_ing_per_capita!$D79</f>
        <v>0</v>
      </c>
      <c r="N79" s="113">
        <f>Gasto_o_ing_per_capita!N79-Gasto_o_ing_per_capita!$D79</f>
        <v>0</v>
      </c>
      <c r="O79" s="113">
        <f>Gasto_o_ing_per_capita!O79-Gasto_o_ing_per_capita!$D79</f>
        <v>0</v>
      </c>
      <c r="P79" s="113">
        <f>Gasto_o_ing_per_capita!P79-Gasto_o_ing_per_capita!$D79</f>
        <v>0</v>
      </c>
      <c r="Q79" s="113">
        <f>Gasto_o_ing_per_capita!Q79-Gasto_o_ing_per_capita!$D79</f>
        <v>0</v>
      </c>
      <c r="R79" s="113">
        <f>Gasto_o_ing_per_capita!R79-Gasto_o_ing_per_capita!$D79</f>
        <v>0</v>
      </c>
      <c r="S79" s="113">
        <f>Gasto_o_ing_per_capita!S79-Gasto_o_ing_per_capita!$D79</f>
        <v>0</v>
      </c>
      <c r="T79" s="113">
        <f>Gasto_o_ing_per_capita!T79-Gasto_o_ing_per_capita!$D79</f>
        <v>0</v>
      </c>
      <c r="U79" s="113">
        <f>Gasto_o_ing_per_capita!U79-Gasto_o_ing_per_capita!$D79</f>
        <v>0</v>
      </c>
      <c r="V79" s="113">
        <f>Gasto_o_ing_per_capita!V79-Gasto_o_ing_per_capita!$D79</f>
        <v>0</v>
      </c>
      <c r="W79" s="131"/>
      <c r="X79" s="104"/>
    </row>
    <row r="80" spans="1:24" s="102" customFormat="1">
      <c r="A80" s="351" t="str">
        <f>IF(B80="","",(IF(ISERROR(MATCH(B80,Tot_res!C:C,0)),"Eliminar!!!","")))</f>
        <v/>
      </c>
      <c r="B80" s="115" t="s">
        <v>178</v>
      </c>
      <c r="C80" s="329" t="str">
        <f>VLOOKUP(B80,Tot_res!C:D,2,FALSE)</f>
        <v>Investigación y estudios sociológicos y constitucionales</v>
      </c>
      <c r="D80" s="332">
        <f>Gasto_o_ing_per_capita!D80-Gasto_o_ing_per_capita!$D80</f>
        <v>0</v>
      </c>
      <c r="E80" s="332">
        <f>Gasto_o_ing_per_capita!E80-Gasto_o_ing_per_capita!$D80</f>
        <v>0</v>
      </c>
      <c r="F80" s="332">
        <f>Gasto_o_ing_per_capita!F80-Gasto_o_ing_per_capita!$D80</f>
        <v>0</v>
      </c>
      <c r="G80" s="332">
        <f>Gasto_o_ing_per_capita!G80-Gasto_o_ing_per_capita!$D80</f>
        <v>0</v>
      </c>
      <c r="H80" s="332">
        <f>Gasto_o_ing_per_capita!H80-Gasto_o_ing_per_capita!$D80</f>
        <v>0</v>
      </c>
      <c r="I80" s="332">
        <f>Gasto_o_ing_per_capita!I80-Gasto_o_ing_per_capita!$D80</f>
        <v>0</v>
      </c>
      <c r="J80" s="332">
        <f>Gasto_o_ing_per_capita!J80-Gasto_o_ing_per_capita!$D80</f>
        <v>0</v>
      </c>
      <c r="K80" s="332">
        <f>Gasto_o_ing_per_capita!K80-Gasto_o_ing_per_capita!$D80</f>
        <v>0</v>
      </c>
      <c r="L80" s="332">
        <f>Gasto_o_ing_per_capita!L80-Gasto_o_ing_per_capita!$D80</f>
        <v>0</v>
      </c>
      <c r="M80" s="332">
        <f>Gasto_o_ing_per_capita!M80-Gasto_o_ing_per_capita!$D80</f>
        <v>0</v>
      </c>
      <c r="N80" s="332">
        <f>Gasto_o_ing_per_capita!N80-Gasto_o_ing_per_capita!$D80</f>
        <v>0</v>
      </c>
      <c r="O80" s="332">
        <f>Gasto_o_ing_per_capita!O80-Gasto_o_ing_per_capita!$D80</f>
        <v>0</v>
      </c>
      <c r="P80" s="332">
        <f>Gasto_o_ing_per_capita!P80-Gasto_o_ing_per_capita!$D80</f>
        <v>0</v>
      </c>
      <c r="Q80" s="332">
        <f>Gasto_o_ing_per_capita!Q80-Gasto_o_ing_per_capita!$D80</f>
        <v>0</v>
      </c>
      <c r="R80" s="332">
        <f>Gasto_o_ing_per_capita!R80-Gasto_o_ing_per_capita!$D80</f>
        <v>0</v>
      </c>
      <c r="S80" s="332">
        <f>Gasto_o_ing_per_capita!S80-Gasto_o_ing_per_capita!$D80</f>
        <v>0</v>
      </c>
      <c r="T80" s="332">
        <f>Gasto_o_ing_per_capita!T80-Gasto_o_ing_per_capita!$D80</f>
        <v>0</v>
      </c>
      <c r="U80" s="332">
        <f>Gasto_o_ing_per_capita!U80-Gasto_o_ing_per_capita!$D80</f>
        <v>0</v>
      </c>
      <c r="V80" s="332">
        <f>Gasto_o_ing_per_capita!V80-Gasto_o_ing_per_capita!$D80</f>
        <v>0</v>
      </c>
      <c r="W80" s="122"/>
      <c r="X80" s="104"/>
    </row>
    <row r="81" spans="1:24" s="102" customFormat="1">
      <c r="A81" s="351" t="str">
        <f>IF(B81="","",(IF(ISERROR(MATCH(B81,Tot_res!C:C,0)),"Eliminar!!!","")))</f>
        <v/>
      </c>
      <c r="B81" s="115" t="s">
        <v>180</v>
      </c>
      <c r="C81" s="329" t="str">
        <f>VLOOKUP(B81,Tot_res!C:D,2,FALSE)</f>
        <v>Investigación y estudios estadísticos y económicos</v>
      </c>
      <c r="D81" s="332">
        <f>Gasto_o_ing_per_capita!D81-Gasto_o_ing_per_capita!$D81</f>
        <v>0</v>
      </c>
      <c r="E81" s="332">
        <f>Gasto_o_ing_per_capita!E81-Gasto_o_ing_per_capita!$D81</f>
        <v>0</v>
      </c>
      <c r="F81" s="332">
        <f>Gasto_o_ing_per_capita!F81-Gasto_o_ing_per_capita!$D81</f>
        <v>0</v>
      </c>
      <c r="G81" s="332">
        <f>Gasto_o_ing_per_capita!G81-Gasto_o_ing_per_capita!$D81</f>
        <v>0</v>
      </c>
      <c r="H81" s="332">
        <f>Gasto_o_ing_per_capita!H81-Gasto_o_ing_per_capita!$D81</f>
        <v>0</v>
      </c>
      <c r="I81" s="332">
        <f>Gasto_o_ing_per_capita!I81-Gasto_o_ing_per_capita!$D81</f>
        <v>0</v>
      </c>
      <c r="J81" s="332">
        <f>Gasto_o_ing_per_capita!J81-Gasto_o_ing_per_capita!$D81</f>
        <v>0</v>
      </c>
      <c r="K81" s="332">
        <f>Gasto_o_ing_per_capita!K81-Gasto_o_ing_per_capita!$D81</f>
        <v>0</v>
      </c>
      <c r="L81" s="332">
        <f>Gasto_o_ing_per_capita!L81-Gasto_o_ing_per_capita!$D81</f>
        <v>0</v>
      </c>
      <c r="M81" s="332">
        <f>Gasto_o_ing_per_capita!M81-Gasto_o_ing_per_capita!$D81</f>
        <v>0</v>
      </c>
      <c r="N81" s="332">
        <f>Gasto_o_ing_per_capita!N81-Gasto_o_ing_per_capita!$D81</f>
        <v>0</v>
      </c>
      <c r="O81" s="332">
        <f>Gasto_o_ing_per_capita!O81-Gasto_o_ing_per_capita!$D81</f>
        <v>0</v>
      </c>
      <c r="P81" s="332">
        <f>Gasto_o_ing_per_capita!P81-Gasto_o_ing_per_capita!$D81</f>
        <v>0</v>
      </c>
      <c r="Q81" s="332">
        <f>Gasto_o_ing_per_capita!Q81-Gasto_o_ing_per_capita!$D81</f>
        <v>0</v>
      </c>
      <c r="R81" s="332">
        <f>Gasto_o_ing_per_capita!R81-Gasto_o_ing_per_capita!$D81</f>
        <v>0</v>
      </c>
      <c r="S81" s="332">
        <f>Gasto_o_ing_per_capita!S81-Gasto_o_ing_per_capita!$D81</f>
        <v>0</v>
      </c>
      <c r="T81" s="332">
        <f>Gasto_o_ing_per_capita!T81-Gasto_o_ing_per_capita!$D81</f>
        <v>0</v>
      </c>
      <c r="U81" s="332">
        <f>Gasto_o_ing_per_capita!U81-Gasto_o_ing_per_capita!$D81</f>
        <v>0</v>
      </c>
      <c r="V81" s="332">
        <f>Gasto_o_ing_per_capita!V81-Gasto_o_ing_per_capita!$D81</f>
        <v>0</v>
      </c>
      <c r="W81" s="122"/>
      <c r="X81" s="104"/>
    </row>
    <row r="82" spans="1:24" s="102" customFormat="1">
      <c r="A82" s="351" t="str">
        <f>IF(B82="","",(IF(ISERROR(MATCH(B82,Tot_res!C:C,0)),"Eliminar!!!","")))</f>
        <v/>
      </c>
      <c r="B82" s="115" t="s">
        <v>182</v>
      </c>
      <c r="C82" s="329" t="str">
        <f>VLOOKUP(B82,Tot_res!C:D,2,FALSE)</f>
        <v>Investigación científica</v>
      </c>
      <c r="D82" s="332">
        <f>Gasto_o_ing_per_capita!D82-Gasto_o_ing_per_capita!$D82</f>
        <v>0</v>
      </c>
      <c r="E82" s="332">
        <f>Gasto_o_ing_per_capita!E82-Gasto_o_ing_per_capita!$D82</f>
        <v>0</v>
      </c>
      <c r="F82" s="332">
        <f>Gasto_o_ing_per_capita!F82-Gasto_o_ing_per_capita!$D82</f>
        <v>0</v>
      </c>
      <c r="G82" s="332">
        <f>Gasto_o_ing_per_capita!G82-Gasto_o_ing_per_capita!$D82</f>
        <v>0</v>
      </c>
      <c r="H82" s="332">
        <f>Gasto_o_ing_per_capita!H82-Gasto_o_ing_per_capita!$D82</f>
        <v>0</v>
      </c>
      <c r="I82" s="332">
        <f>Gasto_o_ing_per_capita!I82-Gasto_o_ing_per_capita!$D82</f>
        <v>0</v>
      </c>
      <c r="J82" s="332">
        <f>Gasto_o_ing_per_capita!J82-Gasto_o_ing_per_capita!$D82</f>
        <v>0</v>
      </c>
      <c r="K82" s="332">
        <f>Gasto_o_ing_per_capita!K82-Gasto_o_ing_per_capita!$D82</f>
        <v>0</v>
      </c>
      <c r="L82" s="332">
        <f>Gasto_o_ing_per_capita!L82-Gasto_o_ing_per_capita!$D82</f>
        <v>0</v>
      </c>
      <c r="M82" s="332">
        <f>Gasto_o_ing_per_capita!M82-Gasto_o_ing_per_capita!$D82</f>
        <v>0</v>
      </c>
      <c r="N82" s="332">
        <f>Gasto_o_ing_per_capita!N82-Gasto_o_ing_per_capita!$D82</f>
        <v>0</v>
      </c>
      <c r="O82" s="332">
        <f>Gasto_o_ing_per_capita!O82-Gasto_o_ing_per_capita!$D82</f>
        <v>0</v>
      </c>
      <c r="P82" s="332">
        <f>Gasto_o_ing_per_capita!P82-Gasto_o_ing_per_capita!$D82</f>
        <v>0</v>
      </c>
      <c r="Q82" s="332">
        <f>Gasto_o_ing_per_capita!Q82-Gasto_o_ing_per_capita!$D82</f>
        <v>0</v>
      </c>
      <c r="R82" s="332">
        <f>Gasto_o_ing_per_capita!R82-Gasto_o_ing_per_capita!$D82</f>
        <v>0</v>
      </c>
      <c r="S82" s="332">
        <f>Gasto_o_ing_per_capita!S82-Gasto_o_ing_per_capita!$D82</f>
        <v>0</v>
      </c>
      <c r="T82" s="332">
        <f>Gasto_o_ing_per_capita!T82-Gasto_o_ing_per_capita!$D82</f>
        <v>0</v>
      </c>
      <c r="U82" s="332">
        <f>Gasto_o_ing_per_capita!U82-Gasto_o_ing_per_capita!$D82</f>
        <v>0</v>
      </c>
      <c r="V82" s="332">
        <f>Gasto_o_ing_per_capita!V82-Gasto_o_ing_per_capita!$D82</f>
        <v>0</v>
      </c>
      <c r="W82" s="122"/>
      <c r="X82" s="104"/>
    </row>
    <row r="83" spans="1:24" s="102" customFormat="1">
      <c r="A83" s="351" t="str">
        <f>IF(B83="","",(IF(ISERROR(MATCH(B83,Tot_res!C:C,0)),"Eliminar!!!","")))</f>
        <v/>
      </c>
      <c r="B83" s="115" t="s">
        <v>184</v>
      </c>
      <c r="C83" s="329" t="str">
        <f>VLOOKUP(B83,Tot_res!C:D,2,FALSE)</f>
        <v>Fomento y coordinación de la investigación científica y técnica</v>
      </c>
      <c r="D83" s="332">
        <f>Gasto_o_ing_per_capita!D83-Gasto_o_ing_per_capita!$D83</f>
        <v>0</v>
      </c>
      <c r="E83" s="332">
        <f>Gasto_o_ing_per_capita!E83-Gasto_o_ing_per_capita!$D83</f>
        <v>0</v>
      </c>
      <c r="F83" s="332">
        <f>Gasto_o_ing_per_capita!F83-Gasto_o_ing_per_capita!$D83</f>
        <v>0</v>
      </c>
      <c r="G83" s="332">
        <f>Gasto_o_ing_per_capita!G83-Gasto_o_ing_per_capita!$D83</f>
        <v>0</v>
      </c>
      <c r="H83" s="332">
        <f>Gasto_o_ing_per_capita!H83-Gasto_o_ing_per_capita!$D83</f>
        <v>0</v>
      </c>
      <c r="I83" s="332">
        <f>Gasto_o_ing_per_capita!I83-Gasto_o_ing_per_capita!$D83</f>
        <v>0</v>
      </c>
      <c r="J83" s="332">
        <f>Gasto_o_ing_per_capita!J83-Gasto_o_ing_per_capita!$D83</f>
        <v>0</v>
      </c>
      <c r="K83" s="332">
        <f>Gasto_o_ing_per_capita!K83-Gasto_o_ing_per_capita!$D83</f>
        <v>0</v>
      </c>
      <c r="L83" s="332">
        <f>Gasto_o_ing_per_capita!L83-Gasto_o_ing_per_capita!$D83</f>
        <v>0</v>
      </c>
      <c r="M83" s="332">
        <f>Gasto_o_ing_per_capita!M83-Gasto_o_ing_per_capita!$D83</f>
        <v>0</v>
      </c>
      <c r="N83" s="332">
        <f>Gasto_o_ing_per_capita!N83-Gasto_o_ing_per_capita!$D83</f>
        <v>0</v>
      </c>
      <c r="O83" s="332">
        <f>Gasto_o_ing_per_capita!O83-Gasto_o_ing_per_capita!$D83</f>
        <v>0</v>
      </c>
      <c r="P83" s="332">
        <f>Gasto_o_ing_per_capita!P83-Gasto_o_ing_per_capita!$D83</f>
        <v>0</v>
      </c>
      <c r="Q83" s="332">
        <f>Gasto_o_ing_per_capita!Q83-Gasto_o_ing_per_capita!$D83</f>
        <v>0</v>
      </c>
      <c r="R83" s="332">
        <f>Gasto_o_ing_per_capita!R83-Gasto_o_ing_per_capita!$D83</f>
        <v>0</v>
      </c>
      <c r="S83" s="332">
        <f>Gasto_o_ing_per_capita!S83-Gasto_o_ing_per_capita!$D83</f>
        <v>0</v>
      </c>
      <c r="T83" s="332">
        <f>Gasto_o_ing_per_capita!T83-Gasto_o_ing_per_capita!$D83</f>
        <v>0</v>
      </c>
      <c r="U83" s="332">
        <f>Gasto_o_ing_per_capita!U83-Gasto_o_ing_per_capita!$D83</f>
        <v>0</v>
      </c>
      <c r="V83" s="332">
        <f>Gasto_o_ing_per_capita!V83-Gasto_o_ing_per_capita!$D83</f>
        <v>0</v>
      </c>
      <c r="W83" s="122"/>
      <c r="X83" s="104"/>
    </row>
    <row r="84" spans="1:24" s="102" customFormat="1">
      <c r="A84" s="351" t="str">
        <f>IF(B84="","",(IF(ISERROR(MATCH(B84,Tot_res!C:C,0)),"Eliminar!!!","")))</f>
        <v/>
      </c>
      <c r="B84" s="115" t="s">
        <v>185</v>
      </c>
      <c r="C84" s="329" t="str">
        <f>VLOOKUP(B84,Tot_res!C:D,2,FALSE)</f>
        <v>Investigación sanitaria</v>
      </c>
      <c r="D84" s="332">
        <f>Gasto_o_ing_per_capita!D84-Gasto_o_ing_per_capita!$D84</f>
        <v>0</v>
      </c>
      <c r="E84" s="332">
        <f>Gasto_o_ing_per_capita!E84-Gasto_o_ing_per_capita!$D84</f>
        <v>0</v>
      </c>
      <c r="F84" s="332">
        <f>Gasto_o_ing_per_capita!F84-Gasto_o_ing_per_capita!$D84</f>
        <v>0</v>
      </c>
      <c r="G84" s="332">
        <f>Gasto_o_ing_per_capita!G84-Gasto_o_ing_per_capita!$D84</f>
        <v>0</v>
      </c>
      <c r="H84" s="332">
        <f>Gasto_o_ing_per_capita!H84-Gasto_o_ing_per_capita!$D84</f>
        <v>0</v>
      </c>
      <c r="I84" s="332">
        <f>Gasto_o_ing_per_capita!I84-Gasto_o_ing_per_capita!$D84</f>
        <v>0</v>
      </c>
      <c r="J84" s="332">
        <f>Gasto_o_ing_per_capita!J84-Gasto_o_ing_per_capita!$D84</f>
        <v>0</v>
      </c>
      <c r="K84" s="332">
        <f>Gasto_o_ing_per_capita!K84-Gasto_o_ing_per_capita!$D84</f>
        <v>0</v>
      </c>
      <c r="L84" s="332">
        <f>Gasto_o_ing_per_capita!L84-Gasto_o_ing_per_capita!$D84</f>
        <v>0</v>
      </c>
      <c r="M84" s="332">
        <f>Gasto_o_ing_per_capita!M84-Gasto_o_ing_per_capita!$D84</f>
        <v>0</v>
      </c>
      <c r="N84" s="332">
        <f>Gasto_o_ing_per_capita!N84-Gasto_o_ing_per_capita!$D84</f>
        <v>0</v>
      </c>
      <c r="O84" s="332">
        <f>Gasto_o_ing_per_capita!O84-Gasto_o_ing_per_capita!$D84</f>
        <v>0</v>
      </c>
      <c r="P84" s="332">
        <f>Gasto_o_ing_per_capita!P84-Gasto_o_ing_per_capita!$D84</f>
        <v>0</v>
      </c>
      <c r="Q84" s="332">
        <f>Gasto_o_ing_per_capita!Q84-Gasto_o_ing_per_capita!$D84</f>
        <v>0</v>
      </c>
      <c r="R84" s="332">
        <f>Gasto_o_ing_per_capita!R84-Gasto_o_ing_per_capita!$D84</f>
        <v>0</v>
      </c>
      <c r="S84" s="332">
        <f>Gasto_o_ing_per_capita!S84-Gasto_o_ing_per_capita!$D84</f>
        <v>0</v>
      </c>
      <c r="T84" s="332">
        <f>Gasto_o_ing_per_capita!T84-Gasto_o_ing_per_capita!$D84</f>
        <v>0</v>
      </c>
      <c r="U84" s="332">
        <f>Gasto_o_ing_per_capita!U84-Gasto_o_ing_per_capita!$D84</f>
        <v>0</v>
      </c>
      <c r="V84" s="332">
        <f>Gasto_o_ing_per_capita!V84-Gasto_o_ing_per_capita!$D84</f>
        <v>0</v>
      </c>
      <c r="W84" s="122"/>
      <c r="X84" s="104"/>
    </row>
    <row r="85" spans="1:24" s="102" customFormat="1">
      <c r="A85" s="351" t="str">
        <f>IF(B85="","",(IF(ISERROR(MATCH(B85,Tot_res!C:C,0)),"Eliminar!!!","")))</f>
        <v/>
      </c>
      <c r="B85" s="115" t="s">
        <v>709</v>
      </c>
      <c r="C85" s="329" t="str">
        <f>VLOOKUP(B85,Tot_res!C:D,2,FALSE)</f>
        <v>Investigación y desarrollo tecnológico-industrial</v>
      </c>
      <c r="D85" s="332">
        <f>Gasto_o_ing_per_capita!D85-Gasto_o_ing_per_capita!$D85</f>
        <v>0</v>
      </c>
      <c r="E85" s="332">
        <f>Gasto_o_ing_per_capita!E85-Gasto_o_ing_per_capita!$D85</f>
        <v>0</v>
      </c>
      <c r="F85" s="332">
        <f>Gasto_o_ing_per_capita!F85-Gasto_o_ing_per_capita!$D85</f>
        <v>0</v>
      </c>
      <c r="G85" s="332">
        <f>Gasto_o_ing_per_capita!G85-Gasto_o_ing_per_capita!$D85</f>
        <v>0</v>
      </c>
      <c r="H85" s="332">
        <f>Gasto_o_ing_per_capita!H85-Gasto_o_ing_per_capita!$D85</f>
        <v>0</v>
      </c>
      <c r="I85" s="332">
        <f>Gasto_o_ing_per_capita!I85-Gasto_o_ing_per_capita!$D85</f>
        <v>0</v>
      </c>
      <c r="J85" s="332">
        <f>Gasto_o_ing_per_capita!J85-Gasto_o_ing_per_capita!$D85</f>
        <v>0</v>
      </c>
      <c r="K85" s="332">
        <f>Gasto_o_ing_per_capita!K85-Gasto_o_ing_per_capita!$D85</f>
        <v>0</v>
      </c>
      <c r="L85" s="332">
        <f>Gasto_o_ing_per_capita!L85-Gasto_o_ing_per_capita!$D85</f>
        <v>0</v>
      </c>
      <c r="M85" s="332">
        <f>Gasto_o_ing_per_capita!M85-Gasto_o_ing_per_capita!$D85</f>
        <v>0</v>
      </c>
      <c r="N85" s="332">
        <f>Gasto_o_ing_per_capita!N85-Gasto_o_ing_per_capita!$D85</f>
        <v>0</v>
      </c>
      <c r="O85" s="332">
        <f>Gasto_o_ing_per_capita!O85-Gasto_o_ing_per_capita!$D85</f>
        <v>0</v>
      </c>
      <c r="P85" s="332">
        <f>Gasto_o_ing_per_capita!P85-Gasto_o_ing_per_capita!$D85</f>
        <v>0</v>
      </c>
      <c r="Q85" s="332">
        <f>Gasto_o_ing_per_capita!Q85-Gasto_o_ing_per_capita!$D85</f>
        <v>0</v>
      </c>
      <c r="R85" s="332">
        <f>Gasto_o_ing_per_capita!R85-Gasto_o_ing_per_capita!$D85</f>
        <v>0</v>
      </c>
      <c r="S85" s="332">
        <f>Gasto_o_ing_per_capita!S85-Gasto_o_ing_per_capita!$D85</f>
        <v>0</v>
      </c>
      <c r="T85" s="332">
        <f>Gasto_o_ing_per_capita!T85-Gasto_o_ing_per_capita!$D85</f>
        <v>0</v>
      </c>
      <c r="U85" s="332">
        <f>Gasto_o_ing_per_capita!U85-Gasto_o_ing_per_capita!$D85</f>
        <v>0</v>
      </c>
      <c r="V85" s="332">
        <f>Gasto_o_ing_per_capita!V85-Gasto_o_ing_per_capita!$D85</f>
        <v>0</v>
      </c>
      <c r="W85" s="122"/>
      <c r="X85" s="104"/>
    </row>
    <row r="86" spans="1:24" s="102" customFormat="1">
      <c r="A86" s="351" t="str">
        <f>IF(B86="","",(IF(ISERROR(MATCH(B86,Tot_res!C:C,0)),"Eliminar!!!","")))</f>
        <v/>
      </c>
      <c r="B86" s="115" t="s">
        <v>186</v>
      </c>
      <c r="C86" s="329" t="str">
        <f>VLOOKUP(B86,Tot_res!C:D,2,FALSE)</f>
        <v>Investigación y experimentación agraria</v>
      </c>
      <c r="D86" s="332">
        <f>Gasto_o_ing_per_capita!D86-Gasto_o_ing_per_capita!$D86</f>
        <v>0</v>
      </c>
      <c r="E86" s="332">
        <f>Gasto_o_ing_per_capita!E86-Gasto_o_ing_per_capita!$D86</f>
        <v>0</v>
      </c>
      <c r="F86" s="332">
        <f>Gasto_o_ing_per_capita!F86-Gasto_o_ing_per_capita!$D86</f>
        <v>0</v>
      </c>
      <c r="G86" s="332">
        <f>Gasto_o_ing_per_capita!G86-Gasto_o_ing_per_capita!$D86</f>
        <v>0</v>
      </c>
      <c r="H86" s="332">
        <f>Gasto_o_ing_per_capita!H86-Gasto_o_ing_per_capita!$D86</f>
        <v>0</v>
      </c>
      <c r="I86" s="332">
        <f>Gasto_o_ing_per_capita!I86-Gasto_o_ing_per_capita!$D86</f>
        <v>0</v>
      </c>
      <c r="J86" s="332">
        <f>Gasto_o_ing_per_capita!J86-Gasto_o_ing_per_capita!$D86</f>
        <v>0</v>
      </c>
      <c r="K86" s="332">
        <f>Gasto_o_ing_per_capita!K86-Gasto_o_ing_per_capita!$D86</f>
        <v>0</v>
      </c>
      <c r="L86" s="332">
        <f>Gasto_o_ing_per_capita!L86-Gasto_o_ing_per_capita!$D86</f>
        <v>0</v>
      </c>
      <c r="M86" s="332">
        <f>Gasto_o_ing_per_capita!M86-Gasto_o_ing_per_capita!$D86</f>
        <v>0</v>
      </c>
      <c r="N86" s="332">
        <f>Gasto_o_ing_per_capita!N86-Gasto_o_ing_per_capita!$D86</f>
        <v>0</v>
      </c>
      <c r="O86" s="332">
        <f>Gasto_o_ing_per_capita!O86-Gasto_o_ing_per_capita!$D86</f>
        <v>0</v>
      </c>
      <c r="P86" s="332">
        <f>Gasto_o_ing_per_capita!P86-Gasto_o_ing_per_capita!$D86</f>
        <v>0</v>
      </c>
      <c r="Q86" s="332">
        <f>Gasto_o_ing_per_capita!Q86-Gasto_o_ing_per_capita!$D86</f>
        <v>0</v>
      </c>
      <c r="R86" s="332">
        <f>Gasto_o_ing_per_capita!R86-Gasto_o_ing_per_capita!$D86</f>
        <v>0</v>
      </c>
      <c r="S86" s="332">
        <f>Gasto_o_ing_per_capita!S86-Gasto_o_ing_per_capita!$D86</f>
        <v>0</v>
      </c>
      <c r="T86" s="332">
        <f>Gasto_o_ing_per_capita!T86-Gasto_o_ing_per_capita!$D86</f>
        <v>0</v>
      </c>
      <c r="U86" s="332">
        <f>Gasto_o_ing_per_capita!U86-Gasto_o_ing_per_capita!$D86</f>
        <v>0</v>
      </c>
      <c r="V86" s="332">
        <f>Gasto_o_ing_per_capita!V86-Gasto_o_ing_per_capita!$D86</f>
        <v>0</v>
      </c>
      <c r="W86" s="122"/>
      <c r="X86" s="104"/>
    </row>
    <row r="87" spans="1:24" s="102" customFormat="1">
      <c r="A87" s="351" t="str">
        <f>IF(B87="","",(IF(ISERROR(MATCH(B87,Tot_res!C:C,0)),"Eliminar!!!","")))</f>
        <v/>
      </c>
      <c r="B87" s="115" t="s">
        <v>187</v>
      </c>
      <c r="C87" s="329" t="str">
        <f>VLOOKUP(B87,Tot_res!C:D,2,FALSE)</f>
        <v>Investigación oceanográfica y pesquera</v>
      </c>
      <c r="D87" s="332">
        <f>Gasto_o_ing_per_capita!D87-Gasto_o_ing_per_capita!$D87</f>
        <v>0</v>
      </c>
      <c r="E87" s="332">
        <f>Gasto_o_ing_per_capita!E87-Gasto_o_ing_per_capita!$D87</f>
        <v>0</v>
      </c>
      <c r="F87" s="332">
        <f>Gasto_o_ing_per_capita!F87-Gasto_o_ing_per_capita!$D87</f>
        <v>0</v>
      </c>
      <c r="G87" s="332">
        <f>Gasto_o_ing_per_capita!G87-Gasto_o_ing_per_capita!$D87</f>
        <v>0</v>
      </c>
      <c r="H87" s="332">
        <f>Gasto_o_ing_per_capita!H87-Gasto_o_ing_per_capita!$D87</f>
        <v>0</v>
      </c>
      <c r="I87" s="332">
        <f>Gasto_o_ing_per_capita!I87-Gasto_o_ing_per_capita!$D87</f>
        <v>0</v>
      </c>
      <c r="J87" s="332">
        <f>Gasto_o_ing_per_capita!J87-Gasto_o_ing_per_capita!$D87</f>
        <v>0</v>
      </c>
      <c r="K87" s="332">
        <f>Gasto_o_ing_per_capita!K87-Gasto_o_ing_per_capita!$D87</f>
        <v>0</v>
      </c>
      <c r="L87" s="332">
        <f>Gasto_o_ing_per_capita!L87-Gasto_o_ing_per_capita!$D87</f>
        <v>0</v>
      </c>
      <c r="M87" s="332">
        <f>Gasto_o_ing_per_capita!M87-Gasto_o_ing_per_capita!$D87</f>
        <v>0</v>
      </c>
      <c r="N87" s="332">
        <f>Gasto_o_ing_per_capita!N87-Gasto_o_ing_per_capita!$D87</f>
        <v>0</v>
      </c>
      <c r="O87" s="332">
        <f>Gasto_o_ing_per_capita!O87-Gasto_o_ing_per_capita!$D87</f>
        <v>0</v>
      </c>
      <c r="P87" s="332">
        <f>Gasto_o_ing_per_capita!P87-Gasto_o_ing_per_capita!$D87</f>
        <v>0</v>
      </c>
      <c r="Q87" s="332">
        <f>Gasto_o_ing_per_capita!Q87-Gasto_o_ing_per_capita!$D87</f>
        <v>0</v>
      </c>
      <c r="R87" s="332">
        <f>Gasto_o_ing_per_capita!R87-Gasto_o_ing_per_capita!$D87</f>
        <v>0</v>
      </c>
      <c r="S87" s="332">
        <f>Gasto_o_ing_per_capita!S87-Gasto_o_ing_per_capita!$D87</f>
        <v>0</v>
      </c>
      <c r="T87" s="332">
        <f>Gasto_o_ing_per_capita!T87-Gasto_o_ing_per_capita!$D87</f>
        <v>0</v>
      </c>
      <c r="U87" s="332">
        <f>Gasto_o_ing_per_capita!U87-Gasto_o_ing_per_capita!$D87</f>
        <v>0</v>
      </c>
      <c r="V87" s="332">
        <f>Gasto_o_ing_per_capita!V87-Gasto_o_ing_per_capita!$D87</f>
        <v>0</v>
      </c>
      <c r="W87" s="122"/>
      <c r="X87" s="104"/>
    </row>
    <row r="88" spans="1:24" s="102" customFormat="1">
      <c r="A88" s="351" t="str">
        <f>IF(B88="","",(IF(ISERROR(MATCH(B88,Tot_res!C:C,0)),"Eliminar!!!","")))</f>
        <v/>
      </c>
      <c r="B88" s="115" t="s">
        <v>188</v>
      </c>
      <c r="C88" s="329" t="str">
        <f>VLOOKUP(B88,Tot_res!C:D,2,FALSE)</f>
        <v>Investigación geológico-minera y medioambiental</v>
      </c>
      <c r="D88" s="332">
        <f>Gasto_o_ing_per_capita!D88-Gasto_o_ing_per_capita!$D88</f>
        <v>0</v>
      </c>
      <c r="E88" s="332">
        <f>Gasto_o_ing_per_capita!E88-Gasto_o_ing_per_capita!$D88</f>
        <v>0</v>
      </c>
      <c r="F88" s="332">
        <f>Gasto_o_ing_per_capita!F88-Gasto_o_ing_per_capita!$D88</f>
        <v>0</v>
      </c>
      <c r="G88" s="332">
        <f>Gasto_o_ing_per_capita!G88-Gasto_o_ing_per_capita!$D88</f>
        <v>0</v>
      </c>
      <c r="H88" s="332">
        <f>Gasto_o_ing_per_capita!H88-Gasto_o_ing_per_capita!$D88</f>
        <v>0</v>
      </c>
      <c r="I88" s="332">
        <f>Gasto_o_ing_per_capita!I88-Gasto_o_ing_per_capita!$D88</f>
        <v>0</v>
      </c>
      <c r="J88" s="332">
        <f>Gasto_o_ing_per_capita!J88-Gasto_o_ing_per_capita!$D88</f>
        <v>0</v>
      </c>
      <c r="K88" s="332">
        <f>Gasto_o_ing_per_capita!K88-Gasto_o_ing_per_capita!$D88</f>
        <v>0</v>
      </c>
      <c r="L88" s="332">
        <f>Gasto_o_ing_per_capita!L88-Gasto_o_ing_per_capita!$D88</f>
        <v>0</v>
      </c>
      <c r="M88" s="332">
        <f>Gasto_o_ing_per_capita!M88-Gasto_o_ing_per_capita!$D88</f>
        <v>0</v>
      </c>
      <c r="N88" s="332">
        <f>Gasto_o_ing_per_capita!N88-Gasto_o_ing_per_capita!$D88</f>
        <v>0</v>
      </c>
      <c r="O88" s="332">
        <f>Gasto_o_ing_per_capita!O88-Gasto_o_ing_per_capita!$D88</f>
        <v>0</v>
      </c>
      <c r="P88" s="332">
        <f>Gasto_o_ing_per_capita!P88-Gasto_o_ing_per_capita!$D88</f>
        <v>0</v>
      </c>
      <c r="Q88" s="332">
        <f>Gasto_o_ing_per_capita!Q88-Gasto_o_ing_per_capita!$D88</f>
        <v>0</v>
      </c>
      <c r="R88" s="332">
        <f>Gasto_o_ing_per_capita!R88-Gasto_o_ing_per_capita!$D88</f>
        <v>0</v>
      </c>
      <c r="S88" s="332">
        <f>Gasto_o_ing_per_capita!S88-Gasto_o_ing_per_capita!$D88</f>
        <v>0</v>
      </c>
      <c r="T88" s="332">
        <f>Gasto_o_ing_per_capita!T88-Gasto_o_ing_per_capita!$D88</f>
        <v>0</v>
      </c>
      <c r="U88" s="332">
        <f>Gasto_o_ing_per_capita!U88-Gasto_o_ing_per_capita!$D88</f>
        <v>0</v>
      </c>
      <c r="V88" s="332">
        <f>Gasto_o_ing_per_capita!V88-Gasto_o_ing_per_capita!$D88</f>
        <v>0</v>
      </c>
      <c r="W88" s="122"/>
      <c r="X88" s="104"/>
    </row>
    <row r="89" spans="1:24" s="102" customFormat="1">
      <c r="A89" s="351" t="str">
        <f>IF(B89="","",(IF(ISERROR(MATCH(B89,Tot_res!C:C,0)),"Eliminar!!!","")))</f>
        <v/>
      </c>
      <c r="B89" s="115" t="s">
        <v>190</v>
      </c>
      <c r="C89" s="329" t="str">
        <f>VLOOKUP(B89,Tot_res!C:D,2,FALSE)</f>
        <v>Investigación energética, medioambiental y tecnológica</v>
      </c>
      <c r="D89" s="332">
        <f>Gasto_o_ing_per_capita!D89-Gasto_o_ing_per_capita!$D89</f>
        <v>0</v>
      </c>
      <c r="E89" s="332">
        <f>Gasto_o_ing_per_capita!E89-Gasto_o_ing_per_capita!$D89</f>
        <v>0</v>
      </c>
      <c r="F89" s="332">
        <f>Gasto_o_ing_per_capita!F89-Gasto_o_ing_per_capita!$D89</f>
        <v>0</v>
      </c>
      <c r="G89" s="332">
        <f>Gasto_o_ing_per_capita!G89-Gasto_o_ing_per_capita!$D89</f>
        <v>0</v>
      </c>
      <c r="H89" s="332">
        <f>Gasto_o_ing_per_capita!H89-Gasto_o_ing_per_capita!$D89</f>
        <v>0</v>
      </c>
      <c r="I89" s="332">
        <f>Gasto_o_ing_per_capita!I89-Gasto_o_ing_per_capita!$D89</f>
        <v>0</v>
      </c>
      <c r="J89" s="332">
        <f>Gasto_o_ing_per_capita!J89-Gasto_o_ing_per_capita!$D89</f>
        <v>0</v>
      </c>
      <c r="K89" s="332">
        <f>Gasto_o_ing_per_capita!K89-Gasto_o_ing_per_capita!$D89</f>
        <v>0</v>
      </c>
      <c r="L89" s="332">
        <f>Gasto_o_ing_per_capita!L89-Gasto_o_ing_per_capita!$D89</f>
        <v>0</v>
      </c>
      <c r="M89" s="332">
        <f>Gasto_o_ing_per_capita!M89-Gasto_o_ing_per_capita!$D89</f>
        <v>0</v>
      </c>
      <c r="N89" s="332">
        <f>Gasto_o_ing_per_capita!N89-Gasto_o_ing_per_capita!$D89</f>
        <v>0</v>
      </c>
      <c r="O89" s="332">
        <f>Gasto_o_ing_per_capita!O89-Gasto_o_ing_per_capita!$D89</f>
        <v>0</v>
      </c>
      <c r="P89" s="332">
        <f>Gasto_o_ing_per_capita!P89-Gasto_o_ing_per_capita!$D89</f>
        <v>0</v>
      </c>
      <c r="Q89" s="332">
        <f>Gasto_o_ing_per_capita!Q89-Gasto_o_ing_per_capita!$D89</f>
        <v>0</v>
      </c>
      <c r="R89" s="332">
        <f>Gasto_o_ing_per_capita!R89-Gasto_o_ing_per_capita!$D89</f>
        <v>0</v>
      </c>
      <c r="S89" s="332">
        <f>Gasto_o_ing_per_capita!S89-Gasto_o_ing_per_capita!$D89</f>
        <v>0</v>
      </c>
      <c r="T89" s="332">
        <f>Gasto_o_ing_per_capita!T89-Gasto_o_ing_per_capita!$D89</f>
        <v>0</v>
      </c>
      <c r="U89" s="332">
        <f>Gasto_o_ing_per_capita!U89-Gasto_o_ing_per_capita!$D89</f>
        <v>0</v>
      </c>
      <c r="V89" s="332">
        <f>Gasto_o_ing_per_capita!V89-Gasto_o_ing_per_capita!$D89</f>
        <v>0</v>
      </c>
      <c r="W89" s="122"/>
      <c r="X89" s="104"/>
    </row>
    <row r="90" spans="1:24" s="102" customFormat="1">
      <c r="A90" s="351" t="str">
        <f>IF(B90="","",(IF(ISERROR(MATCH(B90,Tot_res!C:C,0)),"Eliminar!!!","")))</f>
        <v/>
      </c>
      <c r="B90" s="115" t="s">
        <v>191</v>
      </c>
      <c r="C90" s="329" t="str">
        <f>VLOOKUP(B90,Tot_res!C:D,2,FALSE)</f>
        <v>Desarrollo y aplicación de la información geográfica española</v>
      </c>
      <c r="D90" s="332">
        <f>Gasto_o_ing_per_capita!D90-Gasto_o_ing_per_capita!$D90</f>
        <v>0</v>
      </c>
      <c r="E90" s="332">
        <f>Gasto_o_ing_per_capita!E90-Gasto_o_ing_per_capita!$D90</f>
        <v>0</v>
      </c>
      <c r="F90" s="332">
        <f>Gasto_o_ing_per_capita!F90-Gasto_o_ing_per_capita!$D90</f>
        <v>0</v>
      </c>
      <c r="G90" s="332">
        <f>Gasto_o_ing_per_capita!G90-Gasto_o_ing_per_capita!$D90</f>
        <v>0</v>
      </c>
      <c r="H90" s="332">
        <f>Gasto_o_ing_per_capita!H90-Gasto_o_ing_per_capita!$D90</f>
        <v>0</v>
      </c>
      <c r="I90" s="332">
        <f>Gasto_o_ing_per_capita!I90-Gasto_o_ing_per_capita!$D90</f>
        <v>0</v>
      </c>
      <c r="J90" s="332">
        <f>Gasto_o_ing_per_capita!J90-Gasto_o_ing_per_capita!$D90</f>
        <v>0</v>
      </c>
      <c r="K90" s="332">
        <f>Gasto_o_ing_per_capita!K90-Gasto_o_ing_per_capita!$D90</f>
        <v>0</v>
      </c>
      <c r="L90" s="332">
        <f>Gasto_o_ing_per_capita!L90-Gasto_o_ing_per_capita!$D90</f>
        <v>0</v>
      </c>
      <c r="M90" s="332">
        <f>Gasto_o_ing_per_capita!M90-Gasto_o_ing_per_capita!$D90</f>
        <v>0</v>
      </c>
      <c r="N90" s="332">
        <f>Gasto_o_ing_per_capita!N90-Gasto_o_ing_per_capita!$D90</f>
        <v>0</v>
      </c>
      <c r="O90" s="332">
        <f>Gasto_o_ing_per_capita!O90-Gasto_o_ing_per_capita!$D90</f>
        <v>0</v>
      </c>
      <c r="P90" s="332">
        <f>Gasto_o_ing_per_capita!P90-Gasto_o_ing_per_capita!$D90</f>
        <v>0</v>
      </c>
      <c r="Q90" s="332">
        <f>Gasto_o_ing_per_capita!Q90-Gasto_o_ing_per_capita!$D90</f>
        <v>0</v>
      </c>
      <c r="R90" s="332">
        <f>Gasto_o_ing_per_capita!R90-Gasto_o_ing_per_capita!$D90</f>
        <v>0</v>
      </c>
      <c r="S90" s="332">
        <f>Gasto_o_ing_per_capita!S90-Gasto_o_ing_per_capita!$D90</f>
        <v>0</v>
      </c>
      <c r="T90" s="332">
        <f>Gasto_o_ing_per_capita!T90-Gasto_o_ing_per_capita!$D90</f>
        <v>0</v>
      </c>
      <c r="U90" s="332">
        <f>Gasto_o_ing_per_capita!U90-Gasto_o_ing_per_capita!$D90</f>
        <v>0</v>
      </c>
      <c r="V90" s="332">
        <f>Gasto_o_ing_per_capita!V90-Gasto_o_ing_per_capita!$D90</f>
        <v>0</v>
      </c>
      <c r="W90" s="122"/>
      <c r="X90" s="104"/>
    </row>
    <row r="91" spans="1:24" s="102" customFormat="1">
      <c r="A91" s="351" t="str">
        <f>IF(B91="","",(IF(ISERROR(MATCH(B91,Tot_res!C:C,0)),"Eliminar!!!","")))</f>
        <v/>
      </c>
      <c r="B91" s="115" t="s">
        <v>192</v>
      </c>
      <c r="C91" s="329" t="str">
        <f>VLOOKUP(B91,Tot_res!C:D,2,FALSE)</f>
        <v>Elaboración y difusión estadística</v>
      </c>
      <c r="D91" s="332">
        <f>Gasto_o_ing_per_capita!D91-Gasto_o_ing_per_capita!$D91</f>
        <v>0</v>
      </c>
      <c r="E91" s="332">
        <f>Gasto_o_ing_per_capita!E91-Gasto_o_ing_per_capita!$D91</f>
        <v>0</v>
      </c>
      <c r="F91" s="332">
        <f>Gasto_o_ing_per_capita!F91-Gasto_o_ing_per_capita!$D91</f>
        <v>0</v>
      </c>
      <c r="G91" s="332">
        <f>Gasto_o_ing_per_capita!G91-Gasto_o_ing_per_capita!$D91</f>
        <v>0</v>
      </c>
      <c r="H91" s="332">
        <f>Gasto_o_ing_per_capita!H91-Gasto_o_ing_per_capita!$D91</f>
        <v>0</v>
      </c>
      <c r="I91" s="332">
        <f>Gasto_o_ing_per_capita!I91-Gasto_o_ing_per_capita!$D91</f>
        <v>0</v>
      </c>
      <c r="J91" s="332">
        <f>Gasto_o_ing_per_capita!J91-Gasto_o_ing_per_capita!$D91</f>
        <v>0</v>
      </c>
      <c r="K91" s="332">
        <f>Gasto_o_ing_per_capita!K91-Gasto_o_ing_per_capita!$D91</f>
        <v>0</v>
      </c>
      <c r="L91" s="332">
        <f>Gasto_o_ing_per_capita!L91-Gasto_o_ing_per_capita!$D91</f>
        <v>0</v>
      </c>
      <c r="M91" s="332">
        <f>Gasto_o_ing_per_capita!M91-Gasto_o_ing_per_capita!$D91</f>
        <v>0</v>
      </c>
      <c r="N91" s="332">
        <f>Gasto_o_ing_per_capita!N91-Gasto_o_ing_per_capita!$D91</f>
        <v>0</v>
      </c>
      <c r="O91" s="332">
        <f>Gasto_o_ing_per_capita!O91-Gasto_o_ing_per_capita!$D91</f>
        <v>0</v>
      </c>
      <c r="P91" s="332">
        <f>Gasto_o_ing_per_capita!P91-Gasto_o_ing_per_capita!$D91</f>
        <v>0</v>
      </c>
      <c r="Q91" s="332">
        <f>Gasto_o_ing_per_capita!Q91-Gasto_o_ing_per_capita!$D91</f>
        <v>0</v>
      </c>
      <c r="R91" s="332">
        <f>Gasto_o_ing_per_capita!R91-Gasto_o_ing_per_capita!$D91</f>
        <v>0</v>
      </c>
      <c r="S91" s="332">
        <f>Gasto_o_ing_per_capita!S91-Gasto_o_ing_per_capita!$D91</f>
        <v>0</v>
      </c>
      <c r="T91" s="332">
        <f>Gasto_o_ing_per_capita!T91-Gasto_o_ing_per_capita!$D91</f>
        <v>0</v>
      </c>
      <c r="U91" s="332">
        <f>Gasto_o_ing_per_capita!U91-Gasto_o_ing_per_capita!$D91</f>
        <v>0</v>
      </c>
      <c r="V91" s="332">
        <f>Gasto_o_ing_per_capita!V91-Gasto_o_ing_per_capita!$D91</f>
        <v>0</v>
      </c>
      <c r="W91" s="122"/>
      <c r="X91" s="104"/>
    </row>
    <row r="92" spans="1:24"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22"/>
      <c r="X92" s="104"/>
    </row>
    <row r="93" spans="1:24" s="102" customFormat="1" ht="13.5">
      <c r="A93" s="352"/>
      <c r="B93" s="115"/>
      <c r="C93" s="128" t="s">
        <v>21</v>
      </c>
      <c r="D93" s="113">
        <f>Gasto_o_ing_per_capita!D93-Gasto_o_ing_per_capita!$D93</f>
        <v>0</v>
      </c>
      <c r="E93" s="113">
        <f>Gasto_o_ing_per_capita!E93-Gasto_o_ing_per_capita!$D93</f>
        <v>0</v>
      </c>
      <c r="F93" s="113">
        <f>Gasto_o_ing_per_capita!F93-Gasto_o_ing_per_capita!$D93</f>
        <v>0</v>
      </c>
      <c r="G93" s="113">
        <f>Gasto_o_ing_per_capita!G93-Gasto_o_ing_per_capita!$D93</f>
        <v>0</v>
      </c>
      <c r="H93" s="113">
        <f>Gasto_o_ing_per_capita!H93-Gasto_o_ing_per_capita!$D93</f>
        <v>0</v>
      </c>
      <c r="I93" s="113">
        <f>Gasto_o_ing_per_capita!I93-Gasto_o_ing_per_capita!$D93</f>
        <v>0</v>
      </c>
      <c r="J93" s="113">
        <f>Gasto_o_ing_per_capita!J93-Gasto_o_ing_per_capita!$D93</f>
        <v>0</v>
      </c>
      <c r="K93" s="113">
        <f>Gasto_o_ing_per_capita!K93-Gasto_o_ing_per_capita!$D93</f>
        <v>0</v>
      </c>
      <c r="L93" s="113">
        <f>Gasto_o_ing_per_capita!L93-Gasto_o_ing_per_capita!$D93</f>
        <v>0</v>
      </c>
      <c r="M93" s="113">
        <f>Gasto_o_ing_per_capita!M93-Gasto_o_ing_per_capita!$D93</f>
        <v>0</v>
      </c>
      <c r="N93" s="113">
        <f>Gasto_o_ing_per_capita!N93-Gasto_o_ing_per_capita!$D93</f>
        <v>0</v>
      </c>
      <c r="O93" s="113">
        <f>Gasto_o_ing_per_capita!O93-Gasto_o_ing_per_capita!$D93</f>
        <v>0</v>
      </c>
      <c r="P93" s="113">
        <f>Gasto_o_ing_per_capita!P93-Gasto_o_ing_per_capita!$D93</f>
        <v>0</v>
      </c>
      <c r="Q93" s="113">
        <f>Gasto_o_ing_per_capita!Q93-Gasto_o_ing_per_capita!$D93</f>
        <v>0</v>
      </c>
      <c r="R93" s="113">
        <f>Gasto_o_ing_per_capita!R93-Gasto_o_ing_per_capita!$D93</f>
        <v>0</v>
      </c>
      <c r="S93" s="113">
        <f>Gasto_o_ing_per_capita!S93-Gasto_o_ing_per_capita!$D93</f>
        <v>0</v>
      </c>
      <c r="T93" s="113">
        <f>Gasto_o_ing_per_capita!T93-Gasto_o_ing_per_capita!$D93</f>
        <v>0</v>
      </c>
      <c r="U93" s="113">
        <f>Gasto_o_ing_per_capita!U93-Gasto_o_ing_per_capita!$D93</f>
        <v>0</v>
      </c>
      <c r="V93" s="113">
        <f>Gasto_o_ing_per_capita!V93-Gasto_o_ing_per_capita!$D93</f>
        <v>0</v>
      </c>
      <c r="W93" s="126"/>
      <c r="X93" s="104"/>
    </row>
    <row r="94" spans="1:24" s="102" customFormat="1">
      <c r="A94" s="351" t="str">
        <f>IF(B94="","",(IF(ISERROR(MATCH(B94,Tot_res!C:C,0)),"Eliminar!!!","")))</f>
        <v/>
      </c>
      <c r="B94" s="115" t="s">
        <v>1188</v>
      </c>
      <c r="C94" s="329" t="str">
        <f>VLOOKUP(B94,Tot_res!C:D,2,FALSE)</f>
        <v>Defensa de la competencia en los mercados y regulación de sectores productivos </v>
      </c>
      <c r="D94" s="332">
        <f>Gasto_o_ing_per_capita!D94-Gasto_o_ing_per_capita!$D94</f>
        <v>0</v>
      </c>
      <c r="E94" s="332">
        <f>Gasto_o_ing_per_capita!E94-Gasto_o_ing_per_capita!$D94</f>
        <v>0</v>
      </c>
      <c r="F94" s="332">
        <f>Gasto_o_ing_per_capita!F94-Gasto_o_ing_per_capita!$D94</f>
        <v>0</v>
      </c>
      <c r="G94" s="332">
        <f>Gasto_o_ing_per_capita!G94-Gasto_o_ing_per_capita!$D94</f>
        <v>0</v>
      </c>
      <c r="H94" s="332">
        <f>Gasto_o_ing_per_capita!H94-Gasto_o_ing_per_capita!$D94</f>
        <v>0</v>
      </c>
      <c r="I94" s="332">
        <f>Gasto_o_ing_per_capita!I94-Gasto_o_ing_per_capita!$D94</f>
        <v>0</v>
      </c>
      <c r="J94" s="332">
        <f>Gasto_o_ing_per_capita!J94-Gasto_o_ing_per_capita!$D94</f>
        <v>0</v>
      </c>
      <c r="K94" s="332">
        <f>Gasto_o_ing_per_capita!K94-Gasto_o_ing_per_capita!$D94</f>
        <v>0</v>
      </c>
      <c r="L94" s="332">
        <f>Gasto_o_ing_per_capita!L94-Gasto_o_ing_per_capita!$D94</f>
        <v>0</v>
      </c>
      <c r="M94" s="332">
        <f>Gasto_o_ing_per_capita!M94-Gasto_o_ing_per_capita!$D94</f>
        <v>0</v>
      </c>
      <c r="N94" s="332">
        <f>Gasto_o_ing_per_capita!N94-Gasto_o_ing_per_capita!$D94</f>
        <v>0</v>
      </c>
      <c r="O94" s="332">
        <f>Gasto_o_ing_per_capita!O94-Gasto_o_ing_per_capita!$D94</f>
        <v>0</v>
      </c>
      <c r="P94" s="332">
        <f>Gasto_o_ing_per_capita!P94-Gasto_o_ing_per_capita!$D94</f>
        <v>0</v>
      </c>
      <c r="Q94" s="332">
        <f>Gasto_o_ing_per_capita!Q94-Gasto_o_ing_per_capita!$D94</f>
        <v>0</v>
      </c>
      <c r="R94" s="332">
        <f>Gasto_o_ing_per_capita!R94-Gasto_o_ing_per_capita!$D94</f>
        <v>0</v>
      </c>
      <c r="S94" s="332">
        <f>Gasto_o_ing_per_capita!S94-Gasto_o_ing_per_capita!$D94</f>
        <v>0</v>
      </c>
      <c r="T94" s="332">
        <f>Gasto_o_ing_per_capita!T94-Gasto_o_ing_per_capita!$D94</f>
        <v>0</v>
      </c>
      <c r="U94" s="332">
        <f>Gasto_o_ing_per_capita!U94-Gasto_o_ing_per_capita!$D94</f>
        <v>0</v>
      </c>
      <c r="V94" s="332">
        <f>Gasto_o_ing_per_capita!V94-Gasto_o_ing_per_capita!$D94</f>
        <v>0</v>
      </c>
      <c r="W94" s="122"/>
      <c r="X94" s="104"/>
    </row>
    <row r="95" spans="1:24" s="102" customFormat="1">
      <c r="A95" s="351" t="str">
        <f>IF(B95="","",(IF(ISERROR(MATCH(B95,Tot_res!C:C,0)),"Eliminar!!!","")))</f>
        <v/>
      </c>
      <c r="B95" s="115" t="s">
        <v>194</v>
      </c>
      <c r="C95" s="329" t="str">
        <f>VLOOKUP(B95,Tot_res!C:D,2,FALSE)</f>
        <v>Dirección, control y gestión de seguros</v>
      </c>
      <c r="D95" s="332">
        <f>Gasto_o_ing_per_capita!D95-Gasto_o_ing_per_capita!$D95</f>
        <v>0</v>
      </c>
      <c r="E95" s="332">
        <f>Gasto_o_ing_per_capita!E95-Gasto_o_ing_per_capita!$D95</f>
        <v>0</v>
      </c>
      <c r="F95" s="332">
        <f>Gasto_o_ing_per_capita!F95-Gasto_o_ing_per_capita!$D95</f>
        <v>0</v>
      </c>
      <c r="G95" s="332">
        <f>Gasto_o_ing_per_capita!G95-Gasto_o_ing_per_capita!$D95</f>
        <v>0</v>
      </c>
      <c r="H95" s="332">
        <f>Gasto_o_ing_per_capita!H95-Gasto_o_ing_per_capita!$D95</f>
        <v>0</v>
      </c>
      <c r="I95" s="332">
        <f>Gasto_o_ing_per_capita!I95-Gasto_o_ing_per_capita!$D95</f>
        <v>0</v>
      </c>
      <c r="J95" s="332">
        <f>Gasto_o_ing_per_capita!J95-Gasto_o_ing_per_capita!$D95</f>
        <v>0</v>
      </c>
      <c r="K95" s="332">
        <f>Gasto_o_ing_per_capita!K95-Gasto_o_ing_per_capita!$D95</f>
        <v>0</v>
      </c>
      <c r="L95" s="332">
        <f>Gasto_o_ing_per_capita!L95-Gasto_o_ing_per_capita!$D95</f>
        <v>0</v>
      </c>
      <c r="M95" s="332">
        <f>Gasto_o_ing_per_capita!M95-Gasto_o_ing_per_capita!$D95</f>
        <v>0</v>
      </c>
      <c r="N95" s="332">
        <f>Gasto_o_ing_per_capita!N95-Gasto_o_ing_per_capita!$D95</f>
        <v>0</v>
      </c>
      <c r="O95" s="332">
        <f>Gasto_o_ing_per_capita!O95-Gasto_o_ing_per_capita!$D95</f>
        <v>0</v>
      </c>
      <c r="P95" s="332">
        <f>Gasto_o_ing_per_capita!P95-Gasto_o_ing_per_capita!$D95</f>
        <v>0</v>
      </c>
      <c r="Q95" s="332">
        <f>Gasto_o_ing_per_capita!Q95-Gasto_o_ing_per_capita!$D95</f>
        <v>0</v>
      </c>
      <c r="R95" s="332">
        <f>Gasto_o_ing_per_capita!R95-Gasto_o_ing_per_capita!$D95</f>
        <v>0</v>
      </c>
      <c r="S95" s="332">
        <f>Gasto_o_ing_per_capita!S95-Gasto_o_ing_per_capita!$D95</f>
        <v>0</v>
      </c>
      <c r="T95" s="332">
        <f>Gasto_o_ing_per_capita!T95-Gasto_o_ing_per_capita!$D95</f>
        <v>0</v>
      </c>
      <c r="U95" s="332">
        <f>Gasto_o_ing_per_capita!U95-Gasto_o_ing_per_capita!$D95</f>
        <v>0</v>
      </c>
      <c r="V95" s="332">
        <f>Gasto_o_ing_per_capita!V95-Gasto_o_ing_per_capita!$D95</f>
        <v>0</v>
      </c>
      <c r="W95" s="122"/>
      <c r="X95" s="104"/>
    </row>
    <row r="96" spans="1:24" s="102" customFormat="1">
      <c r="A96" s="351" t="str">
        <f>IF(B96="","",(IF(ISERROR(MATCH(B96,Tot_res!C:C,0)),"Eliminar!!!","")))</f>
        <v/>
      </c>
      <c r="B96" s="115" t="s">
        <v>196</v>
      </c>
      <c r="C96" s="329" t="str">
        <f>VLOOKUP(B96,Tot_res!C:D,2,FALSE)</f>
        <v>Regulación contable y de auditorias</v>
      </c>
      <c r="D96" s="332">
        <f>Gasto_o_ing_per_capita!D96-Gasto_o_ing_per_capita!$D96</f>
        <v>0</v>
      </c>
      <c r="E96" s="332">
        <f>Gasto_o_ing_per_capita!E96-Gasto_o_ing_per_capita!$D96</f>
        <v>0</v>
      </c>
      <c r="F96" s="332">
        <f>Gasto_o_ing_per_capita!F96-Gasto_o_ing_per_capita!$D96</f>
        <v>0</v>
      </c>
      <c r="G96" s="332">
        <f>Gasto_o_ing_per_capita!G96-Gasto_o_ing_per_capita!$D96</f>
        <v>0</v>
      </c>
      <c r="H96" s="332">
        <f>Gasto_o_ing_per_capita!H96-Gasto_o_ing_per_capita!$D96</f>
        <v>0</v>
      </c>
      <c r="I96" s="332">
        <f>Gasto_o_ing_per_capita!I96-Gasto_o_ing_per_capita!$D96</f>
        <v>0</v>
      </c>
      <c r="J96" s="332">
        <f>Gasto_o_ing_per_capita!J96-Gasto_o_ing_per_capita!$D96</f>
        <v>0</v>
      </c>
      <c r="K96" s="332">
        <f>Gasto_o_ing_per_capita!K96-Gasto_o_ing_per_capita!$D96</f>
        <v>0</v>
      </c>
      <c r="L96" s="332">
        <f>Gasto_o_ing_per_capita!L96-Gasto_o_ing_per_capita!$D96</f>
        <v>0</v>
      </c>
      <c r="M96" s="332">
        <f>Gasto_o_ing_per_capita!M96-Gasto_o_ing_per_capita!$D96</f>
        <v>0</v>
      </c>
      <c r="N96" s="332">
        <f>Gasto_o_ing_per_capita!N96-Gasto_o_ing_per_capita!$D96</f>
        <v>0</v>
      </c>
      <c r="O96" s="332">
        <f>Gasto_o_ing_per_capita!O96-Gasto_o_ing_per_capita!$D96</f>
        <v>0</v>
      </c>
      <c r="P96" s="332">
        <f>Gasto_o_ing_per_capita!P96-Gasto_o_ing_per_capita!$D96</f>
        <v>0</v>
      </c>
      <c r="Q96" s="332">
        <f>Gasto_o_ing_per_capita!Q96-Gasto_o_ing_per_capita!$D96</f>
        <v>0</v>
      </c>
      <c r="R96" s="332">
        <f>Gasto_o_ing_per_capita!R96-Gasto_o_ing_per_capita!$D96</f>
        <v>0</v>
      </c>
      <c r="S96" s="332">
        <f>Gasto_o_ing_per_capita!S96-Gasto_o_ing_per_capita!$D96</f>
        <v>0</v>
      </c>
      <c r="T96" s="332">
        <f>Gasto_o_ing_per_capita!T96-Gasto_o_ing_per_capita!$D96</f>
        <v>0</v>
      </c>
      <c r="U96" s="332">
        <f>Gasto_o_ing_per_capita!U96-Gasto_o_ing_per_capita!$D96</f>
        <v>0</v>
      </c>
      <c r="V96" s="332">
        <f>Gasto_o_ing_per_capita!V96-Gasto_o_ing_per_capita!$D96</f>
        <v>0</v>
      </c>
      <c r="W96" s="122"/>
      <c r="X96" s="104"/>
    </row>
    <row r="97" spans="1:24" s="102" customFormat="1">
      <c r="A97" s="351" t="str">
        <f>IF(B97="","",(IF(ISERROR(MATCH(B97,Tot_res!C:C,0)),"Eliminar!!!","")))</f>
        <v/>
      </c>
      <c r="B97" s="115" t="s">
        <v>468</v>
      </c>
      <c r="C97" s="329" t="str">
        <f>VLOOKUP(B97,Tot_res!C:D,2,FALSE)</f>
        <v>Regulación del juego</v>
      </c>
      <c r="D97" s="332">
        <f>Gasto_o_ing_per_capita!D97-Gasto_o_ing_per_capita!$D97</f>
        <v>0</v>
      </c>
      <c r="E97" s="332">
        <f>Gasto_o_ing_per_capita!E97-Gasto_o_ing_per_capita!$D97</f>
        <v>0</v>
      </c>
      <c r="F97" s="332">
        <f>Gasto_o_ing_per_capita!F97-Gasto_o_ing_per_capita!$D97</f>
        <v>0</v>
      </c>
      <c r="G97" s="332">
        <f>Gasto_o_ing_per_capita!G97-Gasto_o_ing_per_capita!$D97</f>
        <v>0</v>
      </c>
      <c r="H97" s="332">
        <f>Gasto_o_ing_per_capita!H97-Gasto_o_ing_per_capita!$D97</f>
        <v>0</v>
      </c>
      <c r="I97" s="332">
        <f>Gasto_o_ing_per_capita!I97-Gasto_o_ing_per_capita!$D97</f>
        <v>0</v>
      </c>
      <c r="J97" s="332">
        <f>Gasto_o_ing_per_capita!J97-Gasto_o_ing_per_capita!$D97</f>
        <v>0</v>
      </c>
      <c r="K97" s="332">
        <f>Gasto_o_ing_per_capita!K97-Gasto_o_ing_per_capita!$D97</f>
        <v>0</v>
      </c>
      <c r="L97" s="332">
        <f>Gasto_o_ing_per_capita!L97-Gasto_o_ing_per_capita!$D97</f>
        <v>0</v>
      </c>
      <c r="M97" s="332">
        <f>Gasto_o_ing_per_capita!M97-Gasto_o_ing_per_capita!$D97</f>
        <v>0</v>
      </c>
      <c r="N97" s="332">
        <f>Gasto_o_ing_per_capita!N97-Gasto_o_ing_per_capita!$D97</f>
        <v>0</v>
      </c>
      <c r="O97" s="332">
        <f>Gasto_o_ing_per_capita!O97-Gasto_o_ing_per_capita!$D97</f>
        <v>0</v>
      </c>
      <c r="P97" s="332">
        <f>Gasto_o_ing_per_capita!P97-Gasto_o_ing_per_capita!$D97</f>
        <v>0</v>
      </c>
      <c r="Q97" s="332">
        <f>Gasto_o_ing_per_capita!Q97-Gasto_o_ing_per_capita!$D97</f>
        <v>0</v>
      </c>
      <c r="R97" s="332">
        <f>Gasto_o_ing_per_capita!R97-Gasto_o_ing_per_capita!$D97</f>
        <v>0</v>
      </c>
      <c r="S97" s="332">
        <f>Gasto_o_ing_per_capita!S97-Gasto_o_ing_per_capita!$D97</f>
        <v>0</v>
      </c>
      <c r="T97" s="332">
        <f>Gasto_o_ing_per_capita!T97-Gasto_o_ing_per_capita!$D97</f>
        <v>0</v>
      </c>
      <c r="U97" s="332">
        <f>Gasto_o_ing_per_capita!U97-Gasto_o_ing_per_capita!$D97</f>
        <v>0</v>
      </c>
      <c r="V97" s="332">
        <f>Gasto_o_ing_per_capita!V97-Gasto_o_ing_per_capita!$D97</f>
        <v>0</v>
      </c>
      <c r="W97" s="122"/>
      <c r="X97" s="104"/>
    </row>
    <row r="98" spans="1:24" s="102" customFormat="1">
      <c r="A98" s="351" t="str">
        <f>IF(B98="","",(IF(ISERROR(MATCH(B98,Tot_res!C:C,0)),"Eliminar!!!","")))</f>
        <v/>
      </c>
      <c r="B98" s="115" t="s">
        <v>197</v>
      </c>
      <c r="C98" s="329" t="str">
        <f>VLOOKUP(B98,Tot_res!C:D,2,FALSE)</f>
        <v>Comisión Nacional del Mercado de Valores, CNMV</v>
      </c>
      <c r="D98" s="332">
        <f>Gasto_o_ing_per_capita!D98-Gasto_o_ing_per_capita!$D98</f>
        <v>0</v>
      </c>
      <c r="E98" s="332">
        <f>Gasto_o_ing_per_capita!E98-Gasto_o_ing_per_capita!$D98</f>
        <v>0</v>
      </c>
      <c r="F98" s="332">
        <f>Gasto_o_ing_per_capita!F98-Gasto_o_ing_per_capita!$D98</f>
        <v>0</v>
      </c>
      <c r="G98" s="332">
        <f>Gasto_o_ing_per_capita!G98-Gasto_o_ing_per_capita!$D98</f>
        <v>0</v>
      </c>
      <c r="H98" s="332">
        <f>Gasto_o_ing_per_capita!H98-Gasto_o_ing_per_capita!$D98</f>
        <v>0</v>
      </c>
      <c r="I98" s="332">
        <f>Gasto_o_ing_per_capita!I98-Gasto_o_ing_per_capita!$D98</f>
        <v>0</v>
      </c>
      <c r="J98" s="332">
        <f>Gasto_o_ing_per_capita!J98-Gasto_o_ing_per_capita!$D98</f>
        <v>0</v>
      </c>
      <c r="K98" s="332">
        <f>Gasto_o_ing_per_capita!K98-Gasto_o_ing_per_capita!$D98</f>
        <v>0</v>
      </c>
      <c r="L98" s="332">
        <f>Gasto_o_ing_per_capita!L98-Gasto_o_ing_per_capita!$D98</f>
        <v>0</v>
      </c>
      <c r="M98" s="332">
        <f>Gasto_o_ing_per_capita!M98-Gasto_o_ing_per_capita!$D98</f>
        <v>0</v>
      </c>
      <c r="N98" s="332">
        <f>Gasto_o_ing_per_capita!N98-Gasto_o_ing_per_capita!$D98</f>
        <v>0</v>
      </c>
      <c r="O98" s="332">
        <f>Gasto_o_ing_per_capita!O98-Gasto_o_ing_per_capita!$D98</f>
        <v>0</v>
      </c>
      <c r="P98" s="332">
        <f>Gasto_o_ing_per_capita!P98-Gasto_o_ing_per_capita!$D98</f>
        <v>0</v>
      </c>
      <c r="Q98" s="332">
        <f>Gasto_o_ing_per_capita!Q98-Gasto_o_ing_per_capita!$D98</f>
        <v>0</v>
      </c>
      <c r="R98" s="332">
        <f>Gasto_o_ing_per_capita!R98-Gasto_o_ing_per_capita!$D98</f>
        <v>0</v>
      </c>
      <c r="S98" s="332">
        <f>Gasto_o_ing_per_capita!S98-Gasto_o_ing_per_capita!$D98</f>
        <v>0</v>
      </c>
      <c r="T98" s="332">
        <f>Gasto_o_ing_per_capita!T98-Gasto_o_ing_per_capita!$D98</f>
        <v>0</v>
      </c>
      <c r="U98" s="332">
        <f>Gasto_o_ing_per_capita!U98-Gasto_o_ing_per_capita!$D98</f>
        <v>0</v>
      </c>
      <c r="V98" s="332">
        <f>Gasto_o_ing_per_capita!V98-Gasto_o_ing_per_capita!$D98</f>
        <v>0</v>
      </c>
      <c r="W98" s="122"/>
      <c r="X98" s="104"/>
    </row>
    <row r="99" spans="1:24" s="102" customFormat="1">
      <c r="A99" s="351" t="str">
        <f>IF(B99="","",(IF(ISERROR(MATCH(B99,Tot_res!C:C,0)),"Eliminar!!!","")))</f>
        <v/>
      </c>
      <c r="B99" s="115" t="s">
        <v>198</v>
      </c>
      <c r="C99" s="329" t="str">
        <f>VLOOKUP(B99,Tot_res!C:D,2,FALSE)</f>
        <v>Banco de España</v>
      </c>
      <c r="D99" s="332">
        <f>Gasto_o_ing_per_capita!D99-Gasto_o_ing_per_capita!$D99</f>
        <v>0</v>
      </c>
      <c r="E99" s="332">
        <f>Gasto_o_ing_per_capita!E99-Gasto_o_ing_per_capita!$D99</f>
        <v>0</v>
      </c>
      <c r="F99" s="332">
        <f>Gasto_o_ing_per_capita!F99-Gasto_o_ing_per_capita!$D99</f>
        <v>0</v>
      </c>
      <c r="G99" s="332">
        <f>Gasto_o_ing_per_capita!G99-Gasto_o_ing_per_capita!$D99</f>
        <v>0</v>
      </c>
      <c r="H99" s="332">
        <f>Gasto_o_ing_per_capita!H99-Gasto_o_ing_per_capita!$D99</f>
        <v>0</v>
      </c>
      <c r="I99" s="332">
        <f>Gasto_o_ing_per_capita!I99-Gasto_o_ing_per_capita!$D99</f>
        <v>0</v>
      </c>
      <c r="J99" s="332">
        <f>Gasto_o_ing_per_capita!J99-Gasto_o_ing_per_capita!$D99</f>
        <v>0</v>
      </c>
      <c r="K99" s="332">
        <f>Gasto_o_ing_per_capita!K99-Gasto_o_ing_per_capita!$D99</f>
        <v>0</v>
      </c>
      <c r="L99" s="332">
        <f>Gasto_o_ing_per_capita!L99-Gasto_o_ing_per_capita!$D99</f>
        <v>0</v>
      </c>
      <c r="M99" s="332">
        <f>Gasto_o_ing_per_capita!M99-Gasto_o_ing_per_capita!$D99</f>
        <v>0</v>
      </c>
      <c r="N99" s="332">
        <f>Gasto_o_ing_per_capita!N99-Gasto_o_ing_per_capita!$D99</f>
        <v>0</v>
      </c>
      <c r="O99" s="332">
        <f>Gasto_o_ing_per_capita!O99-Gasto_o_ing_per_capita!$D99</f>
        <v>0</v>
      </c>
      <c r="P99" s="332">
        <f>Gasto_o_ing_per_capita!P99-Gasto_o_ing_per_capita!$D99</f>
        <v>0</v>
      </c>
      <c r="Q99" s="332">
        <f>Gasto_o_ing_per_capita!Q99-Gasto_o_ing_per_capita!$D99</f>
        <v>0</v>
      </c>
      <c r="R99" s="332">
        <f>Gasto_o_ing_per_capita!R99-Gasto_o_ing_per_capita!$D99</f>
        <v>0</v>
      </c>
      <c r="S99" s="332">
        <f>Gasto_o_ing_per_capita!S99-Gasto_o_ing_per_capita!$D99</f>
        <v>0</v>
      </c>
      <c r="T99" s="332">
        <f>Gasto_o_ing_per_capita!T99-Gasto_o_ing_per_capita!$D99</f>
        <v>0</v>
      </c>
      <c r="U99" s="332">
        <f>Gasto_o_ing_per_capita!U99-Gasto_o_ing_per_capita!$D99</f>
        <v>0</v>
      </c>
      <c r="V99" s="332">
        <f>Gasto_o_ing_per_capita!V99-Gasto_o_ing_per_capita!$D99</f>
        <v>0</v>
      </c>
      <c r="W99" s="122"/>
      <c r="X99" s="104"/>
    </row>
    <row r="100" spans="1:24" s="102" customFormat="1">
      <c r="A100" s="351" t="str">
        <f>IF(B100="","",(IF(ISERROR(MATCH(B100,Tot_res!C:C,0)),"Eliminar!!!","")))</f>
        <v/>
      </c>
      <c r="B100" s="115" t="s">
        <v>1191</v>
      </c>
      <c r="C100" s="329" t="str">
        <f>VLOOKUP(B100,Tot_res!C:D,2,FALSE)</f>
        <v>Control y supervisión de la política fiscal</v>
      </c>
      <c r="D100" s="332">
        <f>Gasto_o_ing_per_capita!D100-Gasto_o_ing_per_capita!$D100</f>
        <v>0</v>
      </c>
      <c r="E100" s="332">
        <f>Gasto_o_ing_per_capita!E100-Gasto_o_ing_per_capita!$D100</f>
        <v>0</v>
      </c>
      <c r="F100" s="332">
        <f>Gasto_o_ing_per_capita!F100-Gasto_o_ing_per_capita!$D100</f>
        <v>0</v>
      </c>
      <c r="G100" s="332">
        <f>Gasto_o_ing_per_capita!G100-Gasto_o_ing_per_capita!$D100</f>
        <v>0</v>
      </c>
      <c r="H100" s="332">
        <f>Gasto_o_ing_per_capita!H100-Gasto_o_ing_per_capita!$D100</f>
        <v>0</v>
      </c>
      <c r="I100" s="332">
        <f>Gasto_o_ing_per_capita!I100-Gasto_o_ing_per_capita!$D100</f>
        <v>0</v>
      </c>
      <c r="J100" s="332">
        <f>Gasto_o_ing_per_capita!J100-Gasto_o_ing_per_capita!$D100</f>
        <v>0</v>
      </c>
      <c r="K100" s="332">
        <f>Gasto_o_ing_per_capita!K100-Gasto_o_ing_per_capita!$D100</f>
        <v>0</v>
      </c>
      <c r="L100" s="332">
        <f>Gasto_o_ing_per_capita!L100-Gasto_o_ing_per_capita!$D100</f>
        <v>0</v>
      </c>
      <c r="M100" s="332">
        <f>Gasto_o_ing_per_capita!M100-Gasto_o_ing_per_capita!$D100</f>
        <v>0</v>
      </c>
      <c r="N100" s="332">
        <f>Gasto_o_ing_per_capita!N100-Gasto_o_ing_per_capita!$D100</f>
        <v>0</v>
      </c>
      <c r="O100" s="332">
        <f>Gasto_o_ing_per_capita!O100-Gasto_o_ing_per_capita!$D100</f>
        <v>0</v>
      </c>
      <c r="P100" s="332">
        <f>Gasto_o_ing_per_capita!P100-Gasto_o_ing_per_capita!$D100</f>
        <v>0</v>
      </c>
      <c r="Q100" s="332">
        <f>Gasto_o_ing_per_capita!Q100-Gasto_o_ing_per_capita!$D100</f>
        <v>0</v>
      </c>
      <c r="R100" s="332">
        <f>Gasto_o_ing_per_capita!R100-Gasto_o_ing_per_capita!$D100</f>
        <v>0</v>
      </c>
      <c r="S100" s="332">
        <f>Gasto_o_ing_per_capita!S100-Gasto_o_ing_per_capita!$D100</f>
        <v>0</v>
      </c>
      <c r="T100" s="332">
        <f>Gasto_o_ing_per_capita!T100-Gasto_o_ing_per_capita!$D100</f>
        <v>0</v>
      </c>
      <c r="U100" s="332">
        <f>Gasto_o_ing_per_capita!U100-Gasto_o_ing_per_capita!$D100</f>
        <v>0</v>
      </c>
      <c r="V100" s="332">
        <f>Gasto_o_ing_per_capita!V100-Gasto_o_ing_per_capita!$D100</f>
        <v>0</v>
      </c>
      <c r="W100" s="122"/>
      <c r="X100" s="104"/>
    </row>
    <row r="101" spans="1:24">
      <c r="A101" s="352"/>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c r="A102" s="352"/>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c r="A103" s="352"/>
      <c r="B103" s="115"/>
      <c r="C103" s="134" t="s">
        <v>77</v>
      </c>
      <c r="D103" s="110">
        <f>Gasto_o_ing_per_capita!D103-Gasto_o_ing_per_capita!$D103</f>
        <v>0</v>
      </c>
      <c r="E103" s="110">
        <f>Gasto_o_ing_per_capita!E103-Gasto_o_ing_per_capita!$D103</f>
        <v>-347.38818267748911</v>
      </c>
      <c r="F103" s="110">
        <f>Gasto_o_ing_per_capita!F103-Gasto_o_ing_per_capita!$D103</f>
        <v>381.09177042373267</v>
      </c>
      <c r="G103" s="110">
        <f>Gasto_o_ing_per_capita!G103-Gasto_o_ing_per_capita!$D103</f>
        <v>177.4441328746052</v>
      </c>
      <c r="H103" s="110">
        <f>Gasto_o_ing_per_capita!H103-Gasto_o_ing_per_capita!$D103</f>
        <v>257.67564582794694</v>
      </c>
      <c r="I103" s="110">
        <f>Gasto_o_ing_per_capita!I103-Gasto_o_ing_per_capita!$D103</f>
        <v>686.28538466699229</v>
      </c>
      <c r="J103" s="110">
        <f>Gasto_o_ing_per_capita!J103-Gasto_o_ing_per_capita!$D103</f>
        <v>395.22004181371813</v>
      </c>
      <c r="K103" s="110">
        <f>Gasto_o_ing_per_capita!K103-Gasto_o_ing_per_capita!$D103</f>
        <v>414.06491121532054</v>
      </c>
      <c r="L103" s="110">
        <f>Gasto_o_ing_per_capita!L103-Gasto_o_ing_per_capita!$D103</f>
        <v>-195.88562372402521</v>
      </c>
      <c r="M103" s="110">
        <f>Gasto_o_ing_per_capita!M103-Gasto_o_ing_per_capita!$D103</f>
        <v>-125.7403939656424</v>
      </c>
      <c r="N103" s="110">
        <f>Gasto_o_ing_per_capita!N103-Gasto_o_ing_per_capita!$D103</f>
        <v>-572.89826069543096</v>
      </c>
      <c r="O103" s="110">
        <f>Gasto_o_ing_per_capita!O103-Gasto_o_ing_per_capita!$D103</f>
        <v>361.62738353592522</v>
      </c>
      <c r="P103" s="110">
        <f>Gasto_o_ing_per_capita!P103-Gasto_o_ing_per_capita!$D103</f>
        <v>124.70736998315624</v>
      </c>
      <c r="Q103" s="110">
        <f>Gasto_o_ing_per_capita!Q103-Gasto_o_ing_per_capita!$D103</f>
        <v>-348.16716047824002</v>
      </c>
      <c r="R103" s="110">
        <f>Gasto_o_ing_per_capita!R103-Gasto_o_ing_per_capita!$D103</f>
        <v>-508.11087456081896</v>
      </c>
      <c r="S103" s="110">
        <f>Gasto_o_ing_per_capita!S103-Gasto_o_ing_per_capita!$D103</f>
        <v>875.52650212066419</v>
      </c>
      <c r="T103" s="110">
        <f>Gasto_o_ing_per_capita!T103-Gasto_o_ing_per_capita!$D103</f>
        <v>2101.7392056187982</v>
      </c>
      <c r="U103" s="110">
        <f>Gasto_o_ing_per_capita!U103-Gasto_o_ing_per_capita!$D103</f>
        <v>288.29267646415428</v>
      </c>
      <c r="V103" s="110">
        <f>Gasto_o_ing_per_capita!V103-Gasto_o_ing_per_capita!$D103</f>
        <v>2638.8807828744093</v>
      </c>
      <c r="W103" s="125"/>
      <c r="X103" s="104"/>
    </row>
    <row r="104" spans="1:24" s="102" customFormat="1">
      <c r="A104" s="352"/>
      <c r="B104" s="115"/>
      <c r="C104" s="134" t="s">
        <v>44</v>
      </c>
      <c r="D104" s="110">
        <f>Gasto_o_ing_per_capita!D104-Gasto_o_ing_per_capita!$D104</f>
        <v>0</v>
      </c>
      <c r="E104" s="110">
        <f>Gasto_o_ing_per_capita!E104-Gasto_o_ing_per_capita!$D104</f>
        <v>-385.39529664938618</v>
      </c>
      <c r="F104" s="110">
        <f>Gasto_o_ing_per_capita!F104-Gasto_o_ing_per_capita!$D104</f>
        <v>318.10758682751339</v>
      </c>
      <c r="G104" s="110">
        <f>Gasto_o_ing_per_capita!G104-Gasto_o_ing_per_capita!$D104</f>
        <v>119.39642733614346</v>
      </c>
      <c r="H104" s="110">
        <f>Gasto_o_ing_per_capita!H104-Gasto_o_ing_per_capita!$D104</f>
        <v>111.91488080734234</v>
      </c>
      <c r="I104" s="110">
        <f>Gasto_o_ing_per_capita!I104-Gasto_o_ing_per_capita!$D104</f>
        <v>671.87044645298511</v>
      </c>
      <c r="J104" s="110">
        <f>Gasto_o_ing_per_capita!J104-Gasto_o_ing_per_capita!$D104</f>
        <v>362.71771408740597</v>
      </c>
      <c r="K104" s="110">
        <f>Gasto_o_ing_per_capita!K104-Gasto_o_ing_per_capita!$D104</f>
        <v>383.36908200640619</v>
      </c>
      <c r="L104" s="110">
        <f>Gasto_o_ing_per_capita!L104-Gasto_o_ing_per_capita!$D104</f>
        <v>-172.19343788908782</v>
      </c>
      <c r="M104" s="110">
        <f>Gasto_o_ing_per_capita!M104-Gasto_o_ing_per_capita!$D104</f>
        <v>-208.66486949009595</v>
      </c>
      <c r="N104" s="110">
        <f>Gasto_o_ing_per_capita!N104-Gasto_o_ing_per_capita!$D104</f>
        <v>-647.25269499700835</v>
      </c>
      <c r="O104" s="110">
        <f>Gasto_o_ing_per_capita!O104-Gasto_o_ing_per_capita!$D104</f>
        <v>245.28558639829498</v>
      </c>
      <c r="P104" s="110">
        <f>Gasto_o_ing_per_capita!P104-Gasto_o_ing_per_capita!$D104</f>
        <v>63.9109104722952</v>
      </c>
      <c r="Q104" s="110">
        <f>Gasto_o_ing_per_capita!Q104-Gasto_o_ing_per_capita!$D104</f>
        <v>-240.24274136792974</v>
      </c>
      <c r="R104" s="110">
        <f>Gasto_o_ing_per_capita!R104-Gasto_o_ing_per_capita!$D104</f>
        <v>-591.75241515833886</v>
      </c>
      <c r="S104" s="110">
        <f>Gasto_o_ing_per_capita!S104-Gasto_o_ing_per_capita!$D104</f>
        <v>1588.2620377933658</v>
      </c>
      <c r="T104" s="110">
        <f>Gasto_o_ing_per_capita!T104-Gasto_o_ing_per_capita!$D104</f>
        <v>2541.8513999361307</v>
      </c>
      <c r="U104" s="110">
        <f>Gasto_o_ing_per_capita!U104-Gasto_o_ing_per_capita!$D104</f>
        <v>260.14783495625079</v>
      </c>
      <c r="V104" s="110">
        <f>Gasto_o_ing_per_capita!V104-Gasto_o_ing_per_capita!$D104</f>
        <v>2672.8365727550577</v>
      </c>
      <c r="W104" s="126"/>
      <c r="X104" s="104"/>
    </row>
    <row r="105" spans="1:24"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5">
      <c r="A106" s="352"/>
      <c r="B106" s="115"/>
      <c r="C106" s="128" t="s">
        <v>43</v>
      </c>
      <c r="D106" s="113">
        <f>Gasto_o_ing_per_capita!D106-Gasto_o_ing_per_capita!$D106</f>
        <v>0</v>
      </c>
      <c r="E106" s="113">
        <f>Gasto_o_ing_per_capita!E106-Gasto_o_ing_per_capita!$D106</f>
        <v>-217.46078162930326</v>
      </c>
      <c r="F106" s="113">
        <f>Gasto_o_ing_per_capita!F106-Gasto_o_ing_per_capita!$D106</f>
        <v>170.06533411393002</v>
      </c>
      <c r="G106" s="113">
        <f>Gasto_o_ing_per_capita!G106-Gasto_o_ing_per_capita!$D106</f>
        <v>136.16621988432962</v>
      </c>
      <c r="H106" s="113">
        <f>Gasto_o_ing_per_capita!H106-Gasto_o_ing_per_capita!$D106</f>
        <v>49.911624448548537</v>
      </c>
      <c r="I106" s="113">
        <f>Gasto_o_ing_per_capita!I106-Gasto_o_ing_per_capita!$D106</f>
        <v>88.324168960467887</v>
      </c>
      <c r="J106" s="113">
        <f>Gasto_o_ing_per_capita!J106-Gasto_o_ing_per_capita!$D106</f>
        <v>379.77383271344752</v>
      </c>
      <c r="K106" s="113">
        <f>Gasto_o_ing_per_capita!K106-Gasto_o_ing_per_capita!$D106</f>
        <v>200.25261357086583</v>
      </c>
      <c r="L106" s="113">
        <f>Gasto_o_ing_per_capita!L106-Gasto_o_ing_per_capita!$D106</f>
        <v>-65.501680884709003</v>
      </c>
      <c r="M106" s="113">
        <f>Gasto_o_ing_per_capita!M106-Gasto_o_ing_per_capita!$D106</f>
        <v>-165.29434305315772</v>
      </c>
      <c r="N106" s="113">
        <f>Gasto_o_ing_per_capita!N106-Gasto_o_ing_per_capita!$D106</f>
        <v>-298.38374096550911</v>
      </c>
      <c r="O106" s="113">
        <f>Gasto_o_ing_per_capita!O106-Gasto_o_ing_per_capita!$D106</f>
        <v>349.52431096154487</v>
      </c>
      <c r="P106" s="113">
        <f>Gasto_o_ing_per_capita!P106-Gasto_o_ing_per_capita!$D106</f>
        <v>172.28035974641261</v>
      </c>
      <c r="Q106" s="113">
        <f>Gasto_o_ing_per_capita!Q106-Gasto_o_ing_per_capita!$D106</f>
        <v>-395.59345786253243</v>
      </c>
      <c r="R106" s="113">
        <f>Gasto_o_ing_per_capita!R106-Gasto_o_ing_per_capita!$D106</f>
        <v>-247.2482892983744</v>
      </c>
      <c r="S106" s="113">
        <f>Gasto_o_ing_per_capita!S106-Gasto_o_ing_per_capita!$D106</f>
        <v>850.48230019819994</v>
      </c>
      <c r="T106" s="113">
        <f>Gasto_o_ing_per_capita!T106-Gasto_o_ing_per_capita!$D106</f>
        <v>2043.5934369936485</v>
      </c>
      <c r="U106" s="113">
        <f>Gasto_o_ing_per_capita!U106-Gasto_o_ing_per_capita!$D106</f>
        <v>276.7316415155633</v>
      </c>
      <c r="V106" s="113">
        <f>Gasto_o_ing_per_capita!V106-Gasto_o_ing_per_capita!$D106</f>
        <v>1857.5698778430169</v>
      </c>
      <c r="W106" s="126"/>
      <c r="X106" s="104"/>
    </row>
    <row r="107" spans="1:24"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27">
      <c r="A108" s="352"/>
      <c r="B108" s="137"/>
      <c r="C108" s="128" t="s">
        <v>200</v>
      </c>
      <c r="D108" s="113">
        <f>Gasto_o_ing_per_capita!D108-Gasto_o_ing_per_capita!$D108</f>
        <v>0</v>
      </c>
      <c r="E108" s="113">
        <f>Gasto_o_ing_per_capita!E108-Gasto_o_ing_per_capita!$D108</f>
        <v>13.349458736811357</v>
      </c>
      <c r="F108" s="113">
        <f>Gasto_o_ing_per_capita!F108-Gasto_o_ing_per_capita!$D108</f>
        <v>344.03374445617283</v>
      </c>
      <c r="G108" s="113">
        <f>Gasto_o_ing_per_capita!G108-Gasto_o_ing_per_capita!$D108</f>
        <v>322.05679745890029</v>
      </c>
      <c r="H108" s="113">
        <f>Gasto_o_ing_per_capita!H108-Gasto_o_ing_per_capita!$D108</f>
        <v>127.25821014562553</v>
      </c>
      <c r="I108" s="113">
        <f>Gasto_o_ing_per_capita!I108-Gasto_o_ing_per_capita!$D108</f>
        <v>377.72018287857918</v>
      </c>
      <c r="J108" s="113">
        <f>Gasto_o_ing_per_capita!J108-Gasto_o_ing_per_capita!$D108</f>
        <v>747.14955758876977</v>
      </c>
      <c r="K108" s="113">
        <f>Gasto_o_ing_per_capita!K108-Gasto_o_ing_per_capita!$D108</f>
        <v>347.75390592100757</v>
      </c>
      <c r="L108" s="113">
        <f>Gasto_o_ing_per_capita!L108-Gasto_o_ing_per_capita!$D108</f>
        <v>135.68114151708323</v>
      </c>
      <c r="M108" s="113">
        <f>Gasto_o_ing_per_capita!M108-Gasto_o_ing_per_capita!$D108</f>
        <v>209.46770541728119</v>
      </c>
      <c r="N108" s="113">
        <f>Gasto_o_ing_per_capita!N108-Gasto_o_ing_per_capita!$D108</f>
        <v>-157.73392328537739</v>
      </c>
      <c r="O108" s="113">
        <f>Gasto_o_ing_per_capita!O108-Gasto_o_ing_per_capita!$D108</f>
        <v>412.32322960871534</v>
      </c>
      <c r="P108" s="113">
        <f>Gasto_o_ing_per_capita!P108-Gasto_o_ing_per_capita!$D108</f>
        <v>366.5525693844902</v>
      </c>
      <c r="Q108" s="113">
        <f>Gasto_o_ing_per_capita!Q108-Gasto_o_ing_per_capita!$D108</f>
        <v>41.301587227289247</v>
      </c>
      <c r="R108" s="113">
        <f>Gasto_o_ing_per_capita!R108-Gasto_o_ing_per_capita!$D108</f>
        <v>-146.48148151170562</v>
      </c>
      <c r="S108" s="113">
        <f>Gasto_o_ing_per_capita!S108-Gasto_o_ing_per_capita!$D108</f>
        <v>-1998.6306005074139</v>
      </c>
      <c r="T108" s="113">
        <f>Gasto_o_ing_per_capita!T108-Gasto_o_ing_per_capita!$D108</f>
        <v>-1998.6306005074139</v>
      </c>
      <c r="U108" s="113">
        <f>Gasto_o_ing_per_capita!U108-Gasto_o_ing_per_capita!$D108</f>
        <v>639.47148956680076</v>
      </c>
      <c r="V108" s="113">
        <f>Gasto_o_ing_per_capita!V108-Gasto_o_ing_per_capita!$D108</f>
        <v>-1571.0065653074987</v>
      </c>
      <c r="W108" s="126"/>
      <c r="X108" s="180"/>
    </row>
    <row r="109" spans="1:24"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Gasto_o_ing_per_capita!D109-Gasto_o_ing_per_capita!$D109</f>
        <v>0</v>
      </c>
      <c r="E109" s="332">
        <f>Gasto_o_ing_per_capita!E109-Gasto_o_ing_per_capita!$D109</f>
        <v>244.57075377198532</v>
      </c>
      <c r="F109" s="332">
        <f>Gasto_o_ing_per_capita!F109-Gasto_o_ing_per_capita!$D109</f>
        <v>-25.482940537967238</v>
      </c>
      <c r="G109" s="332">
        <f>Gasto_o_ing_per_capita!G109-Gasto_o_ing_per_capita!$D109</f>
        <v>8.8431410522850342</v>
      </c>
      <c r="H109" s="332">
        <f>Gasto_o_ing_per_capita!H109-Gasto_o_ing_per_capita!$D109</f>
        <v>-38.300422255043941</v>
      </c>
      <c r="I109" s="332">
        <f>Gasto_o_ing_per_capita!I109-Gasto_o_ing_per_capita!$D109</f>
        <v>950.62173876860811</v>
      </c>
      <c r="J109" s="332">
        <f>Gasto_o_ing_per_capita!J109-Gasto_o_ing_per_capita!$D109</f>
        <v>448.06359273671319</v>
      </c>
      <c r="K109" s="332">
        <f>Gasto_o_ing_per_capita!K109-Gasto_o_ing_per_capita!$D109</f>
        <v>197.7773386910593</v>
      </c>
      <c r="L109" s="332">
        <f>Gasto_o_ing_per_capita!L109-Gasto_o_ing_per_capita!$D109</f>
        <v>225.33686706046456</v>
      </c>
      <c r="M109" s="332">
        <f>Gasto_o_ing_per_capita!M109-Gasto_o_ing_per_capita!$D109</f>
        <v>-277.63702069863041</v>
      </c>
      <c r="N109" s="332">
        <f>Gasto_o_ing_per_capita!N109-Gasto_o_ing_per_capita!$D109</f>
        <v>100.30207623024239</v>
      </c>
      <c r="O109" s="332">
        <f>Gasto_o_ing_per_capita!O109-Gasto_o_ing_per_capita!$D109</f>
        <v>717.2829306223573</v>
      </c>
      <c r="P109" s="332">
        <f>Gasto_o_ing_per_capita!P109-Gasto_o_ing_per_capita!$D109</f>
        <v>320.20543458680231</v>
      </c>
      <c r="Q109" s="332">
        <f>Gasto_o_ing_per_capita!Q109-Gasto_o_ing_per_capita!$D109</f>
        <v>-730.12948371211678</v>
      </c>
      <c r="R109" s="332">
        <f>Gasto_o_ing_per_capita!R109-Gasto_o_ing_per_capita!$D109</f>
        <v>158.28726870128469</v>
      </c>
      <c r="S109" s="332">
        <f>Gasto_o_ing_per_capita!S109-Gasto_o_ing_per_capita!$D109</f>
        <v>-341.84448557071505</v>
      </c>
      <c r="T109" s="332">
        <f>Gasto_o_ing_per_capita!T109-Gasto_o_ing_per_capita!$D109</f>
        <v>-341.84448557071505</v>
      </c>
      <c r="U109" s="332">
        <f>Gasto_o_ing_per_capita!U109-Gasto_o_ing_per_capita!$D109</f>
        <v>439.98026537063436</v>
      </c>
      <c r="V109" s="332">
        <f>Gasto_o_ing_per_capita!V109-Gasto_o_ing_per_capita!$D109</f>
        <v>92.694281783898134</v>
      </c>
      <c r="W109" s="122"/>
      <c r="X109" s="104"/>
    </row>
    <row r="110" spans="1:24" s="102" customFormat="1">
      <c r="A110" s="351" t="str">
        <f>IF(B110="","",(IF(ISERROR(MATCH(B110,Tot_res!C:C,0)),"Eliminar!!!","")))</f>
        <v/>
      </c>
      <c r="B110" s="115" t="s">
        <v>201</v>
      </c>
      <c r="C110" s="329" t="str">
        <f>VLOOKUP(B110,Tot_res!C:D,2,FALSE)</f>
        <v>Transferencias al Estado por Fondos de Suficiencia negativos</v>
      </c>
      <c r="D110" s="332">
        <f>Gasto_o_ing_per_capita!D110-Gasto_o_ing_per_capita!$D110</f>
        <v>0</v>
      </c>
      <c r="E110" s="332">
        <f>Gasto_o_ing_per_capita!E110-Gasto_o_ing_per_capita!$D110</f>
        <v>56.287124376830981</v>
      </c>
      <c r="F110" s="332">
        <f>Gasto_o_ing_per_capita!F110-Gasto_o_ing_per_capita!$D110</f>
        <v>54.855011977768001</v>
      </c>
      <c r="G110" s="332">
        <f>Gasto_o_ing_per_capita!G110-Gasto_o_ing_per_capita!$D110</f>
        <v>53.399710941116588</v>
      </c>
      <c r="H110" s="332">
        <f>Gasto_o_ing_per_capita!H110-Gasto_o_ing_per_capita!$D110</f>
        <v>-518.11144963945662</v>
      </c>
      <c r="I110" s="332">
        <f>Gasto_o_ing_per_capita!I110-Gasto_o_ing_per_capita!$D110</f>
        <v>59.780945263951153</v>
      </c>
      <c r="J110" s="332">
        <f>Gasto_o_ing_per_capita!J110-Gasto_o_ing_per_capita!$D110</f>
        <v>69.783740559359927</v>
      </c>
      <c r="K110" s="332">
        <f>Gasto_o_ing_per_capita!K110-Gasto_o_ing_per_capita!$D110</f>
        <v>52.422415623552745</v>
      </c>
      <c r="L110" s="332">
        <f>Gasto_o_ing_per_capita!L110-Gasto_o_ing_per_capita!$D110</f>
        <v>53.129301418550085</v>
      </c>
      <c r="M110" s="332">
        <f>Gasto_o_ing_per_capita!M110-Gasto_o_ing_per_capita!$D110</f>
        <v>52.766719391312193</v>
      </c>
      <c r="N110" s="332">
        <f>Gasto_o_ing_per_capita!N110-Gasto_o_ing_per_capita!$D110</f>
        <v>-201.00119277231283</v>
      </c>
      <c r="O110" s="332">
        <f>Gasto_o_ing_per_capita!O110-Gasto_o_ing_per_capita!$D110</f>
        <v>56.856235513355024</v>
      </c>
      <c r="P110" s="332">
        <f>Gasto_o_ing_per_capita!P110-Gasto_o_ing_per_capita!$D110</f>
        <v>53.414476900689046</v>
      </c>
      <c r="Q110" s="332">
        <f>Gasto_o_ing_per_capita!Q110-Gasto_o_ing_per_capita!$D110</f>
        <v>-37.589596577241011</v>
      </c>
      <c r="R110" s="332">
        <f>Gasto_o_ing_per_capita!R110-Gasto_o_ing_per_capita!$D110</f>
        <v>-59.494246429853419</v>
      </c>
      <c r="S110" s="332">
        <f>Gasto_o_ing_per_capita!S110-Gasto_o_ing_per_capita!$D110</f>
        <v>90.481607584964038</v>
      </c>
      <c r="T110" s="332">
        <f>Gasto_o_ing_per_capita!T110-Gasto_o_ing_per_capita!$D110</f>
        <v>90.481607584964038</v>
      </c>
      <c r="U110" s="332">
        <f>Gasto_o_ing_per_capita!U110-Gasto_o_ing_per_capita!$D110</f>
        <v>62.916620343294682</v>
      </c>
      <c r="V110" s="332">
        <f>Gasto_o_ing_per_capita!V110-Gasto_o_ing_per_capita!$D110</f>
        <v>90.481607584964038</v>
      </c>
      <c r="W110" s="122"/>
      <c r="X110" s="104"/>
    </row>
    <row r="111" spans="1:24" s="102" customFormat="1">
      <c r="A111" s="351" t="str">
        <f>IF(B111="","",(IF(ISERROR(MATCH(B111,Tot_res!C:C,0)),"Eliminar!!!","")))</f>
        <v/>
      </c>
      <c r="B111" s="115" t="s">
        <v>202</v>
      </c>
      <c r="C111" s="329" t="str">
        <f>VLOOKUP(B111,Tot_res!C:D,2,FALSE)</f>
        <v>Otros Flujos de financiación regional, en parte extrapresupuestarios</v>
      </c>
      <c r="D111" s="332">
        <f>Gasto_o_ing_per_capita!D111-Gasto_o_ing_per_capita!$D111</f>
        <v>0</v>
      </c>
      <c r="E111" s="332">
        <f>Gasto_o_ing_per_capita!E111-Gasto_o_ing_per_capita!$D111</f>
        <v>-19.66453951719302</v>
      </c>
      <c r="F111" s="332">
        <f>Gasto_o_ing_per_capita!F111-Gasto_o_ing_per_capita!$D111</f>
        <v>-15.410635168333584</v>
      </c>
      <c r="G111" s="332">
        <f>Gasto_o_ing_per_capita!G111-Gasto_o_ing_per_capita!$D111</f>
        <v>-19.028413406539968</v>
      </c>
      <c r="H111" s="332">
        <f>Gasto_o_ing_per_capita!H111-Gasto_o_ing_per_capita!$D111</f>
        <v>21.69316170087318</v>
      </c>
      <c r="I111" s="332">
        <f>Gasto_o_ing_per_capita!I111-Gasto_o_ing_per_capita!$D111</f>
        <v>-15.772972772803897</v>
      </c>
      <c r="J111" s="332">
        <f>Gasto_o_ing_per_capita!J111-Gasto_o_ing_per_capita!$D111</f>
        <v>-29.504131731224106</v>
      </c>
      <c r="K111" s="332">
        <f>Gasto_o_ing_per_capita!K111-Gasto_o_ing_per_capita!$D111</f>
        <v>-22.647312637710101</v>
      </c>
      <c r="L111" s="332">
        <f>Gasto_o_ing_per_capita!L111-Gasto_o_ing_per_capita!$D111</f>
        <v>-10.621974733366578</v>
      </c>
      <c r="M111" s="332">
        <f>Gasto_o_ing_per_capita!M111-Gasto_o_ing_per_capita!$D111</f>
        <v>9.2579901247693925</v>
      </c>
      <c r="N111" s="332">
        <f>Gasto_o_ing_per_capita!N111-Gasto_o_ing_per_capita!$D111</f>
        <v>5.2148927666700189</v>
      </c>
      <c r="O111" s="332">
        <f>Gasto_o_ing_per_capita!O111-Gasto_o_ing_per_capita!$D111</f>
        <v>-38.542536453704642</v>
      </c>
      <c r="P111" s="332">
        <f>Gasto_o_ing_per_capita!P111-Gasto_o_ing_per_capita!$D111</f>
        <v>-25.559104594410513</v>
      </c>
      <c r="Q111" s="332">
        <f>Gasto_o_ing_per_capita!Q111-Gasto_o_ing_per_capita!$D111</f>
        <v>28.864044116734728</v>
      </c>
      <c r="R111" s="332">
        <f>Gasto_o_ing_per_capita!R111-Gasto_o_ing_per_capita!$D111</f>
        <v>1.1717307050635739</v>
      </c>
      <c r="S111" s="332">
        <f>Gasto_o_ing_per_capita!S111-Gasto_o_ing_per_capita!$D111</f>
        <v>49.594457082365551</v>
      </c>
      <c r="T111" s="332">
        <f>Gasto_o_ing_per_capita!T111-Gasto_o_ing_per_capita!$D111</f>
        <v>49.594457082365551</v>
      </c>
      <c r="U111" s="332">
        <f>Gasto_o_ing_per_capita!U111-Gasto_o_ing_per_capita!$D111</f>
        <v>-25.879034989860926</v>
      </c>
      <c r="V111" s="332">
        <f>Gasto_o_ing_per_capita!V111-Gasto_o_ing_per_capita!$D111</f>
        <v>42.679724927667465</v>
      </c>
      <c r="W111" s="122"/>
      <c r="X111" s="104"/>
    </row>
    <row r="112" spans="1:24"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Gasto_o_ing_per_capita!D112-Gasto_o_ing_per_capita!$D112</f>
        <v>0</v>
      </c>
      <c r="E112" s="332">
        <f>Gasto_o_ing_per_capita!E112-Gasto_o_ing_per_capita!$D112</f>
        <v>25.885266451945782</v>
      </c>
      <c r="F112" s="332">
        <f>Gasto_o_ing_per_capita!F112-Gasto_o_ing_per_capita!$D112</f>
        <v>-8.1360907927229178</v>
      </c>
      <c r="G112" s="332">
        <f>Gasto_o_ing_per_capita!G112-Gasto_o_ing_per_capita!$D112</f>
        <v>-8.1360907927229178</v>
      </c>
      <c r="H112" s="332">
        <f>Gasto_o_ing_per_capita!H112-Gasto_o_ing_per_capita!$D112</f>
        <v>-8.1360907927229178</v>
      </c>
      <c r="I112" s="332">
        <f>Gasto_o_ing_per_capita!I112-Gasto_o_ing_per_capita!$D112</f>
        <v>36.635847869684184</v>
      </c>
      <c r="J112" s="332">
        <f>Gasto_o_ing_per_capita!J112-Gasto_o_ing_per_capita!$D112</f>
        <v>-8.1360907927229178</v>
      </c>
      <c r="K112" s="332">
        <f>Gasto_o_ing_per_capita!K112-Gasto_o_ing_per_capita!$D112</f>
        <v>-8.1360907927229178</v>
      </c>
      <c r="L112" s="332">
        <f>Gasto_o_ing_per_capita!L112-Gasto_o_ing_per_capita!$D112</f>
        <v>-8.1360907927229178</v>
      </c>
      <c r="M112" s="332">
        <f>Gasto_o_ing_per_capita!M112-Gasto_o_ing_per_capita!$D112</f>
        <v>-8.1360907927229178</v>
      </c>
      <c r="N112" s="332">
        <f>Gasto_o_ing_per_capita!N112-Gasto_o_ing_per_capita!$D112</f>
        <v>-8.1360907927229178</v>
      </c>
      <c r="O112" s="332">
        <f>Gasto_o_ing_per_capita!O112-Gasto_o_ing_per_capita!$D112</f>
        <v>-8.1360907927229178</v>
      </c>
      <c r="P112" s="332">
        <f>Gasto_o_ing_per_capita!P112-Gasto_o_ing_per_capita!$D112</f>
        <v>-8.1360907927229178</v>
      </c>
      <c r="Q112" s="332">
        <f>Gasto_o_ing_per_capita!Q112-Gasto_o_ing_per_capita!$D112</f>
        <v>-8.1360907927229178</v>
      </c>
      <c r="R112" s="332">
        <f>Gasto_o_ing_per_capita!R112-Gasto_o_ing_per_capita!$D112</f>
        <v>-8.1360907927229178</v>
      </c>
      <c r="S112" s="332">
        <f>Gasto_o_ing_per_capita!S112-Gasto_o_ing_per_capita!$D112</f>
        <v>-8.1360907927229178</v>
      </c>
      <c r="T112" s="332">
        <f>Gasto_o_ing_per_capita!T112-Gasto_o_ing_per_capita!$D112</f>
        <v>-8.1360907927229178</v>
      </c>
      <c r="U112" s="332">
        <f>Gasto_o_ing_per_capita!U112-Gasto_o_ing_per_capita!$D112</f>
        <v>-8.1360907927229178</v>
      </c>
      <c r="V112" s="332">
        <f>Gasto_o_ing_per_capita!V112-Gasto_o_ing_per_capita!$D112</f>
        <v>-8.1360907927229178</v>
      </c>
      <c r="W112" s="122"/>
      <c r="X112" s="104"/>
    </row>
    <row r="113" spans="1:24" s="102" customFormat="1">
      <c r="A113" s="351" t="str">
        <f>IF(B113="","",(IF(ISERROR(MATCH(B113,Tot_res!C:C,0)),"Eliminar!!!","")))</f>
        <v/>
      </c>
      <c r="B113" s="115" t="s">
        <v>935</v>
      </c>
      <c r="C113" s="329" t="str">
        <f>VLOOKUP(B113,Tot_res!C:D,2,FALSE)</f>
        <v>Participación CCAARC en IRPF, sin ejercicio de la capacidad normativa</v>
      </c>
      <c r="D113" s="332">
        <f>Gasto_o_ing_per_capita!D113-Gasto_o_ing_per_capita!$D113</f>
        <v>0</v>
      </c>
      <c r="E113" s="332">
        <f>Gasto_o_ing_per_capita!E113-Gasto_o_ing_per_capita!$D113</f>
        <v>-227.73956757158641</v>
      </c>
      <c r="F113" s="332">
        <f>Gasto_o_ing_per_capita!F113-Gasto_o_ing_per_capita!$D113</f>
        <v>104.3715282113094</v>
      </c>
      <c r="G113" s="332">
        <f>Gasto_o_ing_per_capita!G113-Gasto_o_ing_per_capita!$D113</f>
        <v>104.36445931057688</v>
      </c>
      <c r="H113" s="332">
        <f>Gasto_o_ing_per_capita!H113-Gasto_o_ing_per_capita!$D113</f>
        <v>1.4777322645766162</v>
      </c>
      <c r="I113" s="332">
        <f>Gasto_o_ing_per_capita!I113-Gasto_o_ing_per_capita!$D113</f>
        <v>-186.49300903366048</v>
      </c>
      <c r="J113" s="332">
        <f>Gasto_o_ing_per_capita!J113-Gasto_o_ing_per_capita!$D113</f>
        <v>69.477431758195053</v>
      </c>
      <c r="K113" s="332">
        <f>Gasto_o_ing_per_capita!K113-Gasto_o_ing_per_capita!$D113</f>
        <v>2.2102890875612502</v>
      </c>
      <c r="L113" s="332">
        <f>Gasto_o_ing_per_capita!L113-Gasto_o_ing_per_capita!$D113</f>
        <v>-174.17332792685818</v>
      </c>
      <c r="M113" s="332">
        <f>Gasto_o_ing_per_capita!M113-Gasto_o_ing_per_capita!$D113</f>
        <v>239.74636001074759</v>
      </c>
      <c r="N113" s="332">
        <f>Gasto_o_ing_per_capita!N113-Gasto_o_ing_per_capita!$D113</f>
        <v>-120.56737993883576</v>
      </c>
      <c r="O113" s="332">
        <f>Gasto_o_ing_per_capita!O113-Gasto_o_ing_per_capita!$D113</f>
        <v>-272.99283992628386</v>
      </c>
      <c r="P113" s="332">
        <f>Gasto_o_ing_per_capita!P113-Gasto_o_ing_per_capita!$D113</f>
        <v>-59.994797549679106</v>
      </c>
      <c r="Q113" s="332">
        <f>Gasto_o_ing_per_capita!Q113-Gasto_o_ing_per_capita!$D113</f>
        <v>619.404943077383</v>
      </c>
      <c r="R113" s="332">
        <f>Gasto_o_ing_per_capita!R113-Gasto_o_ing_per_capita!$D113</f>
        <v>-217.53648999874747</v>
      </c>
      <c r="S113" s="332">
        <f>Gasto_o_ing_per_capita!S113-Gasto_o_ing_per_capita!$D113</f>
        <v>-684.7491454566823</v>
      </c>
      <c r="T113" s="332">
        <f>Gasto_o_ing_per_capita!T113-Gasto_o_ing_per_capita!$D113</f>
        <v>-684.7491454566823</v>
      </c>
      <c r="U113" s="332">
        <f>Gasto_o_ing_per_capita!U113-Gasto_o_ing_per_capita!$D113</f>
        <v>45.074706198356466</v>
      </c>
      <c r="V113" s="332">
        <f>Gasto_o_ing_per_capita!V113-Gasto_o_ing_per_capita!$D113</f>
        <v>-684.7491454566823</v>
      </c>
      <c r="W113" s="122"/>
      <c r="X113" s="104"/>
    </row>
    <row r="114" spans="1:24" s="102" customFormat="1">
      <c r="A114" s="351" t="str">
        <f>IF(B114="","",(IF(ISERROR(MATCH(B114,Tot_res!C:C,0)),"Eliminar!!!","")))</f>
        <v/>
      </c>
      <c r="B114" s="115" t="s">
        <v>203</v>
      </c>
      <c r="C114" s="329" t="str">
        <f>VLOOKUP(B114,Tot_res!C:D,2,FALSE)</f>
        <v>Participación CCAARC en el IVA</v>
      </c>
      <c r="D114" s="332">
        <f>Gasto_o_ing_per_capita!D114-Gasto_o_ing_per_capita!$D114</f>
        <v>0</v>
      </c>
      <c r="E114" s="332">
        <f>Gasto_o_ing_per_capita!E114-Gasto_o_ing_per_capita!$D114</f>
        <v>-17.152781753191334</v>
      </c>
      <c r="F114" s="332">
        <f>Gasto_o_ing_per_capita!F114-Gasto_o_ing_per_capita!$D114</f>
        <v>131.27045563262004</v>
      </c>
      <c r="G114" s="332">
        <f>Gasto_o_ing_per_capita!G114-Gasto_o_ing_per_capita!$D114</f>
        <v>136.80893741218438</v>
      </c>
      <c r="H114" s="332">
        <f>Gasto_o_ing_per_capita!H114-Gasto_o_ing_per_capita!$D114</f>
        <v>386.76061194483998</v>
      </c>
      <c r="I114" s="332">
        <f>Gasto_o_ing_per_capita!I114-Gasto_o_ing_per_capita!$D114</f>
        <v>-615.42760946344413</v>
      </c>
      <c r="J114" s="332">
        <f>Gasto_o_ing_per_capita!J114-Gasto_o_ing_per_capita!$D114</f>
        <v>115.02832344024341</v>
      </c>
      <c r="K114" s="332">
        <f>Gasto_o_ing_per_capita!K114-Gasto_o_ing_per_capita!$D114</f>
        <v>95.893870060164659</v>
      </c>
      <c r="L114" s="332">
        <f>Gasto_o_ing_per_capita!L114-Gasto_o_ing_per_capita!$D114</f>
        <v>21.210088522104684</v>
      </c>
      <c r="M114" s="332">
        <f>Gasto_o_ing_per_capita!M114-Gasto_o_ing_per_capita!$D114</f>
        <v>136.63257496846779</v>
      </c>
      <c r="N114" s="332">
        <f>Gasto_o_ing_per_capita!N114-Gasto_o_ing_per_capita!$D114</f>
        <v>39.481433448937196</v>
      </c>
      <c r="O114" s="332">
        <f>Gasto_o_ing_per_capita!O114-Gasto_o_ing_per_capita!$D114</f>
        <v>-11.888506404969689</v>
      </c>
      <c r="P114" s="332">
        <f>Gasto_o_ing_per_capita!P114-Gasto_o_ing_per_capita!$D114</f>
        <v>78.575979635125123</v>
      </c>
      <c r="Q114" s="332">
        <f>Gasto_o_ing_per_capita!Q114-Gasto_o_ing_per_capita!$D114</f>
        <v>122.30612012261599</v>
      </c>
      <c r="R114" s="332">
        <f>Gasto_o_ing_per_capita!R114-Gasto_o_ing_per_capita!$D114</f>
        <v>-40.761302247549452</v>
      </c>
      <c r="S114" s="332">
        <f>Gasto_o_ing_per_capita!S114-Gasto_o_ing_per_capita!$D114</f>
        <v>-615.42760946344413</v>
      </c>
      <c r="T114" s="332">
        <f>Gasto_o_ing_per_capita!T114-Gasto_o_ing_per_capita!$D114</f>
        <v>-615.42760946344413</v>
      </c>
      <c r="U114" s="332">
        <f>Gasto_o_ing_per_capita!U114-Gasto_o_ing_per_capita!$D114</f>
        <v>109.70260726309687</v>
      </c>
      <c r="V114" s="332">
        <f>Gasto_o_ing_per_capita!V114-Gasto_o_ing_per_capita!$D114</f>
        <v>-615.42760946344413</v>
      </c>
      <c r="W114" s="122"/>
      <c r="X114" s="104"/>
    </row>
    <row r="115" spans="1:24"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Gasto_o_ing_per_capita!D115-Gasto_o_ing_per_capita!$D115</f>
        <v>0</v>
      </c>
      <c r="E115" s="332">
        <f>Gasto_o_ing_per_capita!E115-Gasto_o_ing_per_capita!$D115</f>
        <v>-17.077848782562882</v>
      </c>
      <c r="F115" s="332">
        <f>Gasto_o_ing_per_capita!F115-Gasto_o_ing_per_capita!$D115</f>
        <v>102.43301417239303</v>
      </c>
      <c r="G115" s="332">
        <f>Gasto_o_ing_per_capita!G115-Gasto_o_ing_per_capita!$D115</f>
        <v>40.763437926235213</v>
      </c>
      <c r="H115" s="332">
        <f>Gasto_o_ing_per_capita!H115-Gasto_o_ing_per_capita!$D115</f>
        <v>99.073615300580116</v>
      </c>
      <c r="I115" s="332">
        <f>Gasto_o_ing_per_capita!I115-Gasto_o_ing_per_capita!$D115</f>
        <v>-217.89374588405028</v>
      </c>
      <c r="J115" s="332">
        <f>Gasto_o_ing_per_capita!J115-Gasto_o_ing_per_capita!$D115</f>
        <v>54.662403236599857</v>
      </c>
      <c r="K115" s="332">
        <f>Gasto_o_ing_per_capita!K115-Gasto_o_ing_per_capita!$D115</f>
        <v>61.597242066106276</v>
      </c>
      <c r="L115" s="332">
        <f>Gasto_o_ing_per_capita!L115-Gasto_o_ing_per_capita!$D115</f>
        <v>59.186824471096259</v>
      </c>
      <c r="M115" s="332">
        <f>Gasto_o_ing_per_capita!M115-Gasto_o_ing_per_capita!$D115</f>
        <v>40.936961364346928</v>
      </c>
      <c r="N115" s="332">
        <f>Gasto_o_ing_per_capita!N115-Gasto_o_ing_per_capita!$D115</f>
        <v>23.874724599337043</v>
      </c>
      <c r="O115" s="332">
        <f>Gasto_o_ing_per_capita!O115-Gasto_o_ing_per_capita!$D115</f>
        <v>56.895633264108596</v>
      </c>
      <c r="P115" s="332">
        <f>Gasto_o_ing_per_capita!P115-Gasto_o_ing_per_capita!$D115</f>
        <v>44.385500054253725</v>
      </c>
      <c r="Q115" s="332">
        <f>Gasto_o_ing_per_capita!Q115-Gasto_o_ing_per_capita!$D115</f>
        <v>-3.4743336832213174</v>
      </c>
      <c r="R115" s="332">
        <f>Gasto_o_ing_per_capita!R115-Gasto_o_ing_per_capita!$D115</f>
        <v>66.934826839408572</v>
      </c>
      <c r="S115" s="332">
        <f>Gasto_o_ing_per_capita!S115-Gasto_o_ing_per_capita!$D115</f>
        <v>-231.0109665300198</v>
      </c>
      <c r="T115" s="332">
        <f>Gasto_o_ing_per_capita!T115-Gasto_o_ing_per_capita!$D115</f>
        <v>-231.0109665300198</v>
      </c>
      <c r="U115" s="332">
        <f>Gasto_o_ing_per_capita!U115-Gasto_o_ing_per_capita!$D115</f>
        <v>39.54620226827592</v>
      </c>
      <c r="V115" s="332">
        <f>Gasto_o_ing_per_capita!V115-Gasto_o_ing_per_capita!$D115</f>
        <v>-231.0109665300198</v>
      </c>
      <c r="W115" s="122"/>
      <c r="X115" s="104"/>
    </row>
    <row r="116" spans="1:24" s="102" customFormat="1">
      <c r="A116" s="351" t="str">
        <f>IF(B116="","",(IF(ISERROR(MATCH(B116,Tot_res!C:C,0)),"Eliminar!!!","")))</f>
        <v/>
      </c>
      <c r="B116" s="115" t="s">
        <v>204</v>
      </c>
      <c r="C116" s="329" t="str">
        <f>VLOOKUP(B116,Tot_res!C:D,2,FALSE)</f>
        <v>Participación de las CCAARC en el impuesto sobre la electricidad</v>
      </c>
      <c r="D116" s="332">
        <f>Gasto_o_ing_per_capita!D116-Gasto_o_ing_per_capita!$D116</f>
        <v>0</v>
      </c>
      <c r="E116" s="332">
        <f>Gasto_o_ing_per_capita!E116-Gasto_o_ing_per_capita!$D116</f>
        <v>-3.4144414339936517</v>
      </c>
      <c r="F116" s="332">
        <f>Gasto_o_ing_per_capita!F116-Gasto_o_ing_per_capita!$D116</f>
        <v>22.830502808058483</v>
      </c>
      <c r="G116" s="332">
        <f>Gasto_o_ing_per_capita!G116-Gasto_o_ing_per_capita!$D116</f>
        <v>36.935910022968578</v>
      </c>
      <c r="H116" s="332">
        <f>Gasto_o_ing_per_capita!H116-Gasto_o_ing_per_capita!$D116</f>
        <v>-0.13835060580014868</v>
      </c>
      <c r="I116" s="332">
        <f>Gasto_o_ing_per_capita!I116-Gasto_o_ing_per_capita!$D116</f>
        <v>-9.0277615977247052</v>
      </c>
      <c r="J116" s="332">
        <f>Gasto_o_ing_per_capita!J116-Gasto_o_ing_per_capita!$D116</f>
        <v>25.122091323069625</v>
      </c>
      <c r="K116" s="332">
        <f>Gasto_o_ing_per_capita!K116-Gasto_o_ing_per_capita!$D116</f>
        <v>1.4685761239576749</v>
      </c>
      <c r="L116" s="332">
        <f>Gasto_o_ing_per_capita!L116-Gasto_o_ing_per_capita!$D116</f>
        <v>5.3286615223079679</v>
      </c>
      <c r="M116" s="332">
        <f>Gasto_o_ing_per_capita!M116-Gasto_o_ing_per_capita!$D116</f>
        <v>7.8222114189137457</v>
      </c>
      <c r="N116" s="332">
        <f>Gasto_o_ing_per_capita!N116-Gasto_o_ing_per_capita!$D116</f>
        <v>-1.5766724066666242</v>
      </c>
      <c r="O116" s="332">
        <f>Gasto_o_ing_per_capita!O116-Gasto_o_ing_per_capita!$D116</f>
        <v>-5.4009618015035201</v>
      </c>
      <c r="P116" s="332">
        <f>Gasto_o_ing_per_capita!P116-Gasto_o_ing_per_capita!$D116</f>
        <v>15.886068759300322</v>
      </c>
      <c r="Q116" s="332">
        <f>Gasto_o_ing_per_capita!Q116-Gasto_o_ing_per_capita!$D116</f>
        <v>-4.2371609796621215</v>
      </c>
      <c r="R116" s="332">
        <f>Gasto_o_ing_per_capita!R116-Gasto_o_ing_per_capita!$D116</f>
        <v>1.6521439837717082</v>
      </c>
      <c r="S116" s="332">
        <f>Gasto_o_ing_per_capita!S116-Gasto_o_ing_per_capita!$D116</f>
        <v>-38.027840311274211</v>
      </c>
      <c r="T116" s="332">
        <f>Gasto_o_ing_per_capita!T116-Gasto_o_ing_per_capita!$D116</f>
        <v>-38.027840311274211</v>
      </c>
      <c r="U116" s="332">
        <f>Gasto_o_ing_per_capita!U116-Gasto_o_ing_per_capita!$D116</f>
        <v>-1.1329491462020087</v>
      </c>
      <c r="V116" s="332">
        <f>Gasto_o_ing_per_capita!V116-Gasto_o_ing_per_capita!$D116</f>
        <v>-38.027840311274211</v>
      </c>
      <c r="W116" s="122"/>
      <c r="X116" s="104"/>
    </row>
    <row r="117" spans="1:24" s="102" customFormat="1">
      <c r="A117" s="351" t="str">
        <f>IF(B117="","",(IF(ISERROR(MATCH(B117,Tot_res!C:C,0)),"Eliminar!!!","")))</f>
        <v/>
      </c>
      <c r="B117" s="115" t="s">
        <v>936</v>
      </c>
      <c r="C117" s="329" t="str">
        <f>VLOOKUP(B117,Tot_res!C:D,2,FALSE)</f>
        <v>Sucesiones y donaciones, ingresos homogeneizados de las CCAARC</v>
      </c>
      <c r="D117" s="332">
        <f>Gasto_o_ing_per_capita!D117-Gasto_o_ing_per_capita!$D117</f>
        <v>0</v>
      </c>
      <c r="E117" s="332">
        <f>Gasto_o_ing_per_capita!E117-Gasto_o_ing_per_capita!$D117</f>
        <v>-9.0006078076332727</v>
      </c>
      <c r="F117" s="332">
        <f>Gasto_o_ing_per_capita!F117-Gasto_o_ing_per_capita!$D117</f>
        <v>23.827212510028545</v>
      </c>
      <c r="G117" s="332">
        <f>Gasto_o_ing_per_capita!G117-Gasto_o_ing_per_capita!$D117</f>
        <v>29.418596481301321</v>
      </c>
      <c r="H117" s="332">
        <f>Gasto_o_ing_per_capita!H117-Gasto_o_ing_per_capita!$D117</f>
        <v>-5.3217394230061785</v>
      </c>
      <c r="I117" s="332">
        <f>Gasto_o_ing_per_capita!I117-Gasto_o_ing_per_capita!$D117</f>
        <v>-14.000580466814725</v>
      </c>
      <c r="J117" s="332">
        <f>Gasto_o_ing_per_capita!J117-Gasto_o_ing_per_capita!$D117</f>
        <v>24.389086391945099</v>
      </c>
      <c r="K117" s="332">
        <f>Gasto_o_ing_per_capita!K117-Gasto_o_ing_per_capita!$D117</f>
        <v>20.849937738610436</v>
      </c>
      <c r="L117" s="332">
        <f>Gasto_o_ing_per_capita!L117-Gasto_o_ing_per_capita!$D117</f>
        <v>-3.3528084293577507</v>
      </c>
      <c r="M117" s="332">
        <f>Gasto_o_ing_per_capita!M117-Gasto_o_ing_per_capita!$D117</f>
        <v>7.1721908463146633</v>
      </c>
      <c r="N117" s="332">
        <f>Gasto_o_ing_per_capita!N117-Gasto_o_ing_per_capita!$D117</f>
        <v>0.22649388559084827</v>
      </c>
      <c r="O117" s="332">
        <f>Gasto_o_ing_per_capita!O117-Gasto_o_ing_per_capita!$D117</f>
        <v>0.36436678408277601</v>
      </c>
      <c r="P117" s="332">
        <f>Gasto_o_ing_per_capita!P117-Gasto_o_ing_per_capita!$D117</f>
        <v>21.108570400820284</v>
      </c>
      <c r="Q117" s="332">
        <f>Gasto_o_ing_per_capita!Q117-Gasto_o_ing_per_capita!$D117</f>
        <v>6.2195094166766083</v>
      </c>
      <c r="R117" s="332">
        <f>Gasto_o_ing_per_capita!R117-Gasto_o_ing_per_capita!$D117</f>
        <v>-12.439620478241423</v>
      </c>
      <c r="S117" s="332">
        <f>Gasto_o_ing_per_capita!S117-Gasto_o_ing_per_capita!$D117</f>
        <v>-50.355303743405884</v>
      </c>
      <c r="T117" s="332">
        <f>Gasto_o_ing_per_capita!T117-Gasto_o_ing_per_capita!$D117</f>
        <v>-50.355303743405884</v>
      </c>
      <c r="U117" s="332">
        <f>Gasto_o_ing_per_capita!U117-Gasto_o_ing_per_capita!$D117</f>
        <v>16.115109123216484</v>
      </c>
      <c r="V117" s="332">
        <f>Gasto_o_ing_per_capita!V117-Gasto_o_ing_per_capita!$D117</f>
        <v>-50.355303743405884</v>
      </c>
      <c r="W117" s="122"/>
      <c r="X117" s="104"/>
    </row>
    <row r="118" spans="1:24" s="102" customFormat="1">
      <c r="A118" s="351" t="str">
        <f>IF(B118="","",(IF(ISERROR(MATCH(B118,Tot_res!C:C,0)),"Eliminar!!!","")))</f>
        <v/>
      </c>
      <c r="B118" s="115" t="s">
        <v>937</v>
      </c>
      <c r="C118" s="329" t="str">
        <f>VLOOKUP(B118,Tot_res!C:D,2,FALSE)</f>
        <v>ITP y AJD, ingresos homogeneizados de las CCAARC</v>
      </c>
      <c r="D118" s="332">
        <f>Gasto_o_ing_per_capita!D118-Gasto_o_ing_per_capita!$D118</f>
        <v>0</v>
      </c>
      <c r="E118" s="332">
        <f>Gasto_o_ing_per_capita!E118-Gasto_o_ing_per_capita!$D118</f>
        <v>9.1542411323603972</v>
      </c>
      <c r="F118" s="332">
        <f>Gasto_o_ing_per_capita!F118-Gasto_o_ing_per_capita!$D118</f>
        <v>-25.198023982747159</v>
      </c>
      <c r="G118" s="332">
        <f>Gasto_o_ing_per_capita!G118-Gasto_o_ing_per_capita!$D118</f>
        <v>-38.901031111558893</v>
      </c>
      <c r="H118" s="332">
        <f>Gasto_o_ing_per_capita!H118-Gasto_o_ing_per_capita!$D118</f>
        <v>186.83331555658469</v>
      </c>
      <c r="I118" s="332">
        <f>Gasto_o_ing_per_capita!I118-Gasto_o_ing_per_capita!$D118</f>
        <v>-7.3424246779739661</v>
      </c>
      <c r="J118" s="332">
        <f>Gasto_o_ing_per_capita!J118-Gasto_o_ing_per_capita!$D118</f>
        <v>-5.4997904603382324</v>
      </c>
      <c r="K118" s="332">
        <f>Gasto_o_ing_per_capita!K118-Gasto_o_ing_per_capita!$D118</f>
        <v>-35.435981780515931</v>
      </c>
      <c r="L118" s="332">
        <f>Gasto_o_ing_per_capita!L118-Gasto_o_ing_per_capita!$D118</f>
        <v>-7.9809826841133145</v>
      </c>
      <c r="M118" s="332">
        <f>Gasto_o_ing_per_capita!M118-Gasto_o_ing_per_capita!$D118</f>
        <v>21.661322612261131</v>
      </c>
      <c r="N118" s="332">
        <f>Gasto_o_ing_per_capita!N118-Gasto_o_ing_per_capita!$D118</f>
        <v>19.088655252519118</v>
      </c>
      <c r="O118" s="332">
        <f>Gasto_o_ing_per_capita!O118-Gasto_o_ing_per_capita!$D118</f>
        <v>-51.756611195592143</v>
      </c>
      <c r="P118" s="332">
        <f>Gasto_o_ing_per_capita!P118-Gasto_o_ing_per_capita!$D118</f>
        <v>-49.949592397430393</v>
      </c>
      <c r="Q118" s="332">
        <f>Gasto_o_ing_per_capita!Q118-Gasto_o_ing_per_capita!$D118</f>
        <v>33.336280492205134</v>
      </c>
      <c r="R118" s="332">
        <f>Gasto_o_ing_per_capita!R118-Gasto_o_ing_per_capita!$D118</f>
        <v>-6.2726518801167401</v>
      </c>
      <c r="S118" s="332">
        <f>Gasto_o_ing_per_capita!S118-Gasto_o_ing_per_capita!$D118</f>
        <v>-117.18389582449242</v>
      </c>
      <c r="T118" s="332">
        <f>Gasto_o_ing_per_capita!T118-Gasto_o_ing_per_capita!$D118</f>
        <v>-117.18389582449242</v>
      </c>
      <c r="U118" s="332">
        <f>Gasto_o_ing_per_capita!U118-Gasto_o_ing_per_capita!$D118</f>
        <v>-13.196033139661708</v>
      </c>
      <c r="V118" s="332">
        <f>Gasto_o_ing_per_capita!V118-Gasto_o_ing_per_capita!$D118</f>
        <v>-117.18389582449242</v>
      </c>
      <c r="W118" s="122"/>
      <c r="X118" s="104"/>
    </row>
    <row r="119" spans="1:24" s="102" customFormat="1">
      <c r="A119" s="351" t="str">
        <f>IF(B119="","",(IF(ISERROR(MATCH(B119,Tot_res!C:C,0)),"Eliminar!!!","")))</f>
        <v/>
      </c>
      <c r="B119" s="115" t="s">
        <v>938</v>
      </c>
      <c r="C119" s="329" t="str">
        <f>VLOOKUP(B119,Tot_res!C:D,2,FALSE)</f>
        <v>Tasas sobre el juego, ingresos homogeneizados de las CCAARC</v>
      </c>
      <c r="D119" s="332">
        <f>Gasto_o_ing_per_capita!D119-Gasto_o_ing_per_capita!$D119</f>
        <v>0</v>
      </c>
      <c r="E119" s="332">
        <f>Gasto_o_ing_per_capita!E119-Gasto_o_ing_per_capita!$D119</f>
        <v>-4.4186564212679507</v>
      </c>
      <c r="F119" s="332">
        <f>Gasto_o_ing_per_capita!F119-Gasto_o_ing_per_capita!$D119</f>
        <v>-0.24612322725136337</v>
      </c>
      <c r="G119" s="332">
        <f>Gasto_o_ing_per_capita!G119-Gasto_o_ing_per_capita!$D119</f>
        <v>-2.2187833254569895</v>
      </c>
      <c r="H119" s="332">
        <f>Gasto_o_ing_per_capita!H119-Gasto_o_ing_per_capita!$D119</f>
        <v>11.1587839580931</v>
      </c>
      <c r="I119" s="332">
        <f>Gasto_o_ing_per_capita!I119-Gasto_o_ing_per_capita!$D119</f>
        <v>-3.6118295585709213</v>
      </c>
      <c r="J119" s="332">
        <f>Gasto_o_ing_per_capita!J119-Gasto_o_ing_per_capita!$D119</f>
        <v>1.8608151601730825</v>
      </c>
      <c r="K119" s="332">
        <f>Gasto_o_ing_per_capita!K119-Gasto_o_ing_per_capita!$D119</f>
        <v>2.2407498443271088</v>
      </c>
      <c r="L119" s="332">
        <f>Gasto_o_ing_per_capita!L119-Gasto_o_ing_per_capita!$D119</f>
        <v>-0.97492525881777325</v>
      </c>
      <c r="M119" s="332">
        <f>Gasto_o_ing_per_capita!M119-Gasto_o_ing_per_capita!$D119</f>
        <v>-2.9764619522534197</v>
      </c>
      <c r="N119" s="332">
        <f>Gasto_o_ing_per_capita!N119-Gasto_o_ing_per_capita!$D119</f>
        <v>5.921059039264474</v>
      </c>
      <c r="O119" s="332">
        <f>Gasto_o_ing_per_capita!O119-Gasto_o_ing_per_capita!$D119</f>
        <v>-5.779653917679525</v>
      </c>
      <c r="P119" s="332">
        <f>Gasto_o_ing_per_capita!P119-Gasto_o_ing_per_capita!$D119</f>
        <v>-4.4409599867593137</v>
      </c>
      <c r="Q119" s="332">
        <f>Gasto_o_ing_per_capita!Q119-Gasto_o_ing_per_capita!$D119</f>
        <v>18.38441040190089</v>
      </c>
      <c r="R119" s="332">
        <f>Gasto_o_ing_per_capita!R119-Gasto_o_ing_per_capita!$D119</f>
        <v>-7.0454210421338725</v>
      </c>
      <c r="S119" s="332">
        <f>Gasto_o_ing_per_capita!S119-Gasto_o_ing_per_capita!$D119</f>
        <v>-21.426141751694562</v>
      </c>
      <c r="T119" s="332">
        <f>Gasto_o_ing_per_capita!T119-Gasto_o_ing_per_capita!$D119</f>
        <v>-21.426141751694562</v>
      </c>
      <c r="U119" s="332">
        <f>Gasto_o_ing_per_capita!U119-Gasto_o_ing_per_capita!$D119</f>
        <v>-6.8117224297340453</v>
      </c>
      <c r="V119" s="332">
        <f>Gasto_o_ing_per_capita!V119-Gasto_o_ing_per_capita!$D119</f>
        <v>-21.426141751694562</v>
      </c>
      <c r="W119" s="122"/>
      <c r="X119" s="104"/>
    </row>
    <row r="120" spans="1:24"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Gasto_o_ing_per_capita!D120-Gasto_o_ing_per_capita!$D120</f>
        <v>0</v>
      </c>
      <c r="E120" s="332">
        <f>Gasto_o_ing_per_capita!E120-Gasto_o_ing_per_capita!$D120</f>
        <v>3.5041697669776731E-2</v>
      </c>
      <c r="F120" s="332">
        <f>Gasto_o_ing_per_capita!F120-Gasto_o_ing_per_capita!$D120</f>
        <v>-5.0667979954383081E-2</v>
      </c>
      <c r="G120" s="332">
        <f>Gasto_o_ing_per_capita!G120-Gasto_o_ing_per_capita!$D120</f>
        <v>-2.1998772735806513E-2</v>
      </c>
      <c r="H120" s="332">
        <f>Gasto_o_ing_per_capita!H120-Gasto_o_ing_per_capita!$D120</f>
        <v>-4.5272457631242158E-2</v>
      </c>
      <c r="I120" s="332">
        <f>Gasto_o_ing_per_capita!I120-Gasto_o_ing_per_capita!$D120</f>
        <v>-7.7687931286691408E-2</v>
      </c>
      <c r="J120" s="332">
        <f>Gasto_o_ing_per_capita!J120-Gasto_o_ing_per_capita!$D120</f>
        <v>5.0680342367003001E-2</v>
      </c>
      <c r="K120" s="332">
        <f>Gasto_o_ing_per_capita!K120-Gasto_o_ing_per_capita!$D120</f>
        <v>3.4621471700713793E-2</v>
      </c>
      <c r="L120" s="332">
        <f>Gasto_o_ing_per_capita!L120-Gasto_o_ing_per_capita!$D120</f>
        <v>2.6793037095943911E-3</v>
      </c>
      <c r="M120" s="332">
        <f>Gasto_o_ing_per_capita!M120-Gasto_o_ing_per_capita!$D120</f>
        <v>-3.9610605322245244E-2</v>
      </c>
      <c r="N120" s="332">
        <f>Gasto_o_ing_per_capita!N120-Gasto_o_ing_per_capita!$D120</f>
        <v>4.1280526497911751E-2</v>
      </c>
      <c r="O120" s="332">
        <f>Gasto_o_ing_per_capita!O120-Gasto_o_ing_per_capita!$D120</f>
        <v>0.10113416961554222</v>
      </c>
      <c r="P120" s="332">
        <f>Gasto_o_ing_per_capita!P120-Gasto_o_ing_per_capita!$D120</f>
        <v>5.2956881657758997E-2</v>
      </c>
      <c r="Q120" s="332">
        <f>Gasto_o_ing_per_capita!Q120-Gasto_o_ing_per_capita!$D120</f>
        <v>-2.2429907792928555E-2</v>
      </c>
      <c r="R120" s="332">
        <f>Gasto_o_ing_per_capita!R120-Gasto_o_ing_per_capita!$D120</f>
        <v>8.5677809296862584E-2</v>
      </c>
      <c r="S120" s="332">
        <f>Gasto_o_ing_per_capita!S120-Gasto_o_ing_per_capita!$D120</f>
        <v>-7.7687931286691408E-2</v>
      </c>
      <c r="T120" s="332">
        <f>Gasto_o_ing_per_capita!T120-Gasto_o_ing_per_capita!$D120</f>
        <v>-7.7687931286691408E-2</v>
      </c>
      <c r="U120" s="332">
        <f>Gasto_o_ing_per_capita!U120-Gasto_o_ing_per_capita!$D120</f>
        <v>-7.7687931286691408E-2</v>
      </c>
      <c r="V120" s="332">
        <f>Gasto_o_ing_per_capita!V120-Gasto_o_ing_per_capita!$D120</f>
        <v>-7.7687931286691408E-2</v>
      </c>
      <c r="W120" s="122"/>
      <c r="X120" s="104"/>
    </row>
    <row r="121" spans="1:24" s="102" customFormat="1">
      <c r="A121" s="351" t="str">
        <f>IF(B121="","",(IF(ISERROR(MATCH(B121,Tot_res!C:C,0)),"Eliminar!!!","")))</f>
        <v/>
      </c>
      <c r="B121" s="115" t="s">
        <v>940</v>
      </c>
      <c r="C121" s="329" t="str">
        <f>VLOOKUP(B121,Tot_res!C:D,2,FALSE)</f>
        <v>Impuesto de matriculación, ingresos de las CCAARC sin ej cap normativa</v>
      </c>
      <c r="D121" s="332">
        <f>Gasto_o_ing_per_capita!D121-Gasto_o_ing_per_capita!$D121</f>
        <v>0</v>
      </c>
      <c r="E121" s="332">
        <f>Gasto_o_ing_per_capita!E121-Gasto_o_ing_per_capita!$D121</f>
        <v>-2.2803077213799319</v>
      </c>
      <c r="F121" s="332">
        <f>Gasto_o_ing_per_capita!F121-Gasto_o_ing_per_capita!$D121</f>
        <v>-1.7928586484081714</v>
      </c>
      <c r="G121" s="332">
        <f>Gasto_o_ing_per_capita!G121-Gasto_o_ing_per_capita!$D121</f>
        <v>-1.9165164698762425</v>
      </c>
      <c r="H121" s="332">
        <f>Gasto_o_ing_per_capita!H121-Gasto_o_ing_per_capita!$D121</f>
        <v>10.354647300854104</v>
      </c>
      <c r="I121" s="332">
        <f>Gasto_o_ing_per_capita!I121-Gasto_o_ing_per_capita!$D121</f>
        <v>-6.1867597513003885</v>
      </c>
      <c r="J121" s="332">
        <f>Gasto_o_ing_per_capita!J121-Gasto_o_ing_per_capita!$D121</f>
        <v>1.4405643615434096</v>
      </c>
      <c r="K121" s="332">
        <f>Gasto_o_ing_per_capita!K121-Gasto_o_ing_per_capita!$D121</f>
        <v>-2.069958773938918</v>
      </c>
      <c r="L121" s="332">
        <f>Gasto_o_ing_per_capita!L121-Gasto_o_ing_per_capita!$D121</f>
        <v>-2.5582584358677023</v>
      </c>
      <c r="M121" s="332">
        <f>Gasto_o_ing_per_capita!M121-Gasto_o_ing_per_capita!$D121</f>
        <v>0.97502873235594034</v>
      </c>
      <c r="N121" s="332">
        <f>Gasto_o_ing_per_capita!N121-Gasto_o_ing_per_capita!$D121</f>
        <v>-0.31460450430456</v>
      </c>
      <c r="O121" s="332">
        <f>Gasto_o_ing_per_capita!O121-Gasto_o_ing_per_capita!$D121</f>
        <v>-3.1863615991278138</v>
      </c>
      <c r="P121" s="332">
        <f>Gasto_o_ing_per_capita!P121-Gasto_o_ing_per_capita!$D121</f>
        <v>-0.22555018567399809</v>
      </c>
      <c r="Q121" s="332">
        <f>Gasto_o_ing_per_capita!Q121-Gasto_o_ing_per_capita!$D121</f>
        <v>8.4068960679582254</v>
      </c>
      <c r="R121" s="332">
        <f>Gasto_o_ing_per_capita!R121-Gasto_o_ing_per_capita!$D121</f>
        <v>-1.6801945488162247</v>
      </c>
      <c r="S121" s="332">
        <f>Gasto_o_ing_per_capita!S121-Gasto_o_ing_per_capita!$D121</f>
        <v>-6.1867597513003885</v>
      </c>
      <c r="T121" s="332">
        <f>Gasto_o_ing_per_capita!T121-Gasto_o_ing_per_capita!$D121</f>
        <v>-6.1867597513003885</v>
      </c>
      <c r="U121" s="332">
        <f>Gasto_o_ing_per_capita!U121-Gasto_o_ing_per_capita!$D121</f>
        <v>-0.30025622566188215</v>
      </c>
      <c r="V121" s="332">
        <f>Gasto_o_ing_per_capita!V121-Gasto_o_ing_per_capita!$D121</f>
        <v>-6.1867597513003885</v>
      </c>
      <c r="W121" s="122"/>
      <c r="X121" s="104"/>
    </row>
    <row r="122" spans="1:24"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Gasto_o_ing_per_capita!D122-Gasto_o_ing_per_capita!$D122</f>
        <v>0</v>
      </c>
      <c r="E122" s="332">
        <f>Gasto_o_ing_per_capita!E122-Gasto_o_ing_per_capita!$D122</f>
        <v>-19.285632864997641</v>
      </c>
      <c r="F122" s="332">
        <f>Gasto_o_ing_per_capita!F122-Gasto_o_ing_per_capita!$D122</f>
        <v>-19.285632864997641</v>
      </c>
      <c r="G122" s="332">
        <f>Gasto_o_ing_per_capita!G122-Gasto_o_ing_per_capita!$D122</f>
        <v>-19.285632864997641</v>
      </c>
      <c r="H122" s="332">
        <f>Gasto_o_ing_per_capita!H122-Gasto_o_ing_per_capita!$D122</f>
        <v>-19.285632864997641</v>
      </c>
      <c r="I122" s="332">
        <f>Gasto_o_ing_per_capita!I122-Gasto_o_ing_per_capita!$D122</f>
        <v>409.04820697909156</v>
      </c>
      <c r="J122" s="332">
        <f>Gasto_o_ing_per_capita!J122-Gasto_o_ing_per_capita!$D122</f>
        <v>-19.285632864997641</v>
      </c>
      <c r="K122" s="332">
        <f>Gasto_o_ing_per_capita!K122-Gasto_o_ing_per_capita!$D122</f>
        <v>-19.285632864997641</v>
      </c>
      <c r="L122" s="332">
        <f>Gasto_o_ing_per_capita!L122-Gasto_o_ing_per_capita!$D122</f>
        <v>-19.285632864997641</v>
      </c>
      <c r="M122" s="332">
        <f>Gasto_o_ing_per_capita!M122-Gasto_o_ing_per_capita!$D122</f>
        <v>-19.285632864997641</v>
      </c>
      <c r="N122" s="332">
        <f>Gasto_o_ing_per_capita!N122-Gasto_o_ing_per_capita!$D122</f>
        <v>-19.285632864997641</v>
      </c>
      <c r="O122" s="332">
        <f>Gasto_o_ing_per_capita!O122-Gasto_o_ing_per_capita!$D122</f>
        <v>-19.285632864997641</v>
      </c>
      <c r="P122" s="332">
        <f>Gasto_o_ing_per_capita!P122-Gasto_o_ing_per_capita!$D122</f>
        <v>-19.285632864997641</v>
      </c>
      <c r="Q122" s="332">
        <f>Gasto_o_ing_per_capita!Q122-Gasto_o_ing_per_capita!$D122</f>
        <v>-19.285632864997641</v>
      </c>
      <c r="R122" s="332">
        <f>Gasto_o_ing_per_capita!R122-Gasto_o_ing_per_capita!$D122</f>
        <v>-19.285632864997641</v>
      </c>
      <c r="S122" s="332">
        <f>Gasto_o_ing_per_capita!S122-Gasto_o_ing_per_capita!$D122</f>
        <v>-19.285632864997641</v>
      </c>
      <c r="T122" s="332">
        <f>Gasto_o_ing_per_capita!T122-Gasto_o_ing_per_capita!$D122</f>
        <v>-19.285632864997641</v>
      </c>
      <c r="U122" s="332">
        <f>Gasto_o_ing_per_capita!U122-Gasto_o_ing_per_capita!$D122</f>
        <v>-19.285632864997641</v>
      </c>
      <c r="V122" s="332">
        <f>Gasto_o_ing_per_capita!V122-Gasto_o_ing_per_capita!$D122</f>
        <v>-19.285632864997641</v>
      </c>
      <c r="W122" s="122"/>
      <c r="X122" s="104"/>
    </row>
    <row r="123" spans="1:24"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Gasto_o_ing_per_capita!D123-Gasto_o_ing_per_capita!$D123</f>
        <v>0</v>
      </c>
      <c r="E123" s="332">
        <f>Gasto_o_ing_per_capita!E123-Gasto_o_ing_per_capita!$D123</f>
        <v>-0.68252115776243749</v>
      </c>
      <c r="F123" s="332">
        <f>Gasto_o_ing_per_capita!F123-Gasto_o_ing_per_capita!$D123</f>
        <v>0.19882910695892275</v>
      </c>
      <c r="G123" s="332">
        <f>Gasto_o_ing_per_capita!G123-Gasto_o_ing_per_capita!$D123</f>
        <v>0.78044279932600058</v>
      </c>
      <c r="H123" s="332">
        <f>Gasto_o_ing_per_capita!H123-Gasto_o_ing_per_capita!$D123</f>
        <v>0.2648116515072001</v>
      </c>
      <c r="I123" s="332">
        <f>Gasto_o_ing_per_capita!I123-Gasto_o_ing_per_capita!$D123</f>
        <v>-0.33074615469642232</v>
      </c>
      <c r="J123" s="332">
        <f>Gasto_o_ing_per_capita!J123-Gasto_o_ing_per_capita!$D123</f>
        <v>0.4679707537689366</v>
      </c>
      <c r="K123" s="332">
        <f>Gasto_o_ing_per_capita!K123-Gasto_o_ing_per_capita!$D123</f>
        <v>0.45348414348234956</v>
      </c>
      <c r="L123" s="332">
        <f>Gasto_o_ing_per_capita!L123-Gasto_o_ing_per_capita!$D123</f>
        <v>-0.36895604982081076</v>
      </c>
      <c r="M123" s="332">
        <f>Gasto_o_ing_per_capita!M123-Gasto_o_ing_per_capita!$D123</f>
        <v>0.28098572153298496</v>
      </c>
      <c r="N123" s="332">
        <f>Gasto_o_ing_per_capita!N123-Gasto_o_ing_per_capita!$D123</f>
        <v>-5.8650189985831047E-2</v>
      </c>
      <c r="O123" s="332">
        <f>Gasto_o_ing_per_capita!O123-Gasto_o_ing_per_capita!$D123</f>
        <v>-0.66192385169400958</v>
      </c>
      <c r="P123" s="332">
        <f>Gasto_o_ing_per_capita!P123-Gasto_o_ing_per_capita!$D123</f>
        <v>0.25479820798280173</v>
      </c>
      <c r="Q123" s="332">
        <f>Gasto_o_ing_per_capita!Q123-Gasto_o_ing_per_capita!$D123</f>
        <v>0.91490589986816384</v>
      </c>
      <c r="R123" s="332">
        <f>Gasto_o_ing_per_capita!R123-Gasto_o_ing_per_capita!$D123</f>
        <v>-0.47479332548465736</v>
      </c>
      <c r="S123" s="332">
        <f>Gasto_o_ing_per_capita!S123-Gasto_o_ing_per_capita!$D123</f>
        <v>-0.98635630241868766</v>
      </c>
      <c r="T123" s="332">
        <f>Gasto_o_ing_per_capita!T123-Gasto_o_ing_per_capita!$D123</f>
        <v>-0.98635630241868766</v>
      </c>
      <c r="U123" s="332">
        <f>Gasto_o_ing_per_capita!U123-Gasto_o_ing_per_capita!$D123</f>
        <v>1.1908767984923969</v>
      </c>
      <c r="V123" s="332">
        <f>Gasto_o_ing_per_capita!V123-Gasto_o_ing_per_capita!$D123</f>
        <v>-0.98635630241868766</v>
      </c>
      <c r="W123" s="122"/>
      <c r="X123" s="104"/>
    </row>
    <row r="124" spans="1:24"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Gasto_o_ing_per_capita!D124-Gasto_o_ing_per_capita!$D124</f>
        <v>0</v>
      </c>
      <c r="E124" s="332">
        <f>Gasto_o_ing_per_capita!E124-Gasto_o_ing_per_capita!$D124</f>
        <v>-1.8660636624120959</v>
      </c>
      <c r="F124" s="332">
        <f>Gasto_o_ing_per_capita!F124-Gasto_o_ing_per_capita!$D124</f>
        <v>-0.14983676058066742</v>
      </c>
      <c r="G124" s="332">
        <f>Gasto_o_ing_per_capita!G124-Gasto_o_ing_per_capita!$D124</f>
        <v>0.25062825679465917</v>
      </c>
      <c r="H124" s="332">
        <f>Gasto_o_ing_per_capita!H124-Gasto_o_ing_per_capita!$D124</f>
        <v>-1.0195114936249174</v>
      </c>
      <c r="I124" s="332">
        <f>Gasto_o_ing_per_capita!I124-Gasto_o_ing_per_capita!$D124</f>
        <v>-2.2014287104291022</v>
      </c>
      <c r="J124" s="332">
        <f>Gasto_o_ing_per_capita!J124-Gasto_o_ing_per_capita!$D124</f>
        <v>-0.77149662592582491</v>
      </c>
      <c r="K124" s="332">
        <f>Gasto_o_ing_per_capita!K124-Gasto_o_ing_per_capita!$D124</f>
        <v>0.38035792037059046</v>
      </c>
      <c r="L124" s="332">
        <f>Gasto_o_ing_per_capita!L124-Gasto_o_ing_per_capita!$D124</f>
        <v>-1.0603236052271674</v>
      </c>
      <c r="M124" s="332">
        <f>Gasto_o_ing_per_capita!M124-Gasto_o_ing_per_capita!$D124</f>
        <v>0.29017714018553864</v>
      </c>
      <c r="N124" s="332">
        <f>Gasto_o_ing_per_capita!N124-Gasto_o_ing_per_capita!$D124</f>
        <v>-0.94431556461087007</v>
      </c>
      <c r="O124" s="332">
        <f>Gasto_o_ing_per_capita!O124-Gasto_o_ing_per_capita!$D124</f>
        <v>-1.545951936528454</v>
      </c>
      <c r="P124" s="332">
        <f>Gasto_o_ing_per_capita!P124-Gasto_o_ing_per_capita!$D124</f>
        <v>0.26051232953239101</v>
      </c>
      <c r="Q124" s="332">
        <f>Gasto_o_ing_per_capita!Q124-Gasto_o_ing_per_capita!$D124</f>
        <v>6.3392061497017904</v>
      </c>
      <c r="R124" s="332">
        <f>Gasto_o_ing_per_capita!R124-Gasto_o_ing_per_capita!$D124</f>
        <v>-1.4866859418672136</v>
      </c>
      <c r="S124" s="332">
        <f>Gasto_o_ing_per_capita!S124-Gasto_o_ing_per_capita!$D124</f>
        <v>-4.0087488802886613</v>
      </c>
      <c r="T124" s="332">
        <f>Gasto_o_ing_per_capita!T124-Gasto_o_ing_per_capita!$D124</f>
        <v>-4.0087488802886613</v>
      </c>
      <c r="U124" s="332">
        <f>Gasto_o_ing_per_capita!U124-Gasto_o_ing_per_capita!$D124</f>
        <v>-0.23549027843819248</v>
      </c>
      <c r="V124" s="332">
        <f>Gasto_o_ing_per_capita!V124-Gasto_o_ing_per_capita!$D124</f>
        <v>-4.0087488802886613</v>
      </c>
      <c r="W124" s="122"/>
      <c r="X124" s="104"/>
    </row>
    <row r="125" spans="1:24"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5">
      <c r="A126" s="352"/>
      <c r="B126" s="137"/>
      <c r="C126" s="128" t="s">
        <v>36</v>
      </c>
      <c r="D126" s="113">
        <f>Gasto_o_ing_per_capita!D126-Gasto_o_ing_per_capita!$D126</f>
        <v>0</v>
      </c>
      <c r="E126" s="113">
        <f>Gasto_o_ing_per_capita!E126-Gasto_o_ing_per_capita!$D126</f>
        <v>13.792800136583878</v>
      </c>
      <c r="F126" s="113">
        <f>Gasto_o_ing_per_capita!F126-Gasto_o_ing_per_capita!$D126</f>
        <v>45.657560536133332</v>
      </c>
      <c r="G126" s="113">
        <f>Gasto_o_ing_per_capita!G126-Gasto_o_ing_per_capita!$D126</f>
        <v>38.671871361563049</v>
      </c>
      <c r="H126" s="113">
        <f>Gasto_o_ing_per_capita!H126-Gasto_o_ing_per_capita!$D126</f>
        <v>59.502803756912897</v>
      </c>
      <c r="I126" s="113">
        <f>Gasto_o_ing_per_capita!I126-Gasto_o_ing_per_capita!$D126</f>
        <v>-21.200797657522372</v>
      </c>
      <c r="J126" s="113">
        <f>Gasto_o_ing_per_capita!J126-Gasto_o_ing_per_capita!$D126</f>
        <v>-117.26789812703859</v>
      </c>
      <c r="K126" s="113">
        <f>Gasto_o_ing_per_capita!K126-Gasto_o_ing_per_capita!$D126</f>
        <v>104.41303291553788</v>
      </c>
      <c r="L126" s="113">
        <f>Gasto_o_ing_per_capita!L126-Gasto_o_ing_per_capita!$D126</f>
        <v>105.11951790774103</v>
      </c>
      <c r="M126" s="113">
        <f>Gasto_o_ing_per_capita!M126-Gasto_o_ing_per_capita!$D126</f>
        <v>-175.07636952029688</v>
      </c>
      <c r="N126" s="113">
        <f>Gasto_o_ing_per_capita!N126-Gasto_o_ing_per_capita!$D126</f>
        <v>67.605902492886088</v>
      </c>
      <c r="O126" s="113">
        <f>Gasto_o_ing_per_capita!O126-Gasto_o_ing_per_capita!$D126</f>
        <v>103.46943868979449</v>
      </c>
      <c r="P126" s="113">
        <f>Gasto_o_ing_per_capita!P126-Gasto_o_ing_per_capita!$D126</f>
        <v>27.541485325656154</v>
      </c>
      <c r="Q126" s="113">
        <f>Gasto_o_ing_per_capita!Q126-Gasto_o_ing_per_capita!$D126</f>
        <v>-46.360471504916035</v>
      </c>
      <c r="R126" s="113">
        <f>Gasto_o_ing_per_capita!R126-Gasto_o_ing_per_capita!$D126</f>
        <v>98.201806090405867</v>
      </c>
      <c r="S126" s="113">
        <f>Gasto_o_ing_per_capita!S126-Gasto_o_ing_per_capita!$D126</f>
        <v>110.70176595749186</v>
      </c>
      <c r="T126" s="113">
        <f>Gasto_o_ing_per_capita!T126-Gasto_o_ing_per_capita!$D126</f>
        <v>110.70176595749186</v>
      </c>
      <c r="U126" s="113">
        <f>Gasto_o_ing_per_capita!U126-Gasto_o_ing_per_capita!$D126</f>
        <v>-108.27453508454548</v>
      </c>
      <c r="V126" s="113">
        <f>Gasto_o_ing_per_capita!V126-Gasto_o_ing_per_capita!$D126</f>
        <v>110.70176595749186</v>
      </c>
      <c r="W126" s="122"/>
      <c r="X126" s="104"/>
    </row>
    <row r="127" spans="1:24" s="102" customFormat="1">
      <c r="A127" s="351" t="str">
        <f>IF(B127="","",(IF(ISERROR(MATCH(B127,Tot_res!C:C,0)),"Eliminar!!!","")))</f>
        <v/>
      </c>
      <c r="B127" s="115" t="s">
        <v>942</v>
      </c>
      <c r="C127" s="329" t="str">
        <f>VLOOKUP(B127,Tot_res!C:D,2,FALSE)</f>
        <v>Financiación para competencias no homogéneas de las comunidades de régimen común (caja)</v>
      </c>
      <c r="D127" s="333">
        <f>Gasto_o_ing_per_capita!D127-Gasto_o_ing_per_capita!$D127</f>
        <v>0</v>
      </c>
      <c r="E127" s="333">
        <f>Gasto_o_ing_per_capita!E127-Gasto_o_ing_per_capita!$D127</f>
        <v>13.792800136583878</v>
      </c>
      <c r="F127" s="333">
        <f>Gasto_o_ing_per_capita!F127-Gasto_o_ing_per_capita!$D127</f>
        <v>45.657560536133332</v>
      </c>
      <c r="G127" s="333">
        <f>Gasto_o_ing_per_capita!G127-Gasto_o_ing_per_capita!$D127</f>
        <v>38.671871361563049</v>
      </c>
      <c r="H127" s="333">
        <f>Gasto_o_ing_per_capita!H127-Gasto_o_ing_per_capita!$D127</f>
        <v>59.502803756912897</v>
      </c>
      <c r="I127" s="333">
        <f>Gasto_o_ing_per_capita!I127-Gasto_o_ing_per_capita!$D127</f>
        <v>-21.200797657522372</v>
      </c>
      <c r="J127" s="333">
        <f>Gasto_o_ing_per_capita!J127-Gasto_o_ing_per_capita!$D127</f>
        <v>-117.26789812703859</v>
      </c>
      <c r="K127" s="333">
        <f>Gasto_o_ing_per_capita!K127-Gasto_o_ing_per_capita!$D127</f>
        <v>104.41303291553788</v>
      </c>
      <c r="L127" s="333">
        <f>Gasto_o_ing_per_capita!L127-Gasto_o_ing_per_capita!$D127</f>
        <v>105.11951790774103</v>
      </c>
      <c r="M127" s="333">
        <f>Gasto_o_ing_per_capita!M127-Gasto_o_ing_per_capita!$D127</f>
        <v>-175.07636952029688</v>
      </c>
      <c r="N127" s="333">
        <f>Gasto_o_ing_per_capita!N127-Gasto_o_ing_per_capita!$D127</f>
        <v>67.605902492886088</v>
      </c>
      <c r="O127" s="333">
        <f>Gasto_o_ing_per_capita!O127-Gasto_o_ing_per_capita!$D127</f>
        <v>103.46943868979449</v>
      </c>
      <c r="P127" s="333">
        <f>Gasto_o_ing_per_capita!P127-Gasto_o_ing_per_capita!$D127</f>
        <v>27.541485325656154</v>
      </c>
      <c r="Q127" s="333">
        <f>Gasto_o_ing_per_capita!Q127-Gasto_o_ing_per_capita!$D127</f>
        <v>-46.360471504916035</v>
      </c>
      <c r="R127" s="333">
        <f>Gasto_o_ing_per_capita!R127-Gasto_o_ing_per_capita!$D127</f>
        <v>98.201806090405867</v>
      </c>
      <c r="S127" s="333">
        <f>Gasto_o_ing_per_capita!S127-Gasto_o_ing_per_capita!$D127</f>
        <v>110.70176595749186</v>
      </c>
      <c r="T127" s="333">
        <f>Gasto_o_ing_per_capita!T127-Gasto_o_ing_per_capita!$D127</f>
        <v>110.70176595749186</v>
      </c>
      <c r="U127" s="333">
        <f>Gasto_o_ing_per_capita!U127-Gasto_o_ing_per_capita!$D127</f>
        <v>-108.27453508454548</v>
      </c>
      <c r="V127" s="333">
        <f>Gasto_o_ing_per_capita!V127-Gasto_o_ing_per_capita!$D127</f>
        <v>110.70176595749186</v>
      </c>
      <c r="W127" s="122"/>
      <c r="X127" s="104"/>
    </row>
    <row r="128" spans="1:24"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26"/>
      <c r="X128" s="104"/>
    </row>
    <row r="129" spans="1:24" s="102" customFormat="1" ht="13.5">
      <c r="A129" s="352"/>
      <c r="B129" s="137"/>
      <c r="C129" s="128" t="s">
        <v>70</v>
      </c>
      <c r="D129" s="113">
        <f>Gasto_o_ing_per_capita!D129-Gasto_o_ing_per_capita!$D129</f>
        <v>0</v>
      </c>
      <c r="E129" s="113">
        <f>Gasto_o_ing_per_capita!E129-Gasto_o_ing_per_capita!$D129</f>
        <v>-13.204402917499088</v>
      </c>
      <c r="F129" s="113">
        <f>Gasto_o_ing_per_capita!F129-Gasto_o_ing_per_capita!$D129</f>
        <v>-13.204402917499088</v>
      </c>
      <c r="G129" s="113">
        <f>Gasto_o_ing_per_capita!G129-Gasto_o_ing_per_capita!$D129</f>
        <v>-13.204402917499088</v>
      </c>
      <c r="H129" s="113">
        <f>Gasto_o_ing_per_capita!H129-Gasto_o_ing_per_capita!$D129</f>
        <v>-13.204402917499088</v>
      </c>
      <c r="I129" s="113">
        <f>Gasto_o_ing_per_capita!I129-Gasto_o_ing_per_capita!$D129</f>
        <v>-13.204402917499088</v>
      </c>
      <c r="J129" s="113">
        <f>Gasto_o_ing_per_capita!J129-Gasto_o_ing_per_capita!$D129</f>
        <v>-13.204402917499088</v>
      </c>
      <c r="K129" s="113">
        <f>Gasto_o_ing_per_capita!K129-Gasto_o_ing_per_capita!$D129</f>
        <v>-13.204402917499088</v>
      </c>
      <c r="L129" s="113">
        <f>Gasto_o_ing_per_capita!L129-Gasto_o_ing_per_capita!$D129</f>
        <v>-13.204402917499088</v>
      </c>
      <c r="M129" s="113">
        <f>Gasto_o_ing_per_capita!M129-Gasto_o_ing_per_capita!$D129</f>
        <v>-13.204402917499088</v>
      </c>
      <c r="N129" s="113">
        <f>Gasto_o_ing_per_capita!N129-Gasto_o_ing_per_capita!$D129</f>
        <v>-13.204402917499088</v>
      </c>
      <c r="O129" s="113">
        <f>Gasto_o_ing_per_capita!O129-Gasto_o_ing_per_capita!$D129</f>
        <v>-13.204402917499088</v>
      </c>
      <c r="P129" s="113">
        <f>Gasto_o_ing_per_capita!P129-Gasto_o_ing_per_capita!$D129</f>
        <v>-13.204402917499088</v>
      </c>
      <c r="Q129" s="113">
        <f>Gasto_o_ing_per_capita!Q129-Gasto_o_ing_per_capita!$D129</f>
        <v>-13.204402917499088</v>
      </c>
      <c r="R129" s="113">
        <f>Gasto_o_ing_per_capita!R129-Gasto_o_ing_per_capita!$D129</f>
        <v>-13.204402917499088</v>
      </c>
      <c r="S129" s="113">
        <f>Gasto_o_ing_per_capita!S129-Gasto_o_ing_per_capita!$D129</f>
        <v>-13.204402917499088</v>
      </c>
      <c r="T129" s="113">
        <f>Gasto_o_ing_per_capita!T129-Gasto_o_ing_per_capita!$D129</f>
        <v>-13.204402917499088</v>
      </c>
      <c r="U129" s="113">
        <f>Gasto_o_ing_per_capita!U129-Gasto_o_ing_per_capita!$D129</f>
        <v>-13.204402917499088</v>
      </c>
      <c r="V129" s="113">
        <f>Gasto_o_ing_per_capita!V129-Gasto_o_ing_per_capita!$D129</f>
        <v>3621.2362186307687</v>
      </c>
      <c r="W129" s="122"/>
      <c r="X129" s="104"/>
    </row>
    <row r="130" spans="1:24" s="102" customFormat="1">
      <c r="A130" s="351" t="str">
        <f>IF(B130="","",(IF(ISERROR(MATCH(B130,Tot_res!C:C,0)),"Eliminar!!!","")))</f>
        <v/>
      </c>
      <c r="B130" s="115" t="s">
        <v>943</v>
      </c>
      <c r="C130" s="329" t="str">
        <f>VLOOKUP(B130,Tot_res!C:D,2,FALSE)</f>
        <v>Dirección y Servicios Generales de la Educación, gasto directo en Ceuta y Melilla</v>
      </c>
      <c r="D130" s="332">
        <f>Gasto_o_ing_per_capita!D130-Gasto_o_ing_per_capita!$D130</f>
        <v>0</v>
      </c>
      <c r="E130" s="332">
        <f>Gasto_o_ing_per_capita!E130-Gasto_o_ing_per_capita!$D130</f>
        <v>-0.10151024022567831</v>
      </c>
      <c r="F130" s="332">
        <f>Gasto_o_ing_per_capita!F130-Gasto_o_ing_per_capita!$D130</f>
        <v>-0.10151024022567831</v>
      </c>
      <c r="G130" s="332">
        <f>Gasto_o_ing_per_capita!G130-Gasto_o_ing_per_capita!$D130</f>
        <v>-0.10151024022567831</v>
      </c>
      <c r="H130" s="332">
        <f>Gasto_o_ing_per_capita!H130-Gasto_o_ing_per_capita!$D130</f>
        <v>-0.10151024022567831</v>
      </c>
      <c r="I130" s="332">
        <f>Gasto_o_ing_per_capita!I130-Gasto_o_ing_per_capita!$D130</f>
        <v>-0.10151024022567831</v>
      </c>
      <c r="J130" s="332">
        <f>Gasto_o_ing_per_capita!J130-Gasto_o_ing_per_capita!$D130</f>
        <v>-0.10151024022567831</v>
      </c>
      <c r="K130" s="332">
        <f>Gasto_o_ing_per_capita!K130-Gasto_o_ing_per_capita!$D130</f>
        <v>-0.10151024022567831</v>
      </c>
      <c r="L130" s="332">
        <f>Gasto_o_ing_per_capita!L130-Gasto_o_ing_per_capita!$D130</f>
        <v>-0.10151024022567831</v>
      </c>
      <c r="M130" s="332">
        <f>Gasto_o_ing_per_capita!M130-Gasto_o_ing_per_capita!$D130</f>
        <v>-0.10151024022567831</v>
      </c>
      <c r="N130" s="332">
        <f>Gasto_o_ing_per_capita!N130-Gasto_o_ing_per_capita!$D130</f>
        <v>-0.10151024022567831</v>
      </c>
      <c r="O130" s="332">
        <f>Gasto_o_ing_per_capita!O130-Gasto_o_ing_per_capita!$D130</f>
        <v>-0.10151024022567831</v>
      </c>
      <c r="P130" s="332">
        <f>Gasto_o_ing_per_capita!P130-Gasto_o_ing_per_capita!$D130</f>
        <v>-0.10151024022567831</v>
      </c>
      <c r="Q130" s="332">
        <f>Gasto_o_ing_per_capita!Q130-Gasto_o_ing_per_capita!$D130</f>
        <v>-0.10151024022567831</v>
      </c>
      <c r="R130" s="332">
        <f>Gasto_o_ing_per_capita!R130-Gasto_o_ing_per_capita!$D130</f>
        <v>-0.10151024022567831</v>
      </c>
      <c r="S130" s="332">
        <f>Gasto_o_ing_per_capita!S130-Gasto_o_ing_per_capita!$D130</f>
        <v>-0.10151024022567831</v>
      </c>
      <c r="T130" s="332">
        <f>Gasto_o_ing_per_capita!T130-Gasto_o_ing_per_capita!$D130</f>
        <v>-0.10151024022567831</v>
      </c>
      <c r="U130" s="332">
        <f>Gasto_o_ing_per_capita!U130-Gasto_o_ing_per_capita!$D130</f>
        <v>-0.10151024022567831</v>
      </c>
      <c r="V130" s="332">
        <f>Gasto_o_ing_per_capita!V130-Gasto_o_ing_per_capita!$D130</f>
        <v>27.838635397893345</v>
      </c>
      <c r="W130" s="122"/>
      <c r="X130" s="104"/>
    </row>
    <row r="131" spans="1:24"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Gasto_o_ing_per_capita!D131-Gasto_o_ing_per_capita!$D131</f>
        <v>0</v>
      </c>
      <c r="E131" s="332">
        <f>Gasto_o_ing_per_capita!E131-Gasto_o_ing_per_capita!$D131</f>
        <v>-9.9008135522437157E-3</v>
      </c>
      <c r="F131" s="332">
        <f>Gasto_o_ing_per_capita!F131-Gasto_o_ing_per_capita!$D131</f>
        <v>-9.9008135522437157E-3</v>
      </c>
      <c r="G131" s="332">
        <f>Gasto_o_ing_per_capita!G131-Gasto_o_ing_per_capita!$D131</f>
        <v>-9.9008135522437157E-3</v>
      </c>
      <c r="H131" s="332">
        <f>Gasto_o_ing_per_capita!H131-Gasto_o_ing_per_capita!$D131</f>
        <v>-9.9008135522437157E-3</v>
      </c>
      <c r="I131" s="332">
        <f>Gasto_o_ing_per_capita!I131-Gasto_o_ing_per_capita!$D131</f>
        <v>-9.9008135522437157E-3</v>
      </c>
      <c r="J131" s="332">
        <f>Gasto_o_ing_per_capita!J131-Gasto_o_ing_per_capita!$D131</f>
        <v>-9.9008135522437157E-3</v>
      </c>
      <c r="K131" s="332">
        <f>Gasto_o_ing_per_capita!K131-Gasto_o_ing_per_capita!$D131</f>
        <v>-9.9008135522437157E-3</v>
      </c>
      <c r="L131" s="332">
        <f>Gasto_o_ing_per_capita!L131-Gasto_o_ing_per_capita!$D131</f>
        <v>-9.9008135522437157E-3</v>
      </c>
      <c r="M131" s="332">
        <f>Gasto_o_ing_per_capita!M131-Gasto_o_ing_per_capita!$D131</f>
        <v>-9.9008135522437157E-3</v>
      </c>
      <c r="N131" s="332">
        <f>Gasto_o_ing_per_capita!N131-Gasto_o_ing_per_capita!$D131</f>
        <v>-9.9008135522437157E-3</v>
      </c>
      <c r="O131" s="332">
        <f>Gasto_o_ing_per_capita!O131-Gasto_o_ing_per_capita!$D131</f>
        <v>-9.9008135522437157E-3</v>
      </c>
      <c r="P131" s="332">
        <f>Gasto_o_ing_per_capita!P131-Gasto_o_ing_per_capita!$D131</f>
        <v>-9.9008135522437157E-3</v>
      </c>
      <c r="Q131" s="332">
        <f>Gasto_o_ing_per_capita!Q131-Gasto_o_ing_per_capita!$D131</f>
        <v>-9.9008135522437157E-3</v>
      </c>
      <c r="R131" s="332">
        <f>Gasto_o_ing_per_capita!R131-Gasto_o_ing_per_capita!$D131</f>
        <v>-9.9008135522437157E-3</v>
      </c>
      <c r="S131" s="332">
        <f>Gasto_o_ing_per_capita!S131-Gasto_o_ing_per_capita!$D131</f>
        <v>-9.9008135522437157E-3</v>
      </c>
      <c r="T131" s="332">
        <f>Gasto_o_ing_per_capita!T131-Gasto_o_ing_per_capita!$D131</f>
        <v>-9.9008135522437157E-3</v>
      </c>
      <c r="U131" s="332">
        <f>Gasto_o_ing_per_capita!U131-Gasto_o_ing_per_capita!$D131</f>
        <v>-9.9008135522437157E-3</v>
      </c>
      <c r="V131" s="332">
        <f>Gasto_o_ing_per_capita!V131-Gasto_o_ing_per_capita!$D131</f>
        <v>2.715244669017256</v>
      </c>
      <c r="W131" s="122"/>
      <c r="X131" s="104"/>
    </row>
    <row r="132" spans="1:24"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Gasto_o_ing_per_capita!D132-Gasto_o_ing_per_capita!$D132</f>
        <v>0</v>
      </c>
      <c r="E132" s="332">
        <f>Gasto_o_ing_per_capita!E132-Gasto_o_ing_per_capita!$D132</f>
        <v>-1.2680605252127017</v>
      </c>
      <c r="F132" s="332">
        <f>Gasto_o_ing_per_capita!F132-Gasto_o_ing_per_capita!$D132</f>
        <v>-1.2680605252127017</v>
      </c>
      <c r="G132" s="332">
        <f>Gasto_o_ing_per_capita!G132-Gasto_o_ing_per_capita!$D132</f>
        <v>-1.2680605252127017</v>
      </c>
      <c r="H132" s="332">
        <f>Gasto_o_ing_per_capita!H132-Gasto_o_ing_per_capita!$D132</f>
        <v>-1.2680605252127017</v>
      </c>
      <c r="I132" s="332">
        <f>Gasto_o_ing_per_capita!I132-Gasto_o_ing_per_capita!$D132</f>
        <v>-1.2680605252127017</v>
      </c>
      <c r="J132" s="332">
        <f>Gasto_o_ing_per_capita!J132-Gasto_o_ing_per_capita!$D132</f>
        <v>-1.2680605252127017</v>
      </c>
      <c r="K132" s="332">
        <f>Gasto_o_ing_per_capita!K132-Gasto_o_ing_per_capita!$D132</f>
        <v>-1.2680605252127017</v>
      </c>
      <c r="L132" s="332">
        <f>Gasto_o_ing_per_capita!L132-Gasto_o_ing_per_capita!$D132</f>
        <v>-1.2680605252127017</v>
      </c>
      <c r="M132" s="332">
        <f>Gasto_o_ing_per_capita!M132-Gasto_o_ing_per_capita!$D132</f>
        <v>-1.2680605252127017</v>
      </c>
      <c r="N132" s="332">
        <f>Gasto_o_ing_per_capita!N132-Gasto_o_ing_per_capita!$D132</f>
        <v>-1.2680605252127017</v>
      </c>
      <c r="O132" s="332">
        <f>Gasto_o_ing_per_capita!O132-Gasto_o_ing_per_capita!$D132</f>
        <v>-1.2680605252127017</v>
      </c>
      <c r="P132" s="332">
        <f>Gasto_o_ing_per_capita!P132-Gasto_o_ing_per_capita!$D132</f>
        <v>-1.2680605252127017</v>
      </c>
      <c r="Q132" s="332">
        <f>Gasto_o_ing_per_capita!Q132-Gasto_o_ing_per_capita!$D132</f>
        <v>-1.2680605252127017</v>
      </c>
      <c r="R132" s="332">
        <f>Gasto_o_ing_per_capita!R132-Gasto_o_ing_per_capita!$D132</f>
        <v>-1.2680605252127017</v>
      </c>
      <c r="S132" s="332">
        <f>Gasto_o_ing_per_capita!S132-Gasto_o_ing_per_capita!$D132</f>
        <v>-1.2680605252127017</v>
      </c>
      <c r="T132" s="332">
        <f>Gasto_o_ing_per_capita!T132-Gasto_o_ing_per_capita!$D132</f>
        <v>-1.2680605252127017</v>
      </c>
      <c r="U132" s="332">
        <f>Gasto_o_ing_per_capita!U132-Gasto_o_ing_per_capita!$D132</f>
        <v>-1.2680605252127017</v>
      </c>
      <c r="V132" s="332">
        <f>Gasto_o_ing_per_capita!V132-Gasto_o_ing_per_capita!$D132</f>
        <v>347.7587536525964</v>
      </c>
      <c r="W132" s="122"/>
      <c r="X132" s="104"/>
    </row>
    <row r="133" spans="1:24"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Gasto_o_ing_per_capita!D133-Gasto_o_ing_per_capita!$D133</f>
        <v>0</v>
      </c>
      <c r="E133" s="332">
        <f>Gasto_o_ing_per_capita!E133-Gasto_o_ing_per_capita!$D133</f>
        <v>-1.3903643459133563</v>
      </c>
      <c r="F133" s="332">
        <f>Gasto_o_ing_per_capita!F133-Gasto_o_ing_per_capita!$D133</f>
        <v>-1.3903643459133563</v>
      </c>
      <c r="G133" s="332">
        <f>Gasto_o_ing_per_capita!G133-Gasto_o_ing_per_capita!$D133</f>
        <v>-1.3903643459133563</v>
      </c>
      <c r="H133" s="332">
        <f>Gasto_o_ing_per_capita!H133-Gasto_o_ing_per_capita!$D133</f>
        <v>-1.3903643459133563</v>
      </c>
      <c r="I133" s="332">
        <f>Gasto_o_ing_per_capita!I133-Gasto_o_ing_per_capita!$D133</f>
        <v>-1.3903643459133563</v>
      </c>
      <c r="J133" s="332">
        <f>Gasto_o_ing_per_capita!J133-Gasto_o_ing_per_capita!$D133</f>
        <v>-1.3903643459133563</v>
      </c>
      <c r="K133" s="332">
        <f>Gasto_o_ing_per_capita!K133-Gasto_o_ing_per_capita!$D133</f>
        <v>-1.3903643459133563</v>
      </c>
      <c r="L133" s="332">
        <f>Gasto_o_ing_per_capita!L133-Gasto_o_ing_per_capita!$D133</f>
        <v>-1.3903643459133563</v>
      </c>
      <c r="M133" s="332">
        <f>Gasto_o_ing_per_capita!M133-Gasto_o_ing_per_capita!$D133</f>
        <v>-1.3903643459133563</v>
      </c>
      <c r="N133" s="332">
        <f>Gasto_o_ing_per_capita!N133-Gasto_o_ing_per_capita!$D133</f>
        <v>-1.3903643459133563</v>
      </c>
      <c r="O133" s="332">
        <f>Gasto_o_ing_per_capita!O133-Gasto_o_ing_per_capita!$D133</f>
        <v>-1.3903643459133563</v>
      </c>
      <c r="P133" s="332">
        <f>Gasto_o_ing_per_capita!P133-Gasto_o_ing_per_capita!$D133</f>
        <v>-1.3903643459133563</v>
      </c>
      <c r="Q133" s="332">
        <f>Gasto_o_ing_per_capita!Q133-Gasto_o_ing_per_capita!$D133</f>
        <v>-1.3903643459133563</v>
      </c>
      <c r="R133" s="332">
        <f>Gasto_o_ing_per_capita!R133-Gasto_o_ing_per_capita!$D133</f>
        <v>-1.3903643459133563</v>
      </c>
      <c r="S133" s="332">
        <f>Gasto_o_ing_per_capita!S133-Gasto_o_ing_per_capita!$D133</f>
        <v>-1.3903643459133563</v>
      </c>
      <c r="T133" s="332">
        <f>Gasto_o_ing_per_capita!T133-Gasto_o_ing_per_capita!$D133</f>
        <v>-1.3903643459133563</v>
      </c>
      <c r="U133" s="332">
        <f>Gasto_o_ing_per_capita!U133-Gasto_o_ing_per_capita!$D133</f>
        <v>-1.3903643459133563</v>
      </c>
      <c r="V133" s="332">
        <f>Gasto_o_ing_per_capita!V133-Gasto_o_ing_per_capita!$D133</f>
        <v>381.29991624550649</v>
      </c>
      <c r="W133" s="122"/>
      <c r="X133" s="104"/>
    </row>
    <row r="134" spans="1:24" s="102" customFormat="1">
      <c r="A134" s="351" t="str">
        <f>IF(B134="","",(IF(ISERROR(MATCH(B134,Tot_res!C:C,0)),"Eliminar!!!","")))</f>
        <v/>
      </c>
      <c r="B134" s="115" t="s">
        <v>947</v>
      </c>
      <c r="C134" s="329" t="str">
        <f>VLOOKUP(B134,Tot_res!C:D,2,FALSE)</f>
        <v>Enseñanzas universitarias, gasto directo del Estado en Ceuta y Melilla</v>
      </c>
      <c r="D134" s="332">
        <f>Gasto_o_ing_per_capita!D134-Gasto_o_ing_per_capita!$D134</f>
        <v>0</v>
      </c>
      <c r="E134" s="332">
        <f>Gasto_o_ing_per_capita!E134-Gasto_o_ing_per_capita!$D134</f>
        <v>-0.17596094844728596</v>
      </c>
      <c r="F134" s="332">
        <f>Gasto_o_ing_per_capita!F134-Gasto_o_ing_per_capita!$D134</f>
        <v>-0.17596094844728596</v>
      </c>
      <c r="G134" s="332">
        <f>Gasto_o_ing_per_capita!G134-Gasto_o_ing_per_capita!$D134</f>
        <v>-0.17596094844728596</v>
      </c>
      <c r="H134" s="332">
        <f>Gasto_o_ing_per_capita!H134-Gasto_o_ing_per_capita!$D134</f>
        <v>-0.17596094844728596</v>
      </c>
      <c r="I134" s="332">
        <f>Gasto_o_ing_per_capita!I134-Gasto_o_ing_per_capita!$D134</f>
        <v>-0.17596094844728596</v>
      </c>
      <c r="J134" s="332">
        <f>Gasto_o_ing_per_capita!J134-Gasto_o_ing_per_capita!$D134</f>
        <v>-0.17596094844728596</v>
      </c>
      <c r="K134" s="332">
        <f>Gasto_o_ing_per_capita!K134-Gasto_o_ing_per_capita!$D134</f>
        <v>-0.17596094844728596</v>
      </c>
      <c r="L134" s="332">
        <f>Gasto_o_ing_per_capita!L134-Gasto_o_ing_per_capita!$D134</f>
        <v>-0.17596094844728596</v>
      </c>
      <c r="M134" s="332">
        <f>Gasto_o_ing_per_capita!M134-Gasto_o_ing_per_capita!$D134</f>
        <v>-0.17596094844728596</v>
      </c>
      <c r="N134" s="332">
        <f>Gasto_o_ing_per_capita!N134-Gasto_o_ing_per_capita!$D134</f>
        <v>-0.17596094844728596</v>
      </c>
      <c r="O134" s="332">
        <f>Gasto_o_ing_per_capita!O134-Gasto_o_ing_per_capita!$D134</f>
        <v>-0.17596094844728596</v>
      </c>
      <c r="P134" s="332">
        <f>Gasto_o_ing_per_capita!P134-Gasto_o_ing_per_capita!$D134</f>
        <v>-0.17596094844728596</v>
      </c>
      <c r="Q134" s="332">
        <f>Gasto_o_ing_per_capita!Q134-Gasto_o_ing_per_capita!$D134</f>
        <v>-0.17596094844728596</v>
      </c>
      <c r="R134" s="332">
        <f>Gasto_o_ing_per_capita!R134-Gasto_o_ing_per_capita!$D134</f>
        <v>-0.17596094844728596</v>
      </c>
      <c r="S134" s="332">
        <f>Gasto_o_ing_per_capita!S134-Gasto_o_ing_per_capita!$D134</f>
        <v>-0.17596094844728596</v>
      </c>
      <c r="T134" s="332">
        <f>Gasto_o_ing_per_capita!T134-Gasto_o_ing_per_capita!$D134</f>
        <v>-0.17596094844728596</v>
      </c>
      <c r="U134" s="332">
        <f>Gasto_o_ing_per_capita!U134-Gasto_o_ing_per_capita!$D134</f>
        <v>-0.17596094844728596</v>
      </c>
      <c r="V134" s="332">
        <f>Gasto_o_ing_per_capita!V134-Gasto_o_ing_per_capita!$D134</f>
        <v>48.256340219480244</v>
      </c>
      <c r="W134" s="122"/>
      <c r="X134" s="104"/>
    </row>
    <row r="135" spans="1:24" s="102" customFormat="1">
      <c r="A135" s="351" t="str">
        <f>IF(B135="","",(IF(ISERROR(MATCH(B135,Tot_res!C:C,0)),"Eliminar!!!","")))</f>
        <v/>
      </c>
      <c r="B135" s="115" t="s">
        <v>948</v>
      </c>
      <c r="C135" s="329" t="str">
        <f>VLOOKUP(B135,Tot_res!C:D,2,FALSE)</f>
        <v>Enseñanzas artísticas, gasto directo del Estado en Ceuta y Melilla</v>
      </c>
      <c r="D135" s="332">
        <f>Gasto_o_ing_per_capita!D135-Gasto_o_ing_per_capita!$D135</f>
        <v>0</v>
      </c>
      <c r="E135" s="332">
        <f>Gasto_o_ing_per_capita!E135-Gasto_o_ing_per_capita!$D135</f>
        <v>-0.11316029193328263</v>
      </c>
      <c r="F135" s="332">
        <f>Gasto_o_ing_per_capita!F135-Gasto_o_ing_per_capita!$D135</f>
        <v>-0.11316029193328263</v>
      </c>
      <c r="G135" s="332">
        <f>Gasto_o_ing_per_capita!G135-Gasto_o_ing_per_capita!$D135</f>
        <v>-0.11316029193328263</v>
      </c>
      <c r="H135" s="332">
        <f>Gasto_o_ing_per_capita!H135-Gasto_o_ing_per_capita!$D135</f>
        <v>-0.11316029193328263</v>
      </c>
      <c r="I135" s="332">
        <f>Gasto_o_ing_per_capita!I135-Gasto_o_ing_per_capita!$D135</f>
        <v>-0.11316029193328263</v>
      </c>
      <c r="J135" s="332">
        <f>Gasto_o_ing_per_capita!J135-Gasto_o_ing_per_capita!$D135</f>
        <v>-0.11316029193328263</v>
      </c>
      <c r="K135" s="332">
        <f>Gasto_o_ing_per_capita!K135-Gasto_o_ing_per_capita!$D135</f>
        <v>-0.11316029193328263</v>
      </c>
      <c r="L135" s="332">
        <f>Gasto_o_ing_per_capita!L135-Gasto_o_ing_per_capita!$D135</f>
        <v>-0.11316029193328263</v>
      </c>
      <c r="M135" s="332">
        <f>Gasto_o_ing_per_capita!M135-Gasto_o_ing_per_capita!$D135</f>
        <v>-0.11316029193328263</v>
      </c>
      <c r="N135" s="332">
        <f>Gasto_o_ing_per_capita!N135-Gasto_o_ing_per_capita!$D135</f>
        <v>-0.11316029193328263</v>
      </c>
      <c r="O135" s="332">
        <f>Gasto_o_ing_per_capita!O135-Gasto_o_ing_per_capita!$D135</f>
        <v>-0.11316029193328263</v>
      </c>
      <c r="P135" s="332">
        <f>Gasto_o_ing_per_capita!P135-Gasto_o_ing_per_capita!$D135</f>
        <v>-0.11316029193328263</v>
      </c>
      <c r="Q135" s="332">
        <f>Gasto_o_ing_per_capita!Q135-Gasto_o_ing_per_capita!$D135</f>
        <v>-0.11316029193328263</v>
      </c>
      <c r="R135" s="332">
        <f>Gasto_o_ing_per_capita!R135-Gasto_o_ing_per_capita!$D135</f>
        <v>-0.11316029193328263</v>
      </c>
      <c r="S135" s="332">
        <f>Gasto_o_ing_per_capita!S135-Gasto_o_ing_per_capita!$D135</f>
        <v>-0.11316029193328263</v>
      </c>
      <c r="T135" s="332">
        <f>Gasto_o_ing_per_capita!T135-Gasto_o_ing_per_capita!$D135</f>
        <v>-0.11316029193328263</v>
      </c>
      <c r="U135" s="332">
        <f>Gasto_o_ing_per_capita!U135-Gasto_o_ing_per_capita!$D135</f>
        <v>-0.11316029193328263</v>
      </c>
      <c r="V135" s="332">
        <f>Gasto_o_ing_per_capita!V135-Gasto_o_ing_per_capita!$D135</f>
        <v>31.033599188084043</v>
      </c>
      <c r="W135" s="122"/>
      <c r="X135" s="104"/>
    </row>
    <row r="136" spans="1:24" s="102" customFormat="1">
      <c r="A136" s="351" t="str">
        <f>IF(B136="","",(IF(ISERROR(MATCH(B136,Tot_res!C:C,0)),"Eliminar!!!","")))</f>
        <v/>
      </c>
      <c r="B136" s="115" t="s">
        <v>949</v>
      </c>
      <c r="C136" s="329" t="str">
        <f>VLOOKUP(B136,Tot_res!C:D,2,FALSE)</f>
        <v>Educación compensatoria, gasto directo del Estado en Ceuta y Melilla</v>
      </c>
      <c r="D136" s="332">
        <f>Gasto_o_ing_per_capita!D136-Gasto_o_ing_per_capita!$D136</f>
        <v>0</v>
      </c>
      <c r="E136" s="332">
        <f>Gasto_o_ing_per_capita!E136-Gasto_o_ing_per_capita!$D136</f>
        <v>-7.3537810291377056E-2</v>
      </c>
      <c r="F136" s="332">
        <f>Gasto_o_ing_per_capita!F136-Gasto_o_ing_per_capita!$D136</f>
        <v>-7.3537810291377056E-2</v>
      </c>
      <c r="G136" s="332">
        <f>Gasto_o_ing_per_capita!G136-Gasto_o_ing_per_capita!$D136</f>
        <v>-7.3537810291377056E-2</v>
      </c>
      <c r="H136" s="332">
        <f>Gasto_o_ing_per_capita!H136-Gasto_o_ing_per_capita!$D136</f>
        <v>-7.3537810291377056E-2</v>
      </c>
      <c r="I136" s="332">
        <f>Gasto_o_ing_per_capita!I136-Gasto_o_ing_per_capita!$D136</f>
        <v>-7.3537810291377056E-2</v>
      </c>
      <c r="J136" s="332">
        <f>Gasto_o_ing_per_capita!J136-Gasto_o_ing_per_capita!$D136</f>
        <v>-7.3537810291377056E-2</v>
      </c>
      <c r="K136" s="332">
        <f>Gasto_o_ing_per_capita!K136-Gasto_o_ing_per_capita!$D136</f>
        <v>-7.3537810291377056E-2</v>
      </c>
      <c r="L136" s="332">
        <f>Gasto_o_ing_per_capita!L136-Gasto_o_ing_per_capita!$D136</f>
        <v>-7.3537810291377056E-2</v>
      </c>
      <c r="M136" s="332">
        <f>Gasto_o_ing_per_capita!M136-Gasto_o_ing_per_capita!$D136</f>
        <v>-7.3537810291377056E-2</v>
      </c>
      <c r="N136" s="332">
        <f>Gasto_o_ing_per_capita!N136-Gasto_o_ing_per_capita!$D136</f>
        <v>-7.3537810291377056E-2</v>
      </c>
      <c r="O136" s="332">
        <f>Gasto_o_ing_per_capita!O136-Gasto_o_ing_per_capita!$D136</f>
        <v>-7.3537810291377056E-2</v>
      </c>
      <c r="P136" s="332">
        <f>Gasto_o_ing_per_capita!P136-Gasto_o_ing_per_capita!$D136</f>
        <v>-7.3537810291377056E-2</v>
      </c>
      <c r="Q136" s="332">
        <f>Gasto_o_ing_per_capita!Q136-Gasto_o_ing_per_capita!$D136</f>
        <v>-7.3537810291377056E-2</v>
      </c>
      <c r="R136" s="332">
        <f>Gasto_o_ing_per_capita!R136-Gasto_o_ing_per_capita!$D136</f>
        <v>-7.3537810291377056E-2</v>
      </c>
      <c r="S136" s="332">
        <f>Gasto_o_ing_per_capita!S136-Gasto_o_ing_per_capita!$D136</f>
        <v>-7.3537810291377056E-2</v>
      </c>
      <c r="T136" s="332">
        <f>Gasto_o_ing_per_capita!T136-Gasto_o_ing_per_capita!$D136</f>
        <v>-7.3537810291377056E-2</v>
      </c>
      <c r="U136" s="332">
        <f>Gasto_o_ing_per_capita!U136-Gasto_o_ing_per_capita!$D136</f>
        <v>-7.3537810291377056E-2</v>
      </c>
      <c r="V136" s="332">
        <f>Gasto_o_ing_per_capita!V136-Gasto_o_ing_per_capita!$D136</f>
        <v>20.167347492329462</v>
      </c>
      <c r="W136" s="122"/>
      <c r="X136" s="104"/>
    </row>
    <row r="137" spans="1:24" s="102" customFormat="1">
      <c r="A137" s="351" t="str">
        <f>IF(B137="","",(IF(ISERROR(MATCH(B137,Tot_res!C:C,0)),"Eliminar!!!","")))</f>
        <v/>
      </c>
      <c r="B137" s="102" t="s">
        <v>950</v>
      </c>
      <c r="C137" s="329" t="str">
        <f>VLOOKUP(B137,Tot_res!C:D,2,FALSE)</f>
        <v>Otras enseñanzas y actividades educativas, gasto directo en Ceuta y Melilla</v>
      </c>
      <c r="D137" s="332">
        <f>Gasto_o_ing_per_capita!D137-Gasto_o_ing_per_capita!$D137</f>
        <v>0</v>
      </c>
      <c r="E137" s="332">
        <f>Gasto_o_ing_per_capita!E137-Gasto_o_ing_per_capita!$D137</f>
        <v>-0.32855242139942531</v>
      </c>
      <c r="F137" s="332">
        <f>Gasto_o_ing_per_capita!F137-Gasto_o_ing_per_capita!$D137</f>
        <v>-0.32855242139942531</v>
      </c>
      <c r="G137" s="332">
        <f>Gasto_o_ing_per_capita!G137-Gasto_o_ing_per_capita!$D137</f>
        <v>-0.32855242139942531</v>
      </c>
      <c r="H137" s="332">
        <f>Gasto_o_ing_per_capita!H137-Gasto_o_ing_per_capita!$D137</f>
        <v>-0.32855242139942531</v>
      </c>
      <c r="I137" s="332">
        <f>Gasto_o_ing_per_capita!I137-Gasto_o_ing_per_capita!$D137</f>
        <v>-0.32855242139942531</v>
      </c>
      <c r="J137" s="332">
        <f>Gasto_o_ing_per_capita!J137-Gasto_o_ing_per_capita!$D137</f>
        <v>-0.32855242139942531</v>
      </c>
      <c r="K137" s="332">
        <f>Gasto_o_ing_per_capita!K137-Gasto_o_ing_per_capita!$D137</f>
        <v>-0.32855242139942531</v>
      </c>
      <c r="L137" s="332">
        <f>Gasto_o_ing_per_capita!L137-Gasto_o_ing_per_capita!$D137</f>
        <v>-0.32855242139942531</v>
      </c>
      <c r="M137" s="332">
        <f>Gasto_o_ing_per_capita!M137-Gasto_o_ing_per_capita!$D137</f>
        <v>-0.32855242139942531</v>
      </c>
      <c r="N137" s="332">
        <f>Gasto_o_ing_per_capita!N137-Gasto_o_ing_per_capita!$D137</f>
        <v>-0.32855242139942531</v>
      </c>
      <c r="O137" s="332">
        <f>Gasto_o_ing_per_capita!O137-Gasto_o_ing_per_capita!$D137</f>
        <v>-0.32855242139942531</v>
      </c>
      <c r="P137" s="332">
        <f>Gasto_o_ing_per_capita!P137-Gasto_o_ing_per_capita!$D137</f>
        <v>-0.32855242139942531</v>
      </c>
      <c r="Q137" s="332">
        <f>Gasto_o_ing_per_capita!Q137-Gasto_o_ing_per_capita!$D137</f>
        <v>-0.32855242139942531</v>
      </c>
      <c r="R137" s="332">
        <f>Gasto_o_ing_per_capita!R137-Gasto_o_ing_per_capita!$D137</f>
        <v>-0.32855242139942531</v>
      </c>
      <c r="S137" s="332">
        <f>Gasto_o_ing_per_capita!S137-Gasto_o_ing_per_capita!$D137</f>
        <v>-0.32855242139942531</v>
      </c>
      <c r="T137" s="332">
        <f>Gasto_o_ing_per_capita!T137-Gasto_o_ing_per_capita!$D137</f>
        <v>-0.32855242139942531</v>
      </c>
      <c r="U137" s="332">
        <f>Gasto_o_ing_per_capita!U137-Gasto_o_ing_per_capita!$D137</f>
        <v>-0.32855242139942531</v>
      </c>
      <c r="V137" s="332">
        <f>Gasto_o_ing_per_capita!V137-Gasto_o_ing_per_capita!$D137</f>
        <v>90.103727940148261</v>
      </c>
      <c r="W137" s="122"/>
      <c r="X137" s="104"/>
    </row>
    <row r="138" spans="1:24" s="102" customFormat="1">
      <c r="A138" s="351" t="str">
        <f>IF(B138="","",(IF(ISERROR(MATCH(B138,Tot_res!C:C,0)),"Eliminar!!!","")))</f>
        <v/>
      </c>
      <c r="B138" s="115" t="s">
        <v>951</v>
      </c>
      <c r="C138" s="329" t="str">
        <f>VLOOKUP(B138,Tot_res!C:D,2,FALSE)</f>
        <v>Servicios complementarios de la enseñanza, gasto directo del Estado en Ceuta y Melilla</v>
      </c>
      <c r="D138" s="332">
        <f>Gasto_o_ing_per_capita!D138-Gasto_o_ing_per_capita!$D138</f>
        <v>0</v>
      </c>
      <c r="E138" s="332">
        <f>Gasto_o_ing_per_capita!E138-Gasto_o_ing_per_capita!$D138</f>
        <v>-5.3487646324018492E-2</v>
      </c>
      <c r="F138" s="332">
        <f>Gasto_o_ing_per_capita!F138-Gasto_o_ing_per_capita!$D138</f>
        <v>-5.3487646324018492E-2</v>
      </c>
      <c r="G138" s="332">
        <f>Gasto_o_ing_per_capita!G138-Gasto_o_ing_per_capita!$D138</f>
        <v>-5.3487646324018492E-2</v>
      </c>
      <c r="H138" s="332">
        <f>Gasto_o_ing_per_capita!H138-Gasto_o_ing_per_capita!$D138</f>
        <v>-5.3487646324018492E-2</v>
      </c>
      <c r="I138" s="332">
        <f>Gasto_o_ing_per_capita!I138-Gasto_o_ing_per_capita!$D138</f>
        <v>-5.3487646324018492E-2</v>
      </c>
      <c r="J138" s="332">
        <f>Gasto_o_ing_per_capita!J138-Gasto_o_ing_per_capita!$D138</f>
        <v>-5.3487646324018492E-2</v>
      </c>
      <c r="K138" s="332">
        <f>Gasto_o_ing_per_capita!K138-Gasto_o_ing_per_capita!$D138</f>
        <v>-5.3487646324018492E-2</v>
      </c>
      <c r="L138" s="332">
        <f>Gasto_o_ing_per_capita!L138-Gasto_o_ing_per_capita!$D138</f>
        <v>-5.3487646324018492E-2</v>
      </c>
      <c r="M138" s="332">
        <f>Gasto_o_ing_per_capita!M138-Gasto_o_ing_per_capita!$D138</f>
        <v>-5.3487646324018492E-2</v>
      </c>
      <c r="N138" s="332">
        <f>Gasto_o_ing_per_capita!N138-Gasto_o_ing_per_capita!$D138</f>
        <v>-5.3487646324018492E-2</v>
      </c>
      <c r="O138" s="332">
        <f>Gasto_o_ing_per_capita!O138-Gasto_o_ing_per_capita!$D138</f>
        <v>-5.3487646324018492E-2</v>
      </c>
      <c r="P138" s="332">
        <f>Gasto_o_ing_per_capita!P138-Gasto_o_ing_per_capita!$D138</f>
        <v>-5.3487646324018492E-2</v>
      </c>
      <c r="Q138" s="332">
        <f>Gasto_o_ing_per_capita!Q138-Gasto_o_ing_per_capita!$D138</f>
        <v>-5.3487646324018492E-2</v>
      </c>
      <c r="R138" s="332">
        <f>Gasto_o_ing_per_capita!R138-Gasto_o_ing_per_capita!$D138</f>
        <v>-5.3487646324018492E-2</v>
      </c>
      <c r="S138" s="332">
        <f>Gasto_o_ing_per_capita!S138-Gasto_o_ing_per_capita!$D138</f>
        <v>-5.3487646324018492E-2</v>
      </c>
      <c r="T138" s="332">
        <f>Gasto_o_ing_per_capita!T138-Gasto_o_ing_per_capita!$D138</f>
        <v>-5.3487646324018492E-2</v>
      </c>
      <c r="U138" s="332">
        <f>Gasto_o_ing_per_capita!U138-Gasto_o_ing_per_capita!$D138</f>
        <v>-5.3487646324018492E-2</v>
      </c>
      <c r="V138" s="332">
        <f>Gasto_o_ing_per_capita!V138-Gasto_o_ing_per_capita!$D138</f>
        <v>14.668698261332198</v>
      </c>
      <c r="W138" s="122"/>
      <c r="X138" s="104"/>
    </row>
    <row r="139" spans="1:24" s="102" customFormat="1">
      <c r="A139" s="351" t="str">
        <f>IF(B139="","",(IF(ISERROR(MATCH(B139,Tot_res!C:C,0)),"Eliminar!!!","")))</f>
        <v/>
      </c>
      <c r="B139" s="115" t="s">
        <v>982</v>
      </c>
      <c r="C139" s="329" t="str">
        <f>VLOOKUP(B139,Tot_res!C:D,2,FALSE)</f>
        <v xml:space="preserve">Atención Primaria de Salud, gasto directo del INGESA en Ceuta y Melilla </v>
      </c>
      <c r="D139" s="332">
        <f>Gasto_o_ing_per_capita!D139-Gasto_o_ing_per_capita!$D139</f>
        <v>0</v>
      </c>
      <c r="E139" s="332">
        <f>Gasto_o_ing_per_capita!E139-Gasto_o_ing_per_capita!$D139</f>
        <v>-1.2448143855581053</v>
      </c>
      <c r="F139" s="332">
        <f>Gasto_o_ing_per_capita!F139-Gasto_o_ing_per_capita!$D139</f>
        <v>-1.2448143855581053</v>
      </c>
      <c r="G139" s="332">
        <f>Gasto_o_ing_per_capita!G139-Gasto_o_ing_per_capita!$D139</f>
        <v>-1.2448143855581053</v>
      </c>
      <c r="H139" s="332">
        <f>Gasto_o_ing_per_capita!H139-Gasto_o_ing_per_capita!$D139</f>
        <v>-1.2448143855581053</v>
      </c>
      <c r="I139" s="332">
        <f>Gasto_o_ing_per_capita!I139-Gasto_o_ing_per_capita!$D139</f>
        <v>-1.2448143855581053</v>
      </c>
      <c r="J139" s="332">
        <f>Gasto_o_ing_per_capita!J139-Gasto_o_ing_per_capita!$D139</f>
        <v>-1.2448143855581053</v>
      </c>
      <c r="K139" s="332">
        <f>Gasto_o_ing_per_capita!K139-Gasto_o_ing_per_capita!$D139</f>
        <v>-1.2448143855581053</v>
      </c>
      <c r="L139" s="332">
        <f>Gasto_o_ing_per_capita!L139-Gasto_o_ing_per_capita!$D139</f>
        <v>-1.2448143855581053</v>
      </c>
      <c r="M139" s="332">
        <f>Gasto_o_ing_per_capita!M139-Gasto_o_ing_per_capita!$D139</f>
        <v>-1.2448143855581053</v>
      </c>
      <c r="N139" s="332">
        <f>Gasto_o_ing_per_capita!N139-Gasto_o_ing_per_capita!$D139</f>
        <v>-1.2448143855581053</v>
      </c>
      <c r="O139" s="332">
        <f>Gasto_o_ing_per_capita!O139-Gasto_o_ing_per_capita!$D139</f>
        <v>-1.2448143855581053</v>
      </c>
      <c r="P139" s="332">
        <f>Gasto_o_ing_per_capita!P139-Gasto_o_ing_per_capita!$D139</f>
        <v>-1.2448143855581053</v>
      </c>
      <c r="Q139" s="332">
        <f>Gasto_o_ing_per_capita!Q139-Gasto_o_ing_per_capita!$D139</f>
        <v>-1.2448143855581053</v>
      </c>
      <c r="R139" s="332">
        <f>Gasto_o_ing_per_capita!R139-Gasto_o_ing_per_capita!$D139</f>
        <v>-1.2448143855581053</v>
      </c>
      <c r="S139" s="332">
        <f>Gasto_o_ing_per_capita!S139-Gasto_o_ing_per_capita!$D139</f>
        <v>-1.2448143855581053</v>
      </c>
      <c r="T139" s="332">
        <f>Gasto_o_ing_per_capita!T139-Gasto_o_ing_per_capita!$D139</f>
        <v>-1.2448143855581053</v>
      </c>
      <c r="U139" s="332">
        <f>Gasto_o_ing_per_capita!U139-Gasto_o_ing_per_capita!$D139</f>
        <v>-1.2448143855581053</v>
      </c>
      <c r="V139" s="332">
        <f>Gasto_o_ing_per_capita!V139-Gasto_o_ing_per_capita!$D139</f>
        <v>341.38362534224967</v>
      </c>
      <c r="W139" s="122"/>
      <c r="X139" s="104"/>
    </row>
    <row r="140" spans="1:24" s="102" customFormat="1">
      <c r="A140" s="351" t="str">
        <f>IF(B140="","",(IF(ISERROR(MATCH(B140,Tot_res!C:C,0)),"Eliminar!!!","")))</f>
        <v/>
      </c>
      <c r="B140" s="115" t="s">
        <v>983</v>
      </c>
      <c r="C140" s="329" t="str">
        <f>VLOOKUP(B140,Tot_res!C:D,2,FALSE)</f>
        <v>Atención Especializada, gasto directo del INGESA en Ceuta y Melilla</v>
      </c>
      <c r="D140" s="332">
        <f>Gasto_o_ing_per_capita!D140-Gasto_o_ing_per_capita!$D140</f>
        <v>0</v>
      </c>
      <c r="E140" s="332">
        <f>Gasto_o_ing_per_capita!E140-Gasto_o_ing_per_capita!$D140</f>
        <v>-3.0076308824071418</v>
      </c>
      <c r="F140" s="332">
        <f>Gasto_o_ing_per_capita!F140-Gasto_o_ing_per_capita!$D140</f>
        <v>-3.0076308824071418</v>
      </c>
      <c r="G140" s="332">
        <f>Gasto_o_ing_per_capita!G140-Gasto_o_ing_per_capita!$D140</f>
        <v>-3.0076308824071418</v>
      </c>
      <c r="H140" s="332">
        <f>Gasto_o_ing_per_capita!H140-Gasto_o_ing_per_capita!$D140</f>
        <v>-3.0076308824071418</v>
      </c>
      <c r="I140" s="332">
        <f>Gasto_o_ing_per_capita!I140-Gasto_o_ing_per_capita!$D140</f>
        <v>-3.0076308824071418</v>
      </c>
      <c r="J140" s="332">
        <f>Gasto_o_ing_per_capita!J140-Gasto_o_ing_per_capita!$D140</f>
        <v>-3.0076308824071418</v>
      </c>
      <c r="K140" s="332">
        <f>Gasto_o_ing_per_capita!K140-Gasto_o_ing_per_capita!$D140</f>
        <v>-3.0076308824071418</v>
      </c>
      <c r="L140" s="332">
        <f>Gasto_o_ing_per_capita!L140-Gasto_o_ing_per_capita!$D140</f>
        <v>-3.0076308824071418</v>
      </c>
      <c r="M140" s="332">
        <f>Gasto_o_ing_per_capita!M140-Gasto_o_ing_per_capita!$D140</f>
        <v>-3.0076308824071418</v>
      </c>
      <c r="N140" s="332">
        <f>Gasto_o_ing_per_capita!N140-Gasto_o_ing_per_capita!$D140</f>
        <v>-3.0076308824071418</v>
      </c>
      <c r="O140" s="332">
        <f>Gasto_o_ing_per_capita!O140-Gasto_o_ing_per_capita!$D140</f>
        <v>-3.0076308824071418</v>
      </c>
      <c r="P140" s="332">
        <f>Gasto_o_ing_per_capita!P140-Gasto_o_ing_per_capita!$D140</f>
        <v>-3.0076308824071418</v>
      </c>
      <c r="Q140" s="332">
        <f>Gasto_o_ing_per_capita!Q140-Gasto_o_ing_per_capita!$D140</f>
        <v>-3.0076308824071418</v>
      </c>
      <c r="R140" s="332">
        <f>Gasto_o_ing_per_capita!R140-Gasto_o_ing_per_capita!$D140</f>
        <v>-3.0076308824071418</v>
      </c>
      <c r="S140" s="332">
        <f>Gasto_o_ing_per_capita!S140-Gasto_o_ing_per_capita!$D140</f>
        <v>-3.0076308824071418</v>
      </c>
      <c r="T140" s="332">
        <f>Gasto_o_ing_per_capita!T140-Gasto_o_ing_per_capita!$D140</f>
        <v>-3.0076308824071418</v>
      </c>
      <c r="U140" s="332">
        <f>Gasto_o_ing_per_capita!U140-Gasto_o_ing_per_capita!$D140</f>
        <v>-3.0076308824071418</v>
      </c>
      <c r="V140" s="332">
        <f>Gasto_o_ing_per_capita!V140-Gasto_o_ing_per_capita!$D140</f>
        <v>824.82653336876353</v>
      </c>
      <c r="W140" s="122"/>
      <c r="X140" s="104"/>
    </row>
    <row r="141" spans="1:24" s="102" customFormat="1">
      <c r="A141" s="351" t="str">
        <f>IF(B141="","",(IF(ISERROR(MATCH(B141,Tot_res!C:C,0)),"Eliminar!!!","")))</f>
        <v/>
      </c>
      <c r="B141" s="115" t="s">
        <v>952</v>
      </c>
      <c r="C141" s="329" t="str">
        <f>VLOOKUP(B141,Tot_res!C:D,2,FALSE)</f>
        <v>Admón.,Ser.Grales.y Cont.Int.Asist.San, gasto directo del INGESA en Ceuta y Melila</v>
      </c>
      <c r="D141" s="332">
        <f>Gasto_o_ing_per_capita!D141-Gasto_o_ing_per_capita!$D141</f>
        <v>0</v>
      </c>
      <c r="E141" s="332">
        <f>Gasto_o_ing_per_capita!E141-Gasto_o_ing_per_capita!$D141</f>
        <v>-0.29971659257629363</v>
      </c>
      <c r="F141" s="332">
        <f>Gasto_o_ing_per_capita!F141-Gasto_o_ing_per_capita!$D141</f>
        <v>-0.29971659257629363</v>
      </c>
      <c r="G141" s="332">
        <f>Gasto_o_ing_per_capita!G141-Gasto_o_ing_per_capita!$D141</f>
        <v>-0.29971659257629363</v>
      </c>
      <c r="H141" s="332">
        <f>Gasto_o_ing_per_capita!H141-Gasto_o_ing_per_capita!$D141</f>
        <v>-0.29971659257629363</v>
      </c>
      <c r="I141" s="332">
        <f>Gasto_o_ing_per_capita!I141-Gasto_o_ing_per_capita!$D141</f>
        <v>-0.29971659257629363</v>
      </c>
      <c r="J141" s="332">
        <f>Gasto_o_ing_per_capita!J141-Gasto_o_ing_per_capita!$D141</f>
        <v>-0.29971659257629363</v>
      </c>
      <c r="K141" s="332">
        <f>Gasto_o_ing_per_capita!K141-Gasto_o_ing_per_capita!$D141</f>
        <v>-0.29971659257629363</v>
      </c>
      <c r="L141" s="332">
        <f>Gasto_o_ing_per_capita!L141-Gasto_o_ing_per_capita!$D141</f>
        <v>-0.29971659257629363</v>
      </c>
      <c r="M141" s="332">
        <f>Gasto_o_ing_per_capita!M141-Gasto_o_ing_per_capita!$D141</f>
        <v>-0.29971659257629363</v>
      </c>
      <c r="N141" s="332">
        <f>Gasto_o_ing_per_capita!N141-Gasto_o_ing_per_capita!$D141</f>
        <v>-0.29971659257629363</v>
      </c>
      <c r="O141" s="332">
        <f>Gasto_o_ing_per_capita!O141-Gasto_o_ing_per_capita!$D141</f>
        <v>-0.29971659257629363</v>
      </c>
      <c r="P141" s="332">
        <f>Gasto_o_ing_per_capita!P141-Gasto_o_ing_per_capita!$D141</f>
        <v>-0.29971659257629363</v>
      </c>
      <c r="Q141" s="332">
        <f>Gasto_o_ing_per_capita!Q141-Gasto_o_ing_per_capita!$D141</f>
        <v>-0.29971659257629363</v>
      </c>
      <c r="R141" s="332">
        <f>Gasto_o_ing_per_capita!R141-Gasto_o_ing_per_capita!$D141</f>
        <v>-0.29971659257629363</v>
      </c>
      <c r="S141" s="332">
        <f>Gasto_o_ing_per_capita!S141-Gasto_o_ing_per_capita!$D141</f>
        <v>-0.29971659257629363</v>
      </c>
      <c r="T141" s="332">
        <f>Gasto_o_ing_per_capita!T141-Gasto_o_ing_per_capita!$D141</f>
        <v>-0.29971659257629363</v>
      </c>
      <c r="U141" s="332">
        <f>Gasto_o_ing_per_capita!U141-Gasto_o_ing_per_capita!$D141</f>
        <v>-0.29971659257629363</v>
      </c>
      <c r="V141" s="332">
        <f>Gasto_o_ing_per_capita!V141-Gasto_o_ing_per_capita!$D141</f>
        <v>82.19565755021965</v>
      </c>
      <c r="W141" s="122"/>
      <c r="X141" s="104"/>
    </row>
    <row r="142" spans="1:24" s="102" customFormat="1">
      <c r="A142" s="351" t="str">
        <f>IF(B142="","",(IF(ISERROR(MATCH(B142,Tot_res!C:C,0)),"Eliminar!!!","")))</f>
        <v/>
      </c>
      <c r="B142" s="115" t="s">
        <v>953</v>
      </c>
      <c r="C142" s="329" t="str">
        <f>VLOOKUP(B142,Tot_res!C:D,2,FALSE)</f>
        <v>Formación del Personal Sanitario, gasto directo del INGESA en Ceuta y Melilla</v>
      </c>
      <c r="D142" s="332">
        <f>Gasto_o_ing_per_capita!D142-Gasto_o_ing_per_capita!$D142</f>
        <v>0</v>
      </c>
      <c r="E142" s="332">
        <f>Gasto_o_ing_per_capita!E142-Gasto_o_ing_per_capita!$D142</f>
        <v>-4.1066042606683388E-2</v>
      </c>
      <c r="F142" s="332">
        <f>Gasto_o_ing_per_capita!F142-Gasto_o_ing_per_capita!$D142</f>
        <v>-4.1066042606683388E-2</v>
      </c>
      <c r="G142" s="332">
        <f>Gasto_o_ing_per_capita!G142-Gasto_o_ing_per_capita!$D142</f>
        <v>-4.1066042606683388E-2</v>
      </c>
      <c r="H142" s="332">
        <f>Gasto_o_ing_per_capita!H142-Gasto_o_ing_per_capita!$D142</f>
        <v>-4.1066042606683388E-2</v>
      </c>
      <c r="I142" s="332">
        <f>Gasto_o_ing_per_capita!I142-Gasto_o_ing_per_capita!$D142</f>
        <v>-4.1066042606683388E-2</v>
      </c>
      <c r="J142" s="332">
        <f>Gasto_o_ing_per_capita!J142-Gasto_o_ing_per_capita!$D142</f>
        <v>-4.1066042606683388E-2</v>
      </c>
      <c r="K142" s="332">
        <f>Gasto_o_ing_per_capita!K142-Gasto_o_ing_per_capita!$D142</f>
        <v>-4.1066042606683388E-2</v>
      </c>
      <c r="L142" s="332">
        <f>Gasto_o_ing_per_capita!L142-Gasto_o_ing_per_capita!$D142</f>
        <v>-4.1066042606683388E-2</v>
      </c>
      <c r="M142" s="332">
        <f>Gasto_o_ing_per_capita!M142-Gasto_o_ing_per_capita!$D142</f>
        <v>-4.1066042606683388E-2</v>
      </c>
      <c r="N142" s="332">
        <f>Gasto_o_ing_per_capita!N142-Gasto_o_ing_per_capita!$D142</f>
        <v>-4.1066042606683388E-2</v>
      </c>
      <c r="O142" s="332">
        <f>Gasto_o_ing_per_capita!O142-Gasto_o_ing_per_capita!$D142</f>
        <v>-4.1066042606683388E-2</v>
      </c>
      <c r="P142" s="332">
        <f>Gasto_o_ing_per_capita!P142-Gasto_o_ing_per_capita!$D142</f>
        <v>-4.1066042606683388E-2</v>
      </c>
      <c r="Q142" s="332">
        <f>Gasto_o_ing_per_capita!Q142-Gasto_o_ing_per_capita!$D142</f>
        <v>-4.1066042606683388E-2</v>
      </c>
      <c r="R142" s="332">
        <f>Gasto_o_ing_per_capita!R142-Gasto_o_ing_per_capita!$D142</f>
        <v>-4.1066042606683388E-2</v>
      </c>
      <c r="S142" s="332">
        <f>Gasto_o_ing_per_capita!S142-Gasto_o_ing_per_capita!$D142</f>
        <v>-4.1066042606683388E-2</v>
      </c>
      <c r="T142" s="332">
        <f>Gasto_o_ing_per_capita!T142-Gasto_o_ing_per_capita!$D142</f>
        <v>-4.1066042606683388E-2</v>
      </c>
      <c r="U142" s="332">
        <f>Gasto_o_ing_per_capita!U142-Gasto_o_ing_per_capita!$D142</f>
        <v>-4.1066042606683388E-2</v>
      </c>
      <c r="V142" s="332">
        <f>Gasto_o_ing_per_capita!V142-Gasto_o_ing_per_capita!$D142</f>
        <v>11.262140497551693</v>
      </c>
      <c r="W142" s="122"/>
      <c r="X142" s="104"/>
    </row>
    <row r="143" spans="1:24" s="102" customFormat="1">
      <c r="A143" s="351" t="str">
        <f>IF(B143="","",(IF(ISERROR(MATCH(B143,Tot_res!C:C,0)),"Eliminar!!!","")))</f>
        <v/>
      </c>
      <c r="B143" s="115" t="s">
        <v>954</v>
      </c>
      <c r="C143" s="329" t="str">
        <f>VLOOKUP(B143,Tot_res!C:D,2,FALSE)</f>
        <v>Servicios Sociales Generales, gasto directo del IMSERSO en Ceuta y Melilla</v>
      </c>
      <c r="D143" s="332">
        <f>Gasto_o_ing_per_capita!D143-Gasto_o_ing_per_capita!$D143</f>
        <v>0</v>
      </c>
      <c r="E143" s="332">
        <f>Gasto_o_ing_per_capita!E143-Gasto_o_ing_per_capita!$D143</f>
        <v>-0.52627327428102166</v>
      </c>
      <c r="F143" s="332">
        <f>Gasto_o_ing_per_capita!F143-Gasto_o_ing_per_capita!$D143</f>
        <v>-0.52627327428102166</v>
      </c>
      <c r="G143" s="332">
        <f>Gasto_o_ing_per_capita!G143-Gasto_o_ing_per_capita!$D143</f>
        <v>-0.52627327428102166</v>
      </c>
      <c r="H143" s="332">
        <f>Gasto_o_ing_per_capita!H143-Gasto_o_ing_per_capita!$D143</f>
        <v>-0.52627327428102166</v>
      </c>
      <c r="I143" s="332">
        <f>Gasto_o_ing_per_capita!I143-Gasto_o_ing_per_capita!$D143</f>
        <v>-0.52627327428102166</v>
      </c>
      <c r="J143" s="332">
        <f>Gasto_o_ing_per_capita!J143-Gasto_o_ing_per_capita!$D143</f>
        <v>-0.52627327428102166</v>
      </c>
      <c r="K143" s="332">
        <f>Gasto_o_ing_per_capita!K143-Gasto_o_ing_per_capita!$D143</f>
        <v>-0.52627327428102166</v>
      </c>
      <c r="L143" s="332">
        <f>Gasto_o_ing_per_capita!L143-Gasto_o_ing_per_capita!$D143</f>
        <v>-0.52627327428102166</v>
      </c>
      <c r="M143" s="332">
        <f>Gasto_o_ing_per_capita!M143-Gasto_o_ing_per_capita!$D143</f>
        <v>-0.52627327428102166</v>
      </c>
      <c r="N143" s="332">
        <f>Gasto_o_ing_per_capita!N143-Gasto_o_ing_per_capita!$D143</f>
        <v>-0.52627327428102166</v>
      </c>
      <c r="O143" s="332">
        <f>Gasto_o_ing_per_capita!O143-Gasto_o_ing_per_capita!$D143</f>
        <v>-0.52627327428102166</v>
      </c>
      <c r="P143" s="332">
        <f>Gasto_o_ing_per_capita!P143-Gasto_o_ing_per_capita!$D143</f>
        <v>-0.52627327428102166</v>
      </c>
      <c r="Q143" s="332">
        <f>Gasto_o_ing_per_capita!Q143-Gasto_o_ing_per_capita!$D143</f>
        <v>-0.52627327428102166</v>
      </c>
      <c r="R143" s="332">
        <f>Gasto_o_ing_per_capita!R143-Gasto_o_ing_per_capita!$D143</f>
        <v>-0.52627327428102166</v>
      </c>
      <c r="S143" s="332">
        <f>Gasto_o_ing_per_capita!S143-Gasto_o_ing_per_capita!$D143</f>
        <v>-0.52627327428102166</v>
      </c>
      <c r="T143" s="332">
        <f>Gasto_o_ing_per_capita!T143-Gasto_o_ing_per_capita!$D143</f>
        <v>-0.52627327428102166</v>
      </c>
      <c r="U143" s="332">
        <f>Gasto_o_ing_per_capita!U143-Gasto_o_ing_per_capita!$D143</f>
        <v>-0.52627327428102166</v>
      </c>
      <c r="V143" s="332">
        <f>Gasto_o_ing_per_capita!V143-Gasto_o_ing_per_capita!$D143</f>
        <v>144.327604483974</v>
      </c>
      <c r="W143" s="122"/>
      <c r="X143" s="104"/>
    </row>
    <row r="144" spans="1:24"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Gasto_o_ing_per_capita!D144-Gasto_o_ing_per_capita!$D144</f>
        <v>0</v>
      </c>
      <c r="E144" s="332">
        <f>Gasto_o_ing_per_capita!E144-Gasto_o_ing_per_capita!$D144</f>
        <v>-4.1891362412816269E-2</v>
      </c>
      <c r="F144" s="332">
        <f>Gasto_o_ing_per_capita!F144-Gasto_o_ing_per_capita!$D144</f>
        <v>-4.1891362412816269E-2</v>
      </c>
      <c r="G144" s="332">
        <f>Gasto_o_ing_per_capita!G144-Gasto_o_ing_per_capita!$D144</f>
        <v>-4.1891362412816269E-2</v>
      </c>
      <c r="H144" s="332">
        <f>Gasto_o_ing_per_capita!H144-Gasto_o_ing_per_capita!$D144</f>
        <v>-4.1891362412816269E-2</v>
      </c>
      <c r="I144" s="332">
        <f>Gasto_o_ing_per_capita!I144-Gasto_o_ing_per_capita!$D144</f>
        <v>-4.1891362412816269E-2</v>
      </c>
      <c r="J144" s="332">
        <f>Gasto_o_ing_per_capita!J144-Gasto_o_ing_per_capita!$D144</f>
        <v>-4.1891362412816269E-2</v>
      </c>
      <c r="K144" s="332">
        <f>Gasto_o_ing_per_capita!K144-Gasto_o_ing_per_capita!$D144</f>
        <v>-4.1891362412816269E-2</v>
      </c>
      <c r="L144" s="332">
        <f>Gasto_o_ing_per_capita!L144-Gasto_o_ing_per_capita!$D144</f>
        <v>-4.1891362412816269E-2</v>
      </c>
      <c r="M144" s="332">
        <f>Gasto_o_ing_per_capita!M144-Gasto_o_ing_per_capita!$D144</f>
        <v>-4.1891362412816269E-2</v>
      </c>
      <c r="N144" s="332">
        <f>Gasto_o_ing_per_capita!N144-Gasto_o_ing_per_capita!$D144</f>
        <v>-4.1891362412816269E-2</v>
      </c>
      <c r="O144" s="332">
        <f>Gasto_o_ing_per_capita!O144-Gasto_o_ing_per_capita!$D144</f>
        <v>-4.1891362412816269E-2</v>
      </c>
      <c r="P144" s="332">
        <f>Gasto_o_ing_per_capita!P144-Gasto_o_ing_per_capita!$D144</f>
        <v>-4.1891362412816269E-2</v>
      </c>
      <c r="Q144" s="332">
        <f>Gasto_o_ing_per_capita!Q144-Gasto_o_ing_per_capita!$D144</f>
        <v>-4.1891362412816269E-2</v>
      </c>
      <c r="R144" s="332">
        <f>Gasto_o_ing_per_capita!R144-Gasto_o_ing_per_capita!$D144</f>
        <v>-4.1891362412816269E-2</v>
      </c>
      <c r="S144" s="332">
        <f>Gasto_o_ing_per_capita!S144-Gasto_o_ing_per_capita!$D144</f>
        <v>-4.1891362412816269E-2</v>
      </c>
      <c r="T144" s="332">
        <f>Gasto_o_ing_per_capita!T144-Gasto_o_ing_per_capita!$D144</f>
        <v>-4.1891362412816269E-2</v>
      </c>
      <c r="U144" s="332">
        <f>Gasto_o_ing_per_capita!U144-Gasto_o_ing_per_capita!$D144</f>
        <v>-4.1891362412816269E-2</v>
      </c>
      <c r="V144" s="332">
        <f>Gasto_o_ing_per_capita!V144-Gasto_o_ing_per_capita!$D144</f>
        <v>11.488479999049407</v>
      </c>
      <c r="W144" s="122"/>
      <c r="X144" s="104"/>
    </row>
    <row r="145" spans="1:24" s="102" customFormat="1">
      <c r="A145" s="351" t="str">
        <f>IF(B145="","",(IF(ISERROR(MATCH(B145,Tot_res!C:C,0)),"Eliminar!!!","")))</f>
        <v/>
      </c>
      <c r="B145" s="115" t="s">
        <v>212</v>
      </c>
      <c r="C145" s="329" t="str">
        <f>VLOOKUP(B145,Tot_res!C:D,2,FALSE)</f>
        <v>Recaudación IPSI</v>
      </c>
      <c r="D145" s="332">
        <f>Gasto_o_ing_per_capita!D145-Gasto_o_ing_per_capita!$D145</f>
        <v>0</v>
      </c>
      <c r="E145" s="332">
        <f>Gasto_o_ing_per_capita!E145-Gasto_o_ing_per_capita!$D145</f>
        <v>-2.9873102433181016</v>
      </c>
      <c r="F145" s="332">
        <f>Gasto_o_ing_per_capita!F145-Gasto_o_ing_per_capita!$D145</f>
        <v>-2.9873102433181016</v>
      </c>
      <c r="G145" s="332">
        <f>Gasto_o_ing_per_capita!G145-Gasto_o_ing_per_capita!$D145</f>
        <v>-2.9873102433181016</v>
      </c>
      <c r="H145" s="332">
        <f>Gasto_o_ing_per_capita!H145-Gasto_o_ing_per_capita!$D145</f>
        <v>-2.9873102433181016</v>
      </c>
      <c r="I145" s="332">
        <f>Gasto_o_ing_per_capita!I145-Gasto_o_ing_per_capita!$D145</f>
        <v>-2.9873102433181016</v>
      </c>
      <c r="J145" s="332">
        <f>Gasto_o_ing_per_capita!J145-Gasto_o_ing_per_capita!$D145</f>
        <v>-2.9873102433181016</v>
      </c>
      <c r="K145" s="332">
        <f>Gasto_o_ing_per_capita!K145-Gasto_o_ing_per_capita!$D145</f>
        <v>-2.9873102433181016</v>
      </c>
      <c r="L145" s="332">
        <f>Gasto_o_ing_per_capita!L145-Gasto_o_ing_per_capita!$D145</f>
        <v>-2.9873102433181016</v>
      </c>
      <c r="M145" s="332">
        <f>Gasto_o_ing_per_capita!M145-Gasto_o_ing_per_capita!$D145</f>
        <v>-2.9873102433181016</v>
      </c>
      <c r="N145" s="332">
        <f>Gasto_o_ing_per_capita!N145-Gasto_o_ing_per_capita!$D145</f>
        <v>-2.9873102433181016</v>
      </c>
      <c r="O145" s="332">
        <f>Gasto_o_ing_per_capita!O145-Gasto_o_ing_per_capita!$D145</f>
        <v>-2.9873102433181016</v>
      </c>
      <c r="P145" s="332">
        <f>Gasto_o_ing_per_capita!P145-Gasto_o_ing_per_capita!$D145</f>
        <v>-2.9873102433181016</v>
      </c>
      <c r="Q145" s="332">
        <f>Gasto_o_ing_per_capita!Q145-Gasto_o_ing_per_capita!$D145</f>
        <v>-2.9873102433181016</v>
      </c>
      <c r="R145" s="332">
        <f>Gasto_o_ing_per_capita!R145-Gasto_o_ing_per_capita!$D145</f>
        <v>-2.9873102433181016</v>
      </c>
      <c r="S145" s="332">
        <f>Gasto_o_ing_per_capita!S145-Gasto_o_ing_per_capita!$D145</f>
        <v>-2.9873102433181016</v>
      </c>
      <c r="T145" s="332">
        <f>Gasto_o_ing_per_capita!T145-Gasto_o_ing_per_capita!$D145</f>
        <v>-2.9873102433181016</v>
      </c>
      <c r="U145" s="332">
        <f>Gasto_o_ing_per_capita!U145-Gasto_o_ing_per_capita!$D145</f>
        <v>-2.9873102433181016</v>
      </c>
      <c r="V145" s="332">
        <f>Gasto_o_ing_per_capita!V145-Gasto_o_ing_per_capita!$D145</f>
        <v>819.25370779575428</v>
      </c>
      <c r="W145" s="122"/>
      <c r="X145" s="104"/>
    </row>
    <row r="146" spans="1:24"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Gasto_o_ing_per_capita!D146-Gasto_o_ing_per_capita!$D146</f>
        <v>0</v>
      </c>
      <c r="E146" s="332">
        <f>Gasto_o_ing_per_capita!E146-Gasto_o_ing_per_capita!$D146</f>
        <v>-1.5411650910395542</v>
      </c>
      <c r="F146" s="332">
        <f>Gasto_o_ing_per_capita!F146-Gasto_o_ing_per_capita!$D146</f>
        <v>-1.5411650910395542</v>
      </c>
      <c r="G146" s="332">
        <f>Gasto_o_ing_per_capita!G146-Gasto_o_ing_per_capita!$D146</f>
        <v>-1.5411650910395542</v>
      </c>
      <c r="H146" s="332">
        <f>Gasto_o_ing_per_capita!H146-Gasto_o_ing_per_capita!$D146</f>
        <v>-1.5411650910395542</v>
      </c>
      <c r="I146" s="332">
        <f>Gasto_o_ing_per_capita!I146-Gasto_o_ing_per_capita!$D146</f>
        <v>-1.5411650910395542</v>
      </c>
      <c r="J146" s="332">
        <f>Gasto_o_ing_per_capita!J146-Gasto_o_ing_per_capita!$D146</f>
        <v>-1.5411650910395542</v>
      </c>
      <c r="K146" s="332">
        <f>Gasto_o_ing_per_capita!K146-Gasto_o_ing_per_capita!$D146</f>
        <v>-1.5411650910395542</v>
      </c>
      <c r="L146" s="332">
        <f>Gasto_o_ing_per_capita!L146-Gasto_o_ing_per_capita!$D146</f>
        <v>-1.5411650910395542</v>
      </c>
      <c r="M146" s="332">
        <f>Gasto_o_ing_per_capita!M146-Gasto_o_ing_per_capita!$D146</f>
        <v>-1.5411650910395542</v>
      </c>
      <c r="N146" s="332">
        <f>Gasto_o_ing_per_capita!N146-Gasto_o_ing_per_capita!$D146</f>
        <v>-1.5411650910395542</v>
      </c>
      <c r="O146" s="332">
        <f>Gasto_o_ing_per_capita!O146-Gasto_o_ing_per_capita!$D146</f>
        <v>-1.5411650910395542</v>
      </c>
      <c r="P146" s="332">
        <f>Gasto_o_ing_per_capita!P146-Gasto_o_ing_per_capita!$D146</f>
        <v>-1.5411650910395542</v>
      </c>
      <c r="Q146" s="332">
        <f>Gasto_o_ing_per_capita!Q146-Gasto_o_ing_per_capita!$D146</f>
        <v>-1.5411650910395542</v>
      </c>
      <c r="R146" s="332">
        <f>Gasto_o_ing_per_capita!R146-Gasto_o_ing_per_capita!$D146</f>
        <v>-1.5411650910395542</v>
      </c>
      <c r="S146" s="332">
        <f>Gasto_o_ing_per_capita!S146-Gasto_o_ing_per_capita!$D146</f>
        <v>-1.5411650910395542</v>
      </c>
      <c r="T146" s="332">
        <f>Gasto_o_ing_per_capita!T146-Gasto_o_ing_per_capita!$D146</f>
        <v>-1.5411650910395542</v>
      </c>
      <c r="U146" s="332">
        <f>Gasto_o_ing_per_capita!U146-Gasto_o_ing_per_capita!$D146</f>
        <v>-1.5411650910395542</v>
      </c>
      <c r="V146" s="332">
        <f>Gasto_o_ing_per_capita!V146-Gasto_o_ing_per_capita!$D146</f>
        <v>422.65620652681855</v>
      </c>
      <c r="W146" s="122"/>
      <c r="X146" s="104"/>
    </row>
    <row r="147" spans="1:24">
      <c r="A147" s="352"/>
      <c r="B147" s="9"/>
      <c r="C147" s="5"/>
      <c r="D147" s="19"/>
      <c r="E147" s="19"/>
      <c r="F147" s="19"/>
      <c r="G147" s="19"/>
      <c r="H147" s="19"/>
      <c r="I147" s="19"/>
      <c r="J147" s="19"/>
      <c r="K147" s="19"/>
      <c r="L147" s="19"/>
      <c r="M147" s="19"/>
      <c r="N147" s="19"/>
      <c r="O147" s="19"/>
      <c r="P147" s="19"/>
      <c r="Q147" s="19"/>
      <c r="R147" s="19"/>
      <c r="S147" s="19"/>
      <c r="T147" s="19"/>
      <c r="U147" s="19"/>
      <c r="V147" s="19"/>
      <c r="W147" s="24"/>
      <c r="X147" s="15"/>
    </row>
    <row r="148" spans="1:24" s="102" customFormat="1" ht="27">
      <c r="A148" s="352"/>
      <c r="B148" s="137"/>
      <c r="C148" s="117" t="s">
        <v>213</v>
      </c>
      <c r="D148" s="113">
        <f>Gasto_o_ing_per_capita!D148-Gasto_o_ing_per_capita!$D148</f>
        <v>0</v>
      </c>
      <c r="E148" s="113">
        <f>Gasto_o_ing_per_capita!E148-Gasto_o_ing_per_capita!$D148</f>
        <v>-354.63343718904207</v>
      </c>
      <c r="F148" s="113">
        <f>Gasto_o_ing_per_capita!F148-Gasto_o_ing_per_capita!$D148</f>
        <v>-354.63343718904207</v>
      </c>
      <c r="G148" s="113">
        <f>Gasto_o_ing_per_capita!G148-Gasto_o_ing_per_capita!$D148</f>
        <v>-354.63343718904207</v>
      </c>
      <c r="H148" s="113">
        <f>Gasto_o_ing_per_capita!H148-Gasto_o_ing_per_capita!$D148</f>
        <v>-354.63343718904207</v>
      </c>
      <c r="I148" s="113">
        <f>Gasto_o_ing_per_capita!I148-Gasto_o_ing_per_capita!$D148</f>
        <v>-354.63343718904207</v>
      </c>
      <c r="J148" s="113">
        <f>Gasto_o_ing_per_capita!J148-Gasto_o_ing_per_capita!$D148</f>
        <v>-354.63343718904207</v>
      </c>
      <c r="K148" s="113">
        <f>Gasto_o_ing_per_capita!K148-Gasto_o_ing_per_capita!$D148</f>
        <v>-354.63343718904207</v>
      </c>
      <c r="L148" s="113">
        <f>Gasto_o_ing_per_capita!L148-Gasto_o_ing_per_capita!$D148</f>
        <v>-354.63343718904207</v>
      </c>
      <c r="M148" s="113">
        <f>Gasto_o_ing_per_capita!M148-Gasto_o_ing_per_capita!$D148</f>
        <v>-354.63343718904207</v>
      </c>
      <c r="N148" s="113">
        <f>Gasto_o_ing_per_capita!N148-Gasto_o_ing_per_capita!$D148</f>
        <v>-354.63343718904207</v>
      </c>
      <c r="O148" s="113">
        <f>Gasto_o_ing_per_capita!O148-Gasto_o_ing_per_capita!$D148</f>
        <v>-354.63343718904207</v>
      </c>
      <c r="P148" s="113">
        <f>Gasto_o_ing_per_capita!P148-Gasto_o_ing_per_capita!$D148</f>
        <v>-354.63343718904207</v>
      </c>
      <c r="Q148" s="113">
        <f>Gasto_o_ing_per_capita!Q148-Gasto_o_ing_per_capita!$D148</f>
        <v>-354.63343718904207</v>
      </c>
      <c r="R148" s="113">
        <f>Gasto_o_ing_per_capita!R148-Gasto_o_ing_per_capita!$D148</f>
        <v>-354.63343718904207</v>
      </c>
      <c r="S148" s="113">
        <f>Gasto_o_ing_per_capita!S148-Gasto_o_ing_per_capita!$D148</f>
        <v>4953.6119059106732</v>
      </c>
      <c r="T148" s="113">
        <f>Gasto_o_ing_per_capita!T148-Gasto_o_ing_per_capita!$D148</f>
        <v>5656.9054381115166</v>
      </c>
      <c r="U148" s="113">
        <f>Gasto_o_ing_per_capita!U148-Gasto_o_ing_per_capita!$D148</f>
        <v>-354.63343718904207</v>
      </c>
      <c r="V148" s="113">
        <f>Gasto_o_ing_per_capita!V148-Gasto_o_ing_per_capita!$D148</f>
        <v>-354.63343718904207</v>
      </c>
      <c r="W148" s="122"/>
      <c r="X148" s="104"/>
    </row>
    <row r="149" spans="1:24" s="102" customFormat="1">
      <c r="A149" s="351" t="str">
        <f>IF(B149="","",(IF(ISERROR(MATCH(B149,Tot_res!C:C,0)),"Eliminar!!!","")))</f>
        <v/>
      </c>
      <c r="B149" s="115" t="s">
        <v>957</v>
      </c>
      <c r="C149" s="329" t="str">
        <f>VLOOKUP(B149,Tot_res!C:D,2,FALSE)</f>
        <v>IRPF, ingresos homogeneizados de las comunidades forales</v>
      </c>
      <c r="D149" s="332">
        <f>Gasto_o_ing_per_capita!D149-Gasto_o_ing_per_capita!$D149</f>
        <v>0</v>
      </c>
      <c r="E149" s="332">
        <f>Gasto_o_ing_per_capita!E149-Gasto_o_ing_per_capita!$D149</f>
        <v>-142.70962746437536</v>
      </c>
      <c r="F149" s="332">
        <f>Gasto_o_ing_per_capita!F149-Gasto_o_ing_per_capita!$D149</f>
        <v>-142.70962746437536</v>
      </c>
      <c r="G149" s="332">
        <f>Gasto_o_ing_per_capita!G149-Gasto_o_ing_per_capita!$D149</f>
        <v>-142.70962746437536</v>
      </c>
      <c r="H149" s="332">
        <f>Gasto_o_ing_per_capita!H149-Gasto_o_ing_per_capita!$D149</f>
        <v>-142.70962746437536</v>
      </c>
      <c r="I149" s="332">
        <f>Gasto_o_ing_per_capita!I149-Gasto_o_ing_per_capita!$D149</f>
        <v>-142.70962746437536</v>
      </c>
      <c r="J149" s="332">
        <f>Gasto_o_ing_per_capita!J149-Gasto_o_ing_per_capita!$D149</f>
        <v>-142.70962746437536</v>
      </c>
      <c r="K149" s="332">
        <f>Gasto_o_ing_per_capita!K149-Gasto_o_ing_per_capita!$D149</f>
        <v>-142.70962746437536</v>
      </c>
      <c r="L149" s="332">
        <f>Gasto_o_ing_per_capita!L149-Gasto_o_ing_per_capita!$D149</f>
        <v>-142.70962746437536</v>
      </c>
      <c r="M149" s="332">
        <f>Gasto_o_ing_per_capita!M149-Gasto_o_ing_per_capita!$D149</f>
        <v>-142.70962746437536</v>
      </c>
      <c r="N149" s="332">
        <f>Gasto_o_ing_per_capita!N149-Gasto_o_ing_per_capita!$D149</f>
        <v>-142.70962746437536</v>
      </c>
      <c r="O149" s="332">
        <f>Gasto_o_ing_per_capita!O149-Gasto_o_ing_per_capita!$D149</f>
        <v>-142.70962746437536</v>
      </c>
      <c r="P149" s="332">
        <f>Gasto_o_ing_per_capita!P149-Gasto_o_ing_per_capita!$D149</f>
        <v>-142.70962746437536</v>
      </c>
      <c r="Q149" s="332">
        <f>Gasto_o_ing_per_capita!Q149-Gasto_o_ing_per_capita!$D149</f>
        <v>-142.70962746437536</v>
      </c>
      <c r="R149" s="332">
        <f>Gasto_o_ing_per_capita!R149-Gasto_o_ing_per_capita!$D149</f>
        <v>-142.70962746437536</v>
      </c>
      <c r="S149" s="332">
        <f>Gasto_o_ing_per_capita!S149-Gasto_o_ing_per_capita!$D149</f>
        <v>2051.9307187105055</v>
      </c>
      <c r="T149" s="332">
        <f>Gasto_o_ing_per_capita!T149-Gasto_o_ing_per_capita!$D149</f>
        <v>2259.2934546662805</v>
      </c>
      <c r="U149" s="332">
        <f>Gasto_o_ing_per_capita!U149-Gasto_o_ing_per_capita!$D149</f>
        <v>-142.70962746437536</v>
      </c>
      <c r="V149" s="332">
        <f>Gasto_o_ing_per_capita!V149-Gasto_o_ing_per_capita!$D149</f>
        <v>-142.70962746437536</v>
      </c>
      <c r="W149" s="122"/>
      <c r="X149" s="104"/>
    </row>
    <row r="150" spans="1:24" s="102" customFormat="1">
      <c r="A150" s="351" t="str">
        <f>IF(B150="","",(IF(ISERROR(MATCH(B150,Tot_res!C:C,0)),"Eliminar!!!","")))</f>
        <v/>
      </c>
      <c r="B150" s="115" t="s">
        <v>958</v>
      </c>
      <c r="C150" s="329" t="str">
        <f>VLOOKUP(B150,Tot_res!C:D,2,FALSE)</f>
        <v>Sociedades, ingresos homogeneizados de las comunidades forales</v>
      </c>
      <c r="D150" s="332">
        <f>Gasto_o_ing_per_capita!D150-Gasto_o_ing_per_capita!$D150</f>
        <v>0</v>
      </c>
      <c r="E150" s="332">
        <f>Gasto_o_ing_per_capita!E150-Gasto_o_ing_per_capita!$D150</f>
        <v>-33.739097778390999</v>
      </c>
      <c r="F150" s="332">
        <f>Gasto_o_ing_per_capita!F150-Gasto_o_ing_per_capita!$D150</f>
        <v>-33.739097778390999</v>
      </c>
      <c r="G150" s="332">
        <f>Gasto_o_ing_per_capita!G150-Gasto_o_ing_per_capita!$D150</f>
        <v>-33.739097778390999</v>
      </c>
      <c r="H150" s="332">
        <f>Gasto_o_ing_per_capita!H150-Gasto_o_ing_per_capita!$D150</f>
        <v>-33.739097778390999</v>
      </c>
      <c r="I150" s="332">
        <f>Gasto_o_ing_per_capita!I150-Gasto_o_ing_per_capita!$D150</f>
        <v>-33.739097778390999</v>
      </c>
      <c r="J150" s="332">
        <f>Gasto_o_ing_per_capita!J150-Gasto_o_ing_per_capita!$D150</f>
        <v>-33.739097778390999</v>
      </c>
      <c r="K150" s="332">
        <f>Gasto_o_ing_per_capita!K150-Gasto_o_ing_per_capita!$D150</f>
        <v>-33.739097778390999</v>
      </c>
      <c r="L150" s="332">
        <f>Gasto_o_ing_per_capita!L150-Gasto_o_ing_per_capita!$D150</f>
        <v>-33.739097778390999</v>
      </c>
      <c r="M150" s="332">
        <f>Gasto_o_ing_per_capita!M150-Gasto_o_ing_per_capita!$D150</f>
        <v>-33.739097778390999</v>
      </c>
      <c r="N150" s="332">
        <f>Gasto_o_ing_per_capita!N150-Gasto_o_ing_per_capita!$D150</f>
        <v>-33.739097778390999</v>
      </c>
      <c r="O150" s="332">
        <f>Gasto_o_ing_per_capita!O150-Gasto_o_ing_per_capita!$D150</f>
        <v>-33.739097778390999</v>
      </c>
      <c r="P150" s="332">
        <f>Gasto_o_ing_per_capita!P150-Gasto_o_ing_per_capita!$D150</f>
        <v>-33.739097778390999</v>
      </c>
      <c r="Q150" s="332">
        <f>Gasto_o_ing_per_capita!Q150-Gasto_o_ing_per_capita!$D150</f>
        <v>-33.739097778390999</v>
      </c>
      <c r="R150" s="332">
        <f>Gasto_o_ing_per_capita!R150-Gasto_o_ing_per_capita!$D150</f>
        <v>-33.739097778390999</v>
      </c>
      <c r="S150" s="332">
        <f>Gasto_o_ing_per_capita!S150-Gasto_o_ing_per_capita!$D150</f>
        <v>515.41581606709588</v>
      </c>
      <c r="T150" s="332">
        <f>Gasto_o_ing_per_capita!T150-Gasto_o_ing_per_capita!$D150</f>
        <v>525.26926917285778</v>
      </c>
      <c r="U150" s="332">
        <f>Gasto_o_ing_per_capita!U150-Gasto_o_ing_per_capita!$D150</f>
        <v>-33.739097778390999</v>
      </c>
      <c r="V150" s="332">
        <f>Gasto_o_ing_per_capita!V150-Gasto_o_ing_per_capita!$D150</f>
        <v>-33.739097778390999</v>
      </c>
      <c r="W150" s="122"/>
      <c r="X150" s="104"/>
    </row>
    <row r="151" spans="1:24" s="102" customFormat="1">
      <c r="A151" s="351" t="str">
        <f>IF(B151="","",(IF(ISERROR(MATCH(B151,Tot_res!C:C,0)),"Eliminar!!!","")))</f>
        <v/>
      </c>
      <c r="B151" s="115" t="s">
        <v>214</v>
      </c>
      <c r="C151" s="329" t="str">
        <f>VLOOKUP(B151,Tot_res!C:D,2,FALSE)</f>
        <v>No residentes, ingresos comunidades forales</v>
      </c>
      <c r="D151" s="332">
        <f>Gasto_o_ing_per_capita!D151-Gasto_o_ing_per_capita!$D151</f>
        <v>0</v>
      </c>
      <c r="E151" s="332">
        <f>Gasto_o_ing_per_capita!E151-Gasto_o_ing_per_capita!$D151</f>
        <v>-0.32832338585782994</v>
      </c>
      <c r="F151" s="332">
        <f>Gasto_o_ing_per_capita!F151-Gasto_o_ing_per_capita!$D151</f>
        <v>-0.32832338585782994</v>
      </c>
      <c r="G151" s="332">
        <f>Gasto_o_ing_per_capita!G151-Gasto_o_ing_per_capita!$D151</f>
        <v>-0.32832338585782994</v>
      </c>
      <c r="H151" s="332">
        <f>Gasto_o_ing_per_capita!H151-Gasto_o_ing_per_capita!$D151</f>
        <v>-0.32832338585782994</v>
      </c>
      <c r="I151" s="332">
        <f>Gasto_o_ing_per_capita!I151-Gasto_o_ing_per_capita!$D151</f>
        <v>-0.32832338585782994</v>
      </c>
      <c r="J151" s="332">
        <f>Gasto_o_ing_per_capita!J151-Gasto_o_ing_per_capita!$D151</f>
        <v>-0.32832338585782994</v>
      </c>
      <c r="K151" s="332">
        <f>Gasto_o_ing_per_capita!K151-Gasto_o_ing_per_capita!$D151</f>
        <v>-0.32832338585782994</v>
      </c>
      <c r="L151" s="332">
        <f>Gasto_o_ing_per_capita!L151-Gasto_o_ing_per_capita!$D151</f>
        <v>-0.32832338585782994</v>
      </c>
      <c r="M151" s="332">
        <f>Gasto_o_ing_per_capita!M151-Gasto_o_ing_per_capita!$D151</f>
        <v>-0.32832338585782994</v>
      </c>
      <c r="N151" s="332">
        <f>Gasto_o_ing_per_capita!N151-Gasto_o_ing_per_capita!$D151</f>
        <v>-0.32832338585782994</v>
      </c>
      <c r="O151" s="332">
        <f>Gasto_o_ing_per_capita!O151-Gasto_o_ing_per_capita!$D151</f>
        <v>-0.32832338585782994</v>
      </c>
      <c r="P151" s="332">
        <f>Gasto_o_ing_per_capita!P151-Gasto_o_ing_per_capita!$D151</f>
        <v>-0.32832338585782994</v>
      </c>
      <c r="Q151" s="332">
        <f>Gasto_o_ing_per_capita!Q151-Gasto_o_ing_per_capita!$D151</f>
        <v>-0.32832338585782994</v>
      </c>
      <c r="R151" s="332">
        <f>Gasto_o_ing_per_capita!R151-Gasto_o_ing_per_capita!$D151</f>
        <v>-0.32832338585782994</v>
      </c>
      <c r="S151" s="332">
        <f>Gasto_o_ing_per_capita!S151-Gasto_o_ing_per_capita!$D151</f>
        <v>8.630003768690873</v>
      </c>
      <c r="T151" s="332">
        <f>Gasto_o_ing_per_capita!T151-Gasto_o_ing_per_capita!$D151</f>
        <v>4.0538007635153654</v>
      </c>
      <c r="U151" s="332">
        <f>Gasto_o_ing_per_capita!U151-Gasto_o_ing_per_capita!$D151</f>
        <v>-0.32832338585782994</v>
      </c>
      <c r="V151" s="332">
        <f>Gasto_o_ing_per_capita!V151-Gasto_o_ing_per_capita!$D151</f>
        <v>-0.32832338585782994</v>
      </c>
      <c r="W151" s="122"/>
      <c r="X151" s="104"/>
    </row>
    <row r="152" spans="1:24" s="102" customFormat="1">
      <c r="A152" s="351" t="str">
        <f>IF(B152="","",(IF(ISERROR(MATCH(B152,Tot_res!C:C,0)),"Eliminar!!!","")))</f>
        <v/>
      </c>
      <c r="B152" s="115" t="s">
        <v>215</v>
      </c>
      <c r="C152" s="329" t="str">
        <f>VLOOKUP(B152,Tot_res!C:D,2,FALSE)</f>
        <v xml:space="preserve"> IVA, ingresos comunidades forales</v>
      </c>
      <c r="D152" s="332">
        <f>Gasto_o_ing_per_capita!D152-Gasto_o_ing_per_capita!$D152</f>
        <v>0</v>
      </c>
      <c r="E152" s="332">
        <f>Gasto_o_ing_per_capita!E152-Gasto_o_ing_per_capita!$D152</f>
        <v>-126.08615921309374</v>
      </c>
      <c r="F152" s="332">
        <f>Gasto_o_ing_per_capita!F152-Gasto_o_ing_per_capita!$D152</f>
        <v>-126.08615921309374</v>
      </c>
      <c r="G152" s="332">
        <f>Gasto_o_ing_per_capita!G152-Gasto_o_ing_per_capita!$D152</f>
        <v>-126.08615921309374</v>
      </c>
      <c r="H152" s="332">
        <f>Gasto_o_ing_per_capita!H152-Gasto_o_ing_per_capita!$D152</f>
        <v>-126.08615921309374</v>
      </c>
      <c r="I152" s="332">
        <f>Gasto_o_ing_per_capita!I152-Gasto_o_ing_per_capita!$D152</f>
        <v>-126.08615921309374</v>
      </c>
      <c r="J152" s="332">
        <f>Gasto_o_ing_per_capita!J152-Gasto_o_ing_per_capita!$D152</f>
        <v>-126.08615921309374</v>
      </c>
      <c r="K152" s="332">
        <f>Gasto_o_ing_per_capita!K152-Gasto_o_ing_per_capita!$D152</f>
        <v>-126.08615921309374</v>
      </c>
      <c r="L152" s="332">
        <f>Gasto_o_ing_per_capita!L152-Gasto_o_ing_per_capita!$D152</f>
        <v>-126.08615921309374</v>
      </c>
      <c r="M152" s="332">
        <f>Gasto_o_ing_per_capita!M152-Gasto_o_ing_per_capita!$D152</f>
        <v>-126.08615921309374</v>
      </c>
      <c r="N152" s="332">
        <f>Gasto_o_ing_per_capita!N152-Gasto_o_ing_per_capita!$D152</f>
        <v>-126.08615921309374</v>
      </c>
      <c r="O152" s="332">
        <f>Gasto_o_ing_per_capita!O152-Gasto_o_ing_per_capita!$D152</f>
        <v>-126.08615921309374</v>
      </c>
      <c r="P152" s="332">
        <f>Gasto_o_ing_per_capita!P152-Gasto_o_ing_per_capita!$D152</f>
        <v>-126.08615921309374</v>
      </c>
      <c r="Q152" s="332">
        <f>Gasto_o_ing_per_capita!Q152-Gasto_o_ing_per_capita!$D152</f>
        <v>-126.08615921309374</v>
      </c>
      <c r="R152" s="332">
        <f>Gasto_o_ing_per_capita!R152-Gasto_o_ing_per_capita!$D152</f>
        <v>-126.08615921309374</v>
      </c>
      <c r="S152" s="332">
        <f>Gasto_o_ing_per_capita!S152-Gasto_o_ing_per_capita!$D152</f>
        <v>1585.1634954253655</v>
      </c>
      <c r="T152" s="332">
        <f>Gasto_o_ing_per_capita!T152-Gasto_o_ing_per_capita!$D152</f>
        <v>2062.7700072573757</v>
      </c>
      <c r="U152" s="332">
        <f>Gasto_o_ing_per_capita!U152-Gasto_o_ing_per_capita!$D152</f>
        <v>-126.08615921309374</v>
      </c>
      <c r="V152" s="332">
        <f>Gasto_o_ing_per_capita!V152-Gasto_o_ing_per_capita!$D152</f>
        <v>-126.08615921309374</v>
      </c>
      <c r="W152" s="122"/>
      <c r="X152" s="104"/>
    </row>
    <row r="153" spans="1:24"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Gasto_o_ing_per_capita!D153-Gasto_o_ing_per_capita!$D153</f>
        <v>0</v>
      </c>
      <c r="E153" s="332">
        <f>Gasto_o_ing_per_capita!E153-Gasto_o_ing_per_capita!$D153</f>
        <v>-37.472065610541932</v>
      </c>
      <c r="F153" s="332">
        <f>Gasto_o_ing_per_capita!F153-Gasto_o_ing_per_capita!$D153</f>
        <v>-37.472065610541932</v>
      </c>
      <c r="G153" s="332">
        <f>Gasto_o_ing_per_capita!G153-Gasto_o_ing_per_capita!$D153</f>
        <v>-37.472065610541932</v>
      </c>
      <c r="H153" s="332">
        <f>Gasto_o_ing_per_capita!H153-Gasto_o_ing_per_capita!$D153</f>
        <v>-37.472065610541932</v>
      </c>
      <c r="I153" s="332">
        <f>Gasto_o_ing_per_capita!I153-Gasto_o_ing_per_capita!$D153</f>
        <v>-37.472065610541932</v>
      </c>
      <c r="J153" s="332">
        <f>Gasto_o_ing_per_capita!J153-Gasto_o_ing_per_capita!$D153</f>
        <v>-37.472065610541932</v>
      </c>
      <c r="K153" s="332">
        <f>Gasto_o_ing_per_capita!K153-Gasto_o_ing_per_capita!$D153</f>
        <v>-37.472065610541932</v>
      </c>
      <c r="L153" s="332">
        <f>Gasto_o_ing_per_capita!L153-Gasto_o_ing_per_capita!$D153</f>
        <v>-37.472065610541932</v>
      </c>
      <c r="M153" s="332">
        <f>Gasto_o_ing_per_capita!M153-Gasto_o_ing_per_capita!$D153</f>
        <v>-37.472065610541932</v>
      </c>
      <c r="N153" s="332">
        <f>Gasto_o_ing_per_capita!N153-Gasto_o_ing_per_capita!$D153</f>
        <v>-37.472065610541932</v>
      </c>
      <c r="O153" s="332">
        <f>Gasto_o_ing_per_capita!O153-Gasto_o_ing_per_capita!$D153</f>
        <v>-37.472065610541932</v>
      </c>
      <c r="P153" s="332">
        <f>Gasto_o_ing_per_capita!P153-Gasto_o_ing_per_capita!$D153</f>
        <v>-37.472065610541932</v>
      </c>
      <c r="Q153" s="332">
        <f>Gasto_o_ing_per_capita!Q153-Gasto_o_ing_per_capita!$D153</f>
        <v>-37.472065610541932</v>
      </c>
      <c r="R153" s="332">
        <f>Gasto_o_ing_per_capita!R153-Gasto_o_ing_per_capita!$D153</f>
        <v>-37.472065610541932</v>
      </c>
      <c r="S153" s="332">
        <f>Gasto_o_ing_per_capita!S153-Gasto_o_ing_per_capita!$D153</f>
        <v>580.56560962629408</v>
      </c>
      <c r="T153" s="332">
        <f>Gasto_o_ing_per_capita!T153-Gasto_o_ing_per_capita!$D153</f>
        <v>581.00905078275025</v>
      </c>
      <c r="U153" s="332">
        <f>Gasto_o_ing_per_capita!U153-Gasto_o_ing_per_capita!$D153</f>
        <v>-37.472065610541932</v>
      </c>
      <c r="V153" s="332">
        <f>Gasto_o_ing_per_capita!V153-Gasto_o_ing_per_capita!$D153</f>
        <v>-37.472065610541932</v>
      </c>
      <c r="W153" s="122"/>
      <c r="X153" s="104"/>
    </row>
    <row r="154" spans="1:24" s="102" customFormat="1">
      <c r="A154" s="351" t="str">
        <f>IF(B154="","",(IF(ISERROR(MATCH(B154,Tot_res!C:C,0)),"Eliminar!!!","")))</f>
        <v/>
      </c>
      <c r="B154" s="115" t="s">
        <v>216</v>
      </c>
      <c r="C154" s="329" t="str">
        <f>VLOOKUP(B154,Tot_res!C:D,2,FALSE)</f>
        <v>Primas de seguross, ingresos comunidades forales</v>
      </c>
      <c r="D154" s="332">
        <f>Gasto_o_ing_per_capita!D154-Gasto_o_ing_per_capita!$D154</f>
        <v>0</v>
      </c>
      <c r="E154" s="332">
        <f>Gasto_o_ing_per_capita!E154-Gasto_o_ing_per_capita!$D154</f>
        <v>-1.9253772466647108</v>
      </c>
      <c r="F154" s="332">
        <f>Gasto_o_ing_per_capita!F154-Gasto_o_ing_per_capita!$D154</f>
        <v>-1.9253772466647108</v>
      </c>
      <c r="G154" s="332">
        <f>Gasto_o_ing_per_capita!G154-Gasto_o_ing_per_capita!$D154</f>
        <v>-1.9253772466647108</v>
      </c>
      <c r="H154" s="332">
        <f>Gasto_o_ing_per_capita!H154-Gasto_o_ing_per_capita!$D154</f>
        <v>-1.9253772466647108</v>
      </c>
      <c r="I154" s="332">
        <f>Gasto_o_ing_per_capita!I154-Gasto_o_ing_per_capita!$D154</f>
        <v>-1.9253772466647108</v>
      </c>
      <c r="J154" s="332">
        <f>Gasto_o_ing_per_capita!J154-Gasto_o_ing_per_capita!$D154</f>
        <v>-1.9253772466647108</v>
      </c>
      <c r="K154" s="332">
        <f>Gasto_o_ing_per_capita!K154-Gasto_o_ing_per_capita!$D154</f>
        <v>-1.9253772466647108</v>
      </c>
      <c r="L154" s="332">
        <f>Gasto_o_ing_per_capita!L154-Gasto_o_ing_per_capita!$D154</f>
        <v>-1.9253772466647108</v>
      </c>
      <c r="M154" s="332">
        <f>Gasto_o_ing_per_capita!M154-Gasto_o_ing_per_capita!$D154</f>
        <v>-1.9253772466647108</v>
      </c>
      <c r="N154" s="332">
        <f>Gasto_o_ing_per_capita!N154-Gasto_o_ing_per_capita!$D154</f>
        <v>-1.9253772466647108</v>
      </c>
      <c r="O154" s="332">
        <f>Gasto_o_ing_per_capita!O154-Gasto_o_ing_per_capita!$D154</f>
        <v>-1.9253772466647108</v>
      </c>
      <c r="P154" s="332">
        <f>Gasto_o_ing_per_capita!P154-Gasto_o_ing_per_capita!$D154</f>
        <v>-1.9253772466647108</v>
      </c>
      <c r="Q154" s="332">
        <f>Gasto_o_ing_per_capita!Q154-Gasto_o_ing_per_capita!$D154</f>
        <v>-1.9253772466647108</v>
      </c>
      <c r="R154" s="332">
        <f>Gasto_o_ing_per_capita!R154-Gasto_o_ing_per_capita!$D154</f>
        <v>-1.9253772466647108</v>
      </c>
      <c r="S154" s="332">
        <f>Gasto_o_ing_per_capita!S154-Gasto_o_ing_per_capita!$D154</f>
        <v>28.819214430629469</v>
      </c>
      <c r="T154" s="332">
        <f>Gasto_o_ing_per_capita!T154-Gasto_o_ing_per_capita!$D154</f>
        <v>30.149140333679185</v>
      </c>
      <c r="U154" s="332">
        <f>Gasto_o_ing_per_capita!U154-Gasto_o_ing_per_capita!$D154</f>
        <v>-1.9253772466647108</v>
      </c>
      <c r="V154" s="332">
        <f>Gasto_o_ing_per_capita!V154-Gasto_o_ing_per_capita!$D154</f>
        <v>-1.9253772466647108</v>
      </c>
      <c r="W154" s="122"/>
      <c r="X154" s="104"/>
    </row>
    <row r="155" spans="1:24" s="102" customFormat="1">
      <c r="A155" s="351" t="str">
        <f>IF(B155="","",(IF(ISERROR(MATCH(B155,Tot_res!C:C,0)),"Eliminar!!!","")))</f>
        <v/>
      </c>
      <c r="B155" s="115" t="s">
        <v>959</v>
      </c>
      <c r="C155" s="329" t="str">
        <f>VLOOKUP(B155,Tot_res!C:D,2,FALSE)</f>
        <v>Sucesiones y donaciones, ingresos homogeneizados de las comunidades forales</v>
      </c>
      <c r="D155" s="332">
        <f>Gasto_o_ing_per_capita!D155-Gasto_o_ing_per_capita!$D155</f>
        <v>0</v>
      </c>
      <c r="E155" s="332">
        <f>Gasto_o_ing_per_capita!E155-Gasto_o_ing_per_capita!$D155</f>
        <v>-4.461138043839763</v>
      </c>
      <c r="F155" s="332">
        <f>Gasto_o_ing_per_capita!F155-Gasto_o_ing_per_capita!$D155</f>
        <v>-4.461138043839763</v>
      </c>
      <c r="G155" s="332">
        <f>Gasto_o_ing_per_capita!G155-Gasto_o_ing_per_capita!$D155</f>
        <v>-4.461138043839763</v>
      </c>
      <c r="H155" s="332">
        <f>Gasto_o_ing_per_capita!H155-Gasto_o_ing_per_capita!$D155</f>
        <v>-4.461138043839763</v>
      </c>
      <c r="I155" s="332">
        <f>Gasto_o_ing_per_capita!I155-Gasto_o_ing_per_capita!$D155</f>
        <v>-4.461138043839763</v>
      </c>
      <c r="J155" s="332">
        <f>Gasto_o_ing_per_capita!J155-Gasto_o_ing_per_capita!$D155</f>
        <v>-4.461138043839763</v>
      </c>
      <c r="K155" s="332">
        <f>Gasto_o_ing_per_capita!K155-Gasto_o_ing_per_capita!$D155</f>
        <v>-4.461138043839763</v>
      </c>
      <c r="L155" s="332">
        <f>Gasto_o_ing_per_capita!L155-Gasto_o_ing_per_capita!$D155</f>
        <v>-4.461138043839763</v>
      </c>
      <c r="M155" s="332">
        <f>Gasto_o_ing_per_capita!M155-Gasto_o_ing_per_capita!$D155</f>
        <v>-4.461138043839763</v>
      </c>
      <c r="N155" s="332">
        <f>Gasto_o_ing_per_capita!N155-Gasto_o_ing_per_capita!$D155</f>
        <v>-4.461138043839763</v>
      </c>
      <c r="O155" s="332">
        <f>Gasto_o_ing_per_capita!O155-Gasto_o_ing_per_capita!$D155</f>
        <v>-4.461138043839763</v>
      </c>
      <c r="P155" s="332">
        <f>Gasto_o_ing_per_capita!P155-Gasto_o_ing_per_capita!$D155</f>
        <v>-4.461138043839763</v>
      </c>
      <c r="Q155" s="332">
        <f>Gasto_o_ing_per_capita!Q155-Gasto_o_ing_per_capita!$D155</f>
        <v>-4.461138043839763</v>
      </c>
      <c r="R155" s="332">
        <f>Gasto_o_ing_per_capita!R155-Gasto_o_ing_per_capita!$D155</f>
        <v>-4.461138043839763</v>
      </c>
      <c r="S155" s="332">
        <f>Gasto_o_ing_per_capita!S155-Gasto_o_ing_per_capita!$D155</f>
        <v>62.187790684950905</v>
      </c>
      <c r="T155" s="332">
        <f>Gasto_o_ing_per_capita!T155-Gasto_o_ing_per_capita!$D155</f>
        <v>71.198500388800014</v>
      </c>
      <c r="U155" s="332">
        <f>Gasto_o_ing_per_capita!U155-Gasto_o_ing_per_capita!$D155</f>
        <v>-4.461138043839763</v>
      </c>
      <c r="V155" s="332">
        <f>Gasto_o_ing_per_capita!V155-Gasto_o_ing_per_capita!$D155</f>
        <v>-4.461138043839763</v>
      </c>
      <c r="W155" s="122"/>
      <c r="X155" s="104"/>
    </row>
    <row r="156" spans="1:24" s="102" customFormat="1">
      <c r="A156" s="351" t="str">
        <f>IF(B156="","",(IF(ISERROR(MATCH(B156,Tot_res!C:C,0)),"Eliminar!!!","")))</f>
        <v/>
      </c>
      <c r="B156" s="115" t="s">
        <v>1081</v>
      </c>
      <c r="C156" s="329" t="str">
        <f>VLOOKUP(B156,Tot_res!C:D,2,FALSE)</f>
        <v>Venta minorista de hidrocarburos (IVMH), ingresos de las comunidades forales</v>
      </c>
      <c r="D156" s="332">
        <f>Gasto_o_ing_per_capita!D156-Gasto_o_ing_per_capita!$D156</f>
        <v>0</v>
      </c>
      <c r="E156" s="332">
        <f>Gasto_o_ing_per_capita!E156-Gasto_o_ing_per_capita!$D156</f>
        <v>1.568532937719605E-2</v>
      </c>
      <c r="F156" s="332">
        <f>Gasto_o_ing_per_capita!F156-Gasto_o_ing_per_capita!$D156</f>
        <v>1.568532937719605E-2</v>
      </c>
      <c r="G156" s="332">
        <f>Gasto_o_ing_per_capita!G156-Gasto_o_ing_per_capita!$D156</f>
        <v>1.568532937719605E-2</v>
      </c>
      <c r="H156" s="332">
        <f>Gasto_o_ing_per_capita!H156-Gasto_o_ing_per_capita!$D156</f>
        <v>1.568532937719605E-2</v>
      </c>
      <c r="I156" s="332">
        <f>Gasto_o_ing_per_capita!I156-Gasto_o_ing_per_capita!$D156</f>
        <v>1.568532937719605E-2</v>
      </c>
      <c r="J156" s="332">
        <f>Gasto_o_ing_per_capita!J156-Gasto_o_ing_per_capita!$D156</f>
        <v>1.568532937719605E-2</v>
      </c>
      <c r="K156" s="332">
        <f>Gasto_o_ing_per_capita!K156-Gasto_o_ing_per_capita!$D156</f>
        <v>1.568532937719605E-2</v>
      </c>
      <c r="L156" s="332">
        <f>Gasto_o_ing_per_capita!L156-Gasto_o_ing_per_capita!$D156</f>
        <v>1.568532937719605E-2</v>
      </c>
      <c r="M156" s="332">
        <f>Gasto_o_ing_per_capita!M156-Gasto_o_ing_per_capita!$D156</f>
        <v>1.568532937719605E-2</v>
      </c>
      <c r="N156" s="332">
        <f>Gasto_o_ing_per_capita!N156-Gasto_o_ing_per_capita!$D156</f>
        <v>1.568532937719605E-2</v>
      </c>
      <c r="O156" s="332">
        <f>Gasto_o_ing_per_capita!O156-Gasto_o_ing_per_capita!$D156</f>
        <v>1.568532937719605E-2</v>
      </c>
      <c r="P156" s="332">
        <f>Gasto_o_ing_per_capita!P156-Gasto_o_ing_per_capita!$D156</f>
        <v>1.568532937719605E-2</v>
      </c>
      <c r="Q156" s="332">
        <f>Gasto_o_ing_per_capita!Q156-Gasto_o_ing_per_capita!$D156</f>
        <v>1.568532937719605E-2</v>
      </c>
      <c r="R156" s="332">
        <f>Gasto_o_ing_per_capita!R156-Gasto_o_ing_per_capita!$D156</f>
        <v>1.568532937719605E-2</v>
      </c>
      <c r="S156" s="332">
        <f>Gasto_o_ing_per_capita!S156-Gasto_o_ing_per_capita!$D156</f>
        <v>-1.4429834229945711</v>
      </c>
      <c r="T156" s="332">
        <f>Gasto_o_ing_per_capita!T156-Gasto_o_ing_per_capita!$D156</f>
        <v>0.10795980849461349</v>
      </c>
      <c r="U156" s="332">
        <f>Gasto_o_ing_per_capita!U156-Gasto_o_ing_per_capita!$D156</f>
        <v>1.568532937719605E-2</v>
      </c>
      <c r="V156" s="332">
        <f>Gasto_o_ing_per_capita!V156-Gasto_o_ing_per_capita!$D156</f>
        <v>1.568532937719605E-2</v>
      </c>
      <c r="W156" s="122"/>
      <c r="X156" s="104"/>
    </row>
    <row r="157" spans="1:24" s="102" customFormat="1">
      <c r="A157" s="351" t="str">
        <f>IF(B157="","",(IF(ISERROR(MATCH(B157,Tot_res!C:C,0)),"Eliminar!!!","")))</f>
        <v/>
      </c>
      <c r="B157" s="115" t="s">
        <v>960</v>
      </c>
      <c r="C157" s="329" t="str">
        <f>VLOOKUP(B157,Tot_res!C:D,2,FALSE)</f>
        <v>ITP y AJD, ingresos homogeneizados de las comunidades forales</v>
      </c>
      <c r="D157" s="332">
        <f>Gasto_o_ing_per_capita!D157-Gasto_o_ing_per_capita!$D157</f>
        <v>0</v>
      </c>
      <c r="E157" s="332">
        <f>Gasto_o_ing_per_capita!E157-Gasto_o_ing_per_capita!$D157</f>
        <v>-5.7472189018102444</v>
      </c>
      <c r="F157" s="332">
        <f>Gasto_o_ing_per_capita!F157-Gasto_o_ing_per_capita!$D157</f>
        <v>-5.7472189018102444</v>
      </c>
      <c r="G157" s="332">
        <f>Gasto_o_ing_per_capita!G157-Gasto_o_ing_per_capita!$D157</f>
        <v>-5.7472189018102444</v>
      </c>
      <c r="H157" s="332">
        <f>Gasto_o_ing_per_capita!H157-Gasto_o_ing_per_capita!$D157</f>
        <v>-5.7472189018102444</v>
      </c>
      <c r="I157" s="332">
        <f>Gasto_o_ing_per_capita!I157-Gasto_o_ing_per_capita!$D157</f>
        <v>-5.7472189018102444</v>
      </c>
      <c r="J157" s="332">
        <f>Gasto_o_ing_per_capita!J157-Gasto_o_ing_per_capita!$D157</f>
        <v>-5.7472189018102444</v>
      </c>
      <c r="K157" s="332">
        <f>Gasto_o_ing_per_capita!K157-Gasto_o_ing_per_capita!$D157</f>
        <v>-5.7472189018102444</v>
      </c>
      <c r="L157" s="332">
        <f>Gasto_o_ing_per_capita!L157-Gasto_o_ing_per_capita!$D157</f>
        <v>-5.7472189018102444</v>
      </c>
      <c r="M157" s="332">
        <f>Gasto_o_ing_per_capita!M157-Gasto_o_ing_per_capita!$D157</f>
        <v>-5.7472189018102444</v>
      </c>
      <c r="N157" s="332">
        <f>Gasto_o_ing_per_capita!N157-Gasto_o_ing_per_capita!$D157</f>
        <v>-5.7472189018102444</v>
      </c>
      <c r="O157" s="332">
        <f>Gasto_o_ing_per_capita!O157-Gasto_o_ing_per_capita!$D157</f>
        <v>-5.7472189018102444</v>
      </c>
      <c r="P157" s="332">
        <f>Gasto_o_ing_per_capita!P157-Gasto_o_ing_per_capita!$D157</f>
        <v>-5.7472189018102444</v>
      </c>
      <c r="Q157" s="332">
        <f>Gasto_o_ing_per_capita!Q157-Gasto_o_ing_per_capita!$D157</f>
        <v>-5.7472189018102444</v>
      </c>
      <c r="R157" s="332">
        <f>Gasto_o_ing_per_capita!R157-Gasto_o_ing_per_capita!$D157</f>
        <v>-5.7472189018102444</v>
      </c>
      <c r="S157" s="332">
        <f>Gasto_o_ing_per_capita!S157-Gasto_o_ing_per_capita!$D157</f>
        <v>85.971922364936063</v>
      </c>
      <c r="T157" s="332">
        <f>Gasto_o_ing_per_capita!T157-Gasto_o_ing_per_capita!$D157</f>
        <v>90.010175805826961</v>
      </c>
      <c r="U157" s="332">
        <f>Gasto_o_ing_per_capita!U157-Gasto_o_ing_per_capita!$D157</f>
        <v>-5.7472189018102444</v>
      </c>
      <c r="V157" s="332">
        <f>Gasto_o_ing_per_capita!V157-Gasto_o_ing_per_capita!$D157</f>
        <v>-5.7472189018102444</v>
      </c>
      <c r="W157" s="122"/>
      <c r="X157" s="104"/>
    </row>
    <row r="158" spans="1:24" s="102" customFormat="1">
      <c r="A158" s="351" t="str">
        <f>IF(B158="","",(IF(ISERROR(MATCH(B158,Tot_res!C:C,0)),"Eliminar!!!","")))</f>
        <v/>
      </c>
      <c r="B158" s="115" t="s">
        <v>961</v>
      </c>
      <c r="C158" s="329" t="str">
        <f>VLOOKUP(B158,Tot_res!C:D,2,FALSE)</f>
        <v>Tasas juego, ingresos homogeneizados de las comunidades forales</v>
      </c>
      <c r="D158" s="332">
        <f>Gasto_o_ing_per_capita!D158-Gasto_o_ing_per_capita!$D158</f>
        <v>0</v>
      </c>
      <c r="E158" s="332">
        <f>Gasto_o_ing_per_capita!E158-Gasto_o_ing_per_capita!$D158</f>
        <v>-0.81923662463413738</v>
      </c>
      <c r="F158" s="332">
        <f>Gasto_o_ing_per_capita!F158-Gasto_o_ing_per_capita!$D158</f>
        <v>-0.81923662463413738</v>
      </c>
      <c r="G158" s="332">
        <f>Gasto_o_ing_per_capita!G158-Gasto_o_ing_per_capita!$D158</f>
        <v>-0.81923662463413738</v>
      </c>
      <c r="H158" s="332">
        <f>Gasto_o_ing_per_capita!H158-Gasto_o_ing_per_capita!$D158</f>
        <v>-0.81923662463413738</v>
      </c>
      <c r="I158" s="332">
        <f>Gasto_o_ing_per_capita!I158-Gasto_o_ing_per_capita!$D158</f>
        <v>-0.81923662463413738</v>
      </c>
      <c r="J158" s="332">
        <f>Gasto_o_ing_per_capita!J158-Gasto_o_ing_per_capita!$D158</f>
        <v>-0.81923662463413738</v>
      </c>
      <c r="K158" s="332">
        <f>Gasto_o_ing_per_capita!K158-Gasto_o_ing_per_capita!$D158</f>
        <v>-0.81923662463413738</v>
      </c>
      <c r="L158" s="332">
        <f>Gasto_o_ing_per_capita!L158-Gasto_o_ing_per_capita!$D158</f>
        <v>-0.81923662463413738</v>
      </c>
      <c r="M158" s="332">
        <f>Gasto_o_ing_per_capita!M158-Gasto_o_ing_per_capita!$D158</f>
        <v>-0.81923662463413738</v>
      </c>
      <c r="N158" s="332">
        <f>Gasto_o_ing_per_capita!N158-Gasto_o_ing_per_capita!$D158</f>
        <v>-0.81923662463413738</v>
      </c>
      <c r="O158" s="332">
        <f>Gasto_o_ing_per_capita!O158-Gasto_o_ing_per_capita!$D158</f>
        <v>-0.81923662463413738</v>
      </c>
      <c r="P158" s="332">
        <f>Gasto_o_ing_per_capita!P158-Gasto_o_ing_per_capita!$D158</f>
        <v>-0.81923662463413738</v>
      </c>
      <c r="Q158" s="332">
        <f>Gasto_o_ing_per_capita!Q158-Gasto_o_ing_per_capita!$D158</f>
        <v>-0.81923662463413738</v>
      </c>
      <c r="R158" s="332">
        <f>Gasto_o_ing_per_capita!R158-Gasto_o_ing_per_capita!$D158</f>
        <v>-0.81923662463413738</v>
      </c>
      <c r="S158" s="332">
        <f>Gasto_o_ing_per_capita!S158-Gasto_o_ing_per_capita!$D158</f>
        <v>15.036293182227784</v>
      </c>
      <c r="T158" s="332">
        <f>Gasto_o_ing_per_capita!T158-Gasto_o_ing_per_capita!$D158</f>
        <v>12.016519282021118</v>
      </c>
      <c r="U158" s="332">
        <f>Gasto_o_ing_per_capita!U158-Gasto_o_ing_per_capita!$D158</f>
        <v>-0.81923662463413738</v>
      </c>
      <c r="V158" s="332">
        <f>Gasto_o_ing_per_capita!V158-Gasto_o_ing_per_capita!$D158</f>
        <v>-0.81923662463413738</v>
      </c>
      <c r="W158" s="122"/>
      <c r="X158" s="104"/>
    </row>
    <row r="159" spans="1:24"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Gasto_o_ing_per_capita!D159-Gasto_o_ing_per_capita!$D159</f>
        <v>0</v>
      </c>
      <c r="E159" s="332">
        <f>Gasto_o_ing_per_capita!E159-Gasto_o_ing_per_capita!$D159</f>
        <v>-0.19855521649529925</v>
      </c>
      <c r="F159" s="332">
        <f>Gasto_o_ing_per_capita!F159-Gasto_o_ing_per_capita!$D159</f>
        <v>-0.19855521649529925</v>
      </c>
      <c r="G159" s="332">
        <f>Gasto_o_ing_per_capita!G159-Gasto_o_ing_per_capita!$D159</f>
        <v>-0.19855521649529925</v>
      </c>
      <c r="H159" s="332">
        <f>Gasto_o_ing_per_capita!H159-Gasto_o_ing_per_capita!$D159</f>
        <v>-0.19855521649529925</v>
      </c>
      <c r="I159" s="332">
        <f>Gasto_o_ing_per_capita!I159-Gasto_o_ing_per_capita!$D159</f>
        <v>-0.19855521649529925</v>
      </c>
      <c r="J159" s="332">
        <f>Gasto_o_ing_per_capita!J159-Gasto_o_ing_per_capita!$D159</f>
        <v>-0.19855521649529925</v>
      </c>
      <c r="K159" s="332">
        <f>Gasto_o_ing_per_capita!K159-Gasto_o_ing_per_capita!$D159</f>
        <v>-0.19855521649529925</v>
      </c>
      <c r="L159" s="332">
        <f>Gasto_o_ing_per_capita!L159-Gasto_o_ing_per_capita!$D159</f>
        <v>-0.19855521649529925</v>
      </c>
      <c r="M159" s="332">
        <f>Gasto_o_ing_per_capita!M159-Gasto_o_ing_per_capita!$D159</f>
        <v>-0.19855521649529925</v>
      </c>
      <c r="N159" s="332">
        <f>Gasto_o_ing_per_capita!N159-Gasto_o_ing_per_capita!$D159</f>
        <v>-0.19855521649529925</v>
      </c>
      <c r="O159" s="332">
        <f>Gasto_o_ing_per_capita!O159-Gasto_o_ing_per_capita!$D159</f>
        <v>-0.19855521649529925</v>
      </c>
      <c r="P159" s="332">
        <f>Gasto_o_ing_per_capita!P159-Gasto_o_ing_per_capita!$D159</f>
        <v>-0.19855521649529925</v>
      </c>
      <c r="Q159" s="332">
        <f>Gasto_o_ing_per_capita!Q159-Gasto_o_ing_per_capita!$D159</f>
        <v>-0.19855521649529925</v>
      </c>
      <c r="R159" s="332">
        <f>Gasto_o_ing_per_capita!R159-Gasto_o_ing_per_capita!$D159</f>
        <v>-0.19855521649529925</v>
      </c>
      <c r="S159" s="332">
        <f>Gasto_o_ing_per_capita!S159-Gasto_o_ing_per_capita!$D159</f>
        <v>2.2960149976522706</v>
      </c>
      <c r="T159" s="332">
        <f>Gasto_o_ing_per_capita!T159-Gasto_o_ing_per_capita!$D159</f>
        <v>3.3069613812624308</v>
      </c>
      <c r="U159" s="332">
        <f>Gasto_o_ing_per_capita!U159-Gasto_o_ing_per_capita!$D159</f>
        <v>-0.19855521649529925</v>
      </c>
      <c r="V159" s="332">
        <f>Gasto_o_ing_per_capita!V159-Gasto_o_ing_per_capita!$D159</f>
        <v>-0.19855521649529925</v>
      </c>
      <c r="W159" s="122"/>
      <c r="X159" s="104"/>
    </row>
    <row r="160" spans="1:24" s="102" customFormat="1">
      <c r="A160" s="351" t="str">
        <f>IF(B160="","",(IF(ISERROR(MATCH(B160,Tot_res!C:C,0)),"Eliminar!!!","")))</f>
        <v/>
      </c>
      <c r="B160" s="115" t="s">
        <v>1203</v>
      </c>
      <c r="C160" s="329" t="str">
        <f>VLOOKUP(B160,Tot_res!C:D,2,FALSE)</f>
        <v>Impuestos medioambientales. Ingresos homogeneizados. Régimen foral</v>
      </c>
      <c r="D160" s="332">
        <f>Gasto_o_ing_per_capita!D160-Gasto_o_ing_per_capita!$D160</f>
        <v>0</v>
      </c>
      <c r="E160" s="332">
        <f>Gasto_o_ing_per_capita!E160-Gasto_o_ing_per_capita!$D160</f>
        <v>-0.88136798298568764</v>
      </c>
      <c r="F160" s="332">
        <f>Gasto_o_ing_per_capita!F160-Gasto_o_ing_per_capita!$D160</f>
        <v>-0.88136798298568764</v>
      </c>
      <c r="G160" s="332">
        <f>Gasto_o_ing_per_capita!G160-Gasto_o_ing_per_capita!$D160</f>
        <v>-0.88136798298568764</v>
      </c>
      <c r="H160" s="332">
        <f>Gasto_o_ing_per_capita!H160-Gasto_o_ing_per_capita!$D160</f>
        <v>-0.88136798298568764</v>
      </c>
      <c r="I160" s="332">
        <f>Gasto_o_ing_per_capita!I160-Gasto_o_ing_per_capita!$D160</f>
        <v>-0.88136798298568764</v>
      </c>
      <c r="J160" s="332">
        <f>Gasto_o_ing_per_capita!J160-Gasto_o_ing_per_capita!$D160</f>
        <v>-0.88136798298568764</v>
      </c>
      <c r="K160" s="332">
        <f>Gasto_o_ing_per_capita!K160-Gasto_o_ing_per_capita!$D160</f>
        <v>-0.88136798298568764</v>
      </c>
      <c r="L160" s="332">
        <f>Gasto_o_ing_per_capita!L160-Gasto_o_ing_per_capita!$D160</f>
        <v>-0.88136798298568764</v>
      </c>
      <c r="M160" s="332">
        <f>Gasto_o_ing_per_capita!M160-Gasto_o_ing_per_capita!$D160</f>
        <v>-0.88136798298568764</v>
      </c>
      <c r="N160" s="332">
        <f>Gasto_o_ing_per_capita!N160-Gasto_o_ing_per_capita!$D160</f>
        <v>-0.88136798298568764</v>
      </c>
      <c r="O160" s="332">
        <f>Gasto_o_ing_per_capita!O160-Gasto_o_ing_per_capita!$D160</f>
        <v>-0.88136798298568764</v>
      </c>
      <c r="P160" s="332">
        <f>Gasto_o_ing_per_capita!P160-Gasto_o_ing_per_capita!$D160</f>
        <v>-0.88136798298568764</v>
      </c>
      <c r="Q160" s="332">
        <f>Gasto_o_ing_per_capita!Q160-Gasto_o_ing_per_capita!$D160</f>
        <v>-0.88136798298568764</v>
      </c>
      <c r="R160" s="332">
        <f>Gasto_o_ing_per_capita!R160-Gasto_o_ing_per_capita!$D160</f>
        <v>-0.88136798298568764</v>
      </c>
      <c r="S160" s="332">
        <f>Gasto_o_ing_per_capita!S160-Gasto_o_ing_per_capita!$D160</f>
        <v>19.318965125049647</v>
      </c>
      <c r="T160" s="332">
        <f>Gasto_o_ing_per_capita!T160-Gasto_o_ing_per_capita!$D160</f>
        <v>12.00828041927257</v>
      </c>
      <c r="U160" s="332">
        <f>Gasto_o_ing_per_capita!U160-Gasto_o_ing_per_capita!$D160</f>
        <v>-0.88136798298568764</v>
      </c>
      <c r="V160" s="332">
        <f>Gasto_o_ing_per_capita!V160-Gasto_o_ing_per_capita!$D160</f>
        <v>-0.88136798298568764</v>
      </c>
      <c r="W160" s="122"/>
      <c r="X160" s="104"/>
    </row>
    <row r="161" spans="1:24" s="102" customFormat="1">
      <c r="A161" s="351" t="str">
        <f>IF(B161="","",(IF(ISERROR(MATCH(B161,Tot_res!C:C,0)),"Eliminar!!!","")))</f>
        <v/>
      </c>
      <c r="B161" s="115" t="s">
        <v>1205</v>
      </c>
      <c r="C161" s="329" t="str">
        <f>VLOOKUP(B161,Tot_res!C:D,2,FALSE)</f>
        <v>Impuestos sobre gases fluorados. Ingresos homogeneizados. Régimen foral</v>
      </c>
      <c r="D161" s="332">
        <f>Gasto_o_ing_per_capita!D161-Gasto_o_ing_per_capita!$D161</f>
        <v>0</v>
      </c>
      <c r="E161" s="332">
        <f>Gasto_o_ing_per_capita!E161-Gasto_o_ing_per_capita!$D161</f>
        <v>-1.7581104864941192E-2</v>
      </c>
      <c r="F161" s="332">
        <f>Gasto_o_ing_per_capita!F161-Gasto_o_ing_per_capita!$D161</f>
        <v>-1.7581104864941192E-2</v>
      </c>
      <c r="G161" s="332">
        <f>Gasto_o_ing_per_capita!G161-Gasto_o_ing_per_capita!$D161</f>
        <v>-1.7581104864941192E-2</v>
      </c>
      <c r="H161" s="332">
        <f>Gasto_o_ing_per_capita!H161-Gasto_o_ing_per_capita!$D161</f>
        <v>-1.7581104864941192E-2</v>
      </c>
      <c r="I161" s="332">
        <f>Gasto_o_ing_per_capita!I161-Gasto_o_ing_per_capita!$D161</f>
        <v>-1.7581104864941192E-2</v>
      </c>
      <c r="J161" s="332">
        <f>Gasto_o_ing_per_capita!J161-Gasto_o_ing_per_capita!$D161</f>
        <v>-1.7581104864941192E-2</v>
      </c>
      <c r="K161" s="332">
        <f>Gasto_o_ing_per_capita!K161-Gasto_o_ing_per_capita!$D161</f>
        <v>-1.7581104864941192E-2</v>
      </c>
      <c r="L161" s="332">
        <f>Gasto_o_ing_per_capita!L161-Gasto_o_ing_per_capita!$D161</f>
        <v>-1.7581104864941192E-2</v>
      </c>
      <c r="M161" s="332">
        <f>Gasto_o_ing_per_capita!M161-Gasto_o_ing_per_capita!$D161</f>
        <v>-1.7581104864941192E-2</v>
      </c>
      <c r="N161" s="332">
        <f>Gasto_o_ing_per_capita!N161-Gasto_o_ing_per_capita!$D161</f>
        <v>-1.7581104864941192E-2</v>
      </c>
      <c r="O161" s="332">
        <f>Gasto_o_ing_per_capita!O161-Gasto_o_ing_per_capita!$D161</f>
        <v>-1.7581104864941192E-2</v>
      </c>
      <c r="P161" s="332">
        <f>Gasto_o_ing_per_capita!P161-Gasto_o_ing_per_capita!$D161</f>
        <v>-1.7581104864941192E-2</v>
      </c>
      <c r="Q161" s="332">
        <f>Gasto_o_ing_per_capita!Q161-Gasto_o_ing_per_capita!$D161</f>
        <v>-1.7581104864941192E-2</v>
      </c>
      <c r="R161" s="332">
        <f>Gasto_o_ing_per_capita!R161-Gasto_o_ing_per_capita!$D161</f>
        <v>-1.7581104864941192E-2</v>
      </c>
      <c r="S161" s="332">
        <f>Gasto_o_ing_per_capita!S161-Gasto_o_ing_per_capita!$D161</f>
        <v>-1.7581104864941192E-2</v>
      </c>
      <c r="T161" s="332">
        <f>Gasto_o_ing_per_capita!T161-Gasto_o_ing_per_capita!$D161</f>
        <v>0.35745526818159212</v>
      </c>
      <c r="U161" s="332">
        <f>Gasto_o_ing_per_capita!U161-Gasto_o_ing_per_capita!$D161</f>
        <v>-1.7581104864941192E-2</v>
      </c>
      <c r="V161" s="332">
        <f>Gasto_o_ing_per_capita!V161-Gasto_o_ing_per_capita!$D161</f>
        <v>-1.7581104864941192E-2</v>
      </c>
      <c r="W161" s="122"/>
      <c r="X161" s="104"/>
    </row>
    <row r="162" spans="1:24" s="102" customFormat="1">
      <c r="A162" s="351" t="str">
        <f>IF(B162="","",(IF(ISERROR(MATCH(B162,Tot_res!C:C,0)),"Eliminar!!!","")))</f>
        <v/>
      </c>
      <c r="B162" s="115" t="s">
        <v>1207</v>
      </c>
      <c r="C162" s="329" t="str">
        <f>VLOOKUP(B162,Tot_res!C:D,2,FALSE)</f>
        <v>Impuesto sobre depósitos de entidades de crédito. Régimen foral</v>
      </c>
      <c r="D162" s="332">
        <f>Gasto_o_ing_per_capita!D162-Gasto_o_ing_per_capita!$D162</f>
        <v>0</v>
      </c>
      <c r="E162" s="332">
        <f>Gasto_o_ing_per_capita!E162-Gasto_o_ing_per_capita!$D162</f>
        <v>-0.26337394486469151</v>
      </c>
      <c r="F162" s="332">
        <f>Gasto_o_ing_per_capita!F162-Gasto_o_ing_per_capita!$D162</f>
        <v>-0.26337394486469151</v>
      </c>
      <c r="G162" s="332">
        <f>Gasto_o_ing_per_capita!G162-Gasto_o_ing_per_capita!$D162</f>
        <v>-0.26337394486469151</v>
      </c>
      <c r="H162" s="332">
        <f>Gasto_o_ing_per_capita!H162-Gasto_o_ing_per_capita!$D162</f>
        <v>-0.26337394486469151</v>
      </c>
      <c r="I162" s="332">
        <f>Gasto_o_ing_per_capita!I162-Gasto_o_ing_per_capita!$D162</f>
        <v>-0.26337394486469151</v>
      </c>
      <c r="J162" s="332">
        <f>Gasto_o_ing_per_capita!J162-Gasto_o_ing_per_capita!$D162</f>
        <v>-0.26337394486469151</v>
      </c>
      <c r="K162" s="332">
        <f>Gasto_o_ing_per_capita!K162-Gasto_o_ing_per_capita!$D162</f>
        <v>-0.26337394486469151</v>
      </c>
      <c r="L162" s="332">
        <f>Gasto_o_ing_per_capita!L162-Gasto_o_ing_per_capita!$D162</f>
        <v>-0.26337394486469151</v>
      </c>
      <c r="M162" s="332">
        <f>Gasto_o_ing_per_capita!M162-Gasto_o_ing_per_capita!$D162</f>
        <v>-0.26337394486469151</v>
      </c>
      <c r="N162" s="332">
        <f>Gasto_o_ing_per_capita!N162-Gasto_o_ing_per_capita!$D162</f>
        <v>-0.26337394486469151</v>
      </c>
      <c r="O162" s="332">
        <f>Gasto_o_ing_per_capita!O162-Gasto_o_ing_per_capita!$D162</f>
        <v>-0.26337394486469151</v>
      </c>
      <c r="P162" s="332">
        <f>Gasto_o_ing_per_capita!P162-Gasto_o_ing_per_capita!$D162</f>
        <v>-0.26337394486469151</v>
      </c>
      <c r="Q162" s="332">
        <f>Gasto_o_ing_per_capita!Q162-Gasto_o_ing_per_capita!$D162</f>
        <v>-0.26337394486469151</v>
      </c>
      <c r="R162" s="332">
        <f>Gasto_o_ing_per_capita!R162-Gasto_o_ing_per_capita!$D162</f>
        <v>-0.26337394486469151</v>
      </c>
      <c r="S162" s="332">
        <f>Gasto_o_ing_per_capita!S162-Gasto_o_ing_per_capita!$D162</f>
        <v>-0.26337394486469151</v>
      </c>
      <c r="T162" s="332">
        <f>Gasto_o_ing_per_capita!T162-Gasto_o_ing_per_capita!$D162</f>
        <v>5.3548627812002447</v>
      </c>
      <c r="U162" s="332">
        <f>Gasto_o_ing_per_capita!U162-Gasto_o_ing_per_capita!$D162</f>
        <v>-0.26337394486469151</v>
      </c>
      <c r="V162" s="332">
        <f>Gasto_o_ing_per_capita!V162-Gasto_o_ing_per_capita!$D162</f>
        <v>-0.26337394486469151</v>
      </c>
      <c r="W162" s="122"/>
      <c r="X162" s="104"/>
    </row>
    <row r="163" spans="1:24" s="102" customFormat="1">
      <c r="A163" s="352"/>
      <c r="B163" s="115"/>
      <c r="C163" s="140"/>
      <c r="D163" s="116"/>
      <c r="E163" s="116"/>
      <c r="F163" s="116"/>
      <c r="G163" s="116"/>
      <c r="H163" s="116"/>
      <c r="I163" s="116"/>
      <c r="J163" s="116"/>
      <c r="K163" s="116"/>
      <c r="L163" s="116"/>
      <c r="M163" s="116"/>
      <c r="N163" s="116"/>
      <c r="O163" s="116"/>
      <c r="P163" s="116"/>
      <c r="Q163" s="116"/>
      <c r="R163" s="116"/>
      <c r="S163" s="116"/>
      <c r="T163" s="116"/>
      <c r="U163" s="116"/>
      <c r="V163" s="116"/>
      <c r="W163" s="126"/>
      <c r="X163" s="104"/>
    </row>
    <row r="164" spans="1:24" s="103" customFormat="1" ht="13.5">
      <c r="A164" s="352"/>
      <c r="B164" s="137"/>
      <c r="C164" s="117" t="s">
        <v>5</v>
      </c>
      <c r="D164" s="110">
        <f>Gasto_o_ing_per_capita!D164-Gasto_o_ing_per_capita!$D164</f>
        <v>0</v>
      </c>
      <c r="E164" s="110">
        <f>Gasto_o_ing_per_capita!E164-Gasto_o_ing_per_capita!$D164</f>
        <v>31.909619672840911</v>
      </c>
      <c r="F164" s="110">
        <f>Gasto_o_ing_per_capita!F164-Gasto_o_ing_per_capita!$D164</f>
        <v>31.909619672840911</v>
      </c>
      <c r="G164" s="110">
        <f>Gasto_o_ing_per_capita!G164-Gasto_o_ing_per_capita!$D164</f>
        <v>31.909619672840911</v>
      </c>
      <c r="H164" s="110">
        <f>Gasto_o_ing_per_capita!H164-Gasto_o_ing_per_capita!$D164</f>
        <v>31.909619672840911</v>
      </c>
      <c r="I164" s="110">
        <f>Gasto_o_ing_per_capita!I164-Gasto_o_ing_per_capita!$D164</f>
        <v>31.909619672840911</v>
      </c>
      <c r="J164" s="110">
        <f>Gasto_o_ing_per_capita!J164-Gasto_o_ing_per_capita!$D164</f>
        <v>31.909619672840911</v>
      </c>
      <c r="K164" s="110">
        <f>Gasto_o_ing_per_capita!K164-Gasto_o_ing_per_capita!$D164</f>
        <v>31.909619672840911</v>
      </c>
      <c r="L164" s="110">
        <f>Gasto_o_ing_per_capita!L164-Gasto_o_ing_per_capita!$D164</f>
        <v>31.909619672840911</v>
      </c>
      <c r="M164" s="110">
        <f>Gasto_o_ing_per_capita!M164-Gasto_o_ing_per_capita!$D164</f>
        <v>31.909619672840911</v>
      </c>
      <c r="N164" s="110">
        <f>Gasto_o_ing_per_capita!N164-Gasto_o_ing_per_capita!$D164</f>
        <v>31.909619672840911</v>
      </c>
      <c r="O164" s="110">
        <f>Gasto_o_ing_per_capita!O164-Gasto_o_ing_per_capita!$D164</f>
        <v>31.909619672840911</v>
      </c>
      <c r="P164" s="110">
        <f>Gasto_o_ing_per_capita!P164-Gasto_o_ing_per_capita!$D164</f>
        <v>31.909619672840911</v>
      </c>
      <c r="Q164" s="110">
        <f>Gasto_o_ing_per_capita!Q164-Gasto_o_ing_per_capita!$D164</f>
        <v>31.909619672840911</v>
      </c>
      <c r="R164" s="110">
        <f>Gasto_o_ing_per_capita!R164-Gasto_o_ing_per_capita!$D164</f>
        <v>31.909619672840911</v>
      </c>
      <c r="S164" s="110">
        <f>Gasto_o_ing_per_capita!S164-Gasto_o_ing_per_capita!$D164</f>
        <v>-807.55384849067866</v>
      </c>
      <c r="T164" s="110">
        <f>Gasto_o_ing_per_capita!T164-Gasto_o_ing_per_capita!$D164</f>
        <v>-403.11567130011139</v>
      </c>
      <c r="U164" s="110">
        <f>Gasto_o_ing_per_capita!U164-Gasto_o_ing_per_capita!$D164</f>
        <v>31.909619672840911</v>
      </c>
      <c r="V164" s="110">
        <f>Gasto_o_ing_per_capita!V164-Gasto_o_ing_per_capita!$D164</f>
        <v>31.909619672840911</v>
      </c>
      <c r="W164" s="125"/>
      <c r="X164" s="180"/>
    </row>
    <row r="165" spans="1:24" s="102" customFormat="1">
      <c r="A165" s="351" t="str">
        <f>IF(B165="","",(IF(ISERROR(MATCH(B165,Tot_res!C:C,0)),"Eliminar!!!","")))</f>
        <v/>
      </c>
      <c r="B165" s="115" t="s">
        <v>984</v>
      </c>
      <c r="C165" s="329" t="str">
        <f>VLOOKUP(B165,Tot_res!C:D,2,FALSE)</f>
        <v xml:space="preserve"> Cupo y aportación, antes descuento por Y vasca</v>
      </c>
      <c r="D165" s="332">
        <f>Gasto_o_ing_per_capita!D165-Gasto_o_ing_per_capita!$D165</f>
        <v>0</v>
      </c>
      <c r="E165" s="332">
        <f>Gasto_o_ing_per_capita!E165-Gasto_o_ing_per_capita!$D165</f>
        <v>33.52134529757857</v>
      </c>
      <c r="F165" s="332">
        <f>Gasto_o_ing_per_capita!F165-Gasto_o_ing_per_capita!$D165</f>
        <v>33.52134529757857</v>
      </c>
      <c r="G165" s="332">
        <f>Gasto_o_ing_per_capita!G165-Gasto_o_ing_per_capita!$D165</f>
        <v>33.52134529757857</v>
      </c>
      <c r="H165" s="332">
        <f>Gasto_o_ing_per_capita!H165-Gasto_o_ing_per_capita!$D165</f>
        <v>33.52134529757857</v>
      </c>
      <c r="I165" s="332">
        <f>Gasto_o_ing_per_capita!I165-Gasto_o_ing_per_capita!$D165</f>
        <v>33.52134529757857</v>
      </c>
      <c r="J165" s="332">
        <f>Gasto_o_ing_per_capita!J165-Gasto_o_ing_per_capita!$D165</f>
        <v>33.52134529757857</v>
      </c>
      <c r="K165" s="332">
        <f>Gasto_o_ing_per_capita!K165-Gasto_o_ing_per_capita!$D165</f>
        <v>33.52134529757857</v>
      </c>
      <c r="L165" s="332">
        <f>Gasto_o_ing_per_capita!L165-Gasto_o_ing_per_capita!$D165</f>
        <v>33.52134529757857</v>
      </c>
      <c r="M165" s="332">
        <f>Gasto_o_ing_per_capita!M165-Gasto_o_ing_per_capita!$D165</f>
        <v>33.52134529757857</v>
      </c>
      <c r="N165" s="332">
        <f>Gasto_o_ing_per_capita!N165-Gasto_o_ing_per_capita!$D165</f>
        <v>33.52134529757857</v>
      </c>
      <c r="O165" s="332">
        <f>Gasto_o_ing_per_capita!O165-Gasto_o_ing_per_capita!$D165</f>
        <v>33.52134529757857</v>
      </c>
      <c r="P165" s="332">
        <f>Gasto_o_ing_per_capita!P165-Gasto_o_ing_per_capita!$D165</f>
        <v>33.52134529757857</v>
      </c>
      <c r="Q165" s="332">
        <f>Gasto_o_ing_per_capita!Q165-Gasto_o_ing_per_capita!$D165</f>
        <v>33.52134529757857</v>
      </c>
      <c r="R165" s="332">
        <f>Gasto_o_ing_per_capita!R165-Gasto_o_ing_per_capita!$D165</f>
        <v>33.52134529757857</v>
      </c>
      <c r="S165" s="332">
        <f>Gasto_o_ing_per_capita!S165-Gasto_o_ing_per_capita!$D165</f>
        <v>-805.94212286594097</v>
      </c>
      <c r="T165" s="332">
        <f>Gasto_o_ing_per_capita!T165-Gasto_o_ing_per_capita!$D165</f>
        <v>-435.88493238191018</v>
      </c>
      <c r="U165" s="332">
        <f>Gasto_o_ing_per_capita!U165-Gasto_o_ing_per_capita!$D165</f>
        <v>33.52134529757857</v>
      </c>
      <c r="V165" s="332">
        <f>Gasto_o_ing_per_capita!V165-Gasto_o_ing_per_capita!$D165</f>
        <v>33.52134529757857</v>
      </c>
      <c r="W165" s="122"/>
      <c r="X165" s="104"/>
    </row>
    <row r="166" spans="1:24"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Gasto_o_ing_per_capita!D166-Gasto_o_ing_per_capita!$D166</f>
        <v>0</v>
      </c>
      <c r="E166" s="332">
        <f>Gasto_o_ing_per_capita!E166-Gasto_o_ing_per_capita!$D166</f>
        <v>-2.9157639263630948</v>
      </c>
      <c r="F166" s="332">
        <f>Gasto_o_ing_per_capita!F166-Gasto_o_ing_per_capita!$D166</f>
        <v>-2.9157639263630948</v>
      </c>
      <c r="G166" s="332">
        <f>Gasto_o_ing_per_capita!G166-Gasto_o_ing_per_capita!$D166</f>
        <v>-2.9157639263630948</v>
      </c>
      <c r="H166" s="332">
        <f>Gasto_o_ing_per_capita!H166-Gasto_o_ing_per_capita!$D166</f>
        <v>-2.9157639263630948</v>
      </c>
      <c r="I166" s="332">
        <f>Gasto_o_ing_per_capita!I166-Gasto_o_ing_per_capita!$D166</f>
        <v>-2.9157639263630948</v>
      </c>
      <c r="J166" s="332">
        <f>Gasto_o_ing_per_capita!J166-Gasto_o_ing_per_capita!$D166</f>
        <v>-2.9157639263630948</v>
      </c>
      <c r="K166" s="332">
        <f>Gasto_o_ing_per_capita!K166-Gasto_o_ing_per_capita!$D166</f>
        <v>-2.9157639263630948</v>
      </c>
      <c r="L166" s="332">
        <f>Gasto_o_ing_per_capita!L166-Gasto_o_ing_per_capita!$D166</f>
        <v>-2.9157639263630948</v>
      </c>
      <c r="M166" s="332">
        <f>Gasto_o_ing_per_capita!M166-Gasto_o_ing_per_capita!$D166</f>
        <v>-2.9157639263630948</v>
      </c>
      <c r="N166" s="332">
        <f>Gasto_o_ing_per_capita!N166-Gasto_o_ing_per_capita!$D166</f>
        <v>-2.9157639263630948</v>
      </c>
      <c r="O166" s="332">
        <f>Gasto_o_ing_per_capita!O166-Gasto_o_ing_per_capita!$D166</f>
        <v>-2.9157639263630948</v>
      </c>
      <c r="P166" s="332">
        <f>Gasto_o_ing_per_capita!P166-Gasto_o_ing_per_capita!$D166</f>
        <v>-2.9157639263630948</v>
      </c>
      <c r="Q166" s="332">
        <f>Gasto_o_ing_per_capita!Q166-Gasto_o_ing_per_capita!$D166</f>
        <v>-2.9157639263630948</v>
      </c>
      <c r="R166" s="332">
        <f>Gasto_o_ing_per_capita!R166-Gasto_o_ing_per_capita!$D166</f>
        <v>-2.9157639263630948</v>
      </c>
      <c r="S166" s="332">
        <f>Gasto_o_ing_per_capita!S166-Gasto_o_ing_per_capita!$D166</f>
        <v>-2.9157639263630948</v>
      </c>
      <c r="T166" s="332">
        <f>Gasto_o_ing_per_capita!T166-Gasto_o_ing_per_capita!$D166</f>
        <v>59.282689242739934</v>
      </c>
      <c r="U166" s="332">
        <f>Gasto_o_ing_per_capita!U166-Gasto_o_ing_per_capita!$D166</f>
        <v>-2.9157639263630948</v>
      </c>
      <c r="V166" s="332">
        <f>Gasto_o_ing_per_capita!V166-Gasto_o_ing_per_capita!$D166</f>
        <v>-2.9157639263630948</v>
      </c>
      <c r="W166" s="122"/>
      <c r="X166" s="104"/>
    </row>
    <row r="167" spans="1:24" s="102" customFormat="1">
      <c r="A167" s="351" t="str">
        <f>IF(B167="","",(IF(ISERROR(MATCH(B167,Tot_res!C:C,0)),"Eliminar!!!","")))</f>
        <v/>
      </c>
      <c r="B167" s="115" t="s">
        <v>218</v>
      </c>
      <c r="C167" s="329" t="str">
        <f>VLOOKUP(B167,Tot_res!C:D,2,FALSE)</f>
        <v>compensaciones financieras IE bebidas alcohólicas e hidrocarburos</v>
      </c>
      <c r="D167" s="332">
        <f>Gasto_o_ing_per_capita!D167-Gasto_o_ing_per_capita!$D167</f>
        <v>0</v>
      </c>
      <c r="E167" s="332">
        <f>Gasto_o_ing_per_capita!E167-Gasto_o_ing_per_capita!$D167</f>
        <v>1.3040383016254395</v>
      </c>
      <c r="F167" s="332">
        <f>Gasto_o_ing_per_capita!F167-Gasto_o_ing_per_capita!$D167</f>
        <v>1.3040383016254395</v>
      </c>
      <c r="G167" s="332">
        <f>Gasto_o_ing_per_capita!G167-Gasto_o_ing_per_capita!$D167</f>
        <v>1.3040383016254395</v>
      </c>
      <c r="H167" s="332">
        <f>Gasto_o_ing_per_capita!H167-Gasto_o_ing_per_capita!$D167</f>
        <v>1.3040383016254395</v>
      </c>
      <c r="I167" s="332">
        <f>Gasto_o_ing_per_capita!I167-Gasto_o_ing_per_capita!$D167</f>
        <v>1.3040383016254395</v>
      </c>
      <c r="J167" s="332">
        <f>Gasto_o_ing_per_capita!J167-Gasto_o_ing_per_capita!$D167</f>
        <v>1.3040383016254395</v>
      </c>
      <c r="K167" s="332">
        <f>Gasto_o_ing_per_capita!K167-Gasto_o_ing_per_capita!$D167</f>
        <v>1.3040383016254395</v>
      </c>
      <c r="L167" s="332">
        <f>Gasto_o_ing_per_capita!L167-Gasto_o_ing_per_capita!$D167</f>
        <v>1.3040383016254395</v>
      </c>
      <c r="M167" s="332">
        <f>Gasto_o_ing_per_capita!M167-Gasto_o_ing_per_capita!$D167</f>
        <v>1.3040383016254395</v>
      </c>
      <c r="N167" s="332">
        <f>Gasto_o_ing_per_capita!N167-Gasto_o_ing_per_capita!$D167</f>
        <v>1.3040383016254395</v>
      </c>
      <c r="O167" s="332">
        <f>Gasto_o_ing_per_capita!O167-Gasto_o_ing_per_capita!$D167</f>
        <v>1.3040383016254395</v>
      </c>
      <c r="P167" s="332">
        <f>Gasto_o_ing_per_capita!P167-Gasto_o_ing_per_capita!$D167</f>
        <v>1.3040383016254395</v>
      </c>
      <c r="Q167" s="332">
        <f>Gasto_o_ing_per_capita!Q167-Gasto_o_ing_per_capita!$D167</f>
        <v>1.3040383016254395</v>
      </c>
      <c r="R167" s="332">
        <f>Gasto_o_ing_per_capita!R167-Gasto_o_ing_per_capita!$D167</f>
        <v>1.3040383016254395</v>
      </c>
      <c r="S167" s="332">
        <f>Gasto_o_ing_per_capita!S167-Gasto_o_ing_per_capita!$D167</f>
        <v>1.3040383016254395</v>
      </c>
      <c r="T167" s="332">
        <f>Gasto_o_ing_per_capita!T167-Gasto_o_ing_per_capita!$D167</f>
        <v>-26.513428160941043</v>
      </c>
      <c r="U167" s="332">
        <f>Gasto_o_ing_per_capita!U167-Gasto_o_ing_per_capita!$D167</f>
        <v>1.3040383016254395</v>
      </c>
      <c r="V167" s="332">
        <f>Gasto_o_ing_per_capita!V167-Gasto_o_ing_per_capita!$D167</f>
        <v>1.3040383016254395</v>
      </c>
      <c r="W167" s="122"/>
      <c r="X167" s="104"/>
    </row>
    <row r="168" spans="1:24">
      <c r="A168" s="352"/>
      <c r="B168" s="9"/>
      <c r="C168" s="5"/>
      <c r="D168" s="19"/>
      <c r="E168" s="19"/>
      <c r="F168" s="19"/>
      <c r="G168" s="19"/>
      <c r="H168" s="19"/>
      <c r="I168" s="19"/>
      <c r="J168" s="19"/>
      <c r="K168" s="19"/>
      <c r="L168" s="19"/>
      <c r="M168" s="19"/>
      <c r="N168" s="19"/>
      <c r="O168" s="19"/>
      <c r="P168" s="19"/>
      <c r="Q168" s="19"/>
      <c r="R168" s="19"/>
      <c r="S168" s="19"/>
      <c r="T168" s="19"/>
      <c r="U168" s="19"/>
      <c r="V168" s="19"/>
      <c r="W168" s="24"/>
      <c r="X168" s="15"/>
    </row>
    <row r="169" spans="1:24" s="102" customFormat="1" ht="13.5">
      <c r="A169" s="352"/>
      <c r="B169" s="137"/>
      <c r="C169" s="117" t="s">
        <v>52</v>
      </c>
      <c r="D169" s="113">
        <f>Gasto_o_ing_per_capita!D169-Gasto_o_ing_per_capita!$D169</f>
        <v>0</v>
      </c>
      <c r="E169" s="113">
        <f>Gasto_o_ing_per_capita!E169-Gasto_o_ing_per_capita!$D169</f>
        <v>53.318065959104885</v>
      </c>
      <c r="F169" s="113">
        <f>Gasto_o_ing_per_capita!F169-Gasto_o_ing_per_capita!$D169</f>
        <v>53.318065959104885</v>
      </c>
      <c r="G169" s="113">
        <f>Gasto_o_ing_per_capita!G169-Gasto_o_ing_per_capita!$D169</f>
        <v>53.318065959104885</v>
      </c>
      <c r="H169" s="113">
        <f>Gasto_o_ing_per_capita!H169-Gasto_o_ing_per_capita!$D169</f>
        <v>53.318065959104885</v>
      </c>
      <c r="I169" s="113">
        <f>Gasto_o_ing_per_capita!I169-Gasto_o_ing_per_capita!$D169</f>
        <v>53.318065959104885</v>
      </c>
      <c r="J169" s="113">
        <f>Gasto_o_ing_per_capita!J169-Gasto_o_ing_per_capita!$D169</f>
        <v>53.318065959104885</v>
      </c>
      <c r="K169" s="113">
        <f>Gasto_o_ing_per_capita!K169-Gasto_o_ing_per_capita!$D169</f>
        <v>53.318065959104885</v>
      </c>
      <c r="L169" s="113">
        <f>Gasto_o_ing_per_capita!L169-Gasto_o_ing_per_capita!$D169</f>
        <v>53.318065959104885</v>
      </c>
      <c r="M169" s="113">
        <f>Gasto_o_ing_per_capita!M169-Gasto_o_ing_per_capita!$D169</f>
        <v>53.318065959104885</v>
      </c>
      <c r="N169" s="113">
        <f>Gasto_o_ing_per_capita!N169-Gasto_o_ing_per_capita!$D169</f>
        <v>53.318065959104885</v>
      </c>
      <c r="O169" s="113">
        <f>Gasto_o_ing_per_capita!O169-Gasto_o_ing_per_capita!$D169</f>
        <v>53.318065959104885</v>
      </c>
      <c r="P169" s="113">
        <f>Gasto_o_ing_per_capita!P169-Gasto_o_ing_per_capita!$D169</f>
        <v>53.318065959104885</v>
      </c>
      <c r="Q169" s="113">
        <f>Gasto_o_ing_per_capita!Q169-Gasto_o_ing_per_capita!$D169</f>
        <v>53.318065959104885</v>
      </c>
      <c r="R169" s="113">
        <f>Gasto_o_ing_per_capita!R169-Gasto_o_ing_per_capita!$D169</f>
        <v>53.318065959104885</v>
      </c>
      <c r="S169" s="113">
        <f>Gasto_o_ing_per_capita!S169-Gasto_o_ing_per_capita!$D169</f>
        <v>-681.70698408167186</v>
      </c>
      <c r="T169" s="113">
        <f>Gasto_o_ing_per_capita!T169-Gasto_o_ing_per_capita!$D169</f>
        <v>-868.95089803300516</v>
      </c>
      <c r="U169" s="113">
        <f>Gasto_o_ing_per_capita!U169-Gasto_o_ing_per_capita!$D169</f>
        <v>53.318065959104885</v>
      </c>
      <c r="V169" s="113">
        <f>Gasto_o_ing_per_capita!V169-Gasto_o_ing_per_capita!$D169</f>
        <v>53.318065959104885</v>
      </c>
      <c r="W169" s="122"/>
      <c r="X169" s="104"/>
    </row>
    <row r="170" spans="1:24" s="102" customFormat="1">
      <c r="A170" s="352"/>
      <c r="B170" s="115" t="s">
        <v>1097</v>
      </c>
      <c r="C170" s="331" t="str">
        <f>VLOOKUP(B170,Tot_res!C:D,2,FALSE)</f>
        <v>gestión tributaria (prog. 932A)</v>
      </c>
      <c r="D170" s="334">
        <f>Gasto_o_ing_per_capita!D170-Gasto_o_ing_per_capita!$D170</f>
        <v>0</v>
      </c>
      <c r="E170" s="334">
        <f>Gasto_o_ing_per_capita!E170-Gasto_o_ing_per_capita!$D170</f>
        <v>1.7189221694896233</v>
      </c>
      <c r="F170" s="334">
        <f>Gasto_o_ing_per_capita!F170-Gasto_o_ing_per_capita!$D170</f>
        <v>1.7189221694896233</v>
      </c>
      <c r="G170" s="334">
        <f>Gasto_o_ing_per_capita!G170-Gasto_o_ing_per_capita!$D170</f>
        <v>1.7189221694896233</v>
      </c>
      <c r="H170" s="334">
        <f>Gasto_o_ing_per_capita!H170-Gasto_o_ing_per_capita!$D170</f>
        <v>1.7189221694896233</v>
      </c>
      <c r="I170" s="334">
        <f>Gasto_o_ing_per_capita!I170-Gasto_o_ing_per_capita!$D170</f>
        <v>1.7189221694896233</v>
      </c>
      <c r="J170" s="334">
        <f>Gasto_o_ing_per_capita!J170-Gasto_o_ing_per_capita!$D170</f>
        <v>1.7189221694896233</v>
      </c>
      <c r="K170" s="334">
        <f>Gasto_o_ing_per_capita!K170-Gasto_o_ing_per_capita!$D170</f>
        <v>1.7189221694896233</v>
      </c>
      <c r="L170" s="334">
        <f>Gasto_o_ing_per_capita!L170-Gasto_o_ing_per_capita!$D170</f>
        <v>1.7189221694896233</v>
      </c>
      <c r="M170" s="334">
        <f>Gasto_o_ing_per_capita!M170-Gasto_o_ing_per_capita!$D170</f>
        <v>1.7189221694896233</v>
      </c>
      <c r="N170" s="334">
        <f>Gasto_o_ing_per_capita!N170-Gasto_o_ing_per_capita!$D170</f>
        <v>1.7189221694896233</v>
      </c>
      <c r="O170" s="334">
        <f>Gasto_o_ing_per_capita!O170-Gasto_o_ing_per_capita!$D170</f>
        <v>1.7189221694896233</v>
      </c>
      <c r="P170" s="334">
        <f>Gasto_o_ing_per_capita!P170-Gasto_o_ing_per_capita!$D170</f>
        <v>1.7189221694896233</v>
      </c>
      <c r="Q170" s="334">
        <f>Gasto_o_ing_per_capita!Q170-Gasto_o_ing_per_capita!$D170</f>
        <v>1.7189221694896233</v>
      </c>
      <c r="R170" s="334">
        <f>Gasto_o_ing_per_capita!R170-Gasto_o_ing_per_capita!$D170</f>
        <v>1.7189221694896233</v>
      </c>
      <c r="S170" s="334">
        <f>Gasto_o_ing_per_capita!S170-Gasto_o_ing_per_capita!$D170</f>
        <v>-26.647497455716646</v>
      </c>
      <c r="T170" s="334">
        <f>Gasto_o_ing_per_capita!T170-Gasto_o_ing_per_capita!$D170</f>
        <v>-26.64749745571665</v>
      </c>
      <c r="U170" s="334">
        <f>Gasto_o_ing_per_capita!U170-Gasto_o_ing_per_capita!$D170</f>
        <v>1.7189221694896233</v>
      </c>
      <c r="V170" s="334">
        <f>Gasto_o_ing_per_capita!V170-Gasto_o_ing_per_capita!$D170</f>
        <v>1.7189221694896233</v>
      </c>
      <c r="W170" s="122"/>
      <c r="X170" s="104"/>
    </row>
    <row r="171" spans="1:24" s="102" customFormat="1">
      <c r="A171" s="352"/>
      <c r="B171" s="115" t="s">
        <v>1098</v>
      </c>
      <c r="C171" s="331" t="str">
        <f>VLOOKUP(B171,Tot_res!C:D,2,FALSE)</f>
        <v>Gestión del catastro inmobiliario (programa 932M)</v>
      </c>
      <c r="D171" s="334">
        <f>Gasto_o_ing_per_capita!D171-Gasto_o_ing_per_capita!$D171</f>
        <v>0</v>
      </c>
      <c r="E171" s="334">
        <f>Gasto_o_ing_per_capita!E171-Gasto_o_ing_per_capita!$D171</f>
        <v>0.17088463456611377</v>
      </c>
      <c r="F171" s="334">
        <f>Gasto_o_ing_per_capita!F171-Gasto_o_ing_per_capita!$D171</f>
        <v>0.17088463456611377</v>
      </c>
      <c r="G171" s="334">
        <f>Gasto_o_ing_per_capita!G171-Gasto_o_ing_per_capita!$D171</f>
        <v>0.17088463456611377</v>
      </c>
      <c r="H171" s="334">
        <f>Gasto_o_ing_per_capita!H171-Gasto_o_ing_per_capita!$D171</f>
        <v>0.17088463456611377</v>
      </c>
      <c r="I171" s="334">
        <f>Gasto_o_ing_per_capita!I171-Gasto_o_ing_per_capita!$D171</f>
        <v>0.17088463456611377</v>
      </c>
      <c r="J171" s="334">
        <f>Gasto_o_ing_per_capita!J171-Gasto_o_ing_per_capita!$D171</f>
        <v>0.17088463456611377</v>
      </c>
      <c r="K171" s="334">
        <f>Gasto_o_ing_per_capita!K171-Gasto_o_ing_per_capita!$D171</f>
        <v>0.17088463456611377</v>
      </c>
      <c r="L171" s="334">
        <f>Gasto_o_ing_per_capita!L171-Gasto_o_ing_per_capita!$D171</f>
        <v>0.17088463456611377</v>
      </c>
      <c r="M171" s="334">
        <f>Gasto_o_ing_per_capita!M171-Gasto_o_ing_per_capita!$D171</f>
        <v>0.17088463456611377</v>
      </c>
      <c r="N171" s="334">
        <f>Gasto_o_ing_per_capita!N171-Gasto_o_ing_per_capita!$D171</f>
        <v>0.17088463456611377</v>
      </c>
      <c r="O171" s="334">
        <f>Gasto_o_ing_per_capita!O171-Gasto_o_ing_per_capita!$D171</f>
        <v>0.17088463456611377</v>
      </c>
      <c r="P171" s="334">
        <f>Gasto_o_ing_per_capita!P171-Gasto_o_ing_per_capita!$D171</f>
        <v>0.17088463456611377</v>
      </c>
      <c r="Q171" s="334">
        <f>Gasto_o_ing_per_capita!Q171-Gasto_o_ing_per_capita!$D171</f>
        <v>0.17088463456611377</v>
      </c>
      <c r="R171" s="334">
        <f>Gasto_o_ing_per_capita!R171-Gasto_o_ing_per_capita!$D171</f>
        <v>0.17088463456611377</v>
      </c>
      <c r="S171" s="334">
        <f>Gasto_o_ing_per_capita!S171-Gasto_o_ing_per_capita!$D171</f>
        <v>-2.6491297544749455</v>
      </c>
      <c r="T171" s="334">
        <f>Gasto_o_ing_per_capita!T171-Gasto_o_ing_per_capita!$D171</f>
        <v>-2.6491297544749455</v>
      </c>
      <c r="U171" s="334">
        <f>Gasto_o_ing_per_capita!U171-Gasto_o_ing_per_capita!$D171</f>
        <v>0.17088463456611377</v>
      </c>
      <c r="V171" s="334">
        <f>Gasto_o_ing_per_capita!V171-Gasto_o_ing_per_capita!$D171</f>
        <v>0.17088463456611377</v>
      </c>
      <c r="W171" s="122"/>
      <c r="X171" s="104"/>
    </row>
    <row r="172" spans="1:24" s="102" customFormat="1">
      <c r="A172" s="352"/>
      <c r="B172" s="115" t="s">
        <v>1099</v>
      </c>
      <c r="C172" s="331" t="str">
        <f>VLOOKUP(B172,Tot_res!C:D,2,FALSE)</f>
        <v>Pensiones no contributivas y otras prestaciones económicas (sección 3.1)</v>
      </c>
      <c r="D172" s="334">
        <f>Gasto_o_ing_per_capita!D172-Gasto_o_ing_per_capita!$D172</f>
        <v>0</v>
      </c>
      <c r="E172" s="334">
        <f>Gasto_o_ing_per_capita!E172-Gasto_o_ing_per_capita!$D172</f>
        <v>3.4981998269517529</v>
      </c>
      <c r="F172" s="334">
        <f>Gasto_o_ing_per_capita!F172-Gasto_o_ing_per_capita!$D172</f>
        <v>3.4981998269517529</v>
      </c>
      <c r="G172" s="334">
        <f>Gasto_o_ing_per_capita!G172-Gasto_o_ing_per_capita!$D172</f>
        <v>3.4981998269517529</v>
      </c>
      <c r="H172" s="334">
        <f>Gasto_o_ing_per_capita!H172-Gasto_o_ing_per_capita!$D172</f>
        <v>3.4981998269517529</v>
      </c>
      <c r="I172" s="334">
        <f>Gasto_o_ing_per_capita!I172-Gasto_o_ing_per_capita!$D172</f>
        <v>3.4981998269517529</v>
      </c>
      <c r="J172" s="334">
        <f>Gasto_o_ing_per_capita!J172-Gasto_o_ing_per_capita!$D172</f>
        <v>3.4981998269517529</v>
      </c>
      <c r="K172" s="334">
        <f>Gasto_o_ing_per_capita!K172-Gasto_o_ing_per_capita!$D172</f>
        <v>3.4981998269517529</v>
      </c>
      <c r="L172" s="334">
        <f>Gasto_o_ing_per_capita!L172-Gasto_o_ing_per_capita!$D172</f>
        <v>3.4981998269517529</v>
      </c>
      <c r="M172" s="334">
        <f>Gasto_o_ing_per_capita!M172-Gasto_o_ing_per_capita!$D172</f>
        <v>3.4981998269517529</v>
      </c>
      <c r="N172" s="334">
        <f>Gasto_o_ing_per_capita!N172-Gasto_o_ing_per_capita!$D172</f>
        <v>3.4981998269517529</v>
      </c>
      <c r="O172" s="334">
        <f>Gasto_o_ing_per_capita!O172-Gasto_o_ing_per_capita!$D172</f>
        <v>3.4981998269517529</v>
      </c>
      <c r="P172" s="334">
        <f>Gasto_o_ing_per_capita!P172-Gasto_o_ing_per_capita!$D172</f>
        <v>3.4981998269517529</v>
      </c>
      <c r="Q172" s="334">
        <f>Gasto_o_ing_per_capita!Q172-Gasto_o_ing_per_capita!$D172</f>
        <v>3.4981998269517529</v>
      </c>
      <c r="R172" s="334">
        <f>Gasto_o_ing_per_capita!R172-Gasto_o_ing_per_capita!$D172</f>
        <v>3.4981998269517529</v>
      </c>
      <c r="S172" s="334">
        <f>Gasto_o_ing_per_capita!S172-Gasto_o_ing_per_capita!$D172</f>
        <v>-40.255350409323562</v>
      </c>
      <c r="T172" s="334">
        <f>Gasto_o_ing_per_capita!T172-Gasto_o_ing_per_capita!$D172</f>
        <v>-58.32044010651979</v>
      </c>
      <c r="U172" s="334">
        <f>Gasto_o_ing_per_capita!U172-Gasto_o_ing_per_capita!$D172</f>
        <v>3.4981998269517529</v>
      </c>
      <c r="V172" s="334">
        <f>Gasto_o_ing_per_capita!V172-Gasto_o_ing_per_capita!$D172</f>
        <v>3.4981998269517529</v>
      </c>
      <c r="W172" s="122"/>
      <c r="X172" s="104"/>
    </row>
    <row r="173" spans="1:24" s="102" customFormat="1">
      <c r="A173" s="352"/>
      <c r="B173" s="115" t="s">
        <v>1100</v>
      </c>
      <c r="C173" s="331" t="str">
        <f>VLOOKUP(B173,Tot_res!C:D,2,FALSE)</f>
        <v>Financiación provincias</v>
      </c>
      <c r="D173" s="334">
        <f>Gasto_o_ing_per_capita!D173-Gasto_o_ing_per_capita!$D173</f>
        <v>0</v>
      </c>
      <c r="E173" s="334">
        <f>Gasto_o_ing_per_capita!E173-Gasto_o_ing_per_capita!$D173</f>
        <v>9.4695626083093725</v>
      </c>
      <c r="F173" s="334">
        <f>Gasto_o_ing_per_capita!F173-Gasto_o_ing_per_capita!$D173</f>
        <v>9.4695626083093725</v>
      </c>
      <c r="G173" s="334">
        <f>Gasto_o_ing_per_capita!G173-Gasto_o_ing_per_capita!$D173</f>
        <v>9.4695626083093725</v>
      </c>
      <c r="H173" s="334">
        <f>Gasto_o_ing_per_capita!H173-Gasto_o_ing_per_capita!$D173</f>
        <v>9.4695626083093725</v>
      </c>
      <c r="I173" s="334">
        <f>Gasto_o_ing_per_capita!I173-Gasto_o_ing_per_capita!$D173</f>
        <v>9.4695626083093725</v>
      </c>
      <c r="J173" s="334">
        <f>Gasto_o_ing_per_capita!J173-Gasto_o_ing_per_capita!$D173</f>
        <v>9.4695626083093725</v>
      </c>
      <c r="K173" s="334">
        <f>Gasto_o_ing_per_capita!K173-Gasto_o_ing_per_capita!$D173</f>
        <v>9.4695626083093725</v>
      </c>
      <c r="L173" s="334">
        <f>Gasto_o_ing_per_capita!L173-Gasto_o_ing_per_capita!$D173</f>
        <v>9.4695626083093725</v>
      </c>
      <c r="M173" s="334">
        <f>Gasto_o_ing_per_capita!M173-Gasto_o_ing_per_capita!$D173</f>
        <v>9.4695626083093725</v>
      </c>
      <c r="N173" s="334">
        <f>Gasto_o_ing_per_capita!N173-Gasto_o_ing_per_capita!$D173</f>
        <v>9.4695626083093725</v>
      </c>
      <c r="O173" s="334">
        <f>Gasto_o_ing_per_capita!O173-Gasto_o_ing_per_capita!$D173</f>
        <v>9.4695626083093725</v>
      </c>
      <c r="P173" s="334">
        <f>Gasto_o_ing_per_capita!P173-Gasto_o_ing_per_capita!$D173</f>
        <v>9.4695626083093725</v>
      </c>
      <c r="Q173" s="334">
        <f>Gasto_o_ing_per_capita!Q173-Gasto_o_ing_per_capita!$D173</f>
        <v>9.4695626083093725</v>
      </c>
      <c r="R173" s="334">
        <f>Gasto_o_ing_per_capita!R173-Gasto_o_ing_per_capita!$D173</f>
        <v>9.4695626083093725</v>
      </c>
      <c r="S173" s="334">
        <f>Gasto_o_ing_per_capita!S173-Gasto_o_ing_per_capita!$D173</f>
        <v>-146.78847283819391</v>
      </c>
      <c r="T173" s="334">
        <f>Gasto_o_ing_per_capita!T173-Gasto_o_ing_per_capita!$D173</f>
        <v>-146.80515638904626</v>
      </c>
      <c r="U173" s="334">
        <f>Gasto_o_ing_per_capita!U173-Gasto_o_ing_per_capita!$D173</f>
        <v>9.4695626083093725</v>
      </c>
      <c r="V173" s="334">
        <f>Gasto_o_ing_per_capita!V173-Gasto_o_ing_per_capita!$D173</f>
        <v>9.4695626083093725</v>
      </c>
      <c r="W173" s="122"/>
      <c r="X173" s="104"/>
    </row>
    <row r="174" spans="1:24" s="102" customFormat="1">
      <c r="A174" s="352"/>
      <c r="B174" s="115" t="s">
        <v>1101</v>
      </c>
      <c r="C174" s="331" t="str">
        <f>VLOOKUP(B174,Tot_res!C:D,2,FALSE)</f>
        <v>Financiación municipios</v>
      </c>
      <c r="D174" s="334">
        <f>Gasto_o_ing_per_capita!D174-Gasto_o_ing_per_capita!$D174</f>
        <v>0</v>
      </c>
      <c r="E174" s="334">
        <f>Gasto_o_ing_per_capita!E174-Gasto_o_ing_per_capita!$D174</f>
        <v>15.071111096601095</v>
      </c>
      <c r="F174" s="334">
        <f>Gasto_o_ing_per_capita!F174-Gasto_o_ing_per_capita!$D174</f>
        <v>15.071111096601095</v>
      </c>
      <c r="G174" s="334">
        <f>Gasto_o_ing_per_capita!G174-Gasto_o_ing_per_capita!$D174</f>
        <v>15.071111096601095</v>
      </c>
      <c r="H174" s="334">
        <f>Gasto_o_ing_per_capita!H174-Gasto_o_ing_per_capita!$D174</f>
        <v>15.071111096601095</v>
      </c>
      <c r="I174" s="334">
        <f>Gasto_o_ing_per_capita!I174-Gasto_o_ing_per_capita!$D174</f>
        <v>15.071111096601095</v>
      </c>
      <c r="J174" s="334">
        <f>Gasto_o_ing_per_capita!J174-Gasto_o_ing_per_capita!$D174</f>
        <v>15.071111096601095</v>
      </c>
      <c r="K174" s="334">
        <f>Gasto_o_ing_per_capita!K174-Gasto_o_ing_per_capita!$D174</f>
        <v>15.071111096601095</v>
      </c>
      <c r="L174" s="334">
        <f>Gasto_o_ing_per_capita!L174-Gasto_o_ing_per_capita!$D174</f>
        <v>15.071111096601095</v>
      </c>
      <c r="M174" s="334">
        <f>Gasto_o_ing_per_capita!M174-Gasto_o_ing_per_capita!$D174</f>
        <v>15.071111096601095</v>
      </c>
      <c r="N174" s="334">
        <f>Gasto_o_ing_per_capita!N174-Gasto_o_ing_per_capita!$D174</f>
        <v>15.071111096601095</v>
      </c>
      <c r="O174" s="334">
        <f>Gasto_o_ing_per_capita!O174-Gasto_o_ing_per_capita!$D174</f>
        <v>15.071111096601095</v>
      </c>
      <c r="P174" s="334">
        <f>Gasto_o_ing_per_capita!P174-Gasto_o_ing_per_capita!$D174</f>
        <v>15.071111096601095</v>
      </c>
      <c r="Q174" s="334">
        <f>Gasto_o_ing_per_capita!Q174-Gasto_o_ing_per_capita!$D174</f>
        <v>15.071111096601095</v>
      </c>
      <c r="R174" s="334">
        <f>Gasto_o_ing_per_capita!R174-Gasto_o_ing_per_capita!$D174</f>
        <v>15.071111096601095</v>
      </c>
      <c r="S174" s="334">
        <f>Gasto_o_ing_per_capita!S174-Gasto_o_ing_per_capita!$D174</f>
        <v>-232.87780589546179</v>
      </c>
      <c r="T174" s="334">
        <f>Gasto_o_ing_per_capita!T174-Gasto_o_ing_per_capita!$D174</f>
        <v>-233.8618625036772</v>
      </c>
      <c r="U174" s="334">
        <f>Gasto_o_ing_per_capita!U174-Gasto_o_ing_per_capita!$D174</f>
        <v>15.071111096601095</v>
      </c>
      <c r="V174" s="334">
        <f>Gasto_o_ing_per_capita!V174-Gasto_o_ing_per_capita!$D174</f>
        <v>15.071111096601095</v>
      </c>
      <c r="W174" s="122"/>
      <c r="X174" s="104"/>
    </row>
    <row r="175" spans="1:24" s="102" customFormat="1">
      <c r="A175" s="352"/>
      <c r="B175" s="115" t="s">
        <v>1102</v>
      </c>
      <c r="C175" s="331" t="str">
        <f>VLOOKUP(B175,Tot_res!C:D,2,FALSE)</f>
        <v xml:space="preserve">construcción de carreteras </v>
      </c>
      <c r="D175" s="334">
        <f>Gasto_o_ing_per_capita!D175-Gasto_o_ing_per_capita!$D175</f>
        <v>0</v>
      </c>
      <c r="E175" s="334">
        <f>Gasto_o_ing_per_capita!E175-Gasto_o_ing_per_capita!$D175</f>
        <v>2.5918467469425308</v>
      </c>
      <c r="F175" s="334">
        <f>Gasto_o_ing_per_capita!F175-Gasto_o_ing_per_capita!$D175</f>
        <v>2.5918467469425308</v>
      </c>
      <c r="G175" s="334">
        <f>Gasto_o_ing_per_capita!G175-Gasto_o_ing_per_capita!$D175</f>
        <v>2.5918467469425308</v>
      </c>
      <c r="H175" s="334">
        <f>Gasto_o_ing_per_capita!H175-Gasto_o_ing_per_capita!$D175</f>
        <v>2.5918467469425308</v>
      </c>
      <c r="I175" s="334">
        <f>Gasto_o_ing_per_capita!I175-Gasto_o_ing_per_capita!$D175</f>
        <v>2.5918467469425308</v>
      </c>
      <c r="J175" s="334">
        <f>Gasto_o_ing_per_capita!J175-Gasto_o_ing_per_capita!$D175</f>
        <v>2.5918467469425308</v>
      </c>
      <c r="K175" s="334">
        <f>Gasto_o_ing_per_capita!K175-Gasto_o_ing_per_capita!$D175</f>
        <v>2.5918467469425308</v>
      </c>
      <c r="L175" s="334">
        <f>Gasto_o_ing_per_capita!L175-Gasto_o_ing_per_capita!$D175</f>
        <v>2.5918467469425308</v>
      </c>
      <c r="M175" s="334">
        <f>Gasto_o_ing_per_capita!M175-Gasto_o_ing_per_capita!$D175</f>
        <v>2.5918467469425308</v>
      </c>
      <c r="N175" s="334">
        <f>Gasto_o_ing_per_capita!N175-Gasto_o_ing_per_capita!$D175</f>
        <v>2.5918467469425308</v>
      </c>
      <c r="O175" s="334">
        <f>Gasto_o_ing_per_capita!O175-Gasto_o_ing_per_capita!$D175</f>
        <v>2.5918467469425308</v>
      </c>
      <c r="P175" s="334">
        <f>Gasto_o_ing_per_capita!P175-Gasto_o_ing_per_capita!$D175</f>
        <v>2.5918467469425308</v>
      </c>
      <c r="Q175" s="334">
        <f>Gasto_o_ing_per_capita!Q175-Gasto_o_ing_per_capita!$D175</f>
        <v>2.5918467469425308</v>
      </c>
      <c r="R175" s="334">
        <f>Gasto_o_ing_per_capita!R175-Gasto_o_ing_per_capita!$D175</f>
        <v>2.5918467469425308</v>
      </c>
      <c r="S175" s="334">
        <f>Gasto_o_ing_per_capita!S175-Gasto_o_ing_per_capita!$D175</f>
        <v>-40.179963247123332</v>
      </c>
      <c r="T175" s="334">
        <f>Gasto_o_ing_per_capita!T175-Gasto_o_ing_per_capita!$D175</f>
        <v>-40.179963247123332</v>
      </c>
      <c r="U175" s="334">
        <f>Gasto_o_ing_per_capita!U175-Gasto_o_ing_per_capita!$D175</f>
        <v>2.5918467469425308</v>
      </c>
      <c r="V175" s="334">
        <f>Gasto_o_ing_per_capita!V175-Gasto_o_ing_per_capita!$D175</f>
        <v>2.5918467469425308</v>
      </c>
      <c r="W175" s="122"/>
      <c r="X175" s="104"/>
    </row>
    <row r="176" spans="1:24" s="102" customFormat="1">
      <c r="A176" s="352"/>
      <c r="B176" s="115" t="s">
        <v>1103</v>
      </c>
      <c r="C176" s="331" t="str">
        <f>VLOOKUP(B176,Tot_res!C:D,2,FALSE)</f>
        <v>conservación de carreteras (programa 453C)</v>
      </c>
      <c r="D176" s="334">
        <f>Gasto_o_ing_per_capita!D176-Gasto_o_ing_per_capita!$D176</f>
        <v>0</v>
      </c>
      <c r="E176" s="334">
        <f>Gasto_o_ing_per_capita!E176-Gasto_o_ing_per_capita!$D176</f>
        <v>1.352644266965608</v>
      </c>
      <c r="F176" s="334">
        <f>Gasto_o_ing_per_capita!F176-Gasto_o_ing_per_capita!$D176</f>
        <v>1.352644266965608</v>
      </c>
      <c r="G176" s="334">
        <f>Gasto_o_ing_per_capita!G176-Gasto_o_ing_per_capita!$D176</f>
        <v>1.352644266965608</v>
      </c>
      <c r="H176" s="334">
        <f>Gasto_o_ing_per_capita!H176-Gasto_o_ing_per_capita!$D176</f>
        <v>1.352644266965608</v>
      </c>
      <c r="I176" s="334">
        <f>Gasto_o_ing_per_capita!I176-Gasto_o_ing_per_capita!$D176</f>
        <v>1.352644266965608</v>
      </c>
      <c r="J176" s="334">
        <f>Gasto_o_ing_per_capita!J176-Gasto_o_ing_per_capita!$D176</f>
        <v>1.352644266965608</v>
      </c>
      <c r="K176" s="334">
        <f>Gasto_o_ing_per_capita!K176-Gasto_o_ing_per_capita!$D176</f>
        <v>1.352644266965608</v>
      </c>
      <c r="L176" s="334">
        <f>Gasto_o_ing_per_capita!L176-Gasto_o_ing_per_capita!$D176</f>
        <v>1.352644266965608</v>
      </c>
      <c r="M176" s="334">
        <f>Gasto_o_ing_per_capita!M176-Gasto_o_ing_per_capita!$D176</f>
        <v>1.352644266965608</v>
      </c>
      <c r="N176" s="334">
        <f>Gasto_o_ing_per_capita!N176-Gasto_o_ing_per_capita!$D176</f>
        <v>1.352644266965608</v>
      </c>
      <c r="O176" s="334">
        <f>Gasto_o_ing_per_capita!O176-Gasto_o_ing_per_capita!$D176</f>
        <v>1.352644266965608</v>
      </c>
      <c r="P176" s="334">
        <f>Gasto_o_ing_per_capita!P176-Gasto_o_ing_per_capita!$D176</f>
        <v>1.352644266965608</v>
      </c>
      <c r="Q176" s="334">
        <f>Gasto_o_ing_per_capita!Q176-Gasto_o_ing_per_capita!$D176</f>
        <v>1.352644266965608</v>
      </c>
      <c r="R176" s="334">
        <f>Gasto_o_ing_per_capita!R176-Gasto_o_ing_per_capita!$D176</f>
        <v>1.352644266965608</v>
      </c>
      <c r="S176" s="334">
        <f>Gasto_o_ing_per_capita!S176-Gasto_o_ing_per_capita!$D176</f>
        <v>-20.969294190415841</v>
      </c>
      <c r="T176" s="334">
        <f>Gasto_o_ing_per_capita!T176-Gasto_o_ing_per_capita!$D176</f>
        <v>-20.969294190415841</v>
      </c>
      <c r="U176" s="334">
        <f>Gasto_o_ing_per_capita!U176-Gasto_o_ing_per_capita!$D176</f>
        <v>1.352644266965608</v>
      </c>
      <c r="V176" s="334">
        <f>Gasto_o_ing_per_capita!V176-Gasto_o_ing_per_capita!$D176</f>
        <v>1.352644266965608</v>
      </c>
      <c r="W176" s="122"/>
      <c r="X176" s="104"/>
    </row>
    <row r="177" spans="1:24" s="102" customFormat="1">
      <c r="A177" s="352"/>
      <c r="B177" s="115" t="s">
        <v>1104</v>
      </c>
      <c r="C177" s="331" t="str">
        <f>VLOOKUP(B177,Tot_res!C:D,2,FALSE)</f>
        <v>"Normalización" lingüística (programa CS06)</v>
      </c>
      <c r="D177" s="334">
        <f>Gasto_o_ing_per_capita!D177-Gasto_o_ing_per_capita!$D177</f>
        <v>0</v>
      </c>
      <c r="E177" s="334">
        <f>Gasto_o_ing_per_capita!E177-Gasto_o_ing_per_capita!$D177</f>
        <v>0.5845954042153545</v>
      </c>
      <c r="F177" s="334">
        <f>Gasto_o_ing_per_capita!F177-Gasto_o_ing_per_capita!$D177</f>
        <v>0.5845954042153545</v>
      </c>
      <c r="G177" s="334">
        <f>Gasto_o_ing_per_capita!G177-Gasto_o_ing_per_capita!$D177</f>
        <v>0.5845954042153545</v>
      </c>
      <c r="H177" s="334">
        <f>Gasto_o_ing_per_capita!H177-Gasto_o_ing_per_capita!$D177</f>
        <v>0.5845954042153545</v>
      </c>
      <c r="I177" s="334">
        <f>Gasto_o_ing_per_capita!I177-Gasto_o_ing_per_capita!$D177</f>
        <v>0.5845954042153545</v>
      </c>
      <c r="J177" s="334">
        <f>Gasto_o_ing_per_capita!J177-Gasto_o_ing_per_capita!$D177</f>
        <v>0.5845954042153545</v>
      </c>
      <c r="K177" s="334">
        <f>Gasto_o_ing_per_capita!K177-Gasto_o_ing_per_capita!$D177</f>
        <v>0.5845954042153545</v>
      </c>
      <c r="L177" s="334">
        <f>Gasto_o_ing_per_capita!L177-Gasto_o_ing_per_capita!$D177</f>
        <v>0.5845954042153545</v>
      </c>
      <c r="M177" s="334">
        <f>Gasto_o_ing_per_capita!M177-Gasto_o_ing_per_capita!$D177</f>
        <v>0.5845954042153545</v>
      </c>
      <c r="N177" s="334">
        <f>Gasto_o_ing_per_capita!N177-Gasto_o_ing_per_capita!$D177</f>
        <v>0.5845954042153545</v>
      </c>
      <c r="O177" s="334">
        <f>Gasto_o_ing_per_capita!O177-Gasto_o_ing_per_capita!$D177</f>
        <v>0.5845954042153545</v>
      </c>
      <c r="P177" s="334">
        <f>Gasto_o_ing_per_capita!P177-Gasto_o_ing_per_capita!$D177</f>
        <v>0.5845954042153545</v>
      </c>
      <c r="Q177" s="334">
        <f>Gasto_o_ing_per_capita!Q177-Gasto_o_ing_per_capita!$D177</f>
        <v>0.5845954042153545</v>
      </c>
      <c r="R177" s="334">
        <f>Gasto_o_ing_per_capita!R177-Gasto_o_ing_per_capita!$D177</f>
        <v>0.5845954042153545</v>
      </c>
      <c r="S177" s="334">
        <f>Gasto_o_ing_per_capita!S177-Gasto_o_ing_per_capita!$D177</f>
        <v>-9.0626584629353371</v>
      </c>
      <c r="T177" s="334">
        <f>Gasto_o_ing_per_capita!T177-Gasto_o_ing_per_capita!$D177</f>
        <v>-9.0626584629353371</v>
      </c>
      <c r="U177" s="334">
        <f>Gasto_o_ing_per_capita!U177-Gasto_o_ing_per_capita!$D177</f>
        <v>0.5845954042153545</v>
      </c>
      <c r="V177" s="334">
        <f>Gasto_o_ing_per_capita!V177-Gasto_o_ing_per_capita!$D177</f>
        <v>0.5845954042153545</v>
      </c>
      <c r="W177" s="122"/>
      <c r="X177" s="104"/>
    </row>
    <row r="178" spans="1:24" s="102" customFormat="1">
      <c r="A178" s="352"/>
      <c r="B178" s="115" t="s">
        <v>1105</v>
      </c>
      <c r="C178" s="331" t="str">
        <f>VLOOKUP(B178,Tot_res!C:D,2,FALSE)</f>
        <v>medio ambiente</v>
      </c>
      <c r="D178" s="334">
        <f>Gasto_o_ing_per_capita!D178-Gasto_o_ing_per_capita!$D178</f>
        <v>0</v>
      </c>
      <c r="E178" s="334">
        <f>Gasto_o_ing_per_capita!E178-Gasto_o_ing_per_capita!$D178</f>
        <v>7.7967982836471925E-2</v>
      </c>
      <c r="F178" s="334">
        <f>Gasto_o_ing_per_capita!F178-Gasto_o_ing_per_capita!$D178</f>
        <v>7.7967982836471925E-2</v>
      </c>
      <c r="G178" s="334">
        <f>Gasto_o_ing_per_capita!G178-Gasto_o_ing_per_capita!$D178</f>
        <v>7.7967982836471925E-2</v>
      </c>
      <c r="H178" s="334">
        <f>Gasto_o_ing_per_capita!H178-Gasto_o_ing_per_capita!$D178</f>
        <v>7.7967982836471925E-2</v>
      </c>
      <c r="I178" s="334">
        <f>Gasto_o_ing_per_capita!I178-Gasto_o_ing_per_capita!$D178</f>
        <v>7.7967982836471925E-2</v>
      </c>
      <c r="J178" s="334">
        <f>Gasto_o_ing_per_capita!J178-Gasto_o_ing_per_capita!$D178</f>
        <v>7.7967982836471925E-2</v>
      </c>
      <c r="K178" s="334">
        <f>Gasto_o_ing_per_capita!K178-Gasto_o_ing_per_capita!$D178</f>
        <v>7.7967982836471925E-2</v>
      </c>
      <c r="L178" s="334">
        <f>Gasto_o_ing_per_capita!L178-Gasto_o_ing_per_capita!$D178</f>
        <v>7.7967982836471925E-2</v>
      </c>
      <c r="M178" s="334">
        <f>Gasto_o_ing_per_capita!M178-Gasto_o_ing_per_capita!$D178</f>
        <v>7.7967982836471925E-2</v>
      </c>
      <c r="N178" s="334">
        <f>Gasto_o_ing_per_capita!N178-Gasto_o_ing_per_capita!$D178</f>
        <v>7.7967982836471925E-2</v>
      </c>
      <c r="O178" s="334">
        <f>Gasto_o_ing_per_capita!O178-Gasto_o_ing_per_capita!$D178</f>
        <v>7.7967982836471925E-2</v>
      </c>
      <c r="P178" s="334">
        <f>Gasto_o_ing_per_capita!P178-Gasto_o_ing_per_capita!$D178</f>
        <v>7.7967982836471925E-2</v>
      </c>
      <c r="Q178" s="334">
        <f>Gasto_o_ing_per_capita!Q178-Gasto_o_ing_per_capita!$D178</f>
        <v>7.7967982836471925E-2</v>
      </c>
      <c r="R178" s="334">
        <f>Gasto_o_ing_per_capita!R178-Gasto_o_ing_per_capita!$D178</f>
        <v>7.7967982836471925E-2</v>
      </c>
      <c r="S178" s="334">
        <f>Gasto_o_ing_per_capita!S178-Gasto_o_ing_per_capita!$D178</f>
        <v>-0.4524012734277118</v>
      </c>
      <c r="T178" s="334">
        <f>Gasto_o_ing_per_capita!T178-Gasto_o_ing_per_capita!$D178</f>
        <v>-1.4300190202499954</v>
      </c>
      <c r="U178" s="334">
        <f>Gasto_o_ing_per_capita!U178-Gasto_o_ing_per_capita!$D178</f>
        <v>7.7967982836471925E-2</v>
      </c>
      <c r="V178" s="334">
        <f>Gasto_o_ing_per_capita!V178-Gasto_o_ing_per_capita!$D178</f>
        <v>7.7967982836471925E-2</v>
      </c>
      <c r="W178" s="122"/>
      <c r="X178" s="104"/>
    </row>
    <row r="179" spans="1:24" s="102" customFormat="1">
      <c r="A179" s="352"/>
      <c r="B179" s="115" t="s">
        <v>1117</v>
      </c>
      <c r="C179" s="331" t="e">
        <f>VLOOKUP(B179,Tot_res!C:D,2,FALSE)</f>
        <v>#N/A</v>
      </c>
      <c r="D179" s="334">
        <f>Gasto_o_ing_per_capita!D179-Gasto_o_ing_per_capita!$D179</f>
        <v>0</v>
      </c>
      <c r="E179" s="334" t="e">
        <f>Gasto_o_ing_per_capita!E179-Gasto_o_ing_per_capita!$D179</f>
        <v>#VALUE!</v>
      </c>
      <c r="F179" s="334" t="e">
        <f>Gasto_o_ing_per_capita!F179-Gasto_o_ing_per_capita!$D179</f>
        <v>#VALUE!</v>
      </c>
      <c r="G179" s="334" t="e">
        <f>Gasto_o_ing_per_capita!G179-Gasto_o_ing_per_capita!$D179</f>
        <v>#VALUE!</v>
      </c>
      <c r="H179" s="334" t="e">
        <f>Gasto_o_ing_per_capita!H179-Gasto_o_ing_per_capita!$D179</f>
        <v>#VALUE!</v>
      </c>
      <c r="I179" s="334" t="e">
        <f>Gasto_o_ing_per_capita!I179-Gasto_o_ing_per_capita!$D179</f>
        <v>#VALUE!</v>
      </c>
      <c r="J179" s="334" t="e">
        <f>Gasto_o_ing_per_capita!J179-Gasto_o_ing_per_capita!$D179</f>
        <v>#VALUE!</v>
      </c>
      <c r="K179" s="334" t="e">
        <f>Gasto_o_ing_per_capita!K179-Gasto_o_ing_per_capita!$D179</f>
        <v>#VALUE!</v>
      </c>
      <c r="L179" s="334" t="e">
        <f>Gasto_o_ing_per_capita!L179-Gasto_o_ing_per_capita!$D179</f>
        <v>#VALUE!</v>
      </c>
      <c r="M179" s="334" t="e">
        <f>Gasto_o_ing_per_capita!M179-Gasto_o_ing_per_capita!$D179</f>
        <v>#VALUE!</v>
      </c>
      <c r="N179" s="334" t="e">
        <f>Gasto_o_ing_per_capita!N179-Gasto_o_ing_per_capita!$D179</f>
        <v>#VALUE!</v>
      </c>
      <c r="O179" s="334" t="e">
        <f>Gasto_o_ing_per_capita!O179-Gasto_o_ing_per_capita!$D179</f>
        <v>#VALUE!</v>
      </c>
      <c r="P179" s="334" t="e">
        <f>Gasto_o_ing_per_capita!P179-Gasto_o_ing_per_capita!$D179</f>
        <v>#VALUE!</v>
      </c>
      <c r="Q179" s="334" t="e">
        <f>Gasto_o_ing_per_capita!Q179-Gasto_o_ing_per_capita!$D179</f>
        <v>#VALUE!</v>
      </c>
      <c r="R179" s="334" t="e">
        <f>Gasto_o_ing_per_capita!R179-Gasto_o_ing_per_capita!$D179</f>
        <v>#VALUE!</v>
      </c>
      <c r="S179" s="334" t="e">
        <f>Gasto_o_ing_per_capita!S179-Gasto_o_ing_per_capita!$D179</f>
        <v>#VALUE!</v>
      </c>
      <c r="T179" s="334" t="e">
        <f>Gasto_o_ing_per_capita!T179-Gasto_o_ing_per_capita!$D179</f>
        <v>#VALUE!</v>
      </c>
      <c r="U179" s="334" t="e">
        <f>Gasto_o_ing_per_capita!U179-Gasto_o_ing_per_capita!$D179</f>
        <v>#VALUE!</v>
      </c>
      <c r="V179" s="334" t="e">
        <f>Gasto_o_ing_per_capita!V179-Gasto_o_ing_per_capita!$D179</f>
        <v>#VALUE!</v>
      </c>
      <c r="W179" s="122"/>
      <c r="X179" s="104"/>
    </row>
    <row r="180" spans="1:24" s="102" customFormat="1">
      <c r="A180" s="352"/>
      <c r="B180" s="115" t="s">
        <v>1106</v>
      </c>
      <c r="C180" s="331" t="str">
        <f>VLOOKUP(B180,Tot_res!C:D,2,FALSE)</f>
        <v>sanidad y consumo</v>
      </c>
      <c r="D180" s="334">
        <f>Gasto_o_ing_per_capita!D180-Gasto_o_ing_per_capita!$D180</f>
        <v>0</v>
      </c>
      <c r="E180" s="334">
        <f>Gasto_o_ing_per_capita!E180-Gasto_o_ing_per_capita!$D180</f>
        <v>1.6383579801572245E-2</v>
      </c>
      <c r="F180" s="334">
        <f>Gasto_o_ing_per_capita!F180-Gasto_o_ing_per_capita!$D180</f>
        <v>1.6383579801572245E-2</v>
      </c>
      <c r="G180" s="334">
        <f>Gasto_o_ing_per_capita!G180-Gasto_o_ing_per_capita!$D180</f>
        <v>1.6383579801572245E-2</v>
      </c>
      <c r="H180" s="334">
        <f>Gasto_o_ing_per_capita!H180-Gasto_o_ing_per_capita!$D180</f>
        <v>1.6383579801572245E-2</v>
      </c>
      <c r="I180" s="334">
        <f>Gasto_o_ing_per_capita!I180-Gasto_o_ing_per_capita!$D180</f>
        <v>1.6383579801572245E-2</v>
      </c>
      <c r="J180" s="334">
        <f>Gasto_o_ing_per_capita!J180-Gasto_o_ing_per_capita!$D180</f>
        <v>1.6383579801572245E-2</v>
      </c>
      <c r="K180" s="334">
        <f>Gasto_o_ing_per_capita!K180-Gasto_o_ing_per_capita!$D180</f>
        <v>1.6383579801572245E-2</v>
      </c>
      <c r="L180" s="334">
        <f>Gasto_o_ing_per_capita!L180-Gasto_o_ing_per_capita!$D180</f>
        <v>1.6383579801572245E-2</v>
      </c>
      <c r="M180" s="334">
        <f>Gasto_o_ing_per_capita!M180-Gasto_o_ing_per_capita!$D180</f>
        <v>1.6383579801572245E-2</v>
      </c>
      <c r="N180" s="334">
        <f>Gasto_o_ing_per_capita!N180-Gasto_o_ing_per_capita!$D180</f>
        <v>1.6383579801572245E-2</v>
      </c>
      <c r="O180" s="334">
        <f>Gasto_o_ing_per_capita!O180-Gasto_o_ing_per_capita!$D180</f>
        <v>1.6383579801572245E-2</v>
      </c>
      <c r="P180" s="334">
        <f>Gasto_o_ing_per_capita!P180-Gasto_o_ing_per_capita!$D180</f>
        <v>1.6383579801572245E-2</v>
      </c>
      <c r="Q180" s="334">
        <f>Gasto_o_ing_per_capita!Q180-Gasto_o_ing_per_capita!$D180</f>
        <v>1.6383579801572245E-2</v>
      </c>
      <c r="R180" s="334">
        <f>Gasto_o_ing_per_capita!R180-Gasto_o_ing_per_capita!$D180</f>
        <v>1.6383579801572245E-2</v>
      </c>
      <c r="S180" s="334">
        <f>Gasto_o_ing_per_capita!S180-Gasto_o_ing_per_capita!$D180</f>
        <v>-0.25973399165725392</v>
      </c>
      <c r="T180" s="334">
        <f>Gasto_o_ing_per_capita!T180-Gasto_o_ing_per_capita!$D180</f>
        <v>-0.25230330972698101</v>
      </c>
      <c r="U180" s="334">
        <f>Gasto_o_ing_per_capita!U180-Gasto_o_ing_per_capita!$D180</f>
        <v>1.6383579801572245E-2</v>
      </c>
      <c r="V180" s="334">
        <f>Gasto_o_ing_per_capita!V180-Gasto_o_ing_per_capita!$D180</f>
        <v>1.6383579801572245E-2</v>
      </c>
      <c r="W180" s="122"/>
      <c r="X180" s="104"/>
    </row>
    <row r="181" spans="1:24" s="102" customFormat="1">
      <c r="A181" s="352"/>
      <c r="B181" s="115" t="s">
        <v>1107</v>
      </c>
      <c r="C181" s="331" t="str">
        <f>VLOOKUP(B181,Tot_res!C:D,2,FALSE)</f>
        <v>Educación y formación</v>
      </c>
      <c r="D181" s="334">
        <f>Gasto_o_ing_per_capita!D181-Gasto_o_ing_per_capita!$D181</f>
        <v>0</v>
      </c>
      <c r="E181" s="334">
        <f>Gasto_o_ing_per_capita!E181-Gasto_o_ing_per_capita!$D181</f>
        <v>0.3301765661372203</v>
      </c>
      <c r="F181" s="334">
        <f>Gasto_o_ing_per_capita!F181-Gasto_o_ing_per_capita!$D181</f>
        <v>0.3301765661372203</v>
      </c>
      <c r="G181" s="334">
        <f>Gasto_o_ing_per_capita!G181-Gasto_o_ing_per_capita!$D181</f>
        <v>0.3301765661372203</v>
      </c>
      <c r="H181" s="334">
        <f>Gasto_o_ing_per_capita!H181-Gasto_o_ing_per_capita!$D181</f>
        <v>0.3301765661372203</v>
      </c>
      <c r="I181" s="334">
        <f>Gasto_o_ing_per_capita!I181-Gasto_o_ing_per_capita!$D181</f>
        <v>0.3301765661372203</v>
      </c>
      <c r="J181" s="334">
        <f>Gasto_o_ing_per_capita!J181-Gasto_o_ing_per_capita!$D181</f>
        <v>0.3301765661372203</v>
      </c>
      <c r="K181" s="334">
        <f>Gasto_o_ing_per_capita!K181-Gasto_o_ing_per_capita!$D181</f>
        <v>0.3301765661372203</v>
      </c>
      <c r="L181" s="334">
        <f>Gasto_o_ing_per_capita!L181-Gasto_o_ing_per_capita!$D181</f>
        <v>0.3301765661372203</v>
      </c>
      <c r="M181" s="334">
        <f>Gasto_o_ing_per_capita!M181-Gasto_o_ing_per_capita!$D181</f>
        <v>0.3301765661372203</v>
      </c>
      <c r="N181" s="334">
        <f>Gasto_o_ing_per_capita!N181-Gasto_o_ing_per_capita!$D181</f>
        <v>0.3301765661372203</v>
      </c>
      <c r="O181" s="334">
        <f>Gasto_o_ing_per_capita!O181-Gasto_o_ing_per_capita!$D181</f>
        <v>0.3301765661372203</v>
      </c>
      <c r="P181" s="334">
        <f>Gasto_o_ing_per_capita!P181-Gasto_o_ing_per_capita!$D181</f>
        <v>0.3301765661372203</v>
      </c>
      <c r="Q181" s="334">
        <f>Gasto_o_ing_per_capita!Q181-Gasto_o_ing_per_capita!$D181</f>
        <v>0.3301765661372203</v>
      </c>
      <c r="R181" s="334">
        <f>Gasto_o_ing_per_capita!R181-Gasto_o_ing_per_capita!$D181</f>
        <v>0.3301765661372203</v>
      </c>
      <c r="S181" s="334">
        <f>Gasto_o_ing_per_capita!S181-Gasto_o_ing_per_capita!$D181</f>
        <v>-4.5802271091935349</v>
      </c>
      <c r="T181" s="334">
        <f>Gasto_o_ing_per_capita!T181-Gasto_o_ing_per_capita!$D181</f>
        <v>-5.2760795148575417</v>
      </c>
      <c r="U181" s="334">
        <f>Gasto_o_ing_per_capita!U181-Gasto_o_ing_per_capita!$D181</f>
        <v>0.3301765661372203</v>
      </c>
      <c r="V181" s="334">
        <f>Gasto_o_ing_per_capita!V181-Gasto_o_ing_per_capita!$D181</f>
        <v>0.3301765661372203</v>
      </c>
      <c r="W181" s="122"/>
      <c r="X181" s="104"/>
    </row>
    <row r="182" spans="1:24" s="102" customFormat="1">
      <c r="A182" s="352"/>
      <c r="B182" s="115" t="s">
        <v>1108</v>
      </c>
      <c r="C182" s="331" t="str">
        <f>VLOOKUP(B182,Tot_res!C:D,2,FALSE)</f>
        <v>Administración de Justicia</v>
      </c>
      <c r="D182" s="334">
        <f>Gasto_o_ing_per_capita!D182-Gasto_o_ing_per_capita!$D182</f>
        <v>0</v>
      </c>
      <c r="E182" s="334">
        <f>Gasto_o_ing_per_capita!E182-Gasto_o_ing_per_capita!$D182</f>
        <v>2.0443897039480827</v>
      </c>
      <c r="F182" s="334">
        <f>Gasto_o_ing_per_capita!F182-Gasto_o_ing_per_capita!$D182</f>
        <v>2.0443897039480827</v>
      </c>
      <c r="G182" s="334">
        <f>Gasto_o_ing_per_capita!G182-Gasto_o_ing_per_capita!$D182</f>
        <v>2.0443897039480827</v>
      </c>
      <c r="H182" s="334">
        <f>Gasto_o_ing_per_capita!H182-Gasto_o_ing_per_capita!$D182</f>
        <v>2.0443897039480827</v>
      </c>
      <c r="I182" s="334">
        <f>Gasto_o_ing_per_capita!I182-Gasto_o_ing_per_capita!$D182</f>
        <v>2.0443897039480827</v>
      </c>
      <c r="J182" s="334">
        <f>Gasto_o_ing_per_capita!J182-Gasto_o_ing_per_capita!$D182</f>
        <v>2.0443897039480827</v>
      </c>
      <c r="K182" s="334">
        <f>Gasto_o_ing_per_capita!K182-Gasto_o_ing_per_capita!$D182</f>
        <v>2.0443897039480827</v>
      </c>
      <c r="L182" s="334">
        <f>Gasto_o_ing_per_capita!L182-Gasto_o_ing_per_capita!$D182</f>
        <v>2.0443897039480827</v>
      </c>
      <c r="M182" s="334">
        <f>Gasto_o_ing_per_capita!M182-Gasto_o_ing_per_capita!$D182</f>
        <v>2.0443897039480827</v>
      </c>
      <c r="N182" s="334">
        <f>Gasto_o_ing_per_capita!N182-Gasto_o_ing_per_capita!$D182</f>
        <v>2.0443897039480827</v>
      </c>
      <c r="O182" s="334">
        <f>Gasto_o_ing_per_capita!O182-Gasto_o_ing_per_capita!$D182</f>
        <v>2.0443897039480827</v>
      </c>
      <c r="P182" s="334">
        <f>Gasto_o_ing_per_capita!P182-Gasto_o_ing_per_capita!$D182</f>
        <v>2.0443897039480827</v>
      </c>
      <c r="Q182" s="334">
        <f>Gasto_o_ing_per_capita!Q182-Gasto_o_ing_per_capita!$D182</f>
        <v>2.0443897039480827</v>
      </c>
      <c r="R182" s="334">
        <f>Gasto_o_ing_per_capita!R182-Gasto_o_ing_per_capita!$D182</f>
        <v>2.0443897039480827</v>
      </c>
      <c r="S182" s="334">
        <f>Gasto_o_ing_per_capita!S182-Gasto_o_ing_per_capita!$D182</f>
        <v>-31.812212889583797</v>
      </c>
      <c r="T182" s="334">
        <f>Gasto_o_ing_per_capita!T182-Gasto_o_ing_per_capita!$D182</f>
        <v>-31.65816504642499</v>
      </c>
      <c r="U182" s="334">
        <f>Gasto_o_ing_per_capita!U182-Gasto_o_ing_per_capita!$D182</f>
        <v>2.0443897039480827</v>
      </c>
      <c r="V182" s="334">
        <f>Gasto_o_ing_per_capita!V182-Gasto_o_ing_per_capita!$D182</f>
        <v>2.0443897039480827</v>
      </c>
      <c r="W182" s="122"/>
      <c r="X182" s="104"/>
    </row>
    <row r="183" spans="1:24" s="102" customFormat="1">
      <c r="A183" s="352"/>
      <c r="B183" s="115" t="s">
        <v>1109</v>
      </c>
      <c r="C183" s="331" t="str">
        <f>VLOOKUP(B183,Tot_res!C:D,2,FALSE)</f>
        <v>Seguridad Ciudadana y Vial</v>
      </c>
      <c r="D183" s="334">
        <f>Gasto_o_ing_per_capita!D183-Gasto_o_ing_per_capita!$D183</f>
        <v>0</v>
      </c>
      <c r="E183" s="334">
        <f>Gasto_o_ing_per_capita!E183-Gasto_o_ing_per_capita!$D183</f>
        <v>12.78360865616934</v>
      </c>
      <c r="F183" s="334">
        <f>Gasto_o_ing_per_capita!F183-Gasto_o_ing_per_capita!$D183</f>
        <v>12.78360865616934</v>
      </c>
      <c r="G183" s="334">
        <f>Gasto_o_ing_per_capita!G183-Gasto_o_ing_per_capita!$D183</f>
        <v>12.78360865616934</v>
      </c>
      <c r="H183" s="334">
        <f>Gasto_o_ing_per_capita!H183-Gasto_o_ing_per_capita!$D183</f>
        <v>12.78360865616934</v>
      </c>
      <c r="I183" s="334">
        <f>Gasto_o_ing_per_capita!I183-Gasto_o_ing_per_capita!$D183</f>
        <v>12.78360865616934</v>
      </c>
      <c r="J183" s="334">
        <f>Gasto_o_ing_per_capita!J183-Gasto_o_ing_per_capita!$D183</f>
        <v>12.78360865616934</v>
      </c>
      <c r="K183" s="334">
        <f>Gasto_o_ing_per_capita!K183-Gasto_o_ing_per_capita!$D183</f>
        <v>12.78360865616934</v>
      </c>
      <c r="L183" s="334">
        <f>Gasto_o_ing_per_capita!L183-Gasto_o_ing_per_capita!$D183</f>
        <v>12.78360865616934</v>
      </c>
      <c r="M183" s="334">
        <f>Gasto_o_ing_per_capita!M183-Gasto_o_ing_per_capita!$D183</f>
        <v>12.78360865616934</v>
      </c>
      <c r="N183" s="334">
        <f>Gasto_o_ing_per_capita!N183-Gasto_o_ing_per_capita!$D183</f>
        <v>12.78360865616934</v>
      </c>
      <c r="O183" s="334">
        <f>Gasto_o_ing_per_capita!O183-Gasto_o_ing_per_capita!$D183</f>
        <v>12.78360865616934</v>
      </c>
      <c r="P183" s="334">
        <f>Gasto_o_ing_per_capita!P183-Gasto_o_ing_per_capita!$D183</f>
        <v>12.78360865616934</v>
      </c>
      <c r="Q183" s="334">
        <f>Gasto_o_ing_per_capita!Q183-Gasto_o_ing_per_capita!$D183</f>
        <v>12.78360865616934</v>
      </c>
      <c r="R183" s="334">
        <f>Gasto_o_ing_per_capita!R183-Gasto_o_ing_per_capita!$D183</f>
        <v>12.78360865616934</v>
      </c>
      <c r="S183" s="334">
        <f>Gasto_o_ing_per_capita!S183-Gasto_o_ing_per_capita!$D183</f>
        <v>-99.521430489661</v>
      </c>
      <c r="T183" s="334">
        <f>Gasto_o_ing_per_capita!T183-Gasto_o_ing_per_capita!$D183</f>
        <v>-227.04821076033897</v>
      </c>
      <c r="U183" s="334">
        <f>Gasto_o_ing_per_capita!U183-Gasto_o_ing_per_capita!$D183</f>
        <v>12.78360865616934</v>
      </c>
      <c r="V183" s="334">
        <f>Gasto_o_ing_per_capita!V183-Gasto_o_ing_per_capita!$D183</f>
        <v>12.78360865616934</v>
      </c>
      <c r="W183" s="122"/>
      <c r="X183" s="104"/>
    </row>
    <row r="184" spans="1:24" s="102" customFormat="1">
      <c r="A184" s="352"/>
      <c r="B184" s="115" t="s">
        <v>1110</v>
      </c>
      <c r="C184" s="331" t="str">
        <f>VLOOKUP(B184,Tot_res!C:D,2,FALSE)</f>
        <v>Ayudas a la vivienda</v>
      </c>
      <c r="D184" s="334">
        <f>Gasto_o_ing_per_capita!D184-Gasto_o_ing_per_capita!$D184</f>
        <v>0</v>
      </c>
      <c r="E184" s="334">
        <f>Gasto_o_ing_per_capita!E184-Gasto_o_ing_per_capita!$D184</f>
        <v>1.0302453438454169</v>
      </c>
      <c r="F184" s="334">
        <f>Gasto_o_ing_per_capita!F184-Gasto_o_ing_per_capita!$D184</f>
        <v>1.0302453438454169</v>
      </c>
      <c r="G184" s="334">
        <f>Gasto_o_ing_per_capita!G184-Gasto_o_ing_per_capita!$D184</f>
        <v>1.0302453438454169</v>
      </c>
      <c r="H184" s="334">
        <f>Gasto_o_ing_per_capita!H184-Gasto_o_ing_per_capita!$D184</f>
        <v>1.0302453438454169</v>
      </c>
      <c r="I184" s="334">
        <f>Gasto_o_ing_per_capita!I184-Gasto_o_ing_per_capita!$D184</f>
        <v>1.0302453438454169</v>
      </c>
      <c r="J184" s="334">
        <f>Gasto_o_ing_per_capita!J184-Gasto_o_ing_per_capita!$D184</f>
        <v>1.0302453438454169</v>
      </c>
      <c r="K184" s="334">
        <f>Gasto_o_ing_per_capita!K184-Gasto_o_ing_per_capita!$D184</f>
        <v>1.0302453438454169</v>
      </c>
      <c r="L184" s="334">
        <f>Gasto_o_ing_per_capita!L184-Gasto_o_ing_per_capita!$D184</f>
        <v>1.0302453438454169</v>
      </c>
      <c r="M184" s="334">
        <f>Gasto_o_ing_per_capita!M184-Gasto_o_ing_per_capita!$D184</f>
        <v>1.0302453438454169</v>
      </c>
      <c r="N184" s="334">
        <f>Gasto_o_ing_per_capita!N184-Gasto_o_ing_per_capita!$D184</f>
        <v>1.0302453438454169</v>
      </c>
      <c r="O184" s="334">
        <f>Gasto_o_ing_per_capita!O184-Gasto_o_ing_per_capita!$D184</f>
        <v>1.0302453438454169</v>
      </c>
      <c r="P184" s="334">
        <f>Gasto_o_ing_per_capita!P184-Gasto_o_ing_per_capita!$D184</f>
        <v>1.0302453438454169</v>
      </c>
      <c r="Q184" s="334">
        <f>Gasto_o_ing_per_capita!Q184-Gasto_o_ing_per_capita!$D184</f>
        <v>1.0302453438454169</v>
      </c>
      <c r="R184" s="334">
        <f>Gasto_o_ing_per_capita!R184-Gasto_o_ing_per_capita!$D184</f>
        <v>1.0302453438454169</v>
      </c>
      <c r="S184" s="334">
        <f>Gasto_o_ing_per_capita!S184-Gasto_o_ing_per_capita!$D184</f>
        <v>-15.400098259954836</v>
      </c>
      <c r="T184" s="334">
        <f>Gasto_o_ing_per_capita!T184-Gasto_o_ing_per_capita!$D184</f>
        <v>-16.138487706534072</v>
      </c>
      <c r="U184" s="334">
        <f>Gasto_o_ing_per_capita!U184-Gasto_o_ing_per_capita!$D184</f>
        <v>1.0302453438454169</v>
      </c>
      <c r="V184" s="334">
        <f>Gasto_o_ing_per_capita!V184-Gasto_o_ing_per_capita!$D184</f>
        <v>1.0302453438454169</v>
      </c>
      <c r="W184" s="122"/>
      <c r="X184" s="104"/>
    </row>
    <row r="185" spans="1:24" s="102" customFormat="1">
      <c r="A185" s="352"/>
      <c r="B185" s="115" t="s">
        <v>1111</v>
      </c>
      <c r="C185" s="331" t="str">
        <f>VLOOKUP(B185,Tot_res!C:D,2,FALSE)</f>
        <v>ajuste forales, ayudas al transporte colectivo urbano</v>
      </c>
      <c r="D185" s="334">
        <f>Gasto_o_ing_per_capita!D185-Gasto_o_ing_per_capita!$D185</f>
        <v>0</v>
      </c>
      <c r="E185" s="334">
        <f>Gasto_o_ing_per_capita!E185-Gasto_o_ing_per_capita!$D185</f>
        <v>0.41133321203759016</v>
      </c>
      <c r="F185" s="334">
        <f>Gasto_o_ing_per_capita!F185-Gasto_o_ing_per_capita!$D185</f>
        <v>0.41133321203759016</v>
      </c>
      <c r="G185" s="334">
        <f>Gasto_o_ing_per_capita!G185-Gasto_o_ing_per_capita!$D185</f>
        <v>0.41133321203759016</v>
      </c>
      <c r="H185" s="334">
        <f>Gasto_o_ing_per_capita!H185-Gasto_o_ing_per_capita!$D185</f>
        <v>0.41133321203759016</v>
      </c>
      <c r="I185" s="334">
        <f>Gasto_o_ing_per_capita!I185-Gasto_o_ing_per_capita!$D185</f>
        <v>0.41133321203759016</v>
      </c>
      <c r="J185" s="334">
        <f>Gasto_o_ing_per_capita!J185-Gasto_o_ing_per_capita!$D185</f>
        <v>0.41133321203759016</v>
      </c>
      <c r="K185" s="334">
        <f>Gasto_o_ing_per_capita!K185-Gasto_o_ing_per_capita!$D185</f>
        <v>0.41133321203759016</v>
      </c>
      <c r="L185" s="334">
        <f>Gasto_o_ing_per_capita!L185-Gasto_o_ing_per_capita!$D185</f>
        <v>0.41133321203759016</v>
      </c>
      <c r="M185" s="334">
        <f>Gasto_o_ing_per_capita!M185-Gasto_o_ing_per_capita!$D185</f>
        <v>0.41133321203759016</v>
      </c>
      <c r="N185" s="334">
        <f>Gasto_o_ing_per_capita!N185-Gasto_o_ing_per_capita!$D185</f>
        <v>0.41133321203759016</v>
      </c>
      <c r="O185" s="334">
        <f>Gasto_o_ing_per_capita!O185-Gasto_o_ing_per_capita!$D185</f>
        <v>0.41133321203759016</v>
      </c>
      <c r="P185" s="334">
        <f>Gasto_o_ing_per_capita!P185-Gasto_o_ing_per_capita!$D185</f>
        <v>0.41133321203759016</v>
      </c>
      <c r="Q185" s="334">
        <f>Gasto_o_ing_per_capita!Q185-Gasto_o_ing_per_capita!$D185</f>
        <v>0.41133321203759016</v>
      </c>
      <c r="R185" s="334">
        <f>Gasto_o_ing_per_capita!R185-Gasto_o_ing_per_capita!$D185</f>
        <v>0.41133321203759016</v>
      </c>
      <c r="S185" s="334">
        <f>Gasto_o_ing_per_capita!S185-Gasto_o_ing_per_capita!$D185</f>
        <v>-6.3806450751497472</v>
      </c>
      <c r="T185" s="334">
        <f>Gasto_o_ing_per_capita!T185-Gasto_o_ing_per_capita!$D185</f>
        <v>-6.3755076889568416</v>
      </c>
      <c r="U185" s="334">
        <f>Gasto_o_ing_per_capita!U185-Gasto_o_ing_per_capita!$D185</f>
        <v>0.41133321203759016</v>
      </c>
      <c r="V185" s="334">
        <f>Gasto_o_ing_per_capita!V185-Gasto_o_ing_per_capita!$D185</f>
        <v>0.41133321203759016</v>
      </c>
      <c r="W185" s="122"/>
      <c r="X185" s="104"/>
    </row>
    <row r="186" spans="1:24" s="102" customFormat="1">
      <c r="A186" s="352"/>
      <c r="B186" s="115" t="s">
        <v>1112</v>
      </c>
      <c r="C186" s="331" t="str">
        <f>VLOOKUP(B186,Tot_res!C:D,2,FALSE)</f>
        <v>Conservación patrimonio artístico y cultural</v>
      </c>
      <c r="D186" s="334">
        <f>Gasto_o_ing_per_capita!D186-Gasto_o_ing_per_capita!$D186</f>
        <v>0</v>
      </c>
      <c r="E186" s="334">
        <f>Gasto_o_ing_per_capita!E186-Gasto_o_ing_per_capita!$D186</f>
        <v>1.1982059716757682E-2</v>
      </c>
      <c r="F186" s="334">
        <f>Gasto_o_ing_per_capita!F186-Gasto_o_ing_per_capita!$D186</f>
        <v>1.1982059716757682E-2</v>
      </c>
      <c r="G186" s="334">
        <f>Gasto_o_ing_per_capita!G186-Gasto_o_ing_per_capita!$D186</f>
        <v>1.1982059716757682E-2</v>
      </c>
      <c r="H186" s="334">
        <f>Gasto_o_ing_per_capita!H186-Gasto_o_ing_per_capita!$D186</f>
        <v>1.1982059716757682E-2</v>
      </c>
      <c r="I186" s="334">
        <f>Gasto_o_ing_per_capita!I186-Gasto_o_ing_per_capita!$D186</f>
        <v>1.1982059716757682E-2</v>
      </c>
      <c r="J186" s="334">
        <f>Gasto_o_ing_per_capita!J186-Gasto_o_ing_per_capita!$D186</f>
        <v>1.1982059716757682E-2</v>
      </c>
      <c r="K186" s="334">
        <f>Gasto_o_ing_per_capita!K186-Gasto_o_ing_per_capita!$D186</f>
        <v>1.1982059716757682E-2</v>
      </c>
      <c r="L186" s="334">
        <f>Gasto_o_ing_per_capita!L186-Gasto_o_ing_per_capita!$D186</f>
        <v>1.1982059716757682E-2</v>
      </c>
      <c r="M186" s="334">
        <f>Gasto_o_ing_per_capita!M186-Gasto_o_ing_per_capita!$D186</f>
        <v>1.1982059716757682E-2</v>
      </c>
      <c r="N186" s="334">
        <f>Gasto_o_ing_per_capita!N186-Gasto_o_ing_per_capita!$D186</f>
        <v>1.1982059716757682E-2</v>
      </c>
      <c r="O186" s="334">
        <f>Gasto_o_ing_per_capita!O186-Gasto_o_ing_per_capita!$D186</f>
        <v>1.1982059716757682E-2</v>
      </c>
      <c r="P186" s="334">
        <f>Gasto_o_ing_per_capita!P186-Gasto_o_ing_per_capita!$D186</f>
        <v>1.1982059716757682E-2</v>
      </c>
      <c r="Q186" s="334">
        <f>Gasto_o_ing_per_capita!Q186-Gasto_o_ing_per_capita!$D186</f>
        <v>1.1982059716757682E-2</v>
      </c>
      <c r="R186" s="334">
        <f>Gasto_o_ing_per_capita!R186-Gasto_o_ing_per_capita!$D186</f>
        <v>1.1982059716757682E-2</v>
      </c>
      <c r="S186" s="334">
        <f>Gasto_o_ing_per_capita!S186-Gasto_o_ing_per_capita!$D186</f>
        <v>-0.45937085334620825</v>
      </c>
      <c r="T186" s="334">
        <f>Gasto_o_ing_per_capita!T186-Gasto_o_ing_per_capita!$D186</f>
        <v>-0.10567810360158447</v>
      </c>
      <c r="U186" s="334">
        <f>Gasto_o_ing_per_capita!U186-Gasto_o_ing_per_capita!$D186</f>
        <v>1.1982059716757682E-2</v>
      </c>
      <c r="V186" s="334">
        <f>Gasto_o_ing_per_capita!V186-Gasto_o_ing_per_capita!$D186</f>
        <v>1.1982059716757682E-2</v>
      </c>
      <c r="W186" s="122"/>
      <c r="X186" s="104"/>
    </row>
    <row r="187" spans="1:24" s="102" customFormat="1">
      <c r="A187" s="352"/>
      <c r="B187" s="115" t="s">
        <v>1118</v>
      </c>
      <c r="C187" s="331" t="str">
        <f>VLOOKUP(B187,Tot_res!C:D,2,FALSE)</f>
        <v>Economía Social</v>
      </c>
      <c r="D187" s="334">
        <f>Gasto_o_ing_per_capita!D187-Gasto_o_ing_per_capita!$D187</f>
        <v>0</v>
      </c>
      <c r="E187" s="334">
        <f>Gasto_o_ing_per_capita!E187-Gasto_o_ing_per_capita!$D187</f>
        <v>3.5067664865644922E-2</v>
      </c>
      <c r="F187" s="334">
        <f>Gasto_o_ing_per_capita!F187-Gasto_o_ing_per_capita!$D187</f>
        <v>3.5067664865644922E-2</v>
      </c>
      <c r="G187" s="334">
        <f>Gasto_o_ing_per_capita!G187-Gasto_o_ing_per_capita!$D187</f>
        <v>3.5067664865644922E-2</v>
      </c>
      <c r="H187" s="334">
        <f>Gasto_o_ing_per_capita!H187-Gasto_o_ing_per_capita!$D187</f>
        <v>3.5067664865644922E-2</v>
      </c>
      <c r="I187" s="334">
        <f>Gasto_o_ing_per_capita!I187-Gasto_o_ing_per_capita!$D187</f>
        <v>3.5067664865644922E-2</v>
      </c>
      <c r="J187" s="334">
        <f>Gasto_o_ing_per_capita!J187-Gasto_o_ing_per_capita!$D187</f>
        <v>3.5067664865644922E-2</v>
      </c>
      <c r="K187" s="334">
        <f>Gasto_o_ing_per_capita!K187-Gasto_o_ing_per_capita!$D187</f>
        <v>3.5067664865644922E-2</v>
      </c>
      <c r="L187" s="334">
        <f>Gasto_o_ing_per_capita!L187-Gasto_o_ing_per_capita!$D187</f>
        <v>3.5067664865644922E-2</v>
      </c>
      <c r="M187" s="334">
        <f>Gasto_o_ing_per_capita!M187-Gasto_o_ing_per_capita!$D187</f>
        <v>3.5067664865644922E-2</v>
      </c>
      <c r="N187" s="334">
        <f>Gasto_o_ing_per_capita!N187-Gasto_o_ing_per_capita!$D187</f>
        <v>3.5067664865644922E-2</v>
      </c>
      <c r="O187" s="334">
        <f>Gasto_o_ing_per_capita!O187-Gasto_o_ing_per_capita!$D187</f>
        <v>3.5067664865644922E-2</v>
      </c>
      <c r="P187" s="334">
        <f>Gasto_o_ing_per_capita!P187-Gasto_o_ing_per_capita!$D187</f>
        <v>3.5067664865644922E-2</v>
      </c>
      <c r="Q187" s="334">
        <f>Gasto_o_ing_per_capita!Q187-Gasto_o_ing_per_capita!$D187</f>
        <v>3.5067664865644922E-2</v>
      </c>
      <c r="R187" s="334">
        <f>Gasto_o_ing_per_capita!R187-Gasto_o_ing_per_capita!$D187</f>
        <v>3.5067664865644922E-2</v>
      </c>
      <c r="S187" s="334">
        <f>Gasto_o_ing_per_capita!S187-Gasto_o_ing_per_capita!$D187</f>
        <v>-0.54363456756314665</v>
      </c>
      <c r="T187" s="334">
        <f>Gasto_o_ing_per_capita!T187-Gasto_o_ing_per_capita!$D187</f>
        <v>-0.54363456756314665</v>
      </c>
      <c r="U187" s="334">
        <f>Gasto_o_ing_per_capita!U187-Gasto_o_ing_per_capita!$D187</f>
        <v>3.5067664865644922E-2</v>
      </c>
      <c r="V187" s="334">
        <f>Gasto_o_ing_per_capita!V187-Gasto_o_ing_per_capita!$D187</f>
        <v>3.5067664865644922E-2</v>
      </c>
      <c r="W187" s="122"/>
      <c r="X187" s="104"/>
    </row>
    <row r="188" spans="1:24" s="102" customFormat="1">
      <c r="A188" s="352"/>
      <c r="B188" s="115" t="s">
        <v>1113</v>
      </c>
      <c r="C188" s="331" t="str">
        <f>VLOOKUP(B188,Tot_res!C:D,2,FALSE)</f>
        <v>Servicios Sociales</v>
      </c>
      <c r="D188" s="334">
        <f>Gasto_o_ing_per_capita!D188-Gasto_o_ing_per_capita!$D188</f>
        <v>0</v>
      </c>
      <c r="E188" s="334">
        <f>Gasto_o_ing_per_capita!E188-Gasto_o_ing_per_capita!$D188</f>
        <v>0.19508764465451509</v>
      </c>
      <c r="F188" s="334">
        <f>Gasto_o_ing_per_capita!F188-Gasto_o_ing_per_capita!$D188</f>
        <v>0.19508764465451509</v>
      </c>
      <c r="G188" s="334">
        <f>Gasto_o_ing_per_capita!G188-Gasto_o_ing_per_capita!$D188</f>
        <v>0.19508764465451509</v>
      </c>
      <c r="H188" s="334">
        <f>Gasto_o_ing_per_capita!H188-Gasto_o_ing_per_capita!$D188</f>
        <v>0.19508764465451509</v>
      </c>
      <c r="I188" s="334">
        <f>Gasto_o_ing_per_capita!I188-Gasto_o_ing_per_capita!$D188</f>
        <v>0.19508764465451509</v>
      </c>
      <c r="J188" s="334">
        <f>Gasto_o_ing_per_capita!J188-Gasto_o_ing_per_capita!$D188</f>
        <v>0.19508764465451509</v>
      </c>
      <c r="K188" s="334">
        <f>Gasto_o_ing_per_capita!K188-Gasto_o_ing_per_capita!$D188</f>
        <v>0.19508764465451509</v>
      </c>
      <c r="L188" s="334">
        <f>Gasto_o_ing_per_capita!L188-Gasto_o_ing_per_capita!$D188</f>
        <v>0.19508764465451509</v>
      </c>
      <c r="M188" s="334">
        <f>Gasto_o_ing_per_capita!M188-Gasto_o_ing_per_capita!$D188</f>
        <v>0.19508764465451509</v>
      </c>
      <c r="N188" s="334">
        <f>Gasto_o_ing_per_capita!N188-Gasto_o_ing_per_capita!$D188</f>
        <v>0.19508764465451509</v>
      </c>
      <c r="O188" s="334">
        <f>Gasto_o_ing_per_capita!O188-Gasto_o_ing_per_capita!$D188</f>
        <v>0.19508764465451509</v>
      </c>
      <c r="P188" s="334">
        <f>Gasto_o_ing_per_capita!P188-Gasto_o_ing_per_capita!$D188</f>
        <v>0.19508764465451509</v>
      </c>
      <c r="Q188" s="334">
        <f>Gasto_o_ing_per_capita!Q188-Gasto_o_ing_per_capita!$D188</f>
        <v>0.19508764465451509</v>
      </c>
      <c r="R188" s="334">
        <f>Gasto_o_ing_per_capita!R188-Gasto_o_ing_per_capita!$D188</f>
        <v>0.19508764465451509</v>
      </c>
      <c r="S188" s="334">
        <f>Gasto_o_ing_per_capita!S188-Gasto_o_ing_per_capita!$D188</f>
        <v>-3.4930942500348299</v>
      </c>
      <c r="T188" s="334">
        <f>Gasto_o_ing_per_capita!T188-Gasto_o_ing_per_capita!$D188</f>
        <v>-2.8871562234081645</v>
      </c>
      <c r="U188" s="334">
        <f>Gasto_o_ing_per_capita!U188-Gasto_o_ing_per_capita!$D188</f>
        <v>0.19508764465451509</v>
      </c>
      <c r="V188" s="334">
        <f>Gasto_o_ing_per_capita!V188-Gasto_o_ing_per_capita!$D188</f>
        <v>0.19508764465451509</v>
      </c>
      <c r="W188" s="122"/>
      <c r="X188" s="104"/>
    </row>
    <row r="189" spans="1:24" s="102" customFormat="1">
      <c r="A189" s="352"/>
      <c r="B189" s="115" t="s">
        <v>1114</v>
      </c>
      <c r="C189" s="331" t="str">
        <f>VLOOKUP(B189,Tot_res!C:D,2,FALSE)</f>
        <v>Fomento y gestiòn del empleo, incluyendo ISM</v>
      </c>
      <c r="D189" s="334">
        <f>Gasto_o_ing_per_capita!D189-Gasto_o_ing_per_capita!$D189</f>
        <v>0</v>
      </c>
      <c r="E189" s="334">
        <f>Gasto_o_ing_per_capita!E189-Gasto_o_ing_per_capita!$D189</f>
        <v>1.7959190436794323</v>
      </c>
      <c r="F189" s="334">
        <f>Gasto_o_ing_per_capita!F189-Gasto_o_ing_per_capita!$D189</f>
        <v>1.7959190436794323</v>
      </c>
      <c r="G189" s="334">
        <f>Gasto_o_ing_per_capita!G189-Gasto_o_ing_per_capita!$D189</f>
        <v>1.7959190436794323</v>
      </c>
      <c r="H189" s="334">
        <f>Gasto_o_ing_per_capita!H189-Gasto_o_ing_per_capita!$D189</f>
        <v>1.7959190436794323</v>
      </c>
      <c r="I189" s="334">
        <f>Gasto_o_ing_per_capita!I189-Gasto_o_ing_per_capita!$D189</f>
        <v>1.7959190436794323</v>
      </c>
      <c r="J189" s="334">
        <f>Gasto_o_ing_per_capita!J189-Gasto_o_ing_per_capita!$D189</f>
        <v>1.7959190436794323</v>
      </c>
      <c r="K189" s="334">
        <f>Gasto_o_ing_per_capita!K189-Gasto_o_ing_per_capita!$D189</f>
        <v>1.7959190436794323</v>
      </c>
      <c r="L189" s="334">
        <f>Gasto_o_ing_per_capita!L189-Gasto_o_ing_per_capita!$D189</f>
        <v>1.7959190436794323</v>
      </c>
      <c r="M189" s="334">
        <f>Gasto_o_ing_per_capita!M189-Gasto_o_ing_per_capita!$D189</f>
        <v>1.7959190436794323</v>
      </c>
      <c r="N189" s="334">
        <f>Gasto_o_ing_per_capita!N189-Gasto_o_ing_per_capita!$D189</f>
        <v>1.7959190436794323</v>
      </c>
      <c r="O189" s="334">
        <f>Gasto_o_ing_per_capita!O189-Gasto_o_ing_per_capita!$D189</f>
        <v>1.7959190436794323</v>
      </c>
      <c r="P189" s="334">
        <f>Gasto_o_ing_per_capita!P189-Gasto_o_ing_per_capita!$D189</f>
        <v>1.7959190436794323</v>
      </c>
      <c r="Q189" s="334">
        <f>Gasto_o_ing_per_capita!Q189-Gasto_o_ing_per_capita!$D189</f>
        <v>1.7959190436794323</v>
      </c>
      <c r="R189" s="334">
        <f>Gasto_o_ing_per_capita!R189-Gasto_o_ing_per_capita!$D189</f>
        <v>1.7959190436794323</v>
      </c>
      <c r="S189" s="334">
        <f>Gasto_o_ing_per_capita!S189-Gasto_o_ing_per_capita!$D189</f>
        <v>1.7959190436794323</v>
      </c>
      <c r="T189" s="334">
        <f>Gasto_o_ing_per_capita!T189-Gasto_o_ing_per_capita!$D189</f>
        <v>-36.514242325634818</v>
      </c>
      <c r="U189" s="334">
        <f>Gasto_o_ing_per_capita!U189-Gasto_o_ing_per_capita!$D189</f>
        <v>1.7959190436794323</v>
      </c>
      <c r="V189" s="334">
        <f>Gasto_o_ing_per_capita!V189-Gasto_o_ing_per_capita!$D189</f>
        <v>1.7959190436794323</v>
      </c>
      <c r="W189" s="122"/>
      <c r="X189" s="104"/>
    </row>
    <row r="190" spans="1:24" s="102" customFormat="1">
      <c r="A190" s="352"/>
      <c r="B190" s="115" t="s">
        <v>1119</v>
      </c>
      <c r="C190" s="331" t="e">
        <f>VLOOKUP(B190,Tot_res!C:D,2,FALSE)</f>
        <v>#N/A</v>
      </c>
      <c r="D190" s="334">
        <f>Gasto_o_ing_per_capita!D190-Gasto_o_ing_per_capita!$D190</f>
        <v>0</v>
      </c>
      <c r="E190" s="334" t="e">
        <f>Gasto_o_ing_per_capita!E190-Gasto_o_ing_per_capita!$D190</f>
        <v>#VALUE!</v>
      </c>
      <c r="F190" s="334" t="e">
        <f>Gasto_o_ing_per_capita!F190-Gasto_o_ing_per_capita!$D190</f>
        <v>#VALUE!</v>
      </c>
      <c r="G190" s="334" t="e">
        <f>Gasto_o_ing_per_capita!G190-Gasto_o_ing_per_capita!$D190</f>
        <v>#VALUE!</v>
      </c>
      <c r="H190" s="334" t="e">
        <f>Gasto_o_ing_per_capita!H190-Gasto_o_ing_per_capita!$D190</f>
        <v>#VALUE!</v>
      </c>
      <c r="I190" s="334" t="e">
        <f>Gasto_o_ing_per_capita!I190-Gasto_o_ing_per_capita!$D190</f>
        <v>#VALUE!</v>
      </c>
      <c r="J190" s="334" t="e">
        <f>Gasto_o_ing_per_capita!J190-Gasto_o_ing_per_capita!$D190</f>
        <v>#VALUE!</v>
      </c>
      <c r="K190" s="334" t="e">
        <f>Gasto_o_ing_per_capita!K190-Gasto_o_ing_per_capita!$D190</f>
        <v>#VALUE!</v>
      </c>
      <c r="L190" s="334" t="e">
        <f>Gasto_o_ing_per_capita!L190-Gasto_o_ing_per_capita!$D190</f>
        <v>#VALUE!</v>
      </c>
      <c r="M190" s="334" t="e">
        <f>Gasto_o_ing_per_capita!M190-Gasto_o_ing_per_capita!$D190</f>
        <v>#VALUE!</v>
      </c>
      <c r="N190" s="334" t="e">
        <f>Gasto_o_ing_per_capita!N190-Gasto_o_ing_per_capita!$D190</f>
        <v>#VALUE!</v>
      </c>
      <c r="O190" s="334" t="e">
        <f>Gasto_o_ing_per_capita!O190-Gasto_o_ing_per_capita!$D190</f>
        <v>#VALUE!</v>
      </c>
      <c r="P190" s="334" t="e">
        <f>Gasto_o_ing_per_capita!P190-Gasto_o_ing_per_capita!$D190</f>
        <v>#VALUE!</v>
      </c>
      <c r="Q190" s="334" t="e">
        <f>Gasto_o_ing_per_capita!Q190-Gasto_o_ing_per_capita!$D190</f>
        <v>#VALUE!</v>
      </c>
      <c r="R190" s="334" t="e">
        <f>Gasto_o_ing_per_capita!R190-Gasto_o_ing_per_capita!$D190</f>
        <v>#VALUE!</v>
      </c>
      <c r="S190" s="334" t="e">
        <f>Gasto_o_ing_per_capita!S190-Gasto_o_ing_per_capita!$D190</f>
        <v>#VALUE!</v>
      </c>
      <c r="T190" s="334" t="e">
        <f>Gasto_o_ing_per_capita!T190-Gasto_o_ing_per_capita!$D190</f>
        <v>#VALUE!</v>
      </c>
      <c r="U190" s="334" t="e">
        <f>Gasto_o_ing_per_capita!U190-Gasto_o_ing_per_capita!$D190</f>
        <v>#VALUE!</v>
      </c>
      <c r="V190" s="334" t="e">
        <f>Gasto_o_ing_per_capita!V190-Gasto_o_ing_per_capita!$D190</f>
        <v>#VALUE!</v>
      </c>
      <c r="W190" s="122"/>
      <c r="X190" s="104"/>
    </row>
    <row r="191" spans="1:24" s="102" customFormat="1">
      <c r="A191" s="352"/>
      <c r="B191" s="115" t="s">
        <v>1115</v>
      </c>
      <c r="C191" s="331" t="str">
        <f>VLOOKUP(B191,Tot_res!C:D,2,FALSE)</f>
        <v>Agricultura</v>
      </c>
      <c r="D191" s="334">
        <f>Gasto_o_ing_per_capita!D191-Gasto_o_ing_per_capita!$D191</f>
        <v>0</v>
      </c>
      <c r="E191" s="334">
        <f>Gasto_o_ing_per_capita!E191-Gasto_o_ing_per_capita!$D191</f>
        <v>0.11928277704592997</v>
      </c>
      <c r="F191" s="334">
        <f>Gasto_o_ing_per_capita!F191-Gasto_o_ing_per_capita!$D191</f>
        <v>0.11928277704592997</v>
      </c>
      <c r="G191" s="334">
        <f>Gasto_o_ing_per_capita!G191-Gasto_o_ing_per_capita!$D191</f>
        <v>0.11928277704592997</v>
      </c>
      <c r="H191" s="334">
        <f>Gasto_o_ing_per_capita!H191-Gasto_o_ing_per_capita!$D191</f>
        <v>0.11928277704592997</v>
      </c>
      <c r="I191" s="334">
        <f>Gasto_o_ing_per_capita!I191-Gasto_o_ing_per_capita!$D191</f>
        <v>0.11928277704592997</v>
      </c>
      <c r="J191" s="334">
        <f>Gasto_o_ing_per_capita!J191-Gasto_o_ing_per_capita!$D191</f>
        <v>0.11928277704592997</v>
      </c>
      <c r="K191" s="334">
        <f>Gasto_o_ing_per_capita!K191-Gasto_o_ing_per_capita!$D191</f>
        <v>0.11928277704592997</v>
      </c>
      <c r="L191" s="334">
        <f>Gasto_o_ing_per_capita!L191-Gasto_o_ing_per_capita!$D191</f>
        <v>0.11928277704592997</v>
      </c>
      <c r="M191" s="334">
        <f>Gasto_o_ing_per_capita!M191-Gasto_o_ing_per_capita!$D191</f>
        <v>0.11928277704592997</v>
      </c>
      <c r="N191" s="334">
        <f>Gasto_o_ing_per_capita!N191-Gasto_o_ing_per_capita!$D191</f>
        <v>0.11928277704592997</v>
      </c>
      <c r="O191" s="334">
        <f>Gasto_o_ing_per_capita!O191-Gasto_o_ing_per_capita!$D191</f>
        <v>0.11928277704592997</v>
      </c>
      <c r="P191" s="334">
        <f>Gasto_o_ing_per_capita!P191-Gasto_o_ing_per_capita!$D191</f>
        <v>0.11928277704592997</v>
      </c>
      <c r="Q191" s="334">
        <f>Gasto_o_ing_per_capita!Q191-Gasto_o_ing_per_capita!$D191</f>
        <v>0.11928277704592997</v>
      </c>
      <c r="R191" s="334">
        <f>Gasto_o_ing_per_capita!R191-Gasto_o_ing_per_capita!$D191</f>
        <v>0.11928277704592997</v>
      </c>
      <c r="S191" s="334">
        <f>Gasto_o_ing_per_capita!S191-Gasto_o_ing_per_capita!$D191</f>
        <v>-1.0326084162062719</v>
      </c>
      <c r="T191" s="334">
        <f>Gasto_o_ing_per_capita!T191-Gasto_o_ing_per_capita!$D191</f>
        <v>-2.0881379598706133</v>
      </c>
      <c r="U191" s="334">
        <f>Gasto_o_ing_per_capita!U191-Gasto_o_ing_per_capita!$D191</f>
        <v>0.11928277704592997</v>
      </c>
      <c r="V191" s="334">
        <f>Gasto_o_ing_per_capita!V191-Gasto_o_ing_per_capita!$D191</f>
        <v>0.11928277704592997</v>
      </c>
      <c r="W191" s="122"/>
      <c r="X191" s="104"/>
    </row>
    <row r="192" spans="1:24" s="102" customFormat="1">
      <c r="A192" s="352"/>
      <c r="B192" s="115" t="s">
        <v>1120</v>
      </c>
      <c r="C192" s="331" t="e">
        <f>VLOOKUP(B192,Tot_res!C:D,2,FALSE)</f>
        <v>#N/A</v>
      </c>
      <c r="D192" s="334">
        <f>Gasto_o_ing_per_capita!D192-Gasto_o_ing_per_capita!$D192</f>
        <v>0</v>
      </c>
      <c r="E192" s="334" t="e">
        <f>Gasto_o_ing_per_capita!E192-Gasto_o_ing_per_capita!$D192</f>
        <v>#VALUE!</v>
      </c>
      <c r="F192" s="334" t="e">
        <f>Gasto_o_ing_per_capita!F192-Gasto_o_ing_per_capita!$D192</f>
        <v>#VALUE!</v>
      </c>
      <c r="G192" s="334" t="e">
        <f>Gasto_o_ing_per_capita!G192-Gasto_o_ing_per_capita!$D192</f>
        <v>#VALUE!</v>
      </c>
      <c r="H192" s="334" t="e">
        <f>Gasto_o_ing_per_capita!H192-Gasto_o_ing_per_capita!$D192</f>
        <v>#VALUE!</v>
      </c>
      <c r="I192" s="334" t="e">
        <f>Gasto_o_ing_per_capita!I192-Gasto_o_ing_per_capita!$D192</f>
        <v>#VALUE!</v>
      </c>
      <c r="J192" s="334" t="e">
        <f>Gasto_o_ing_per_capita!J192-Gasto_o_ing_per_capita!$D192</f>
        <v>#VALUE!</v>
      </c>
      <c r="K192" s="334" t="e">
        <f>Gasto_o_ing_per_capita!K192-Gasto_o_ing_per_capita!$D192</f>
        <v>#VALUE!</v>
      </c>
      <c r="L192" s="334" t="e">
        <f>Gasto_o_ing_per_capita!L192-Gasto_o_ing_per_capita!$D192</f>
        <v>#VALUE!</v>
      </c>
      <c r="M192" s="334" t="e">
        <f>Gasto_o_ing_per_capita!M192-Gasto_o_ing_per_capita!$D192</f>
        <v>#VALUE!</v>
      </c>
      <c r="N192" s="334" t="e">
        <f>Gasto_o_ing_per_capita!N192-Gasto_o_ing_per_capita!$D192</f>
        <v>#VALUE!</v>
      </c>
      <c r="O192" s="334" t="e">
        <f>Gasto_o_ing_per_capita!O192-Gasto_o_ing_per_capita!$D192</f>
        <v>#VALUE!</v>
      </c>
      <c r="P192" s="334" t="e">
        <f>Gasto_o_ing_per_capita!P192-Gasto_o_ing_per_capita!$D192</f>
        <v>#VALUE!</v>
      </c>
      <c r="Q192" s="334" t="e">
        <f>Gasto_o_ing_per_capita!Q192-Gasto_o_ing_per_capita!$D192</f>
        <v>#VALUE!</v>
      </c>
      <c r="R192" s="334" t="e">
        <f>Gasto_o_ing_per_capita!R192-Gasto_o_ing_per_capita!$D192</f>
        <v>#VALUE!</v>
      </c>
      <c r="S192" s="334" t="e">
        <f>Gasto_o_ing_per_capita!S192-Gasto_o_ing_per_capita!$D192</f>
        <v>#VALUE!</v>
      </c>
      <c r="T192" s="334" t="e">
        <f>Gasto_o_ing_per_capita!T192-Gasto_o_ing_per_capita!$D192</f>
        <v>#VALUE!</v>
      </c>
      <c r="U192" s="334" t="e">
        <f>Gasto_o_ing_per_capita!U192-Gasto_o_ing_per_capita!$D192</f>
        <v>#VALUE!</v>
      </c>
      <c r="V192" s="334" t="e">
        <f>Gasto_o_ing_per_capita!V192-Gasto_o_ing_per_capita!$D192</f>
        <v>#VALUE!</v>
      </c>
      <c r="W192" s="122"/>
      <c r="X192" s="104"/>
    </row>
    <row r="193" spans="1:24" s="102" customFormat="1">
      <c r="A193" s="352"/>
      <c r="B193" s="115" t="s">
        <v>1116</v>
      </c>
      <c r="C193" s="331" t="str">
        <f>VLOOKUP(B193,Tot_res!C:D,2,FALSE)</f>
        <v>Turismo</v>
      </c>
      <c r="D193" s="334">
        <f>Gasto_o_ing_per_capita!D193-Gasto_o_ing_per_capita!$D193</f>
        <v>0</v>
      </c>
      <c r="E193" s="334">
        <f>Gasto_o_ing_per_capita!E193-Gasto_o_ing_per_capita!$D193</f>
        <v>8.8549703254507273E-3</v>
      </c>
      <c r="F193" s="334">
        <f>Gasto_o_ing_per_capita!F193-Gasto_o_ing_per_capita!$D193</f>
        <v>8.8549703254507273E-3</v>
      </c>
      <c r="G193" s="334">
        <f>Gasto_o_ing_per_capita!G193-Gasto_o_ing_per_capita!$D193</f>
        <v>8.8549703254507273E-3</v>
      </c>
      <c r="H193" s="334">
        <f>Gasto_o_ing_per_capita!H193-Gasto_o_ing_per_capita!$D193</f>
        <v>8.8549703254507273E-3</v>
      </c>
      <c r="I193" s="334">
        <f>Gasto_o_ing_per_capita!I193-Gasto_o_ing_per_capita!$D193</f>
        <v>8.8549703254507273E-3</v>
      </c>
      <c r="J193" s="334">
        <f>Gasto_o_ing_per_capita!J193-Gasto_o_ing_per_capita!$D193</f>
        <v>8.8549703254507273E-3</v>
      </c>
      <c r="K193" s="334">
        <f>Gasto_o_ing_per_capita!K193-Gasto_o_ing_per_capita!$D193</f>
        <v>8.8549703254507273E-3</v>
      </c>
      <c r="L193" s="334">
        <f>Gasto_o_ing_per_capita!L193-Gasto_o_ing_per_capita!$D193</f>
        <v>8.8549703254507273E-3</v>
      </c>
      <c r="M193" s="334">
        <f>Gasto_o_ing_per_capita!M193-Gasto_o_ing_per_capita!$D193</f>
        <v>8.8549703254507273E-3</v>
      </c>
      <c r="N193" s="334">
        <f>Gasto_o_ing_per_capita!N193-Gasto_o_ing_per_capita!$D193</f>
        <v>8.8549703254507273E-3</v>
      </c>
      <c r="O193" s="334">
        <f>Gasto_o_ing_per_capita!O193-Gasto_o_ing_per_capita!$D193</f>
        <v>8.8549703254507273E-3</v>
      </c>
      <c r="P193" s="334">
        <f>Gasto_o_ing_per_capita!P193-Gasto_o_ing_per_capita!$D193</f>
        <v>8.8549703254507273E-3</v>
      </c>
      <c r="Q193" s="334">
        <f>Gasto_o_ing_per_capita!Q193-Gasto_o_ing_per_capita!$D193</f>
        <v>8.8549703254507273E-3</v>
      </c>
      <c r="R193" s="334">
        <f>Gasto_o_ing_per_capita!R193-Gasto_o_ing_per_capita!$D193</f>
        <v>8.8549703254507273E-3</v>
      </c>
      <c r="S193" s="334">
        <f>Gasto_o_ing_per_capita!S193-Gasto_o_ing_per_capita!$D193</f>
        <v>-0.13727369592769637</v>
      </c>
      <c r="T193" s="334">
        <f>Gasto_o_ing_per_capita!T193-Gasto_o_ing_per_capita!$D193</f>
        <v>-0.13727369592769639</v>
      </c>
      <c r="U193" s="334">
        <f>Gasto_o_ing_per_capita!U193-Gasto_o_ing_per_capita!$D193</f>
        <v>8.8549703254507273E-3</v>
      </c>
      <c r="V193" s="334">
        <f>Gasto_o_ing_per_capita!V193-Gasto_o_ing_per_capita!$D193</f>
        <v>8.8549703254507273E-3</v>
      </c>
      <c r="W193" s="122"/>
      <c r="X193" s="104"/>
    </row>
    <row r="194" spans="1:24"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26"/>
      <c r="X194" s="104"/>
    </row>
    <row r="195" spans="1:24" s="102" customFormat="1" ht="27">
      <c r="A195" s="352"/>
      <c r="B195" s="115"/>
      <c r="C195" s="117" t="s">
        <v>57</v>
      </c>
      <c r="D195" s="113">
        <f>Gasto_o_ing_per_capita!D195-Gasto_o_ing_per_capita!$D195</f>
        <v>0</v>
      </c>
      <c r="E195" s="113">
        <f>Gasto_o_ing_per_capita!E195-Gasto_o_ing_per_capita!$D195</f>
        <v>-255.4678956012001</v>
      </c>
      <c r="F195" s="113">
        <f>Gasto_o_ing_per_capita!F195-Gasto_o_ing_per_capita!$D195</f>
        <v>107.08115051771074</v>
      </c>
      <c r="G195" s="113">
        <f>Gasto_o_ing_per_capita!G195-Gasto_o_ing_per_capita!$D195</f>
        <v>78.118514345867879</v>
      </c>
      <c r="H195" s="113">
        <f>Gasto_o_ing_per_capita!H195-Gasto_o_ing_per_capita!$D195</f>
        <v>-95.849140572056967</v>
      </c>
      <c r="I195" s="113">
        <f>Gasto_o_ing_per_capita!I195-Gasto_o_ing_per_capita!$D195</f>
        <v>73.909230746461162</v>
      </c>
      <c r="J195" s="113">
        <f>Gasto_o_ing_per_capita!J195-Gasto_o_ing_per_capita!$D195</f>
        <v>347.27150498713627</v>
      </c>
      <c r="K195" s="113">
        <f>Gasto_o_ing_per_capita!K195-Gasto_o_ing_per_capita!$D195</f>
        <v>169.55678436195012</v>
      </c>
      <c r="L195" s="113">
        <f>Gasto_o_ing_per_capita!L195-Gasto_o_ing_per_capita!$D195</f>
        <v>-41.809495049771158</v>
      </c>
      <c r="M195" s="113">
        <f>Gasto_o_ing_per_capita!M195-Gasto_o_ing_per_capita!$D195</f>
        <v>-248.21881857761105</v>
      </c>
      <c r="N195" s="113">
        <f>Gasto_o_ing_per_capita!N195-Gasto_o_ing_per_capita!$D195</f>
        <v>-372.73817526708694</v>
      </c>
      <c r="O195" s="113">
        <f>Gasto_o_ing_per_capita!O195-Gasto_o_ing_per_capita!$D195</f>
        <v>233.18251382391418</v>
      </c>
      <c r="P195" s="113">
        <f>Gasto_o_ing_per_capita!P195-Gasto_o_ing_per_capita!$D195</f>
        <v>111.48390023555112</v>
      </c>
      <c r="Q195" s="113">
        <f>Gasto_o_ing_per_capita!Q195-Gasto_o_ing_per_capita!$D195</f>
        <v>-287.66903875222215</v>
      </c>
      <c r="R195" s="113">
        <f>Gasto_o_ing_per_capita!R195-Gasto_o_ing_per_capita!$D195</f>
        <v>-330.88982989589522</v>
      </c>
      <c r="S195" s="113">
        <f>Gasto_o_ing_per_capita!S195-Gasto_o_ing_per_capita!$D195</f>
        <v>1563.217835870902</v>
      </c>
      <c r="T195" s="113">
        <f>Gasto_o_ing_per_capita!T195-Gasto_o_ing_per_capita!$D195</f>
        <v>2483.7056313109802</v>
      </c>
      <c r="U195" s="113">
        <f>Gasto_o_ing_per_capita!U195-Gasto_o_ing_per_capita!$D195</f>
        <v>248.5868000076598</v>
      </c>
      <c r="V195" s="113">
        <f>Gasto_o_ing_per_capita!V195-Gasto_o_ing_per_capita!$D195</f>
        <v>1891.5256677236653</v>
      </c>
      <c r="W195" s="122"/>
      <c r="X195" s="104"/>
    </row>
    <row r="196" spans="1:24"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26"/>
      <c r="X196" s="104"/>
    </row>
    <row r="197" spans="1:24" s="102" customFormat="1" ht="13.5">
      <c r="A197" s="352"/>
      <c r="B197" s="137"/>
      <c r="C197" s="117" t="s">
        <v>29</v>
      </c>
      <c r="D197" s="113">
        <f>Gasto_o_ing_per_capita!D197-Gasto_o_ing_per_capita!$D197</f>
        <v>0</v>
      </c>
      <c r="E197" s="113">
        <f>Gasto_o_ing_per_capita!E197-Gasto_o_ing_per_capita!$D197</f>
        <v>38.007113971896466</v>
      </c>
      <c r="F197" s="113">
        <f>Gasto_o_ing_per_capita!F197-Gasto_o_ing_per_capita!$D197</f>
        <v>62.984183596218962</v>
      </c>
      <c r="G197" s="113">
        <f>Gasto_o_ing_per_capita!G197-Gasto_o_ing_per_capita!$D197</f>
        <v>58.047705538461152</v>
      </c>
      <c r="H197" s="113">
        <f>Gasto_o_ing_per_capita!H197-Gasto_o_ing_per_capita!$D197</f>
        <v>145.76076502060502</v>
      </c>
      <c r="I197" s="113">
        <f>Gasto_o_ing_per_capita!I197-Gasto_o_ing_per_capita!$D197</f>
        <v>14.41493821400644</v>
      </c>
      <c r="J197" s="113">
        <f>Gasto_o_ing_per_capita!J197-Gasto_o_ing_per_capita!$D197</f>
        <v>32.502327726311556</v>
      </c>
      <c r="K197" s="113">
        <f>Gasto_o_ing_per_capita!K197-Gasto_o_ing_per_capita!$D197</f>
        <v>30.695829208914951</v>
      </c>
      <c r="L197" s="113">
        <f>Gasto_o_ing_per_capita!L197-Gasto_o_ing_per_capita!$D197</f>
        <v>-23.69218583493759</v>
      </c>
      <c r="M197" s="113">
        <f>Gasto_o_ing_per_capita!M197-Gasto_o_ing_per_capita!$D197</f>
        <v>82.924475524453044</v>
      </c>
      <c r="N197" s="113">
        <f>Gasto_o_ing_per_capita!N197-Gasto_o_ing_per_capita!$D197</f>
        <v>74.354434301577072</v>
      </c>
      <c r="O197" s="113">
        <f>Gasto_o_ing_per_capita!O197-Gasto_o_ing_per_capita!$D197</f>
        <v>116.34179713763038</v>
      </c>
      <c r="P197" s="113">
        <f>Gasto_o_ing_per_capita!P197-Gasto_o_ing_per_capita!$D197</f>
        <v>60.796459510861133</v>
      </c>
      <c r="Q197" s="113">
        <f>Gasto_o_ing_per_capita!Q197-Gasto_o_ing_per_capita!$D197</f>
        <v>-107.92441911031068</v>
      </c>
      <c r="R197" s="113">
        <f>Gasto_o_ing_per_capita!R197-Gasto_o_ing_per_capita!$D197</f>
        <v>83.641540597520333</v>
      </c>
      <c r="S197" s="113">
        <f>Gasto_o_ing_per_capita!S197-Gasto_o_ing_per_capita!$D197</f>
        <v>-712.7355356727021</v>
      </c>
      <c r="T197" s="113">
        <f>Gasto_o_ing_per_capita!T197-Gasto_o_ing_per_capita!$D197</f>
        <v>-440.11219431733207</v>
      </c>
      <c r="U197" s="113">
        <f>Gasto_o_ing_per_capita!U197-Gasto_o_ing_per_capita!$D197</f>
        <v>28.144841507902903</v>
      </c>
      <c r="V197" s="113">
        <f>Gasto_o_ing_per_capita!V197-Gasto_o_ing_per_capita!$D197</f>
        <v>-33.955789880648744</v>
      </c>
      <c r="W197" s="122"/>
      <c r="X197" s="104"/>
    </row>
    <row r="198" spans="1:24" s="102" customFormat="1">
      <c r="A198" s="351" t="str">
        <f>IF(B198="","",(IF(ISERROR(MATCH(B198,Tot_res!C:C,0)),"Eliminar!!!","")))</f>
        <v/>
      </c>
      <c r="B198" s="115" t="s">
        <v>963</v>
      </c>
      <c r="C198" s="329" t="str">
        <f>VLOOKUP(B198,Tot_res!C:D,2,FALSE)</f>
        <v>Participación CCAARC en IRPF, sobreesfuerzo fiscal regional</v>
      </c>
      <c r="D198" s="332">
        <f>Gasto_o_ing_per_capita!D198-Gasto_o_ing_per_capita!$D198</f>
        <v>0</v>
      </c>
      <c r="E198" s="332">
        <f>Gasto_o_ing_per_capita!E198-Gasto_o_ing_per_capita!$D198</f>
        <v>15.549063478326163</v>
      </c>
      <c r="F198" s="332">
        <f>Gasto_o_ing_per_capita!F198-Gasto_o_ing_per_capita!$D198</f>
        <v>9.8774520638964738</v>
      </c>
      <c r="G198" s="332">
        <f>Gasto_o_ing_per_capita!G198-Gasto_o_ing_per_capita!$D198</f>
        <v>13.326757825621693</v>
      </c>
      <c r="H198" s="332">
        <f>Gasto_o_ing_per_capita!H198-Gasto_o_ing_per_capita!$D198</f>
        <v>9.4050972489661788</v>
      </c>
      <c r="I198" s="332">
        <f>Gasto_o_ing_per_capita!I198-Gasto_o_ing_per_capita!$D198</f>
        <v>-1.1522954547247224</v>
      </c>
      <c r="J198" s="332">
        <f>Gasto_o_ing_per_capita!J198-Gasto_o_ing_per_capita!$D198</f>
        <v>-21.166014174079898</v>
      </c>
      <c r="K198" s="332">
        <f>Gasto_o_ing_per_capita!K198-Gasto_o_ing_per_capita!$D198</f>
        <v>0.56537236934590496</v>
      </c>
      <c r="L198" s="332">
        <f>Gasto_o_ing_per_capita!L198-Gasto_o_ing_per_capita!$D198</f>
        <v>-13.149918567913884</v>
      </c>
      <c r="M198" s="332">
        <f>Gasto_o_ing_per_capita!M198-Gasto_o_ing_per_capita!$D198</f>
        <v>13.370409353171679</v>
      </c>
      <c r="N198" s="332">
        <f>Gasto_o_ing_per_capita!N198-Gasto_o_ing_per_capita!$D198</f>
        <v>5.4484606938933862</v>
      </c>
      <c r="O198" s="332">
        <f>Gasto_o_ing_per_capita!O198-Gasto_o_ing_per_capita!$D198</f>
        <v>11.220326655288625</v>
      </c>
      <c r="P198" s="332">
        <f>Gasto_o_ing_per_capita!P198-Gasto_o_ing_per_capita!$D198</f>
        <v>5.0930899555337454</v>
      </c>
      <c r="Q198" s="332">
        <f>Gasto_o_ing_per_capita!Q198-Gasto_o_ing_per_capita!$D198</f>
        <v>-52.953799346953105</v>
      </c>
      <c r="R198" s="332">
        <f>Gasto_o_ing_per_capita!R198-Gasto_o_ing_per_capita!$D198</f>
        <v>13.324328568804727</v>
      </c>
      <c r="S198" s="332">
        <f>Gasto_o_ing_per_capita!S198-Gasto_o_ing_per_capita!$D198</f>
        <v>14.03320399970575</v>
      </c>
      <c r="T198" s="332">
        <f>Gasto_o_ing_per_capita!T198-Gasto_o_ing_per_capita!$D198</f>
        <v>14.03320399970575</v>
      </c>
      <c r="U198" s="332">
        <f>Gasto_o_ing_per_capita!U198-Gasto_o_ing_per_capita!$D198</f>
        <v>-5.4267640289170895</v>
      </c>
      <c r="V198" s="332">
        <f>Gasto_o_ing_per_capita!V198-Gasto_o_ing_per_capita!$D198</f>
        <v>14.03320399970575</v>
      </c>
      <c r="W198" s="122"/>
      <c r="X198" s="104"/>
    </row>
    <row r="199" spans="1:24" s="102" customFormat="1">
      <c r="A199" s="351" t="str">
        <f>IF(B199="","",(IF(ISERROR(MATCH(B199,Tot_res!C:C,0)),"Eliminar!!!","")))</f>
        <v/>
      </c>
      <c r="B199" s="115" t="s">
        <v>1092</v>
      </c>
      <c r="C199" s="329" t="str">
        <f>VLOOKUP(B199,Tot_res!C:D,2,FALSE)</f>
        <v>Participación CCAARC en IH, sobreesfuerzo fiscal regional</v>
      </c>
      <c r="D199" s="332">
        <f>Gasto_o_ing_per_capita!D199-Gasto_o_ing_per_capita!$D199</f>
        <v>0</v>
      </c>
      <c r="E199" s="332">
        <f>Gasto_o_ing_per_capita!E199-Gasto_o_ing_per_capita!$D199</f>
        <v>5.2759613673002868</v>
      </c>
      <c r="F199" s="332">
        <f>Gasto_o_ing_per_capita!F199-Gasto_o_ing_per_capita!$D199</f>
        <v>-21.679754350269114</v>
      </c>
      <c r="G199" s="332">
        <f>Gasto_o_ing_per_capita!G199-Gasto_o_ing_per_capita!$D199</f>
        <v>1.5731799548760002</v>
      </c>
      <c r="H199" s="332">
        <f>Gasto_o_ing_per_capita!H199-Gasto_o_ing_per_capita!$D199</f>
        <v>8.9562959361748504</v>
      </c>
      <c r="I199" s="332">
        <f>Gasto_o_ing_per_capita!I199-Gasto_o_ing_per_capita!$D199</f>
        <v>-21.680624497119638</v>
      </c>
      <c r="J199" s="332">
        <f>Gasto_o_ing_per_capita!J199-Gasto_o_ing_per_capita!$D199</f>
        <v>15.41811595618087</v>
      </c>
      <c r="K199" s="332">
        <f>Gasto_o_ing_per_capita!K199-Gasto_o_ing_per_capita!$D199</f>
        <v>13.740115683461909</v>
      </c>
      <c r="L199" s="332">
        <f>Gasto_o_ing_per_capita!L199-Gasto_o_ing_per_capita!$D199</f>
        <v>12.174547886672528</v>
      </c>
      <c r="M199" s="332">
        <f>Gasto_o_ing_per_capita!M199-Gasto_o_ing_per_capita!$D199</f>
        <v>7.5838685234142567</v>
      </c>
      <c r="N199" s="332">
        <f>Gasto_o_ing_per_capita!N199-Gasto_o_ing_per_capita!$D199</f>
        <v>3.331220138514734</v>
      </c>
      <c r="O199" s="332">
        <f>Gasto_o_ing_per_capita!O199-Gasto_o_ing_per_capita!$D199</f>
        <v>5.1865199217492162</v>
      </c>
      <c r="P199" s="332">
        <f>Gasto_o_ing_per_capita!P199-Gasto_o_ing_per_capita!$D199</f>
        <v>4.7977786970175345</v>
      </c>
      <c r="Q199" s="332">
        <f>Gasto_o_ing_per_capita!Q199-Gasto_o_ing_per_capita!$D199</f>
        <v>-13.146926622034194</v>
      </c>
      <c r="R199" s="332">
        <f>Gasto_o_ing_per_capita!R199-Gasto_o_ing_per_capita!$D199</f>
        <v>9.6962105592825516</v>
      </c>
      <c r="S199" s="332">
        <f>Gasto_o_ing_per_capita!S199-Gasto_o_ing_per_capita!$D199</f>
        <v>-21.680624497119638</v>
      </c>
      <c r="T199" s="332">
        <f>Gasto_o_ing_per_capita!T199-Gasto_o_ing_per_capita!$D199</f>
        <v>-21.680624497119638</v>
      </c>
      <c r="U199" s="332">
        <f>Gasto_o_ing_per_capita!U199-Gasto_o_ing_per_capita!$D199</f>
        <v>-21.682888452280746</v>
      </c>
      <c r="V199" s="332">
        <f>Gasto_o_ing_per_capita!V199-Gasto_o_ing_per_capita!$D199</f>
        <v>-21.680624497119638</v>
      </c>
      <c r="W199" s="122"/>
      <c r="X199" s="104"/>
    </row>
    <row r="200" spans="1:24" s="102" customFormat="1">
      <c r="A200" s="351" t="str">
        <f>IF(B200="","",(IF(ISERROR(MATCH(B200,Tot_res!C:C,0)),"Eliminar!!!","")))</f>
        <v/>
      </c>
      <c r="B200" s="115" t="s">
        <v>964</v>
      </c>
      <c r="C200" s="329" t="str">
        <f>VLOOKUP(B200,Tot_res!C:D,2,FALSE)</f>
        <v>Impuesto sucesiones y donac, sobreesfuerzo fiscal de las CCAARC</v>
      </c>
      <c r="D200" s="332">
        <f>Gasto_o_ing_per_capita!D200-Gasto_o_ing_per_capita!$D200</f>
        <v>0</v>
      </c>
      <c r="E200" s="332">
        <f>Gasto_o_ing_per_capita!E200-Gasto_o_ing_per_capita!$D200</f>
        <v>2.1282436474084552</v>
      </c>
      <c r="F200" s="332">
        <f>Gasto_o_ing_per_capita!F200-Gasto_o_ing_per_capita!$D200</f>
        <v>30.931979939105616</v>
      </c>
      <c r="G200" s="332">
        <f>Gasto_o_ing_per_capita!G200-Gasto_o_ing_per_capita!$D200</f>
        <v>20.951850313039163</v>
      </c>
      <c r="H200" s="332">
        <f>Gasto_o_ing_per_capita!H200-Gasto_o_ing_per_capita!$D200</f>
        <v>29.922921894460337</v>
      </c>
      <c r="I200" s="332">
        <f>Gasto_o_ing_per_capita!I200-Gasto_o_ing_per_capita!$D200</f>
        <v>-4.7527788854547346</v>
      </c>
      <c r="J200" s="332">
        <f>Gasto_o_ing_per_capita!J200-Gasto_o_ing_per_capita!$D200</f>
        <v>-14.357708872652232</v>
      </c>
      <c r="K200" s="332">
        <f>Gasto_o_ing_per_capita!K200-Gasto_o_ing_per_capita!$D200</f>
        <v>-4.5077302666404435</v>
      </c>
      <c r="L200" s="332">
        <f>Gasto_o_ing_per_capita!L200-Gasto_o_ing_per_capita!$D200</f>
        <v>-13.012952073458084</v>
      </c>
      <c r="M200" s="332">
        <f>Gasto_o_ing_per_capita!M200-Gasto_o_ing_per_capita!$D200</f>
        <v>-15.94436916535965</v>
      </c>
      <c r="N200" s="332">
        <f>Gasto_o_ing_per_capita!N200-Gasto_o_ing_per_capita!$D200</f>
        <v>-14.328349765973298</v>
      </c>
      <c r="O200" s="332">
        <f>Gasto_o_ing_per_capita!O200-Gasto_o_ing_per_capita!$D200</f>
        <v>-6.2287876649524136</v>
      </c>
      <c r="P200" s="332">
        <f>Gasto_o_ing_per_capita!P200-Gasto_o_ing_per_capita!$D200</f>
        <v>14.015127841162748</v>
      </c>
      <c r="Q200" s="332">
        <f>Gasto_o_ing_per_capita!Q200-Gasto_o_ing_per_capita!$D200</f>
        <v>10.3081935119438</v>
      </c>
      <c r="R200" s="332">
        <f>Gasto_o_ing_per_capita!R200-Gasto_o_ing_per_capita!$D200</f>
        <v>27.609556790920763</v>
      </c>
      <c r="S200" s="332">
        <f>Gasto_o_ing_per_capita!S200-Gasto_o_ing_per_capita!$D200</f>
        <v>-1.1685691882566335E-15</v>
      </c>
      <c r="T200" s="332">
        <f>Gasto_o_ing_per_capita!T200-Gasto_o_ing_per_capita!$D200</f>
        <v>-1.1685691882566335E-15</v>
      </c>
      <c r="U200" s="332">
        <f>Gasto_o_ing_per_capita!U200-Gasto_o_ing_per_capita!$D200</f>
        <v>-14.412021689758726</v>
      </c>
      <c r="V200" s="332">
        <f>Gasto_o_ing_per_capita!V200-Gasto_o_ing_per_capita!$D200</f>
        <v>-1.1685691882566335E-15</v>
      </c>
      <c r="W200" s="122"/>
      <c r="X200" s="104"/>
    </row>
    <row r="201" spans="1:24" s="102" customFormat="1">
      <c r="A201" s="351" t="str">
        <f>IF(B201="","",(IF(ISERROR(MATCH(B201,Tot_res!C:C,0)),"Eliminar!!!","")))</f>
        <v/>
      </c>
      <c r="B201" s="115" t="s">
        <v>965</v>
      </c>
      <c r="C201" s="329" t="str">
        <f>VLOOKUP(B201,Tot_res!C:D,2,FALSE)</f>
        <v>ITP y AJD, sobreesfuerzo fiscal de las CCAARC</v>
      </c>
      <c r="D201" s="332">
        <f>Gasto_o_ing_per_capita!D201-Gasto_o_ing_per_capita!$D201</f>
        <v>0</v>
      </c>
      <c r="E201" s="332">
        <f>Gasto_o_ing_per_capita!E201-Gasto_o_ing_per_capita!$D201</f>
        <v>-0.66951501431907623</v>
      </c>
      <c r="F201" s="332">
        <f>Gasto_o_ing_per_capita!F201-Gasto_o_ing_per_capita!$D201</f>
        <v>-8.9179600388644307</v>
      </c>
      <c r="G201" s="332">
        <f>Gasto_o_ing_per_capita!G201-Gasto_o_ing_per_capita!$D201</f>
        <v>-4.0379059426251835</v>
      </c>
      <c r="H201" s="332">
        <f>Gasto_o_ing_per_capita!H201-Gasto_o_ing_per_capita!$D201</f>
        <v>5.2428793345918372</v>
      </c>
      <c r="I201" s="332">
        <f>Gasto_o_ing_per_capita!I201-Gasto_o_ing_per_capita!$D201</f>
        <v>-12.65974939263543</v>
      </c>
      <c r="J201" s="332">
        <f>Gasto_o_ing_per_capita!J201-Gasto_o_ing_per_capita!$D201</f>
        <v>-1.2326480658289682</v>
      </c>
      <c r="K201" s="332">
        <f>Gasto_o_ing_per_capita!K201-Gasto_o_ing_per_capita!$D201</f>
        <v>-2.9425279405638181</v>
      </c>
      <c r="L201" s="332">
        <f>Gasto_o_ing_per_capita!L201-Gasto_o_ing_per_capita!$D201</f>
        <v>-4.6142336638679851</v>
      </c>
      <c r="M201" s="332">
        <f>Gasto_o_ing_per_capita!M201-Gasto_o_ing_per_capita!$D201</f>
        <v>17.733627974687607</v>
      </c>
      <c r="N201" s="332">
        <f>Gasto_o_ing_per_capita!N201-Gasto_o_ing_per_capita!$D201</f>
        <v>18.773095033139811</v>
      </c>
      <c r="O201" s="332">
        <f>Gasto_o_ing_per_capita!O201-Gasto_o_ing_per_capita!$D201</f>
        <v>-5.3166949222309334</v>
      </c>
      <c r="P201" s="332">
        <f>Gasto_o_ing_per_capita!P201-Gasto_o_ing_per_capita!$D201</f>
        <v>2.9403616225147644</v>
      </c>
      <c r="Q201" s="332">
        <f>Gasto_o_ing_per_capita!Q201-Gasto_o_ing_per_capita!$D201</f>
        <v>-20.912684264732082</v>
      </c>
      <c r="R201" s="332">
        <f>Gasto_o_ing_per_capita!R201-Gasto_o_ing_per_capita!$D201</f>
        <v>-3.2274179536965608</v>
      </c>
      <c r="S201" s="332">
        <f>Gasto_o_ing_per_capita!S201-Gasto_o_ing_per_capita!$D201</f>
        <v>-8.9179600388644307</v>
      </c>
      <c r="T201" s="332">
        <f>Gasto_o_ing_per_capita!T201-Gasto_o_ing_per_capita!$D201</f>
        <v>-8.9179600388644307</v>
      </c>
      <c r="U201" s="332">
        <f>Gasto_o_ing_per_capita!U201-Gasto_o_ing_per_capita!$D201</f>
        <v>-8.9179600388644307</v>
      </c>
      <c r="V201" s="332">
        <f>Gasto_o_ing_per_capita!V201-Gasto_o_ing_per_capita!$D201</f>
        <v>-8.9179600388644307</v>
      </c>
      <c r="W201" s="122"/>
      <c r="X201" s="104"/>
    </row>
    <row r="202" spans="1:24" s="102" customFormat="1">
      <c r="A202" s="351" t="str">
        <f>IF(B202="","",(IF(ISERROR(MATCH(B202,Tot_res!C:C,0)),"Eliminar!!!","")))</f>
        <v/>
      </c>
      <c r="B202" s="115" t="s">
        <v>966</v>
      </c>
      <c r="C202" s="329" t="str">
        <f>VLOOKUP(B202,Tot_res!C:D,2,FALSE)</f>
        <v>Tasas sobre el juego, sobreesfuerzo fiscal de las CCAARC</v>
      </c>
      <c r="D202" s="332">
        <f>Gasto_o_ing_per_capita!D202-Gasto_o_ing_per_capita!$D202</f>
        <v>0</v>
      </c>
      <c r="E202" s="332">
        <f>Gasto_o_ing_per_capita!E202-Gasto_o_ing_per_capita!$D202</f>
        <v>1.756485274789114</v>
      </c>
      <c r="F202" s="332">
        <f>Gasto_o_ing_per_capita!F202-Gasto_o_ing_per_capita!$D202</f>
        <v>7.0634349446431326</v>
      </c>
      <c r="G202" s="332">
        <f>Gasto_o_ing_per_capita!G202-Gasto_o_ing_per_capita!$D202</f>
        <v>5.3739802959966134</v>
      </c>
      <c r="H202" s="332">
        <f>Gasto_o_ing_per_capita!H202-Gasto_o_ing_per_capita!$D202</f>
        <v>-5.8629551320360092</v>
      </c>
      <c r="I202" s="332">
        <f>Gasto_o_ing_per_capita!I202-Gasto_o_ing_per_capita!$D202</f>
        <v>9.7102227726954187</v>
      </c>
      <c r="J202" s="332">
        <f>Gasto_o_ing_per_capita!J202-Gasto_o_ing_per_capita!$D202</f>
        <v>2.8410764147924064</v>
      </c>
      <c r="K202" s="332">
        <f>Gasto_o_ing_per_capita!K202-Gasto_o_ing_per_capita!$D202</f>
        <v>1.1806876102425954</v>
      </c>
      <c r="L202" s="332">
        <f>Gasto_o_ing_per_capita!L202-Gasto_o_ing_per_capita!$D202</f>
        <v>-2.4924064773178056</v>
      </c>
      <c r="M202" s="332">
        <f>Gasto_o_ing_per_capita!M202-Gasto_o_ing_per_capita!$D202</f>
        <v>7.0534659030735778</v>
      </c>
      <c r="N202" s="332">
        <f>Gasto_o_ing_per_capita!N202-Gasto_o_ing_per_capita!$D202</f>
        <v>-1.244838503437675</v>
      </c>
      <c r="O202" s="332">
        <f>Gasto_o_ing_per_capita!O202-Gasto_o_ing_per_capita!$D202</f>
        <v>3.8406210202416551</v>
      </c>
      <c r="P202" s="332">
        <f>Gasto_o_ing_per_capita!P202-Gasto_o_ing_per_capita!$D202</f>
        <v>-2.7324174183018899</v>
      </c>
      <c r="Q202" s="332">
        <f>Gasto_o_ing_per_capita!Q202-Gasto_o_ing_per_capita!$D202</f>
        <v>-14.916195931371647</v>
      </c>
      <c r="R202" s="332">
        <f>Gasto_o_ing_per_capita!R202-Gasto_o_ing_per_capita!$D202</f>
        <v>3.968309625403351</v>
      </c>
      <c r="S202" s="332">
        <f>Gasto_o_ing_per_capita!S202-Gasto_o_ing_per_capita!$D202</f>
        <v>1.05171226943097E-15</v>
      </c>
      <c r="T202" s="332">
        <f>Gasto_o_ing_per_capita!T202-Gasto_o_ing_per_capita!$D202</f>
        <v>1.05171226943097E-15</v>
      </c>
      <c r="U202" s="332">
        <f>Gasto_o_ing_per_capita!U202-Gasto_o_ing_per_capita!$D202</f>
        <v>11.524829642358608</v>
      </c>
      <c r="V202" s="332">
        <f>Gasto_o_ing_per_capita!V202-Gasto_o_ing_per_capita!$D202</f>
        <v>1.05171226943097E-15</v>
      </c>
      <c r="W202" s="122"/>
      <c r="X202" s="104"/>
    </row>
    <row r="203" spans="1:24" s="102" customFormat="1">
      <c r="A203" s="351" t="str">
        <f>IF(B203="","",(IF(ISERROR(MATCH(B203,Tot_res!C:C,0)),"Eliminar!!!","")))</f>
        <v/>
      </c>
      <c r="B203" s="115" t="s">
        <v>967</v>
      </c>
      <c r="C203" s="329" t="str">
        <f>VLOOKUP(B203,Tot_res!C:D,2,FALSE)</f>
        <v>IVMH, sobreesfuerzo fiscal de las CCAARC</v>
      </c>
      <c r="D203" s="332">
        <f>Gasto_o_ing_per_capita!D203-Gasto_o_ing_per_capita!$D203</f>
        <v>0</v>
      </c>
      <c r="E203" s="332">
        <f>Gasto_o_ing_per_capita!E203-Gasto_o_ing_per_capita!$D203</f>
        <v>9.5697693451099977E-2</v>
      </c>
      <c r="F203" s="332">
        <f>Gasto_o_ing_per_capita!F203-Gasto_o_ing_per_capita!$D203</f>
        <v>-0.11482174070332039</v>
      </c>
      <c r="G203" s="332">
        <f>Gasto_o_ing_per_capita!G203-Gasto_o_ing_per_capita!$D203</f>
        <v>-6.6146694113137075E-2</v>
      </c>
      <c r="H203" s="332">
        <f>Gasto_o_ing_per_capita!H203-Gasto_o_ing_per_capita!$D203</f>
        <v>-5.5331752161526172E-2</v>
      </c>
      <c r="I203" s="332">
        <f>Gasto_o_ing_per_capita!I203-Gasto_o_ing_per_capita!$D203</f>
        <v>-0.11482174070332039</v>
      </c>
      <c r="J203" s="332">
        <f>Gasto_o_ing_per_capita!J203-Gasto_o_ing_per_capita!$D203</f>
        <v>8.5902234553607251E-2</v>
      </c>
      <c r="K203" s="332">
        <f>Gasto_o_ing_per_capita!K203-Gasto_o_ing_per_capita!$D203</f>
        <v>6.0234550647850091E-2</v>
      </c>
      <c r="L203" s="332">
        <f>Gasto_o_ing_per_capita!L203-Gasto_o_ing_per_capita!$D203</f>
        <v>1.8504187965547467E-2</v>
      </c>
      <c r="M203" s="332">
        <f>Gasto_o_ing_per_capita!M203-Gasto_o_ing_per_capita!$D203</f>
        <v>-4.1202853535798639E-2</v>
      </c>
      <c r="N203" s="332">
        <f>Gasto_o_ing_per_capita!N203-Gasto_o_ing_per_capita!$D203</f>
        <v>8.6539222084819026E-2</v>
      </c>
      <c r="O203" s="332">
        <f>Gasto_o_ing_per_capita!O203-Gasto_o_ing_per_capita!$D203</f>
        <v>0.18302594612415313</v>
      </c>
      <c r="P203" s="332">
        <f>Gasto_o_ing_per_capita!P203-Gasto_o_ing_per_capita!$D203</f>
        <v>-4.4566797725447999E-2</v>
      </c>
      <c r="Q203" s="332">
        <f>Gasto_o_ing_per_capita!Q203-Gasto_o_ing_per_capita!$D203</f>
        <v>-7.5711689143225791E-2</v>
      </c>
      <c r="R203" s="332">
        <f>Gasto_o_ing_per_capita!R203-Gasto_o_ing_per_capita!$D203</f>
        <v>0.10213960982707994</v>
      </c>
      <c r="S203" s="332">
        <f>Gasto_o_ing_per_capita!S203-Gasto_o_ing_per_capita!$D203</f>
        <v>-0.11482174070332039</v>
      </c>
      <c r="T203" s="332">
        <f>Gasto_o_ing_per_capita!T203-Gasto_o_ing_per_capita!$D203</f>
        <v>-0.11482174070332039</v>
      </c>
      <c r="U203" s="332">
        <f>Gasto_o_ing_per_capita!U203-Gasto_o_ing_per_capita!$D203</f>
        <v>-0.11482174070332039</v>
      </c>
      <c r="V203" s="332">
        <f>Gasto_o_ing_per_capita!V203-Gasto_o_ing_per_capita!$D203</f>
        <v>-0.11482174070332039</v>
      </c>
      <c r="W203" s="122"/>
      <c r="X203" s="104"/>
    </row>
    <row r="204" spans="1:24" s="102" customFormat="1">
      <c r="A204" s="351" t="str">
        <f>IF(B204="","",(IF(ISERROR(MATCH(B204,Tot_res!C:C,0)),"Eliminar!!!","")))</f>
        <v/>
      </c>
      <c r="B204" s="115" t="s">
        <v>968</v>
      </c>
      <c r="C204" s="329" t="str">
        <f>VLOOKUP(B204,Tot_res!C:D,2,FALSE)</f>
        <v>Impuesto de matriculación, sobreesfuerzo fiscal de las CCAARC</v>
      </c>
      <c r="D204" s="332">
        <f>Gasto_o_ing_per_capita!D204-Gasto_o_ing_per_capita!$D204</f>
        <v>0</v>
      </c>
      <c r="E204" s="332">
        <f>Gasto_o_ing_per_capita!E204-Gasto_o_ing_per_capita!$D204</f>
        <v>5.5769936536029074E-2</v>
      </c>
      <c r="F204" s="332">
        <f>Gasto_o_ing_per_capita!F204-Gasto_o_ing_per_capita!$D204</f>
        <v>-4.680278560507535E-2</v>
      </c>
      <c r="G204" s="332">
        <f>Gasto_o_ing_per_capita!G204-Gasto_o_ing_per_capita!$D204</f>
        <v>2.7763642705746008E-3</v>
      </c>
      <c r="H204" s="332">
        <f>Gasto_o_ing_per_capita!H204-Gasto_o_ing_per_capita!$D204</f>
        <v>8.4569668391239597E-2</v>
      </c>
      <c r="I204" s="332">
        <f>Gasto_o_ing_per_capita!I204-Gasto_o_ing_per_capita!$D204</f>
        <v>-4.680278560507535E-2</v>
      </c>
      <c r="J204" s="332">
        <f>Gasto_o_ing_per_capita!J204-Gasto_o_ing_per_capita!$D204</f>
        <v>0.1008840698729097</v>
      </c>
      <c r="K204" s="332">
        <f>Gasto_o_ing_per_capita!K204-Gasto_o_ing_per_capita!$D204</f>
        <v>-4.680278560507535E-2</v>
      </c>
      <c r="L204" s="332">
        <f>Gasto_o_ing_per_capita!L204-Gasto_o_ing_per_capita!$D204</f>
        <v>-4.680278560507535E-2</v>
      </c>
      <c r="M204" s="332">
        <f>Gasto_o_ing_per_capita!M204-Gasto_o_ing_per_capita!$D204</f>
        <v>4.9563696906514673E-2</v>
      </c>
      <c r="N204" s="332">
        <f>Gasto_o_ing_per_capita!N204-Gasto_o_ing_per_capita!$D204</f>
        <v>-4.680278560507535E-2</v>
      </c>
      <c r="O204" s="332">
        <f>Gasto_o_ing_per_capita!O204-Gasto_o_ing_per_capita!$D204</f>
        <v>0.2277717092137016</v>
      </c>
      <c r="P204" s="332">
        <f>Gasto_o_ing_per_capita!P204-Gasto_o_ing_per_capita!$D204</f>
        <v>-4.680278560507535E-2</v>
      </c>
      <c r="Q204" s="332">
        <f>Gasto_o_ing_per_capita!Q204-Gasto_o_ing_per_capita!$D204</f>
        <v>-4.680278560507535E-2</v>
      </c>
      <c r="R204" s="332">
        <f>Gasto_o_ing_per_capita!R204-Gasto_o_ing_per_capita!$D204</f>
        <v>-3.6748615782989852E-2</v>
      </c>
      <c r="S204" s="332">
        <f>Gasto_o_ing_per_capita!S204-Gasto_o_ing_per_capita!$D204</f>
        <v>-4.680278560507535E-2</v>
      </c>
      <c r="T204" s="332">
        <f>Gasto_o_ing_per_capita!T204-Gasto_o_ing_per_capita!$D204</f>
        <v>-4.680278560507535E-2</v>
      </c>
      <c r="U204" s="332">
        <f>Gasto_o_ing_per_capita!U204-Gasto_o_ing_per_capita!$D204</f>
        <v>-4.680278560507535E-2</v>
      </c>
      <c r="V204" s="332">
        <f>Gasto_o_ing_per_capita!V204-Gasto_o_ing_per_capita!$D204</f>
        <v>-4.680278560507535E-2</v>
      </c>
      <c r="W204" s="122"/>
      <c r="X204" s="104"/>
    </row>
    <row r="205" spans="1:24" s="102" customFormat="1">
      <c r="A205" s="351" t="str">
        <f>IF(B205="","",(IF(ISERROR(MATCH(B205,Tot_res!C:C,0)),"Eliminar!!!","")))</f>
        <v/>
      </c>
      <c r="B205" s="115" t="s">
        <v>969</v>
      </c>
      <c r="C205" s="329" t="str">
        <f>VLOOKUP(B205,Tot_res!C:D,2,FALSE)</f>
        <v>IRPF, sobreesfuerzo fiscal de las comunidades forales</v>
      </c>
      <c r="D205" s="332">
        <f>Gasto_o_ing_per_capita!D205-Gasto_o_ing_per_capita!$D205</f>
        <v>0</v>
      </c>
      <c r="E205" s="332">
        <f>Gasto_o_ing_per_capita!E205-Gasto_o_ing_per_capita!$D205</f>
        <v>25.586726665159926</v>
      </c>
      <c r="F205" s="332">
        <f>Gasto_o_ing_per_capita!F205-Gasto_o_ing_per_capita!$D205</f>
        <v>25.586726665159926</v>
      </c>
      <c r="G205" s="332">
        <f>Gasto_o_ing_per_capita!G205-Gasto_o_ing_per_capita!$D205</f>
        <v>25.586726665159926</v>
      </c>
      <c r="H205" s="332">
        <f>Gasto_o_ing_per_capita!H205-Gasto_o_ing_per_capita!$D205</f>
        <v>25.586726665159926</v>
      </c>
      <c r="I205" s="332">
        <f>Gasto_o_ing_per_capita!I205-Gasto_o_ing_per_capita!$D205</f>
        <v>25.586726665159926</v>
      </c>
      <c r="J205" s="332">
        <f>Gasto_o_ing_per_capita!J205-Gasto_o_ing_per_capita!$D205</f>
        <v>25.586726665159926</v>
      </c>
      <c r="K205" s="332">
        <f>Gasto_o_ing_per_capita!K205-Gasto_o_ing_per_capita!$D205</f>
        <v>25.586726665159926</v>
      </c>
      <c r="L205" s="332">
        <f>Gasto_o_ing_per_capita!L205-Gasto_o_ing_per_capita!$D205</f>
        <v>25.586726665159926</v>
      </c>
      <c r="M205" s="332">
        <f>Gasto_o_ing_per_capita!M205-Gasto_o_ing_per_capita!$D205</f>
        <v>25.586726665159926</v>
      </c>
      <c r="N205" s="332">
        <f>Gasto_o_ing_per_capita!N205-Gasto_o_ing_per_capita!$D205</f>
        <v>25.586726665159926</v>
      </c>
      <c r="O205" s="332">
        <f>Gasto_o_ing_per_capita!O205-Gasto_o_ing_per_capita!$D205</f>
        <v>25.586726665159926</v>
      </c>
      <c r="P205" s="332">
        <f>Gasto_o_ing_per_capita!P205-Gasto_o_ing_per_capita!$D205</f>
        <v>25.586726665159926</v>
      </c>
      <c r="Q205" s="332">
        <f>Gasto_o_ing_per_capita!Q205-Gasto_o_ing_per_capita!$D205</f>
        <v>25.586726665159926</v>
      </c>
      <c r="R205" s="332">
        <f>Gasto_o_ing_per_capita!R205-Gasto_o_ing_per_capita!$D205</f>
        <v>25.586726665159926</v>
      </c>
      <c r="S205" s="332">
        <f>Gasto_o_ing_per_capita!S205-Gasto_o_ing_per_capita!$D205</f>
        <v>-484.49631446923786</v>
      </c>
      <c r="T205" s="332">
        <f>Gasto_o_ing_per_capita!T205-Gasto_o_ing_per_capita!$D205</f>
        <v>-370.95114819737279</v>
      </c>
      <c r="U205" s="332">
        <f>Gasto_o_ing_per_capita!U205-Gasto_o_ing_per_capita!$D205</f>
        <v>25.586726665159926</v>
      </c>
      <c r="V205" s="332">
        <f>Gasto_o_ing_per_capita!V205-Gasto_o_ing_per_capita!$D205</f>
        <v>25.586726665159926</v>
      </c>
      <c r="W205" s="122"/>
      <c r="X205" s="104"/>
    </row>
    <row r="206" spans="1:24" s="102" customFormat="1">
      <c r="A206" s="351" t="str">
        <f>IF(B206="","",(IF(ISERROR(MATCH(B206,Tot_res!C:C,0)),"Eliminar!!!","")))</f>
        <v/>
      </c>
      <c r="B206" s="115" t="s">
        <v>970</v>
      </c>
      <c r="C206" s="329" t="str">
        <f>VLOOKUP(B206,Tot_res!C:D,2,FALSE)</f>
        <v>Sociedades, sobreesfuerzo fiscal de las comunidades forales</v>
      </c>
      <c r="D206" s="332">
        <f>Gasto_o_ing_per_capita!D206-Gasto_o_ing_per_capita!$D206</f>
        <v>0</v>
      </c>
      <c r="E206" s="332">
        <f>Gasto_o_ing_per_capita!E206-Gasto_o_ing_per_capita!$D206</f>
        <v>4.5159608687918302</v>
      </c>
      <c r="F206" s="332">
        <f>Gasto_o_ing_per_capita!F206-Gasto_o_ing_per_capita!$D206</f>
        <v>4.5159608687918302</v>
      </c>
      <c r="G206" s="332">
        <f>Gasto_o_ing_per_capita!G206-Gasto_o_ing_per_capita!$D206</f>
        <v>4.5159608687918302</v>
      </c>
      <c r="H206" s="332">
        <f>Gasto_o_ing_per_capita!H206-Gasto_o_ing_per_capita!$D206</f>
        <v>4.5159608687918302</v>
      </c>
      <c r="I206" s="332">
        <f>Gasto_o_ing_per_capita!I206-Gasto_o_ing_per_capita!$D206</f>
        <v>4.5159608687918302</v>
      </c>
      <c r="J206" s="332">
        <f>Gasto_o_ing_per_capita!J206-Gasto_o_ing_per_capita!$D206</f>
        <v>4.5159608687918302</v>
      </c>
      <c r="K206" s="332">
        <f>Gasto_o_ing_per_capita!K206-Gasto_o_ing_per_capita!$D206</f>
        <v>4.5159608687918302</v>
      </c>
      <c r="L206" s="332">
        <f>Gasto_o_ing_per_capita!L206-Gasto_o_ing_per_capita!$D206</f>
        <v>4.5159608687918302</v>
      </c>
      <c r="M206" s="332">
        <f>Gasto_o_ing_per_capita!M206-Gasto_o_ing_per_capita!$D206</f>
        <v>4.5159608687918302</v>
      </c>
      <c r="N206" s="332">
        <f>Gasto_o_ing_per_capita!N206-Gasto_o_ing_per_capita!$D206</f>
        <v>4.5159608687918302</v>
      </c>
      <c r="O206" s="332">
        <f>Gasto_o_ing_per_capita!O206-Gasto_o_ing_per_capita!$D206</f>
        <v>4.5159608687918302</v>
      </c>
      <c r="P206" s="332">
        <f>Gasto_o_ing_per_capita!P206-Gasto_o_ing_per_capita!$D206</f>
        <v>4.5159608687918302</v>
      </c>
      <c r="Q206" s="332">
        <f>Gasto_o_ing_per_capita!Q206-Gasto_o_ing_per_capita!$D206</f>
        <v>4.5159608687918302</v>
      </c>
      <c r="R206" s="332">
        <f>Gasto_o_ing_per_capita!R206-Gasto_o_ing_per_capita!$D206</f>
        <v>4.5159608687918302</v>
      </c>
      <c r="S206" s="332">
        <f>Gasto_o_ing_per_capita!S206-Gasto_o_ing_per_capita!$D206</f>
        <v>-223.96393311352844</v>
      </c>
      <c r="T206" s="332">
        <f>Gasto_o_ing_per_capita!T206-Gasto_o_ing_per_capita!$D206</f>
        <v>-24.954294666961918</v>
      </c>
      <c r="U206" s="332">
        <f>Gasto_o_ing_per_capita!U206-Gasto_o_ing_per_capita!$D206</f>
        <v>4.5159608687918302</v>
      </c>
      <c r="V206" s="332">
        <f>Gasto_o_ing_per_capita!V206-Gasto_o_ing_per_capita!$D206</f>
        <v>4.5159608687918302</v>
      </c>
      <c r="W206" s="122"/>
      <c r="X206" s="104"/>
    </row>
    <row r="207" spans="1:24" s="102" customFormat="1">
      <c r="A207" s="351" t="str">
        <f>IF(B207="","",(IF(ISERROR(MATCH(B207,Tot_res!C:C,0)),"Eliminar!!!","")))</f>
        <v/>
      </c>
      <c r="B207" s="115" t="s">
        <v>971</v>
      </c>
      <c r="C207" s="329" t="str">
        <f>VLOOKUP(B207,Tot_res!C:D,2,FALSE)</f>
        <v>Sucesiones y donaciones, sobreesfuerzo fiscal de las comunidades forales</v>
      </c>
      <c r="D207" s="332">
        <f>Gasto_o_ing_per_capita!D207-Gasto_o_ing_per_capita!$D207</f>
        <v>0</v>
      </c>
      <c r="E207" s="332">
        <f>Gasto_o_ing_per_capita!E207-Gasto_o_ing_per_capita!$D207</f>
        <v>0.94660879714181712</v>
      </c>
      <c r="F207" s="332">
        <f>Gasto_o_ing_per_capita!F207-Gasto_o_ing_per_capita!$D207</f>
        <v>0.94660879714181712</v>
      </c>
      <c r="G207" s="332">
        <f>Gasto_o_ing_per_capita!G207-Gasto_o_ing_per_capita!$D207</f>
        <v>0.94660879714181712</v>
      </c>
      <c r="H207" s="332">
        <f>Gasto_o_ing_per_capita!H207-Gasto_o_ing_per_capita!$D207</f>
        <v>0.94660879714181712</v>
      </c>
      <c r="I207" s="332">
        <f>Gasto_o_ing_per_capita!I207-Gasto_o_ing_per_capita!$D207</f>
        <v>0.94660879714181712</v>
      </c>
      <c r="J207" s="332">
        <f>Gasto_o_ing_per_capita!J207-Gasto_o_ing_per_capita!$D207</f>
        <v>0.94660879714181712</v>
      </c>
      <c r="K207" s="332">
        <f>Gasto_o_ing_per_capita!K207-Gasto_o_ing_per_capita!$D207</f>
        <v>0.94660879714181712</v>
      </c>
      <c r="L207" s="332">
        <f>Gasto_o_ing_per_capita!L207-Gasto_o_ing_per_capita!$D207</f>
        <v>0.94660879714181712</v>
      </c>
      <c r="M207" s="332">
        <f>Gasto_o_ing_per_capita!M207-Gasto_o_ing_per_capita!$D207</f>
        <v>0.94660879714181712</v>
      </c>
      <c r="N207" s="332">
        <f>Gasto_o_ing_per_capita!N207-Gasto_o_ing_per_capita!$D207</f>
        <v>0.94660879714181712</v>
      </c>
      <c r="O207" s="332">
        <f>Gasto_o_ing_per_capita!O207-Gasto_o_ing_per_capita!$D207</f>
        <v>0.94660879714181712</v>
      </c>
      <c r="P207" s="332">
        <f>Gasto_o_ing_per_capita!P207-Gasto_o_ing_per_capita!$D207</f>
        <v>0.94660879714181712</v>
      </c>
      <c r="Q207" s="332">
        <f>Gasto_o_ing_per_capita!Q207-Gasto_o_ing_per_capita!$D207</f>
        <v>0.94660879714181712</v>
      </c>
      <c r="R207" s="332">
        <f>Gasto_o_ing_per_capita!R207-Gasto_o_ing_per_capita!$D207</f>
        <v>0.94660879714181712</v>
      </c>
      <c r="S207" s="332">
        <f>Gasto_o_ing_per_capita!S207-Gasto_o_ing_per_capita!$D207</f>
        <v>15.097451544375643</v>
      </c>
      <c r="T207" s="332">
        <f>Gasto_o_ing_per_capita!T207-Gasto_o_ing_per_capita!$D207</f>
        <v>-23.387406246018802</v>
      </c>
      <c r="U207" s="332">
        <f>Gasto_o_ing_per_capita!U207-Gasto_o_ing_per_capita!$D207</f>
        <v>0.94660879714181712</v>
      </c>
      <c r="V207" s="332">
        <f>Gasto_o_ing_per_capita!V207-Gasto_o_ing_per_capita!$D207</f>
        <v>0.94660879714181712</v>
      </c>
      <c r="W207" s="122"/>
      <c r="X207" s="104"/>
    </row>
    <row r="208" spans="1:24" s="102" customFormat="1">
      <c r="A208" s="351" t="str">
        <f>IF(B208="","",(IF(ISERROR(MATCH(B208,Tot_res!C:C,0)),"Eliminar!!!","")))</f>
        <v/>
      </c>
      <c r="B208" s="115" t="s">
        <v>1079</v>
      </c>
      <c r="C208" s="329" t="s">
        <v>1080</v>
      </c>
      <c r="D208" s="332">
        <f>Gasto_o_ing_per_capita!D208-Gasto_o_ing_per_capita!$D208</f>
        <v>0</v>
      </c>
      <c r="E208" s="332">
        <f>Gasto_o_ing_per_capita!E208-Gasto_o_ing_per_capita!$D208</f>
        <v>1.3438059924046364E-2</v>
      </c>
      <c r="F208" s="332">
        <f>Gasto_o_ing_per_capita!F208-Gasto_o_ing_per_capita!$D208</f>
        <v>1.3438059924046364E-2</v>
      </c>
      <c r="G208" s="332">
        <f>Gasto_o_ing_per_capita!G208-Gasto_o_ing_per_capita!$D208</f>
        <v>1.3438059924046364E-2</v>
      </c>
      <c r="H208" s="332">
        <f>Gasto_o_ing_per_capita!H208-Gasto_o_ing_per_capita!$D208</f>
        <v>1.3438059924046364E-2</v>
      </c>
      <c r="I208" s="332">
        <f>Gasto_o_ing_per_capita!I208-Gasto_o_ing_per_capita!$D208</f>
        <v>1.3438059924046364E-2</v>
      </c>
      <c r="J208" s="332">
        <f>Gasto_o_ing_per_capita!J208-Gasto_o_ing_per_capita!$D208</f>
        <v>1.3438059924046364E-2</v>
      </c>
      <c r="K208" s="332">
        <f>Gasto_o_ing_per_capita!K208-Gasto_o_ing_per_capita!$D208</f>
        <v>1.3438059924046364E-2</v>
      </c>
      <c r="L208" s="332">
        <f>Gasto_o_ing_per_capita!L208-Gasto_o_ing_per_capita!$D208</f>
        <v>1.3438059924046364E-2</v>
      </c>
      <c r="M208" s="332">
        <f>Gasto_o_ing_per_capita!M208-Gasto_o_ing_per_capita!$D208</f>
        <v>1.3438059924046364E-2</v>
      </c>
      <c r="N208" s="332">
        <f>Gasto_o_ing_per_capita!N208-Gasto_o_ing_per_capita!$D208</f>
        <v>1.3438059924046364E-2</v>
      </c>
      <c r="O208" s="332">
        <f>Gasto_o_ing_per_capita!O208-Gasto_o_ing_per_capita!$D208</f>
        <v>1.3438059924046364E-2</v>
      </c>
      <c r="P208" s="332">
        <f>Gasto_o_ing_per_capita!P208-Gasto_o_ing_per_capita!$D208</f>
        <v>1.3438059924046364E-2</v>
      </c>
      <c r="Q208" s="332">
        <f>Gasto_o_ing_per_capita!Q208-Gasto_o_ing_per_capita!$D208</f>
        <v>1.3438059924046364E-2</v>
      </c>
      <c r="R208" s="332">
        <f>Gasto_o_ing_per_capita!R208-Gasto_o_ing_per_capita!$D208</f>
        <v>1.3438059924046364E-2</v>
      </c>
      <c r="S208" s="332">
        <f>Gasto_o_ing_per_capita!S208-Gasto_o_ing_per_capita!$D208</f>
        <v>-0.96610664220933984</v>
      </c>
      <c r="T208" s="332">
        <f>Gasto_o_ing_per_capita!T208-Gasto_o_ing_per_capita!$D208</f>
        <v>1.3438059924046364E-2</v>
      </c>
      <c r="U208" s="332">
        <f>Gasto_o_ing_per_capita!U208-Gasto_o_ing_per_capita!$D208</f>
        <v>1.3438059924046364E-2</v>
      </c>
      <c r="V208" s="332">
        <f>Gasto_o_ing_per_capita!V208-Gasto_o_ing_per_capita!$D208</f>
        <v>1.3438059924046364E-2</v>
      </c>
      <c r="W208" s="122"/>
      <c r="X208" s="104"/>
    </row>
    <row r="209" spans="1:24" s="102" customFormat="1">
      <c r="A209" s="351" t="str">
        <f>IF(B209="","",(IF(ISERROR(MATCH(B209,Tot_res!C:C,0)),"Eliminar!!!","")))</f>
        <v/>
      </c>
      <c r="B209" s="115" t="s">
        <v>972</v>
      </c>
      <c r="C209" s="329" t="str">
        <f>VLOOKUP(B209,Tot_res!C:D,2,FALSE)</f>
        <v>ITP y AJD, sobreesfuerzo fiscal de las comunidades forales</v>
      </c>
      <c r="D209" s="332">
        <f>Gasto_o_ing_per_capita!D209-Gasto_o_ing_per_capita!$D209</f>
        <v>0</v>
      </c>
      <c r="E209" s="332">
        <f>Gasto_o_ing_per_capita!E209-Gasto_o_ing_per_capita!$D209</f>
        <v>2.1392164240094149</v>
      </c>
      <c r="F209" s="332">
        <f>Gasto_o_ing_per_capita!F209-Gasto_o_ing_per_capita!$D209</f>
        <v>2.1392164240094149</v>
      </c>
      <c r="G209" s="332">
        <f>Gasto_o_ing_per_capita!G209-Gasto_o_ing_per_capita!$D209</f>
        <v>2.1392164240094149</v>
      </c>
      <c r="H209" s="332">
        <f>Gasto_o_ing_per_capita!H209-Gasto_o_ing_per_capita!$D209</f>
        <v>2.1392164240094149</v>
      </c>
      <c r="I209" s="332">
        <f>Gasto_o_ing_per_capita!I209-Gasto_o_ing_per_capita!$D209</f>
        <v>2.1392164240094149</v>
      </c>
      <c r="J209" s="332">
        <f>Gasto_o_ing_per_capita!J209-Gasto_o_ing_per_capita!$D209</f>
        <v>2.1392164240094149</v>
      </c>
      <c r="K209" s="332">
        <f>Gasto_o_ing_per_capita!K209-Gasto_o_ing_per_capita!$D209</f>
        <v>2.1392164240094149</v>
      </c>
      <c r="L209" s="332">
        <f>Gasto_o_ing_per_capita!L209-Gasto_o_ing_per_capita!$D209</f>
        <v>2.1392164240094149</v>
      </c>
      <c r="M209" s="332">
        <f>Gasto_o_ing_per_capita!M209-Gasto_o_ing_per_capita!$D209</f>
        <v>2.1392164240094149</v>
      </c>
      <c r="N209" s="332">
        <f>Gasto_o_ing_per_capita!N209-Gasto_o_ing_per_capita!$D209</f>
        <v>2.1392164240094149</v>
      </c>
      <c r="O209" s="332">
        <f>Gasto_o_ing_per_capita!O209-Gasto_o_ing_per_capita!$D209</f>
        <v>2.1392164240094149</v>
      </c>
      <c r="P209" s="332">
        <f>Gasto_o_ing_per_capita!P209-Gasto_o_ing_per_capita!$D209</f>
        <v>2.1392164240094149</v>
      </c>
      <c r="Q209" s="332">
        <f>Gasto_o_ing_per_capita!Q209-Gasto_o_ing_per_capita!$D209</f>
        <v>2.1392164240094149</v>
      </c>
      <c r="R209" s="332">
        <f>Gasto_o_ing_per_capita!R209-Gasto_o_ing_per_capita!$D209</f>
        <v>2.1392164240094149</v>
      </c>
      <c r="S209" s="332">
        <f>Gasto_o_ing_per_capita!S209-Gasto_o_ing_per_capita!$D209</f>
        <v>-24.559858751854911</v>
      </c>
      <c r="T209" s="332">
        <f>Gasto_o_ing_per_capita!T209-Gasto_o_ing_per_capita!$D209</f>
        <v>-35.680768702339222</v>
      </c>
      <c r="U209" s="332">
        <f>Gasto_o_ing_per_capita!U209-Gasto_o_ing_per_capita!$D209</f>
        <v>2.1392164240094149</v>
      </c>
      <c r="V209" s="332">
        <f>Gasto_o_ing_per_capita!V209-Gasto_o_ing_per_capita!$D209</f>
        <v>2.1392164240094149</v>
      </c>
      <c r="W209" s="122"/>
      <c r="X209" s="104"/>
    </row>
    <row r="210" spans="1:24" s="102" customFormat="1">
      <c r="A210" s="351" t="str">
        <f>IF(B210="","",(IF(ISERROR(MATCH(B210,Tot_res!C:C,0)),"Eliminar!!!","")))</f>
        <v/>
      </c>
      <c r="B210" s="115" t="s">
        <v>973</v>
      </c>
      <c r="C210" s="329" t="str">
        <f>VLOOKUP(B210,Tot_res!C:D,2,FALSE)</f>
        <v>Tasas juego, sobreesfuerzo fiscal de las comunidades forales</v>
      </c>
      <c r="D210" s="332">
        <f>Gasto_o_ing_per_capita!D210-Gasto_o_ing_per_capita!$D210</f>
        <v>0</v>
      </c>
      <c r="E210" s="332">
        <f>Gasto_o_ing_per_capita!E210-Gasto_o_ing_per_capita!$D210</f>
        <v>-0.3783771033521004</v>
      </c>
      <c r="F210" s="332">
        <f>Gasto_o_ing_per_capita!F210-Gasto_o_ing_per_capita!$D210</f>
        <v>-0.3783771033521004</v>
      </c>
      <c r="G210" s="332">
        <f>Gasto_o_ing_per_capita!G210-Gasto_o_ing_per_capita!$D210</f>
        <v>-0.3783771033521004</v>
      </c>
      <c r="H210" s="332">
        <f>Gasto_o_ing_per_capita!H210-Gasto_o_ing_per_capita!$D210</f>
        <v>-0.3783771033521004</v>
      </c>
      <c r="I210" s="332">
        <f>Gasto_o_ing_per_capita!I210-Gasto_o_ing_per_capita!$D210</f>
        <v>-0.3783771033521004</v>
      </c>
      <c r="J210" s="332">
        <f>Gasto_o_ing_per_capita!J210-Gasto_o_ing_per_capita!$D210</f>
        <v>-0.3783771033521004</v>
      </c>
      <c r="K210" s="332">
        <f>Gasto_o_ing_per_capita!K210-Gasto_o_ing_per_capita!$D210</f>
        <v>-0.3783771033521004</v>
      </c>
      <c r="L210" s="332">
        <f>Gasto_o_ing_per_capita!L210-Gasto_o_ing_per_capita!$D210</f>
        <v>-0.3783771033521004</v>
      </c>
      <c r="M210" s="332">
        <f>Gasto_o_ing_per_capita!M210-Gasto_o_ing_per_capita!$D210</f>
        <v>-0.3783771033521004</v>
      </c>
      <c r="N210" s="332">
        <f>Gasto_o_ing_per_capita!N210-Gasto_o_ing_per_capita!$D210</f>
        <v>-0.3783771033521004</v>
      </c>
      <c r="O210" s="332">
        <f>Gasto_o_ing_per_capita!O210-Gasto_o_ing_per_capita!$D210</f>
        <v>-0.3783771033521004</v>
      </c>
      <c r="P210" s="332">
        <f>Gasto_o_ing_per_capita!P210-Gasto_o_ing_per_capita!$D210</f>
        <v>-0.3783771033521004</v>
      </c>
      <c r="Q210" s="332">
        <f>Gasto_o_ing_per_capita!Q210-Gasto_o_ing_per_capita!$D210</f>
        <v>-0.3783771033521004</v>
      </c>
      <c r="R210" s="332">
        <f>Gasto_o_ing_per_capita!R210-Gasto_o_ing_per_capita!$D210</f>
        <v>-0.3783771033521004</v>
      </c>
      <c r="S210" s="332">
        <f>Gasto_o_ing_per_capita!S210-Gasto_o_ing_per_capita!$D210</f>
        <v>-1.7607217948671696</v>
      </c>
      <c r="T210" s="332">
        <f>Gasto_o_ing_per_capita!T210-Gasto_o_ing_per_capita!$D210</f>
        <v>8.0976172312995427</v>
      </c>
      <c r="U210" s="332">
        <f>Gasto_o_ing_per_capita!U210-Gasto_o_ing_per_capita!$D210</f>
        <v>-0.3783771033521004</v>
      </c>
      <c r="V210" s="332">
        <f>Gasto_o_ing_per_capita!V210-Gasto_o_ing_per_capita!$D210</f>
        <v>-0.3783771033521004</v>
      </c>
      <c r="W210" s="122"/>
      <c r="X210" s="104"/>
    </row>
    <row r="211" spans="1:24" s="102" customFormat="1">
      <c r="A211" s="351" t="str">
        <f>IF(B211="","",(IF(ISERROR(MATCH(B211,Tot_res!C:C,0)),"Eliminar!!!","")))</f>
        <v/>
      </c>
      <c r="B211" s="115" t="s">
        <v>230</v>
      </c>
      <c r="C211" s="329" t="str">
        <f>VLOOKUP(B211,Tot_res!C:D,2,FALSE)</f>
        <v xml:space="preserve"> Ingresos por tributos propios de las comunidades autónomas y patrimonio</v>
      </c>
      <c r="D211" s="332">
        <f>Gasto_o_ing_per_capita!D211-Gasto_o_ing_per_capita!$D211</f>
        <v>0</v>
      </c>
      <c r="E211" s="332">
        <f>Gasto_o_ing_per_capita!E211-Gasto_o_ing_per_capita!$D211</f>
        <v>-19.008166123270531</v>
      </c>
      <c r="F211" s="332">
        <f>Gasto_o_ing_per_capita!F211-Gasto_o_ing_per_capita!$D211</f>
        <v>13.047081852340746</v>
      </c>
      <c r="G211" s="332">
        <f>Gasto_o_ing_per_capita!G211-Gasto_o_ing_per_capita!$D211</f>
        <v>-11.900360290279515</v>
      </c>
      <c r="H211" s="332">
        <f>Gasto_o_ing_per_capita!H211-Gasto_o_ing_per_capita!$D211</f>
        <v>65.243714110543195</v>
      </c>
      <c r="I211" s="332">
        <f>Gasto_o_ing_per_capita!I211-Gasto_o_ing_per_capita!$D211</f>
        <v>12.288214485879003</v>
      </c>
      <c r="J211" s="332">
        <f>Gasto_o_ing_per_capita!J211-Gasto_o_ing_per_capita!$D211</f>
        <v>17.989146451797922</v>
      </c>
      <c r="K211" s="332">
        <f>Gasto_o_ing_per_capita!K211-Gasto_o_ing_per_capita!$D211</f>
        <v>-10.177093723648909</v>
      </c>
      <c r="L211" s="332">
        <f>Gasto_o_ing_per_capita!L211-Gasto_o_ing_per_capita!$D211</f>
        <v>-35.392498053087763</v>
      </c>
      <c r="M211" s="332">
        <f>Gasto_o_ing_per_capita!M211-Gasto_o_ing_per_capita!$D211</f>
        <v>20.295538380419941</v>
      </c>
      <c r="N211" s="332">
        <f>Gasto_o_ing_per_capita!N211-Gasto_o_ing_per_capita!$D211</f>
        <v>29.511536557285439</v>
      </c>
      <c r="O211" s="332">
        <f>Gasto_o_ing_per_capita!O211-Gasto_o_ing_per_capita!$D211</f>
        <v>74.405440760521444</v>
      </c>
      <c r="P211" s="332">
        <f>Gasto_o_ing_per_capita!P211-Gasto_o_ing_per_capita!$D211</f>
        <v>3.9503146845898129</v>
      </c>
      <c r="Q211" s="332">
        <f>Gasto_o_ing_per_capita!Q211-Gasto_o_ing_per_capita!$D211</f>
        <v>-49.004065694090102</v>
      </c>
      <c r="R211" s="332">
        <f>Gasto_o_ing_per_capita!R211-Gasto_o_ing_per_capita!$D211</f>
        <v>-0.61841169891354042</v>
      </c>
      <c r="S211" s="332">
        <f>Gasto_o_ing_per_capita!S211-Gasto_o_ing_per_capita!$D211</f>
        <v>24.640952617206764</v>
      </c>
      <c r="T211" s="332">
        <f>Gasto_o_ing_per_capita!T211-Gasto_o_ing_per_capita!$D211</f>
        <v>23.477373266723802</v>
      </c>
      <c r="U211" s="332">
        <f>Gasto_o_ing_per_capita!U211-Gasto_o_ing_per_capita!$D211</f>
        <v>34.39769688999877</v>
      </c>
      <c r="V211" s="332">
        <f>Gasto_o_ing_per_capita!V211-Gasto_o_ing_per_capita!$D211</f>
        <v>-50.052358529736964</v>
      </c>
      <c r="W211" s="126"/>
      <c r="X211" s="104"/>
    </row>
    <row r="212" spans="1:24"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22"/>
      <c r="X212" s="104"/>
    </row>
    <row r="213" spans="1:24" s="102" customFormat="1" ht="13.5">
      <c r="A213" s="352"/>
      <c r="B213" s="115"/>
      <c r="C213" s="128" t="s">
        <v>59</v>
      </c>
      <c r="D213" s="113">
        <f>Gasto_o_ing_per_capita!D213-Gasto_o_ing_per_capita!$D213</f>
        <v>0</v>
      </c>
      <c r="E213" s="113">
        <f>Gasto_o_ing_per_capita!E213-Gasto_o_ing_per_capita!$D213</f>
        <v>-121.43436702058614</v>
      </c>
      <c r="F213" s="113">
        <f>Gasto_o_ing_per_capita!F213-Gasto_o_ing_per_capita!$D213</f>
        <v>74.146661523779926</v>
      </c>
      <c r="G213" s="113">
        <f>Gasto_o_ing_per_capita!G213-Gasto_o_ing_per_capita!$D213</f>
        <v>-53.735110609208846</v>
      </c>
      <c r="H213" s="113">
        <f>Gasto_o_ing_per_capita!H213-Gasto_o_ing_per_capita!$D213</f>
        <v>76.483682083756321</v>
      </c>
      <c r="I213" s="113">
        <f>Gasto_o_ing_per_capita!I213-Gasto_o_ing_per_capita!$D213</f>
        <v>182.26066291456414</v>
      </c>
      <c r="J213" s="113">
        <f>Gasto_o_ing_per_capita!J213-Gasto_o_ing_per_capita!$D213</f>
        <v>-3.6615825442150935</v>
      </c>
      <c r="K213" s="113">
        <f>Gasto_o_ing_per_capita!K213-Gasto_o_ing_per_capita!$D213</f>
        <v>-21.460738511850309</v>
      </c>
      <c r="L213" s="113">
        <f>Gasto_o_ing_per_capita!L213-Gasto_o_ing_per_capita!$D213</f>
        <v>-90.737155917119139</v>
      </c>
      <c r="M213" s="113">
        <f>Gasto_o_ing_per_capita!M213-Gasto_o_ing_per_capita!$D213</f>
        <v>136.66540147267688</v>
      </c>
      <c r="N213" s="113">
        <f>Gasto_o_ing_per_capita!N213-Gasto_o_ing_per_capita!$D213</f>
        <v>-72.904425460673338</v>
      </c>
      <c r="O213" s="113">
        <f>Gasto_o_ing_per_capita!O213-Gasto_o_ing_per_capita!$D213</f>
        <v>-164.14407545366555</v>
      </c>
      <c r="P213" s="113">
        <f>Gasto_o_ing_per_capita!P213-Gasto_o_ing_per_capita!$D213</f>
        <v>-175.25878153012241</v>
      </c>
      <c r="Q213" s="113">
        <f>Gasto_o_ing_per_capita!Q213-Gasto_o_ing_per_capita!$D213</f>
        <v>168.94004745217376</v>
      </c>
      <c r="R213" s="113">
        <f>Gasto_o_ing_per_capita!R213-Gasto_o_ing_per_capita!$D213</f>
        <v>-141.319159864634</v>
      </c>
      <c r="S213" s="113">
        <f>Gasto_o_ing_per_capita!S213-Gasto_o_ing_per_capita!$D213</f>
        <v>50.530840293852634</v>
      </c>
      <c r="T213" s="113">
        <f>Gasto_o_ing_per_capita!T213-Gasto_o_ing_per_capita!$D213</f>
        <v>-29.937987572344014</v>
      </c>
      <c r="U213" s="113">
        <f>Gasto_o_ing_per_capita!U213-Gasto_o_ing_per_capita!$D213</f>
        <v>-45.13351009084522</v>
      </c>
      <c r="V213" s="113">
        <f>Gasto_o_ing_per_capita!V213-Gasto_o_ing_per_capita!$D213</f>
        <v>-484.82213191392606</v>
      </c>
      <c r="W213" s="139"/>
      <c r="X213" s="104"/>
    </row>
    <row r="214" spans="1:24"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c r="X214" s="104"/>
    </row>
    <row r="215" spans="1:24" s="102" customFormat="1" ht="13.5">
      <c r="A215" s="352"/>
      <c r="B215" s="115"/>
      <c r="C215" s="117" t="s">
        <v>54</v>
      </c>
      <c r="D215" s="113">
        <f>Gasto_o_ing_per_capita!D215-Gasto_o_ing_per_capita!$D215</f>
        <v>0</v>
      </c>
      <c r="E215" s="113">
        <f>Gasto_o_ing_per_capita!E215-Gasto_o_ing_per_capita!$D215</f>
        <v>-6.5918850709399521</v>
      </c>
      <c r="F215" s="113">
        <f>Gasto_o_ing_per_capita!F215-Gasto_o_ing_per_capita!$D215</f>
        <v>27.450441994142125</v>
      </c>
      <c r="G215" s="113">
        <f>Gasto_o_ing_per_capita!G215-Gasto_o_ing_per_capita!$D215</f>
        <v>29.496709529852666</v>
      </c>
      <c r="H215" s="113">
        <f>Gasto_o_ing_per_capita!H215-Gasto_o_ing_per_capita!$D215</f>
        <v>-38.983910778434335</v>
      </c>
      <c r="I215" s="113">
        <f>Gasto_o_ing_per_capita!I215-Gasto_o_ing_per_capita!$D215</f>
        <v>219.99358666814152</v>
      </c>
      <c r="J215" s="113">
        <f>Gasto_o_ing_per_capita!J215-Gasto_o_ing_per_capita!$D215</f>
        <v>4.375877732584371</v>
      </c>
      <c r="K215" s="113">
        <f>Gasto_o_ing_per_capita!K215-Gasto_o_ing_per_capita!$D215</f>
        <v>69.165738671448651</v>
      </c>
      <c r="L215" s="113">
        <f>Gasto_o_ing_per_capita!L215-Gasto_o_ing_per_capita!$D215</f>
        <v>35.532590902923346</v>
      </c>
      <c r="M215" s="113">
        <f>Gasto_o_ing_per_capita!M215-Gasto_o_ing_per_capita!$D215</f>
        <v>-36.890840531913653</v>
      </c>
      <c r="N215" s="113">
        <f>Gasto_o_ing_per_capita!N215-Gasto_o_ing_per_capita!$D215</f>
        <v>-25.344998736622728</v>
      </c>
      <c r="O215" s="113">
        <f>Gasto_o_ing_per_capita!O215-Gasto_o_ing_per_capita!$D215</f>
        <v>73.617341800164724</v>
      </c>
      <c r="P215" s="113">
        <f>Gasto_o_ing_per_capita!P215-Gasto_o_ing_per_capita!$D215</f>
        <v>18.432742692303833</v>
      </c>
      <c r="Q215" s="113">
        <f>Gasto_o_ing_per_capita!Q215-Gasto_o_ing_per_capita!$D215</f>
        <v>-47.765345661188618</v>
      </c>
      <c r="R215" s="113">
        <f>Gasto_o_ing_per_capita!R215-Gasto_o_ing_per_capita!$D215</f>
        <v>-30.223183332351425</v>
      </c>
      <c r="S215" s="113">
        <f>Gasto_o_ing_per_capita!S215-Gasto_o_ing_per_capita!$D215</f>
        <v>-13.898569401437385</v>
      </c>
      <c r="T215" s="113">
        <f>Gasto_o_ing_per_capita!T215-Gasto_o_ing_per_capita!$D215</f>
        <v>-12.137661385317671</v>
      </c>
      <c r="U215" s="113">
        <f>Gasto_o_ing_per_capita!U215-Gasto_o_ing_per_capita!$D215</f>
        <v>-3.4086625609052703</v>
      </c>
      <c r="V215" s="113">
        <f>Gasto_o_ing_per_capita!V215-Gasto_o_ing_per_capita!$D215</f>
        <v>-106.98137561041716</v>
      </c>
      <c r="W215" s="122"/>
      <c r="X215" s="104"/>
    </row>
    <row r="216" spans="1:24" s="102" customFormat="1">
      <c r="A216" s="351" t="str">
        <f>IF(B216="","",(IF(ISERROR(MATCH(B216,Tot_res!C:C,0)),"Eliminar!!!","")))</f>
        <v/>
      </c>
      <c r="B216" s="102" t="s">
        <v>718</v>
      </c>
      <c r="C216" s="329" t="str">
        <f>VLOOKUP(B216,Tot_res!C:D,2,FALSE)</f>
        <v>Ajuste por competencias atípicas forales: financiación provincias</v>
      </c>
      <c r="D216" s="332">
        <f>Gasto_o_ing_per_capita!D216-Gasto_o_ing_per_capita!$D216</f>
        <v>0</v>
      </c>
      <c r="E216" s="332">
        <f>Gasto_o_ing_per_capita!E216-Gasto_o_ing_per_capita!$D216</f>
        <v>-0.12704127360903789</v>
      </c>
      <c r="F216" s="332">
        <f>Gasto_o_ing_per_capita!F216-Gasto_o_ing_per_capita!$D216</f>
        <v>-9.3347809158400574E-2</v>
      </c>
      <c r="G216" s="332">
        <f>Gasto_o_ing_per_capita!G216-Gasto_o_ing_per_capita!$D216</f>
        <v>-2.7157510855283951E-2</v>
      </c>
      <c r="H216" s="332">
        <f>Gasto_o_ing_per_capita!H216-Gasto_o_ing_per_capita!$D216</f>
        <v>0.11246784499145535</v>
      </c>
      <c r="I216" s="332">
        <f>Gasto_o_ing_per_capita!I216-Gasto_o_ing_per_capita!$D216</f>
        <v>4.871049890129775E-2</v>
      </c>
      <c r="J216" s="332">
        <f>Gasto_o_ing_per_capita!J216-Gasto_o_ing_per_capita!$D216</f>
        <v>-8.7048665562429295E-2</v>
      </c>
      <c r="K216" s="332">
        <f>Gasto_o_ing_per_capita!K216-Gasto_o_ing_per_capita!$D216</f>
        <v>0.11642191153940484</v>
      </c>
      <c r="L216" s="332">
        <f>Gasto_o_ing_per_capita!L216-Gasto_o_ing_per_capita!$D216</f>
        <v>-4.6215722204830834E-2</v>
      </c>
      <c r="M216" s="332">
        <f>Gasto_o_ing_per_capita!M216-Gasto_o_ing_per_capita!$D216</f>
        <v>0.22852360207828926</v>
      </c>
      <c r="N216" s="332">
        <f>Gasto_o_ing_per_capita!N216-Gasto_o_ing_per_capita!$D216</f>
        <v>-0.16471899371957915</v>
      </c>
      <c r="O216" s="332">
        <f>Gasto_o_ing_per_capita!O216-Gasto_o_ing_per_capita!$D216</f>
        <v>-5.0815376580800486E-2</v>
      </c>
      <c r="P216" s="332">
        <f>Gasto_o_ing_per_capita!P216-Gasto_o_ing_per_capita!$D216</f>
        <v>-6.454252465211463E-2</v>
      </c>
      <c r="Q216" s="332">
        <f>Gasto_o_ing_per_capita!Q216-Gasto_o_ing_per_capita!$D216</f>
        <v>6.7094847442902839E-2</v>
      </c>
      <c r="R216" s="332">
        <f>Gasto_o_ing_per_capita!R216-Gasto_o_ing_per_capita!$D216</f>
        <v>-0.1329156507791443</v>
      </c>
      <c r="S216" s="332">
        <f>Gasto_o_ing_per_capita!S216-Gasto_o_ing_per_capita!$D216</f>
        <v>-9.383756662718401E-2</v>
      </c>
      <c r="T216" s="332">
        <f>Gasto_o_ing_per_capita!T216-Gasto_o_ing_per_capita!$D216</f>
        <v>-5.1853675761419415E-2</v>
      </c>
      <c r="U216" s="332">
        <f>Gasto_o_ing_per_capita!U216-Gasto_o_ing_per_capita!$D216</f>
        <v>-6.7639359989232317E-2</v>
      </c>
      <c r="V216" s="332">
        <f>Gasto_o_ing_per_capita!V216-Gasto_o_ing_per_capita!$D216</f>
        <v>0.86018905754162589</v>
      </c>
      <c r="W216" s="122"/>
      <c r="X216" s="104"/>
    </row>
    <row r="217" spans="1:24"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Gasto_o_ing_per_capita!D217-Gasto_o_ing_per_capita!$D217</f>
        <v>0</v>
      </c>
      <c r="E217" s="332">
        <f>Gasto_o_ing_per_capita!E217-Gasto_o_ing_per_capita!$D217</f>
        <v>5.9605124965543581</v>
      </c>
      <c r="F217" s="332">
        <f>Gasto_o_ing_per_capita!F217-Gasto_o_ing_per_capita!$D217</f>
        <v>48.709464875580778</v>
      </c>
      <c r="G217" s="332">
        <f>Gasto_o_ing_per_capita!G217-Gasto_o_ing_per_capita!$D217</f>
        <v>66.094548425179681</v>
      </c>
      <c r="H217" s="332">
        <f>Gasto_o_ing_per_capita!H217-Gasto_o_ing_per_capita!$D217</f>
        <v>-18.937899265788644</v>
      </c>
      <c r="I217" s="332">
        <f>Gasto_o_ing_per_capita!I217-Gasto_o_ing_per_capita!$D217</f>
        <v>62.430563633776387</v>
      </c>
      <c r="J217" s="332">
        <f>Gasto_o_ing_per_capita!J217-Gasto_o_ing_per_capita!$D217</f>
        <v>-108.31639876164343</v>
      </c>
      <c r="K217" s="332">
        <f>Gasto_o_ing_per_capita!K217-Gasto_o_ing_per_capita!$D217</f>
        <v>112.89170682460895</v>
      </c>
      <c r="L217" s="332">
        <f>Gasto_o_ing_per_capita!L217-Gasto_o_ing_per_capita!$D217</f>
        <v>83.098156908940837</v>
      </c>
      <c r="M217" s="332">
        <f>Gasto_o_ing_per_capita!M217-Gasto_o_ing_per_capita!$D217</f>
        <v>-10.617580868815622</v>
      </c>
      <c r="N217" s="332">
        <f>Gasto_o_ing_per_capita!N217-Gasto_o_ing_per_capita!$D217</f>
        <v>19.881671428676128</v>
      </c>
      <c r="O217" s="332">
        <f>Gasto_o_ing_per_capita!O217-Gasto_o_ing_per_capita!$D217</f>
        <v>122.98526649241273</v>
      </c>
      <c r="P217" s="332">
        <f>Gasto_o_ing_per_capita!P217-Gasto_o_ing_per_capita!$D217</f>
        <v>62.297522276832723</v>
      </c>
      <c r="Q217" s="332">
        <f>Gasto_o_ing_per_capita!Q217-Gasto_o_ing_per_capita!$D217</f>
        <v>-106.04715241513672</v>
      </c>
      <c r="R217" s="332">
        <f>Gasto_o_ing_per_capita!R217-Gasto_o_ing_per_capita!$D217</f>
        <v>15.563483662467135</v>
      </c>
      <c r="S217" s="332">
        <f>Gasto_o_ing_per_capita!S217-Gasto_o_ing_per_capita!$D217</f>
        <v>-108.32571325144046</v>
      </c>
      <c r="T217" s="332">
        <f>Gasto_o_ing_per_capita!T217-Gasto_o_ing_per_capita!$D217</f>
        <v>-108.34397968371511</v>
      </c>
      <c r="U217" s="332">
        <f>Gasto_o_ing_per_capita!U217-Gasto_o_ing_per_capita!$D217</f>
        <v>-106.51664068319538</v>
      </c>
      <c r="V217" s="332">
        <f>Gasto_o_ing_per_capita!V217-Gasto_o_ing_per_capita!$D217</f>
        <v>-42.553248406393948</v>
      </c>
      <c r="W217" s="122"/>
      <c r="X217" s="104"/>
    </row>
    <row r="218" spans="1:24" s="102" customFormat="1">
      <c r="A218" s="351" t="str">
        <f>IF(B218="","",(IF(ISERROR(MATCH(B218,Tot_res!C:C,0)),"Eliminar!!!","")))</f>
        <v/>
      </c>
      <c r="B218" s="102" t="s">
        <v>473</v>
      </c>
      <c r="C218" s="329" t="str">
        <f>VLOOKUP(B218,Tot_res!C:D,2,FALSE)</f>
        <v>Otros flujos de financiación local, reintegros parciales de saldos pendientes</v>
      </c>
      <c r="D218" s="332">
        <f>Gasto_o_ing_per_capita!D218-Gasto_o_ing_per_capita!$D218</f>
        <v>0</v>
      </c>
      <c r="E218" s="332">
        <f>Gasto_o_ing_per_capita!E218-Gasto_o_ing_per_capita!$D218</f>
        <v>-0.2841220722582154</v>
      </c>
      <c r="F218" s="332">
        <f>Gasto_o_ing_per_capita!F218-Gasto_o_ing_per_capita!$D218</f>
        <v>-8.4780626448220744</v>
      </c>
      <c r="G218" s="332">
        <f>Gasto_o_ing_per_capita!G218-Gasto_o_ing_per_capita!$D218</f>
        <v>1.33694571529972E-2</v>
      </c>
      <c r="H218" s="332">
        <f>Gasto_o_ing_per_capita!H218-Gasto_o_ing_per_capita!$D218</f>
        <v>-3.5818481297883098</v>
      </c>
      <c r="I218" s="332">
        <f>Gasto_o_ing_per_capita!I218-Gasto_o_ing_per_capita!$D218</f>
        <v>-1.6361961896307768</v>
      </c>
      <c r="J218" s="332">
        <f>Gasto_o_ing_per_capita!J218-Gasto_o_ing_per_capita!$D218</f>
        <v>5.0819848424964809</v>
      </c>
      <c r="K218" s="332">
        <f>Gasto_o_ing_per_capita!K218-Gasto_o_ing_per_capita!$D218</f>
        <v>-5.093163535486954</v>
      </c>
      <c r="L218" s="332">
        <f>Gasto_o_ing_per_capita!L218-Gasto_o_ing_per_capita!$D218</f>
        <v>-2.8257840454300078</v>
      </c>
      <c r="M218" s="332">
        <f>Gasto_o_ing_per_capita!M218-Gasto_o_ing_per_capita!$D218</f>
        <v>0.70257848425180125</v>
      </c>
      <c r="N218" s="332">
        <f>Gasto_o_ing_per_capita!N218-Gasto_o_ing_per_capita!$D218</f>
        <v>-1.8195273431825401</v>
      </c>
      <c r="O218" s="332">
        <f>Gasto_o_ing_per_capita!O218-Gasto_o_ing_per_capita!$D218</f>
        <v>-3.606191999094146</v>
      </c>
      <c r="P218" s="332">
        <f>Gasto_o_ing_per_capita!P218-Gasto_o_ing_per_capita!$D218</f>
        <v>-2.5054132471368424</v>
      </c>
      <c r="Q218" s="332">
        <f>Gasto_o_ing_per_capita!Q218-Gasto_o_ing_per_capita!$D218</f>
        <v>5.0819848424964809</v>
      </c>
      <c r="R218" s="332">
        <f>Gasto_o_ing_per_capita!R218-Gasto_o_ing_per_capita!$D218</f>
        <v>1.4469511116087754</v>
      </c>
      <c r="S218" s="332">
        <f>Gasto_o_ing_per_capita!S218-Gasto_o_ing_per_capita!$D218</f>
        <v>5.0717340436771883</v>
      </c>
      <c r="T218" s="332">
        <f>Gasto_o_ing_per_capita!T218-Gasto_o_ing_per_capita!$D218</f>
        <v>5.0733169250994985</v>
      </c>
      <c r="U218" s="332">
        <f>Gasto_o_ing_per_capita!U218-Gasto_o_ing_per_capita!$D218</f>
        <v>5.0819848424964809</v>
      </c>
      <c r="V218" s="332">
        <f>Gasto_o_ing_per_capita!V218-Gasto_o_ing_per_capita!$D218</f>
        <v>1.5204718119853688</v>
      </c>
      <c r="W218" s="122"/>
      <c r="X218" s="104"/>
    </row>
    <row r="219" spans="1:24" s="102" customFormat="1">
      <c r="A219" s="351" t="str">
        <f>IF(B219="","",(IF(ISERROR(MATCH(B219,Tot_res!C:C,0)),"Eliminar!!!","")))</f>
        <v/>
      </c>
      <c r="B219" s="115" t="s">
        <v>231</v>
      </c>
      <c r="C219" s="329" t="str">
        <f>VLOOKUP(B219,Tot_res!C:D,2,FALSE)</f>
        <v>Hospitales provinciales asumidos por CCAA</v>
      </c>
      <c r="D219" s="332">
        <f>Gasto_o_ing_per_capita!D219-Gasto_o_ing_per_capita!$D219</f>
        <v>0</v>
      </c>
      <c r="E219" s="332">
        <f>Gasto_o_ing_per_capita!E219-Gasto_o_ing_per_capita!$D219</f>
        <v>25.532579367511119</v>
      </c>
      <c r="F219" s="332">
        <f>Gasto_o_ing_per_capita!F219-Gasto_o_ing_per_capita!$D219</f>
        <v>14.614700292103974</v>
      </c>
      <c r="G219" s="332">
        <f>Gasto_o_ing_per_capita!G219-Gasto_o_ing_per_capita!$D219</f>
        <v>-8.8753983694479235</v>
      </c>
      <c r="H219" s="332">
        <f>Gasto_o_ing_per_capita!H219-Gasto_o_ing_per_capita!$D219</f>
        <v>10.624997348930501</v>
      </c>
      <c r="I219" s="332">
        <f>Gasto_o_ing_per_capita!I219-Gasto_o_ing_per_capita!$D219</f>
        <v>-8.8753983694479235</v>
      </c>
      <c r="J219" s="332">
        <f>Gasto_o_ing_per_capita!J219-Gasto_o_ing_per_capita!$D219</f>
        <v>-8.8753983694479235</v>
      </c>
      <c r="K219" s="332">
        <f>Gasto_o_ing_per_capita!K219-Gasto_o_ing_per_capita!$D219</f>
        <v>-8.8753983694479235</v>
      </c>
      <c r="L219" s="332">
        <f>Gasto_o_ing_per_capita!L219-Gasto_o_ing_per_capita!$D219</f>
        <v>-8.8753983694479235</v>
      </c>
      <c r="M219" s="332">
        <f>Gasto_o_ing_per_capita!M219-Gasto_o_ing_per_capita!$D219</f>
        <v>0.81906085476760104</v>
      </c>
      <c r="N219" s="332">
        <f>Gasto_o_ing_per_capita!N219-Gasto_o_ing_per_capita!$D219</f>
        <v>-8.8753983694479235</v>
      </c>
      <c r="O219" s="332">
        <f>Gasto_o_ing_per_capita!O219-Gasto_o_ing_per_capita!$D219</f>
        <v>-8.8753983694479235</v>
      </c>
      <c r="P219" s="332">
        <f>Gasto_o_ing_per_capita!P219-Gasto_o_ing_per_capita!$D219</f>
        <v>-8.8753983694479235</v>
      </c>
      <c r="Q219" s="332">
        <f>Gasto_o_ing_per_capita!Q219-Gasto_o_ing_per_capita!$D219</f>
        <v>-8.8753983694479235</v>
      </c>
      <c r="R219" s="332">
        <f>Gasto_o_ing_per_capita!R219-Gasto_o_ing_per_capita!$D219</f>
        <v>-8.8753983694479235</v>
      </c>
      <c r="S219" s="332">
        <f>Gasto_o_ing_per_capita!S219-Gasto_o_ing_per_capita!$D219</f>
        <v>-8.8753983694479235</v>
      </c>
      <c r="T219" s="332">
        <f>Gasto_o_ing_per_capita!T219-Gasto_o_ing_per_capita!$D219</f>
        <v>-8.8753983694479235</v>
      </c>
      <c r="U219" s="332">
        <f>Gasto_o_ing_per_capita!U219-Gasto_o_ing_per_capita!$D219</f>
        <v>-8.8753983694479235</v>
      </c>
      <c r="V219" s="332">
        <f>Gasto_o_ing_per_capita!V219-Gasto_o_ing_per_capita!$D219</f>
        <v>-8.8753983694479235</v>
      </c>
      <c r="W219" s="122"/>
      <c r="X219" s="104"/>
    </row>
    <row r="220" spans="1:24" s="102" customFormat="1">
      <c r="A220" s="351" t="str">
        <f>IF(B220="","",(IF(ISERROR(MATCH(B220,Tot_res!C:C,0)),"Eliminar!!!","")))</f>
        <v/>
      </c>
      <c r="B220" s="115" t="s">
        <v>232</v>
      </c>
      <c r="C220" s="329" t="str">
        <f>VLOOKUP(B220,Tot_res!C:D,2,FALSE)</f>
        <v>Participación provincial en ingresos del Estado integrada en Fondo de Suficiencia</v>
      </c>
      <c r="D220" s="332">
        <f>Gasto_o_ing_per_capita!D220-Gasto_o_ing_per_capita!$D220</f>
        <v>0</v>
      </c>
      <c r="E220" s="332">
        <f>Gasto_o_ing_per_capita!E220-Gasto_o_ing_per_capita!$D220</f>
        <v>-19.283389901541398</v>
      </c>
      <c r="F220" s="332">
        <f>Gasto_o_ing_per_capita!F220-Gasto_o_ing_per_capita!$D220</f>
        <v>-19.283389901541398</v>
      </c>
      <c r="G220" s="332">
        <f>Gasto_o_ing_per_capita!G220-Gasto_o_ing_per_capita!$D220</f>
        <v>-19.283389901541398</v>
      </c>
      <c r="H220" s="332">
        <f>Gasto_o_ing_per_capita!H220-Gasto_o_ing_per_capita!$D220</f>
        <v>-19.283389901541398</v>
      </c>
      <c r="I220" s="332">
        <f>Gasto_o_ing_per_capita!I220-Gasto_o_ing_per_capita!$D220</f>
        <v>-19.283389901541398</v>
      </c>
      <c r="J220" s="332">
        <f>Gasto_o_ing_per_capita!J220-Gasto_o_ing_per_capita!$D220</f>
        <v>153.52242004590974</v>
      </c>
      <c r="K220" s="332">
        <f>Gasto_o_ing_per_capita!K220-Gasto_o_ing_per_capita!$D220</f>
        <v>-19.283389901541398</v>
      </c>
      <c r="L220" s="332">
        <f>Gasto_o_ing_per_capita!L220-Gasto_o_ing_per_capita!$D220</f>
        <v>-19.283389901541398</v>
      </c>
      <c r="M220" s="332">
        <f>Gasto_o_ing_per_capita!M220-Gasto_o_ing_per_capita!$D220</f>
        <v>-19.283389901541398</v>
      </c>
      <c r="N220" s="332">
        <f>Gasto_o_ing_per_capita!N220-Gasto_o_ing_per_capita!$D220</f>
        <v>-19.283389901541398</v>
      </c>
      <c r="O220" s="332">
        <f>Gasto_o_ing_per_capita!O220-Gasto_o_ing_per_capita!$D220</f>
        <v>-19.283389901541398</v>
      </c>
      <c r="P220" s="332">
        <f>Gasto_o_ing_per_capita!P220-Gasto_o_ing_per_capita!$D220</f>
        <v>-19.283389901541398</v>
      </c>
      <c r="Q220" s="332">
        <f>Gasto_o_ing_per_capita!Q220-Gasto_o_ing_per_capita!$D220</f>
        <v>96.74690174470129</v>
      </c>
      <c r="R220" s="332">
        <f>Gasto_o_ing_per_capita!R220-Gasto_o_ing_per_capita!$D220</f>
        <v>-19.283389901541398</v>
      </c>
      <c r="S220" s="332">
        <f>Gasto_o_ing_per_capita!S220-Gasto_o_ing_per_capita!$D220</f>
        <v>-19.283389901541398</v>
      </c>
      <c r="T220" s="332">
        <f>Gasto_o_ing_per_capita!T220-Gasto_o_ing_per_capita!$D220</f>
        <v>-19.283389901541398</v>
      </c>
      <c r="U220" s="332">
        <f>Gasto_o_ing_per_capita!U220-Gasto_o_ing_per_capita!$D220</f>
        <v>141.62023479572386</v>
      </c>
      <c r="V220" s="332">
        <f>Gasto_o_ing_per_capita!V220-Gasto_o_ing_per_capita!$D220</f>
        <v>-19.283389901541398</v>
      </c>
      <c r="W220" s="122"/>
      <c r="X220" s="104"/>
    </row>
    <row r="221" spans="1:24" s="102" customFormat="1">
      <c r="A221" s="351" t="str">
        <f>IF(B221="","",(IF(ISERROR(MATCH(B221,Tot_res!C:C,0)),"Eliminar!!!","")))</f>
        <v/>
      </c>
      <c r="B221" s="115" t="s">
        <v>233</v>
      </c>
      <c r="C221" s="329" t="str">
        <f>VLOOKUP(B221,Tot_res!C:D,2,FALSE)</f>
        <v>Participación de las provincias en el IRPF, IVA e Impuestos Especiales</v>
      </c>
      <c r="D221" s="332">
        <f>Gasto_o_ing_per_capita!D221-Gasto_o_ing_per_capita!$D221</f>
        <v>0</v>
      </c>
      <c r="E221" s="332">
        <f>Gasto_o_ing_per_capita!E221-Gasto_o_ing_per_capita!$D221</f>
        <v>1.3016538643542646</v>
      </c>
      <c r="F221" s="332">
        <f>Gasto_o_ing_per_capita!F221-Gasto_o_ing_per_capita!$D221</f>
        <v>8.2178051156134266</v>
      </c>
      <c r="G221" s="332">
        <f>Gasto_o_ing_per_capita!G221-Gasto_o_ing_per_capita!$D221</f>
        <v>7.6589192687505196</v>
      </c>
      <c r="H221" s="332">
        <f>Gasto_o_ing_per_capita!H221-Gasto_o_ing_per_capita!$D221</f>
        <v>11.969752000672532</v>
      </c>
      <c r="I221" s="332">
        <f>Gasto_o_ing_per_capita!I221-Gasto_o_ing_per_capita!$D221</f>
        <v>-8.8041880689757512</v>
      </c>
      <c r="J221" s="332">
        <f>Gasto_o_ing_per_capita!J221-Gasto_o_ing_per_capita!$D221</f>
        <v>-15.375705359441351</v>
      </c>
      <c r="K221" s="332">
        <f>Gasto_o_ing_per_capita!K221-Gasto_o_ing_per_capita!$D221</f>
        <v>6.7013401717029843</v>
      </c>
      <c r="L221" s="332">
        <f>Gasto_o_ing_per_capita!L221-Gasto_o_ing_per_capita!$D221</f>
        <v>2.626658054757776</v>
      </c>
      <c r="M221" s="332">
        <f>Gasto_o_ing_per_capita!M221-Gasto_o_ing_per_capita!$D221</f>
        <v>10.04209445687605</v>
      </c>
      <c r="N221" s="332">
        <f>Gasto_o_ing_per_capita!N221-Gasto_o_ing_per_capita!$D221</f>
        <v>3.9397194916907878</v>
      </c>
      <c r="O221" s="332">
        <f>Gasto_o_ing_per_capita!O221-Gasto_o_ing_per_capita!$D221</f>
        <v>1.0371902375793987</v>
      </c>
      <c r="P221" s="332">
        <f>Gasto_o_ing_per_capita!P221-Gasto_o_ing_per_capita!$D221</f>
        <v>4.8659640712982792</v>
      </c>
      <c r="Q221" s="332">
        <f>Gasto_o_ing_per_capita!Q221-Gasto_o_ing_per_capita!$D221</f>
        <v>-15.375705359441351</v>
      </c>
      <c r="R221" s="332">
        <f>Gasto_o_ing_per_capita!R221-Gasto_o_ing_per_capita!$D221</f>
        <v>1.9627504359525396</v>
      </c>
      <c r="S221" s="332">
        <f>Gasto_o_ing_per_capita!S221-Gasto_o_ing_per_capita!$D221</f>
        <v>-15.375705359441351</v>
      </c>
      <c r="T221" s="332">
        <f>Gasto_o_ing_per_capita!T221-Gasto_o_ing_per_capita!$D221</f>
        <v>-15.375705359441351</v>
      </c>
      <c r="U221" s="332">
        <f>Gasto_o_ing_per_capita!U221-Gasto_o_ing_per_capita!$D221</f>
        <v>-15.375705359441351</v>
      </c>
      <c r="V221" s="332">
        <f>Gasto_o_ing_per_capita!V221-Gasto_o_ing_per_capita!$D221</f>
        <v>-15.375705359441351</v>
      </c>
      <c r="W221" s="122"/>
      <c r="X221" s="104"/>
    </row>
    <row r="222" spans="1:24" s="102" customFormat="1">
      <c r="A222" s="351" t="str">
        <f>IF(B222="","",(IF(ISERROR(MATCH(B222,Tot_res!C:C,0)),"Eliminar!!!","")))</f>
        <v/>
      </c>
      <c r="B222" s="115" t="s">
        <v>724</v>
      </c>
      <c r="C222" s="329" t="str">
        <f>VLOOKUP(B222,Tot_res!C:D,2,FALSE)</f>
        <v>Recursos REF de los cabildos canarios</v>
      </c>
      <c r="D222" s="332">
        <f>Gasto_o_ing_per_capita!D222-Gasto_o_ing_per_capita!$D222</f>
        <v>0</v>
      </c>
      <c r="E222" s="332">
        <f>Gasto_o_ing_per_capita!E222-Gasto_o_ing_per_capita!$D222</f>
        <v>-9.7641399098459107</v>
      </c>
      <c r="F222" s="332">
        <f>Gasto_o_ing_per_capita!F222-Gasto_o_ing_per_capita!$D222</f>
        <v>-9.7641399098459107</v>
      </c>
      <c r="G222" s="332">
        <f>Gasto_o_ing_per_capita!G222-Gasto_o_ing_per_capita!$D222</f>
        <v>-9.7641399098459107</v>
      </c>
      <c r="H222" s="332">
        <f>Gasto_o_ing_per_capita!H222-Gasto_o_ing_per_capita!$D222</f>
        <v>-9.7641399098459107</v>
      </c>
      <c r="I222" s="332">
        <f>Gasto_o_ing_per_capita!I222-Gasto_o_ing_per_capita!$D222</f>
        <v>207.0973740283294</v>
      </c>
      <c r="J222" s="332">
        <f>Gasto_o_ing_per_capita!J222-Gasto_o_ing_per_capita!$D222</f>
        <v>-9.7641399098459107</v>
      </c>
      <c r="K222" s="332">
        <f>Gasto_o_ing_per_capita!K222-Gasto_o_ing_per_capita!$D222</f>
        <v>-9.7641399098459107</v>
      </c>
      <c r="L222" s="332">
        <f>Gasto_o_ing_per_capita!L222-Gasto_o_ing_per_capita!$D222</f>
        <v>-9.7641399098459107</v>
      </c>
      <c r="M222" s="332">
        <f>Gasto_o_ing_per_capita!M222-Gasto_o_ing_per_capita!$D222</f>
        <v>-9.7641399098459107</v>
      </c>
      <c r="N222" s="332">
        <f>Gasto_o_ing_per_capita!N222-Gasto_o_ing_per_capita!$D222</f>
        <v>-9.7641399098459107</v>
      </c>
      <c r="O222" s="332">
        <f>Gasto_o_ing_per_capita!O222-Gasto_o_ing_per_capita!$D222</f>
        <v>-9.7641399098459107</v>
      </c>
      <c r="P222" s="332">
        <f>Gasto_o_ing_per_capita!P222-Gasto_o_ing_per_capita!$D222</f>
        <v>-9.7641399098459107</v>
      </c>
      <c r="Q222" s="332">
        <f>Gasto_o_ing_per_capita!Q222-Gasto_o_ing_per_capita!$D222</f>
        <v>-9.7641399098459107</v>
      </c>
      <c r="R222" s="332">
        <f>Gasto_o_ing_per_capita!R222-Gasto_o_ing_per_capita!$D222</f>
        <v>-9.7641399098459107</v>
      </c>
      <c r="S222" s="332">
        <f>Gasto_o_ing_per_capita!S222-Gasto_o_ing_per_capita!$D222</f>
        <v>-9.7641399098459107</v>
      </c>
      <c r="T222" s="332">
        <f>Gasto_o_ing_per_capita!T222-Gasto_o_ing_per_capita!$D222</f>
        <v>-9.7641399098459107</v>
      </c>
      <c r="U222" s="332">
        <f>Gasto_o_ing_per_capita!U222-Gasto_o_ing_per_capita!$D222</f>
        <v>-9.7641399098459107</v>
      </c>
      <c r="V222" s="332">
        <f>Gasto_o_ing_per_capita!V222-Gasto_o_ing_per_capita!$D222</f>
        <v>-9.7641399098459107</v>
      </c>
      <c r="W222" s="139"/>
      <c r="X222" s="104"/>
    </row>
    <row r="223" spans="1:24" s="102" customFormat="1">
      <c r="A223" s="351" t="str">
        <f>IF(B223="","",(IF(ISERROR(MATCH(B223,Tot_res!C:C,0)),"Eliminar!!!","")))</f>
        <v/>
      </c>
      <c r="B223" s="115" t="s">
        <v>236</v>
      </c>
      <c r="C223" s="329" t="str">
        <f>VLOOKUP(B223,Tot_res!C:D,2,FALSE)</f>
        <v>Recargo provincial sobre el IAE</v>
      </c>
      <c r="D223" s="332">
        <f>Gasto_o_ing_per_capita!D223-Gasto_o_ing_per_capita!$D223</f>
        <v>0</v>
      </c>
      <c r="E223" s="332">
        <f>Gasto_o_ing_per_capita!E223-Gasto_o_ing_per_capita!$D223</f>
        <v>-0.45837503379577971</v>
      </c>
      <c r="F223" s="332">
        <f>Gasto_o_ing_per_capita!F223-Gasto_o_ing_per_capita!$D223</f>
        <v>2.9969745845210829</v>
      </c>
      <c r="G223" s="332">
        <f>Gasto_o_ing_per_capita!G223-Gasto_o_ing_per_capita!$D223</f>
        <v>3.1495206787693064</v>
      </c>
      <c r="H223" s="332">
        <f>Gasto_o_ing_per_capita!H223-Gasto_o_ing_per_capita!$D223</f>
        <v>-0.65428815775521176</v>
      </c>
      <c r="I223" s="332">
        <f>Gasto_o_ing_per_capita!I223-Gasto_o_ing_per_capita!$D223</f>
        <v>-1.514326354960462</v>
      </c>
      <c r="J223" s="332">
        <f>Gasto_o_ing_per_capita!J223-Gasto_o_ing_per_capita!$D223</f>
        <v>-2.3402734815714634</v>
      </c>
      <c r="K223" s="332">
        <f>Gasto_o_ing_per_capita!K223-Gasto_o_ing_per_capita!$D223</f>
        <v>1.9419240882288173</v>
      </c>
      <c r="L223" s="332">
        <f>Gasto_o_ing_per_capita!L223-Gasto_o_ing_per_capita!$D223</f>
        <v>7.2266496004153247E-2</v>
      </c>
      <c r="M223" s="332">
        <f>Gasto_o_ing_per_capita!M223-Gasto_o_ing_per_capita!$D223</f>
        <v>0.45157535862489517</v>
      </c>
      <c r="N223" s="332">
        <f>Gasto_o_ing_per_capita!N223-Gasto_o_ing_per_capita!$D223</f>
        <v>0.21034746905705681</v>
      </c>
      <c r="O223" s="332">
        <f>Gasto_o_ing_per_capita!O223-Gasto_o_ing_per_capita!$D223</f>
        <v>0.64438323499210703</v>
      </c>
      <c r="P223" s="332">
        <f>Gasto_o_ing_per_capita!P223-Gasto_o_ing_per_capita!$D223</f>
        <v>1.2317029051063582</v>
      </c>
      <c r="Q223" s="332">
        <f>Gasto_o_ing_per_capita!Q223-Gasto_o_ing_per_capita!$D223</f>
        <v>-0.12936843364802364</v>
      </c>
      <c r="R223" s="332">
        <f>Gasto_o_ing_per_capita!R223-Gasto_o_ing_per_capita!$D223</f>
        <v>-1.6709621024561576</v>
      </c>
      <c r="S223" s="332">
        <f>Gasto_o_ing_per_capita!S223-Gasto_o_ing_per_capita!$D223</f>
        <v>-4.0405919249642741</v>
      </c>
      <c r="T223" s="332">
        <f>Gasto_o_ing_per_capita!T223-Gasto_o_ing_per_capita!$D223</f>
        <v>-2.3216677997103483</v>
      </c>
      <c r="U223" s="332">
        <f>Gasto_o_ing_per_capita!U223-Gasto_o_ing_per_capita!$D223</f>
        <v>-4.1795908896480771E-2</v>
      </c>
      <c r="V223" s="332">
        <f>Gasto_o_ing_per_capita!V223-Gasto_o_ing_per_capita!$D223</f>
        <v>-4.0405919249642741</v>
      </c>
      <c r="W223" s="122"/>
      <c r="X223" s="104"/>
    </row>
    <row r="224" spans="1:24" s="102" customFormat="1">
      <c r="A224" s="351" t="str">
        <f>IF(B224="","",(IF(ISERROR(MATCH(B224,Tot_res!C:C,0)),"Eliminar!!!","")))</f>
        <v/>
      </c>
      <c r="B224" s="115" t="s">
        <v>222</v>
      </c>
      <c r="C224" s="329" t="str">
        <f>VLOOKUP(B224,Tot_res!C:D,2,FALSE)</f>
        <v>Ajuste por competencias atípicas forales: financiación provincias</v>
      </c>
      <c r="D224" s="332">
        <f>Gasto_o_ing_per_capita!D224-Gasto_o_ing_per_capita!$D224</f>
        <v>0</v>
      </c>
      <c r="E224" s="332">
        <f>Gasto_o_ing_per_capita!E224-Gasto_o_ing_per_capita!$D224</f>
        <v>-9.4695626083093725</v>
      </c>
      <c r="F224" s="332">
        <f>Gasto_o_ing_per_capita!F224-Gasto_o_ing_per_capita!$D224</f>
        <v>-9.4695626083093725</v>
      </c>
      <c r="G224" s="332">
        <f>Gasto_o_ing_per_capita!G224-Gasto_o_ing_per_capita!$D224</f>
        <v>-9.4695626083093725</v>
      </c>
      <c r="H224" s="332">
        <f>Gasto_o_ing_per_capita!H224-Gasto_o_ing_per_capita!$D224</f>
        <v>-9.4695626083093725</v>
      </c>
      <c r="I224" s="332">
        <f>Gasto_o_ing_per_capita!I224-Gasto_o_ing_per_capita!$D224</f>
        <v>-9.4695626083093725</v>
      </c>
      <c r="J224" s="332">
        <f>Gasto_o_ing_per_capita!J224-Gasto_o_ing_per_capita!$D224</f>
        <v>-9.4695626083093725</v>
      </c>
      <c r="K224" s="332">
        <f>Gasto_o_ing_per_capita!K224-Gasto_o_ing_per_capita!$D224</f>
        <v>-9.4695626083093725</v>
      </c>
      <c r="L224" s="332">
        <f>Gasto_o_ing_per_capita!L224-Gasto_o_ing_per_capita!$D224</f>
        <v>-9.4695626083093725</v>
      </c>
      <c r="M224" s="332">
        <f>Gasto_o_ing_per_capita!M224-Gasto_o_ing_per_capita!$D224</f>
        <v>-9.4695626083093725</v>
      </c>
      <c r="N224" s="332">
        <f>Gasto_o_ing_per_capita!N224-Gasto_o_ing_per_capita!$D224</f>
        <v>-9.4695626083093725</v>
      </c>
      <c r="O224" s="332">
        <f>Gasto_o_ing_per_capita!O224-Gasto_o_ing_per_capita!$D224</f>
        <v>-9.4695626083093725</v>
      </c>
      <c r="P224" s="332">
        <f>Gasto_o_ing_per_capita!P224-Gasto_o_ing_per_capita!$D224</f>
        <v>-9.4695626083093725</v>
      </c>
      <c r="Q224" s="332">
        <f>Gasto_o_ing_per_capita!Q224-Gasto_o_ing_per_capita!$D224</f>
        <v>-9.4695626083093725</v>
      </c>
      <c r="R224" s="332">
        <f>Gasto_o_ing_per_capita!R224-Gasto_o_ing_per_capita!$D224</f>
        <v>-9.4695626083093725</v>
      </c>
      <c r="S224" s="332">
        <f>Gasto_o_ing_per_capita!S224-Gasto_o_ing_per_capita!$D224</f>
        <v>146.78847283819391</v>
      </c>
      <c r="T224" s="332">
        <f>Gasto_o_ing_per_capita!T224-Gasto_o_ing_per_capita!$D224</f>
        <v>146.80515638904626</v>
      </c>
      <c r="U224" s="332">
        <f>Gasto_o_ing_per_capita!U224-Gasto_o_ing_per_capita!$D224</f>
        <v>-9.4695626083093725</v>
      </c>
      <c r="V224" s="332">
        <f>Gasto_o_ing_per_capita!V224-Gasto_o_ing_per_capita!$D224</f>
        <v>-9.4695626083093725</v>
      </c>
      <c r="W224" s="122"/>
      <c r="X224" s="104"/>
    </row>
    <row r="225" spans="1:24">
      <c r="A225" s="352"/>
      <c r="B225" s="9"/>
      <c r="D225" s="20"/>
      <c r="E225" s="20"/>
      <c r="F225" s="20"/>
      <c r="G225" s="20"/>
      <c r="H225" s="20"/>
      <c r="I225" s="20"/>
      <c r="J225" s="20"/>
      <c r="K225" s="20"/>
      <c r="L225" s="20"/>
      <c r="M225" s="20"/>
      <c r="N225" s="20"/>
      <c r="O225" s="20"/>
      <c r="P225" s="20"/>
      <c r="Q225" s="20"/>
      <c r="R225" s="20"/>
      <c r="S225" s="20"/>
      <c r="T225" s="20"/>
      <c r="U225" s="20"/>
      <c r="V225" s="20"/>
      <c r="W225" s="10"/>
      <c r="X225" s="15"/>
    </row>
    <row r="226" spans="1:24" s="102" customFormat="1" ht="13.5">
      <c r="A226" s="352"/>
      <c r="B226" s="115"/>
      <c r="C226" s="128" t="s">
        <v>464</v>
      </c>
      <c r="D226" s="113">
        <f>Gasto_o_ing_per_capita!D226-Gasto_o_ing_per_capita!$D226</f>
        <v>0</v>
      </c>
      <c r="E226" s="113">
        <f>Gasto_o_ing_per_capita!E226-Gasto_o_ing_per_capita!$D226</f>
        <v>-114.8424819496463</v>
      </c>
      <c r="F226" s="113">
        <f>Gasto_o_ing_per_capita!F226-Gasto_o_ing_per_capita!$D226</f>
        <v>46.696219529637574</v>
      </c>
      <c r="G226" s="113">
        <f>Gasto_o_ing_per_capita!G226-Gasto_o_ing_per_capita!$D226</f>
        <v>-83.231820139061597</v>
      </c>
      <c r="H226" s="113">
        <f>Gasto_o_ing_per_capita!H226-Gasto_o_ing_per_capita!$D226</f>
        <v>115.4675928621906</v>
      </c>
      <c r="I226" s="113">
        <f>Gasto_o_ing_per_capita!I226-Gasto_o_ing_per_capita!$D226</f>
        <v>-37.732923753577325</v>
      </c>
      <c r="J226" s="113">
        <f>Gasto_o_ing_per_capita!J226-Gasto_o_ing_per_capita!$D226</f>
        <v>-8.0374602767996066</v>
      </c>
      <c r="K226" s="113">
        <f>Gasto_o_ing_per_capita!K226-Gasto_o_ing_per_capita!$D226</f>
        <v>-90.62647718329913</v>
      </c>
      <c r="L226" s="113">
        <f>Gasto_o_ing_per_capita!L226-Gasto_o_ing_per_capita!$D226</f>
        <v>-126.26974682004254</v>
      </c>
      <c r="M226" s="113">
        <f>Gasto_o_ing_per_capita!M226-Gasto_o_ing_per_capita!$D226</f>
        <v>173.55624200459067</v>
      </c>
      <c r="N226" s="113">
        <f>Gasto_o_ing_per_capita!N226-Gasto_o_ing_per_capita!$D226</f>
        <v>-47.559426724050581</v>
      </c>
      <c r="O226" s="113">
        <f>Gasto_o_ing_per_capita!O226-Gasto_o_ing_per_capita!$D226</f>
        <v>-237.76141725383036</v>
      </c>
      <c r="P226" s="113">
        <f>Gasto_o_ing_per_capita!P226-Gasto_o_ing_per_capita!$D226</f>
        <v>-193.69152422242644</v>
      </c>
      <c r="Q226" s="113">
        <f>Gasto_o_ing_per_capita!Q226-Gasto_o_ing_per_capita!$D226</f>
        <v>216.70539311336233</v>
      </c>
      <c r="R226" s="113">
        <f>Gasto_o_ing_per_capita!R226-Gasto_o_ing_per_capita!$D226</f>
        <v>-111.09597653228252</v>
      </c>
      <c r="S226" s="113">
        <f>Gasto_o_ing_per_capita!S226-Gasto_o_ing_per_capita!$D226</f>
        <v>64.429409695289792</v>
      </c>
      <c r="T226" s="113">
        <f>Gasto_o_ing_per_capita!T226-Gasto_o_ing_per_capita!$D226</f>
        <v>-17.800326187026258</v>
      </c>
      <c r="U226" s="113">
        <f>Gasto_o_ing_per_capita!U226-Gasto_o_ing_per_capita!$D226</f>
        <v>-41.724847529940007</v>
      </c>
      <c r="V226" s="113">
        <f>Gasto_o_ing_per_capita!V226-Gasto_o_ing_per_capita!$D226</f>
        <v>-377.8407563035089</v>
      </c>
      <c r="W226" s="122"/>
      <c r="X226" s="104"/>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Gasto_o_ing_per_capita!D227-Gasto_o_ing_per_capita!$D227</f>
        <v>0</v>
      </c>
      <c r="E227" s="332">
        <f>Gasto_o_ing_per_capita!E227-Gasto_o_ing_per_capita!$D227</f>
        <v>1.318820999970967</v>
      </c>
      <c r="F227" s="332">
        <f>Gasto_o_ing_per_capita!F227-Gasto_o_ing_per_capita!$D227</f>
        <v>39.558027324565842</v>
      </c>
      <c r="G227" s="332">
        <f>Gasto_o_ing_per_capita!G227-Gasto_o_ing_per_capita!$D227</f>
        <v>-21.110118659579143</v>
      </c>
      <c r="H227" s="332">
        <f>Gasto_o_ing_per_capita!H227-Gasto_o_ing_per_capita!$D227</f>
        <v>-30.358525616142629</v>
      </c>
      <c r="I227" s="332">
        <f>Gasto_o_ing_per_capita!I227-Gasto_o_ing_per_capita!$D227</f>
        <v>-14.993155982221396</v>
      </c>
      <c r="J227" s="332">
        <f>Gasto_o_ing_per_capita!J227-Gasto_o_ing_per_capita!$D227</f>
        <v>-25.490714990487248</v>
      </c>
      <c r="K227" s="332">
        <f>Gasto_o_ing_per_capita!K227-Gasto_o_ing_per_capita!$D227</f>
        <v>-33.2215019986279</v>
      </c>
      <c r="L227" s="332">
        <f>Gasto_o_ing_per_capita!L227-Gasto_o_ing_per_capita!$D227</f>
        <v>-46.4627398371222</v>
      </c>
      <c r="M227" s="332">
        <f>Gasto_o_ing_per_capita!M227-Gasto_o_ing_per_capita!$D227</f>
        <v>67.061114148632043</v>
      </c>
      <c r="N227" s="332">
        <f>Gasto_o_ing_per_capita!N227-Gasto_o_ing_per_capita!$D227</f>
        <v>1.9664881072746709</v>
      </c>
      <c r="O227" s="332">
        <f>Gasto_o_ing_per_capita!O227-Gasto_o_ing_per_capita!$D227</f>
        <v>-43.998310417428257</v>
      </c>
      <c r="P227" s="332">
        <f>Gasto_o_ing_per_capita!P227-Gasto_o_ing_per_capita!$D227</f>
        <v>-30.574601375624127</v>
      </c>
      <c r="Q227" s="332">
        <f>Gasto_o_ing_per_capita!Q227-Gasto_o_ing_per_capita!$D227</f>
        <v>82.751503240104398</v>
      </c>
      <c r="R227" s="332">
        <f>Gasto_o_ing_per_capita!R227-Gasto_o_ing_per_capita!$D227</f>
        <v>-35.330590850459288</v>
      </c>
      <c r="S227" s="332">
        <f>Gasto_o_ing_per_capita!S227-Gasto_o_ing_per_capita!$D227</f>
        <v>-223.21701105972633</v>
      </c>
      <c r="T227" s="332">
        <f>Gasto_o_ing_per_capita!T227-Gasto_o_ing_per_capita!$D227</f>
        <v>-223.16952087793922</v>
      </c>
      <c r="U227" s="332">
        <f>Gasto_o_ing_per_capita!U227-Gasto_o_ing_per_capita!$D227</f>
        <v>-38.047333304488262</v>
      </c>
      <c r="V227" s="332">
        <f>Gasto_o_ing_per_capita!V227-Gasto_o_ing_per_capita!$D227</f>
        <v>-11.782289536746561</v>
      </c>
      <c r="W227" s="122"/>
      <c r="X227" s="104"/>
    </row>
    <row r="228" spans="1:24"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Gasto_o_ing_per_capita!D228-Gasto_o_ing_per_capita!$D228</f>
        <v>0</v>
      </c>
      <c r="E228" s="332">
        <f>Gasto_o_ing_per_capita!E228-Gasto_o_ing_per_capita!$D228</f>
        <v>0.61862765996849589</v>
      </c>
      <c r="F228" s="332">
        <f>Gasto_o_ing_per_capita!F228-Gasto_o_ing_per_capita!$D228</f>
        <v>-1.2441075893270988</v>
      </c>
      <c r="G228" s="332">
        <f>Gasto_o_ing_per_capita!G228-Gasto_o_ing_per_capita!$D228</f>
        <v>-3.353796200225192</v>
      </c>
      <c r="H228" s="332">
        <f>Gasto_o_ing_per_capita!H228-Gasto_o_ing_per_capita!$D228</f>
        <v>1.9959771210358292</v>
      </c>
      <c r="I228" s="332">
        <f>Gasto_o_ing_per_capita!I228-Gasto_o_ing_per_capita!$D228</f>
        <v>-0.1695997330715393</v>
      </c>
      <c r="J228" s="332">
        <f>Gasto_o_ing_per_capita!J228-Gasto_o_ing_per_capita!$D228</f>
        <v>1.8538152795016583</v>
      </c>
      <c r="K228" s="332">
        <f>Gasto_o_ing_per_capita!K228-Gasto_o_ing_per_capita!$D228</f>
        <v>2.0508642626366367</v>
      </c>
      <c r="L228" s="332">
        <f>Gasto_o_ing_per_capita!L228-Gasto_o_ing_per_capita!$D228</f>
        <v>2.9338030439795961</v>
      </c>
      <c r="M228" s="332">
        <f>Gasto_o_ing_per_capita!M228-Gasto_o_ing_per_capita!$D228</f>
        <v>-2.3625891013527109</v>
      </c>
      <c r="N228" s="332">
        <f>Gasto_o_ing_per_capita!N228-Gasto_o_ing_per_capita!$D228</f>
        <v>0.72962482401303141</v>
      </c>
      <c r="O228" s="332">
        <f>Gasto_o_ing_per_capita!O228-Gasto_o_ing_per_capita!$D228</f>
        <v>1.3704816095226482</v>
      </c>
      <c r="P228" s="332">
        <f>Gasto_o_ing_per_capita!P228-Gasto_o_ing_per_capita!$D228</f>
        <v>-2.9190767293556519E-2</v>
      </c>
      <c r="Q228" s="332">
        <f>Gasto_o_ing_per_capita!Q228-Gasto_o_ing_per_capita!$D228</f>
        <v>-4.2515787174101085</v>
      </c>
      <c r="R228" s="332">
        <f>Gasto_o_ing_per_capita!R228-Gasto_o_ing_per_capita!$D228</f>
        <v>1.742962176053986E-2</v>
      </c>
      <c r="S228" s="332">
        <f>Gasto_o_ing_per_capita!S228-Gasto_o_ing_per_capita!$D228</f>
        <v>9.0659096541098343</v>
      </c>
      <c r="T228" s="332">
        <f>Gasto_o_ing_per_capita!T228-Gasto_o_ing_per_capita!$D228</f>
        <v>9.0691211900699198</v>
      </c>
      <c r="U228" s="332">
        <f>Gasto_o_ing_per_capita!U228-Gasto_o_ing_per_capita!$D228</f>
        <v>1.3554053570623275</v>
      </c>
      <c r="V228" s="332">
        <f>Gasto_o_ing_per_capita!V228-Gasto_o_ing_per_capita!$D228</f>
        <v>-0.79396350731220622</v>
      </c>
      <c r="W228" s="122"/>
      <c r="X228" s="104"/>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Gasto_o_ing_per_capita!D229-Gasto_o_ing_per_capita!$D229</f>
        <v>0</v>
      </c>
      <c r="E229" s="332">
        <f>Gasto_o_ing_per_capita!E229-Gasto_o_ing_per_capita!$D229</f>
        <v>-4.4575072397867146</v>
      </c>
      <c r="F229" s="332">
        <f>Gasto_o_ing_per_capita!F229-Gasto_o_ing_per_capita!$D229</f>
        <v>6.8187916544793374</v>
      </c>
      <c r="G229" s="332">
        <f>Gasto_o_ing_per_capita!G229-Gasto_o_ing_per_capita!$D229</f>
        <v>4.9347212526805606</v>
      </c>
      <c r="H229" s="332">
        <f>Gasto_o_ing_per_capita!H229-Gasto_o_ing_per_capita!$D229</f>
        <v>-0.516864047258764</v>
      </c>
      <c r="I229" s="332">
        <f>Gasto_o_ing_per_capita!I229-Gasto_o_ing_per_capita!$D229</f>
        <v>-11.796917061632627</v>
      </c>
      <c r="J229" s="332">
        <f>Gasto_o_ing_per_capita!J229-Gasto_o_ing_per_capita!$D229</f>
        <v>-5.527160528307034</v>
      </c>
      <c r="K229" s="332">
        <f>Gasto_o_ing_per_capita!K229-Gasto_o_ing_per_capita!$D229</f>
        <v>-5.5461702129040447E-2</v>
      </c>
      <c r="L229" s="332">
        <f>Gasto_o_ing_per_capita!L229-Gasto_o_ing_per_capita!$D229</f>
        <v>-8.519883347276112</v>
      </c>
      <c r="M229" s="332">
        <f>Gasto_o_ing_per_capita!M229-Gasto_o_ing_per_capita!$D229</f>
        <v>3.8171659251874033</v>
      </c>
      <c r="N229" s="332">
        <f>Gasto_o_ing_per_capita!N229-Gasto_o_ing_per_capita!$D229</f>
        <v>-4.87698450416387</v>
      </c>
      <c r="O229" s="332">
        <f>Gasto_o_ing_per_capita!O229-Gasto_o_ing_per_capita!$D229</f>
        <v>-8.6580485088829864</v>
      </c>
      <c r="P229" s="332">
        <f>Gasto_o_ing_per_capita!P229-Gasto_o_ing_per_capita!$D229</f>
        <v>-4.4044789833313516</v>
      </c>
      <c r="Q229" s="332">
        <f>Gasto_o_ing_per_capita!Q229-Gasto_o_ing_per_capita!$D229</f>
        <v>22.053831794699697</v>
      </c>
      <c r="R229" s="332">
        <f>Gasto_o_ing_per_capita!R229-Gasto_o_ing_per_capita!$D229</f>
        <v>-1.9243498413111002</v>
      </c>
      <c r="S229" s="332">
        <f>Gasto_o_ing_per_capita!S229-Gasto_o_ing_per_capita!$D229</f>
        <v>-17.664343454357116</v>
      </c>
      <c r="T229" s="332">
        <f>Gasto_o_ing_per_capita!T229-Gasto_o_ing_per_capita!$D229</f>
        <v>-17.664343454357116</v>
      </c>
      <c r="U229" s="332">
        <f>Gasto_o_ing_per_capita!U229-Gasto_o_ing_per_capita!$D229</f>
        <v>1.5359274341666769</v>
      </c>
      <c r="V229" s="332">
        <f>Gasto_o_ing_per_capita!V229-Gasto_o_ing_per_capita!$D229</f>
        <v>-17.664343454357116</v>
      </c>
      <c r="W229" s="122"/>
      <c r="X229" s="104"/>
    </row>
    <row r="230" spans="1:24" s="102" customFormat="1">
      <c r="A230" s="351" t="str">
        <f>IF(B230="","",(IF(ISERROR(MATCH(B230,Tot_res!C:C,0)),"Eliminar!!!","")))</f>
        <v/>
      </c>
      <c r="B230" s="115" t="s">
        <v>240</v>
      </c>
      <c r="C230" s="329" t="str">
        <f>VLOOKUP(B230,Tot_res!C:D,2,FALSE)</f>
        <v>Impuestos municipales</v>
      </c>
      <c r="D230" s="332">
        <f>Gasto_o_ing_per_capita!D230-Gasto_o_ing_per_capita!$D230</f>
        <v>0</v>
      </c>
      <c r="E230" s="332">
        <f>Gasto_o_ing_per_capita!E230-Gasto_o_ing_per_capita!$D230</f>
        <v>-64.004656108671895</v>
      </c>
      <c r="F230" s="332">
        <f>Gasto_o_ing_per_capita!F230-Gasto_o_ing_per_capita!$D230</f>
        <v>-9.8812934932659005</v>
      </c>
      <c r="G230" s="332">
        <f>Gasto_o_ing_per_capita!G230-Gasto_o_ing_per_capita!$D230</f>
        <v>-18.532736934844763</v>
      </c>
      <c r="H230" s="332">
        <f>Gasto_o_ing_per_capita!H230-Gasto_o_ing_per_capita!$D230</f>
        <v>75.425088001716233</v>
      </c>
      <c r="I230" s="332">
        <f>Gasto_o_ing_per_capita!I230-Gasto_o_ing_per_capita!$D230</f>
        <v>-94.214969854583103</v>
      </c>
      <c r="J230" s="332">
        <f>Gasto_o_ing_per_capita!J230-Gasto_o_ing_per_capita!$D230</f>
        <v>23.043180398150355</v>
      </c>
      <c r="K230" s="332">
        <f>Gasto_o_ing_per_capita!K230-Gasto_o_ing_per_capita!$D230</f>
        <v>-36.722744484965517</v>
      </c>
      <c r="L230" s="332">
        <f>Gasto_o_ing_per_capita!L230-Gasto_o_ing_per_capita!$D230</f>
        <v>-53.974070335000761</v>
      </c>
      <c r="M230" s="332">
        <f>Gasto_o_ing_per_capita!M230-Gasto_o_ing_per_capita!$D230</f>
        <v>96.811172198833845</v>
      </c>
      <c r="N230" s="332">
        <f>Gasto_o_ing_per_capita!N230-Gasto_o_ing_per_capita!$D230</f>
        <v>1.9450657677485879</v>
      </c>
      <c r="O230" s="332">
        <f>Gasto_o_ing_per_capita!O230-Gasto_o_ing_per_capita!$D230</f>
        <v>-132.14688283451883</v>
      </c>
      <c r="P230" s="332">
        <f>Gasto_o_ing_per_capita!P230-Gasto_o_ing_per_capita!$D230</f>
        <v>-114.0250594360657</v>
      </c>
      <c r="Q230" s="332">
        <f>Gasto_o_ing_per_capita!Q230-Gasto_o_ing_per_capita!$D230</f>
        <v>143.74508286126616</v>
      </c>
      <c r="R230" s="332">
        <f>Gasto_o_ing_per_capita!R230-Gasto_o_ing_per_capita!$D230</f>
        <v>-42.011776185620988</v>
      </c>
      <c r="S230" s="332">
        <f>Gasto_o_ing_per_capita!S230-Gasto_o_ing_per_capita!$D230</f>
        <v>-37.214561555325645</v>
      </c>
      <c r="T230" s="332">
        <f>Gasto_o_ing_per_capita!T230-Gasto_o_ing_per_capita!$D230</f>
        <v>-87.538033988487371</v>
      </c>
      <c r="U230" s="332">
        <f>Gasto_o_ing_per_capita!U230-Gasto_o_ing_per_capita!$D230</f>
        <v>-35.544355057808787</v>
      </c>
      <c r="V230" s="332">
        <f>Gasto_o_ing_per_capita!V230-Gasto_o_ing_per_capita!$D230</f>
        <v>-255.7010078810965</v>
      </c>
      <c r="W230" s="122"/>
      <c r="X230" s="104"/>
    </row>
    <row r="231" spans="1:24" s="102" customFormat="1">
      <c r="A231" s="351" t="str">
        <f>IF(B231="","",(IF(ISERROR(MATCH(B231,Tot_res!C:C,0)),"Eliminar!!!","")))</f>
        <v/>
      </c>
      <c r="B231" s="115" t="s">
        <v>241</v>
      </c>
      <c r="C231" s="329" t="str">
        <f>VLOOKUP(B231,Tot_res!C:D,2,FALSE)</f>
        <v>Tasas municipales</v>
      </c>
      <c r="D231" s="332">
        <f>Gasto_o_ing_per_capita!D231-Gasto_o_ing_per_capita!$D231</f>
        <v>0</v>
      </c>
      <c r="E231" s="332">
        <f>Gasto_o_ing_per_capita!E231-Gasto_o_ing_per_capita!$D231</f>
        <v>-28.661627010502002</v>
      </c>
      <c r="F231" s="332">
        <f>Gasto_o_ing_per_capita!F231-Gasto_o_ing_per_capita!$D231</f>
        <v>31.221073294650523</v>
      </c>
      <c r="G231" s="332">
        <f>Gasto_o_ing_per_capita!G231-Gasto_o_ing_per_capita!$D231</f>
        <v>-23.601607579379348</v>
      </c>
      <c r="H231" s="332">
        <f>Gasto_o_ing_per_capita!H231-Gasto_o_ing_per_capita!$D231</f>
        <v>90.740828730648616</v>
      </c>
      <c r="I231" s="332">
        <f>Gasto_o_ing_per_capita!I231-Gasto_o_ing_per_capita!$D231</f>
        <v>-16.632923918408238</v>
      </c>
      <c r="J231" s="332">
        <f>Gasto_o_ing_per_capita!J231-Gasto_o_ing_per_capita!$D231</f>
        <v>18.637739204952453</v>
      </c>
      <c r="K231" s="332">
        <f>Gasto_o_ing_per_capita!K231-Gasto_o_ing_per_capita!$D231</f>
        <v>-2.1751726246258158</v>
      </c>
      <c r="L231" s="332">
        <f>Gasto_o_ing_per_capita!L231-Gasto_o_ing_per_capita!$D231</f>
        <v>1.4074153097044757</v>
      </c>
      <c r="M231" s="332">
        <f>Gasto_o_ing_per_capita!M231-Gasto_o_ing_per_capita!$D231</f>
        <v>28.875801029578611</v>
      </c>
      <c r="N231" s="332">
        <f>Gasto_o_ing_per_capita!N231-Gasto_o_ing_per_capita!$D231</f>
        <v>-27.072339882417353</v>
      </c>
      <c r="O231" s="332">
        <f>Gasto_o_ing_per_capita!O231-Gasto_o_ing_per_capita!$D231</f>
        <v>-33.172321696949382</v>
      </c>
      <c r="P231" s="332">
        <f>Gasto_o_ing_per_capita!P231-Gasto_o_ing_per_capita!$D231</f>
        <v>-22.954830300770794</v>
      </c>
      <c r="Q231" s="332">
        <f>Gasto_o_ing_per_capita!Q231-Gasto_o_ing_per_capita!$D231</f>
        <v>-6.5844042553617612</v>
      </c>
      <c r="R231" s="332">
        <f>Gasto_o_ing_per_capita!R231-Gasto_o_ing_per_capita!$D231</f>
        <v>-18.027612052281455</v>
      </c>
      <c r="S231" s="332">
        <f>Gasto_o_ing_per_capita!S231-Gasto_o_ing_per_capita!$D231</f>
        <v>107.13749195463944</v>
      </c>
      <c r="T231" s="332">
        <f>Gasto_o_ing_per_capita!T231-Gasto_o_ing_per_capita!$D231</f>
        <v>75.231228505484836</v>
      </c>
      <c r="U231" s="332">
        <f>Gasto_o_ing_per_capita!U231-Gasto_o_ing_per_capita!$D231</f>
        <v>49.022839412462332</v>
      </c>
      <c r="V231" s="332">
        <f>Gasto_o_ing_per_capita!V231-Gasto_o_ing_per_capita!$D231</f>
        <v>-69.237400761920753</v>
      </c>
      <c r="W231" s="122"/>
      <c r="X231" s="104"/>
    </row>
    <row r="232" spans="1:24" s="102" customFormat="1">
      <c r="A232" s="351" t="str">
        <f>IF(B232="","",(IF(ISERROR(MATCH(B232,Tot_res!C:C,0)),"Eliminar!!!","")))</f>
        <v/>
      </c>
      <c r="B232" s="115" t="s">
        <v>732</v>
      </c>
      <c r="C232" s="329" t="str">
        <f>VLOOKUP(B232,Tot_res!C:D,2,FALSE)</f>
        <v>Recursos REF de los municipios canarios</v>
      </c>
      <c r="D232" s="332">
        <f>Gasto_o_ing_per_capita!D232-Gasto_o_ing_per_capita!$D232</f>
        <v>0</v>
      </c>
      <c r="E232" s="332">
        <f>Gasto_o_ing_per_capita!E232-Gasto_o_ing_per_capita!$D232</f>
        <v>-5.4935207040237835</v>
      </c>
      <c r="F232" s="332">
        <f>Gasto_o_ing_per_capita!F232-Gasto_o_ing_per_capita!$D232</f>
        <v>-5.4935207040237835</v>
      </c>
      <c r="G232" s="332">
        <f>Gasto_o_ing_per_capita!G232-Gasto_o_ing_per_capita!$D232</f>
        <v>-5.4935207040237835</v>
      </c>
      <c r="H232" s="332">
        <f>Gasto_o_ing_per_capita!H232-Gasto_o_ing_per_capita!$D232</f>
        <v>-5.4935207040237835</v>
      </c>
      <c r="I232" s="332">
        <f>Gasto_o_ing_per_capita!I232-Gasto_o_ing_per_capita!$D232</f>
        <v>116.51755530728964</v>
      </c>
      <c r="J232" s="332">
        <f>Gasto_o_ing_per_capita!J232-Gasto_o_ing_per_capita!$D232</f>
        <v>-5.4935207040237835</v>
      </c>
      <c r="K232" s="332">
        <f>Gasto_o_ing_per_capita!K232-Gasto_o_ing_per_capita!$D232</f>
        <v>-5.4935207040237835</v>
      </c>
      <c r="L232" s="332">
        <f>Gasto_o_ing_per_capita!L232-Gasto_o_ing_per_capita!$D232</f>
        <v>-5.4935207040237835</v>
      </c>
      <c r="M232" s="332">
        <f>Gasto_o_ing_per_capita!M232-Gasto_o_ing_per_capita!$D232</f>
        <v>-5.4935207040237835</v>
      </c>
      <c r="N232" s="332">
        <f>Gasto_o_ing_per_capita!N232-Gasto_o_ing_per_capita!$D232</f>
        <v>-5.4935207040237835</v>
      </c>
      <c r="O232" s="332">
        <f>Gasto_o_ing_per_capita!O232-Gasto_o_ing_per_capita!$D232</f>
        <v>-5.4935207040237835</v>
      </c>
      <c r="P232" s="332">
        <f>Gasto_o_ing_per_capita!P232-Gasto_o_ing_per_capita!$D232</f>
        <v>-5.4935207040237835</v>
      </c>
      <c r="Q232" s="332">
        <f>Gasto_o_ing_per_capita!Q232-Gasto_o_ing_per_capita!$D232</f>
        <v>-5.4935207040237835</v>
      </c>
      <c r="R232" s="332">
        <f>Gasto_o_ing_per_capita!R232-Gasto_o_ing_per_capita!$D232</f>
        <v>-5.4935207040237835</v>
      </c>
      <c r="S232" s="332">
        <f>Gasto_o_ing_per_capita!S232-Gasto_o_ing_per_capita!$D232</f>
        <v>-5.4935207040237835</v>
      </c>
      <c r="T232" s="332">
        <f>Gasto_o_ing_per_capita!T232-Gasto_o_ing_per_capita!$D232</f>
        <v>-5.4935207040237835</v>
      </c>
      <c r="U232" s="332">
        <f>Gasto_o_ing_per_capita!U232-Gasto_o_ing_per_capita!$D232</f>
        <v>-5.4935207040237835</v>
      </c>
      <c r="V232" s="332">
        <f>Gasto_o_ing_per_capita!V232-Gasto_o_ing_per_capita!$D232</f>
        <v>-5.4935207040237835</v>
      </c>
      <c r="W232" s="122"/>
      <c r="X232" s="104"/>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Gasto_o_ing_per_capita!D233-Gasto_o_ing_per_capita!$D233</f>
        <v>0</v>
      </c>
      <c r="E233" s="332">
        <f>Gasto_o_ing_per_capita!E233-Gasto_o_ing_per_capita!$D233</f>
        <v>-3.5110842560373223E-2</v>
      </c>
      <c r="F233" s="332">
        <f>Gasto_o_ing_per_capita!F233-Gasto_o_ing_per_capita!$D233</f>
        <v>-0.33046651495302504</v>
      </c>
      <c r="G233" s="332">
        <f>Gasto_o_ing_per_capita!G233-Gasto_o_ing_per_capita!$D233</f>
        <v>-0.47809547321677859</v>
      </c>
      <c r="H233" s="332">
        <f>Gasto_o_ing_per_capita!H233-Gasto_o_ing_per_capita!$D233</f>
        <v>-0.75541397631954466</v>
      </c>
      <c r="I233" s="332">
        <f>Gasto_o_ing_per_capita!I233-Gasto_o_ing_per_capita!$D233</f>
        <v>-1.4331448574816295</v>
      </c>
      <c r="J233" s="332">
        <f>Gasto_o_ing_per_capita!J233-Gasto_o_ing_per_capita!$D233</f>
        <v>0.53586690388706293</v>
      </c>
      <c r="K233" s="332">
        <f>Gasto_o_ing_per_capita!K233-Gasto_o_ing_per_capita!$D233</f>
        <v>0.22103388263511792</v>
      </c>
      <c r="L233" s="332">
        <f>Gasto_o_ing_per_capita!L233-Gasto_o_ing_per_capita!$D233</f>
        <v>-0.8277962400683293</v>
      </c>
      <c r="M233" s="332">
        <f>Gasto_o_ing_per_capita!M233-Gasto_o_ing_per_capita!$D233</f>
        <v>0.42292502304086543</v>
      </c>
      <c r="N233" s="332">
        <f>Gasto_o_ing_per_capita!N233-Gasto_o_ing_per_capita!$D233</f>
        <v>0.220175458789581</v>
      </c>
      <c r="O233" s="332">
        <f>Gasto_o_ing_per_capita!O233-Gasto_o_ing_per_capita!$D233</f>
        <v>-0.14705987920318897</v>
      </c>
      <c r="P233" s="332">
        <f>Gasto_o_ing_per_capita!P233-Gasto_o_ing_per_capita!$D233</f>
        <v>-0.61605055656641494</v>
      </c>
      <c r="Q233" s="332">
        <f>Gasto_o_ing_per_capita!Q233-Gasto_o_ing_per_capita!$D233</f>
        <v>7.5867564530213594E-2</v>
      </c>
      <c r="R233" s="332">
        <f>Gasto_o_ing_per_capita!R233-Gasto_o_ing_per_capita!$D233</f>
        <v>5.0433847059970018</v>
      </c>
      <c r="S233" s="332">
        <f>Gasto_o_ing_per_capita!S233-Gasto_o_ing_per_capita!$D233</f>
        <v>-1.5715646175789013</v>
      </c>
      <c r="T233" s="332">
        <f>Gasto_o_ing_per_capita!T233-Gasto_o_ing_per_capita!$D233</f>
        <v>-1.5715646175789013</v>
      </c>
      <c r="U233" s="332">
        <f>Gasto_o_ing_per_capita!U233-Gasto_o_ing_per_capita!$D233</f>
        <v>1.0428551731624656</v>
      </c>
      <c r="V233" s="332">
        <f>Gasto_o_ing_per_capita!V233-Gasto_o_ing_per_capita!$D233</f>
        <v>-1.5715646175789013</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Gasto_o_ing_per_capita!D234-Gasto_o_ing_per_capita!$D234</f>
        <v>0</v>
      </c>
      <c r="E234" s="332">
        <f>Gasto_o_ing_per_capita!E234-Gasto_o_ing_per_capita!$D234</f>
        <v>0.94360239256017353</v>
      </c>
      <c r="F234" s="332">
        <f>Gasto_o_ing_per_capita!F234-Gasto_o_ing_per_capita!$D234</f>
        <v>1.1188266541128951</v>
      </c>
      <c r="G234" s="332">
        <f>Gasto_o_ing_per_capita!G234-Gasto_o_ing_per_capita!$D234</f>
        <v>-0.52555474387194379</v>
      </c>
      <c r="H234" s="332">
        <f>Gasto_o_ing_per_capita!H234-Gasto_o_ing_per_capita!$D234</f>
        <v>-0.49886555086414353</v>
      </c>
      <c r="I234" s="332">
        <f>Gasto_o_ing_per_capita!I234-Gasto_o_ing_per_capita!$D234</f>
        <v>6.1343443132785502E-2</v>
      </c>
      <c r="J234" s="332">
        <f>Gasto_o_ing_per_capita!J234-Gasto_o_ing_per_capita!$D234</f>
        <v>-0.52555474387194379</v>
      </c>
      <c r="K234" s="332">
        <f>Gasto_o_ing_per_capita!K234-Gasto_o_ing_per_capita!$D234</f>
        <v>-0.15886271759781168</v>
      </c>
      <c r="L234" s="332">
        <f>Gasto_o_ing_per_capita!L234-Gasto_o_ing_per_capita!$D234</f>
        <v>-0.26184361363423836</v>
      </c>
      <c r="M234" s="332">
        <f>Gasto_o_ing_per_capita!M234-Gasto_o_ing_per_capita!$D234</f>
        <v>-0.50471541870452663</v>
      </c>
      <c r="N234" s="332">
        <f>Gasto_o_ing_per_capita!N234-Gasto_o_ing_per_capita!$D234</f>
        <v>9.3175305329598945E-2</v>
      </c>
      <c r="O234" s="332">
        <f>Gasto_o_ing_per_capita!O234-Gasto_o_ing_per_capita!$D234</f>
        <v>-0.44464372574537886</v>
      </c>
      <c r="P234" s="332">
        <f>Gasto_o_ing_per_capita!P234-Gasto_o_ing_per_capita!$D234</f>
        <v>-0.52268100214950242</v>
      </c>
      <c r="Q234" s="332">
        <f>Gasto_o_ing_per_capita!Q234-Gasto_o_ing_per_capita!$D234</f>
        <v>-0.52027757384135909</v>
      </c>
      <c r="R234" s="332">
        <f>Gasto_o_ing_per_capita!R234-Gasto_o_ing_per_capita!$D234</f>
        <v>1.7021698702576247</v>
      </c>
      <c r="S234" s="332">
        <f>Gasto_o_ing_per_capita!S234-Gasto_o_ing_per_capita!$D234</f>
        <v>0.50920358209065419</v>
      </c>
      <c r="T234" s="332">
        <f>Gasto_o_ing_per_capita!T234-Gasto_o_ing_per_capita!$D234</f>
        <v>-0.52555474387194379</v>
      </c>
      <c r="U234" s="332">
        <f>Gasto_o_ing_per_capita!U234-Gasto_o_ing_per_capita!$D234</f>
        <v>-0.52555474387194379</v>
      </c>
      <c r="V234" s="332">
        <f>Gasto_o_ing_per_capita!V234-Gasto_o_ing_per_capita!$D234</f>
        <v>-0.52555474387194379</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Gasto_o_ing_per_capita!D235-Gasto_o_ing_per_capita!$D235</f>
        <v>0</v>
      </c>
      <c r="E235" s="332">
        <f>Gasto_o_ing_per_capita!E235-Gasto_o_ing_per_capita!$D235</f>
        <v>-15.071111096601095</v>
      </c>
      <c r="F235" s="332">
        <f>Gasto_o_ing_per_capita!F235-Gasto_o_ing_per_capita!$D235</f>
        <v>-15.071111096601095</v>
      </c>
      <c r="G235" s="332">
        <f>Gasto_o_ing_per_capita!G235-Gasto_o_ing_per_capita!$D235</f>
        <v>-15.071111096601095</v>
      </c>
      <c r="H235" s="332">
        <f>Gasto_o_ing_per_capita!H235-Gasto_o_ing_per_capita!$D235</f>
        <v>-15.071111096601095</v>
      </c>
      <c r="I235" s="332">
        <f>Gasto_o_ing_per_capita!I235-Gasto_o_ing_per_capita!$D235</f>
        <v>-15.071111096601095</v>
      </c>
      <c r="J235" s="332">
        <f>Gasto_o_ing_per_capita!J235-Gasto_o_ing_per_capita!$D235</f>
        <v>-15.071111096601095</v>
      </c>
      <c r="K235" s="332">
        <f>Gasto_o_ing_per_capita!K235-Gasto_o_ing_per_capita!$D235</f>
        <v>-15.071111096601095</v>
      </c>
      <c r="L235" s="332">
        <f>Gasto_o_ing_per_capita!L235-Gasto_o_ing_per_capita!$D235</f>
        <v>-15.071111096601095</v>
      </c>
      <c r="M235" s="332">
        <f>Gasto_o_ing_per_capita!M235-Gasto_o_ing_per_capita!$D235</f>
        <v>-15.071111096601095</v>
      </c>
      <c r="N235" s="332">
        <f>Gasto_o_ing_per_capita!N235-Gasto_o_ing_per_capita!$D235</f>
        <v>-15.071111096601095</v>
      </c>
      <c r="O235" s="332">
        <f>Gasto_o_ing_per_capita!O235-Gasto_o_ing_per_capita!$D235</f>
        <v>-15.071111096601095</v>
      </c>
      <c r="P235" s="332">
        <f>Gasto_o_ing_per_capita!P235-Gasto_o_ing_per_capita!$D235</f>
        <v>-15.071111096601095</v>
      </c>
      <c r="Q235" s="332">
        <f>Gasto_o_ing_per_capita!Q235-Gasto_o_ing_per_capita!$D235</f>
        <v>-15.071111096601095</v>
      </c>
      <c r="R235" s="332">
        <f>Gasto_o_ing_per_capita!R235-Gasto_o_ing_per_capita!$D235</f>
        <v>-15.071111096601095</v>
      </c>
      <c r="S235" s="332">
        <f>Gasto_o_ing_per_capita!S235-Gasto_o_ing_per_capita!$D235</f>
        <v>232.87780589546179</v>
      </c>
      <c r="T235" s="332">
        <f>Gasto_o_ing_per_capita!T235-Gasto_o_ing_per_capita!$D235</f>
        <v>233.8618625036772</v>
      </c>
      <c r="U235" s="332">
        <f>Gasto_o_ing_per_capita!U235-Gasto_o_ing_per_capita!$D235</f>
        <v>-15.071111096601095</v>
      </c>
      <c r="V235" s="332">
        <f>Gasto_o_ing_per_capita!V235-Gasto_o_ing_per_capita!$D235</f>
        <v>-15.071111096601095</v>
      </c>
      <c r="W235" s="155"/>
      <c r="X235" s="145"/>
    </row>
    <row r="236" spans="1:24">
      <c r="A236" s="352"/>
      <c r="B236" s="9"/>
      <c r="D236" s="19"/>
      <c r="E236" s="19"/>
      <c r="F236" s="19"/>
      <c r="G236" s="19"/>
      <c r="H236" s="19"/>
      <c r="I236" s="19"/>
      <c r="J236" s="19"/>
      <c r="K236" s="19"/>
      <c r="L236" s="19"/>
      <c r="M236" s="19"/>
      <c r="N236" s="19"/>
      <c r="O236" s="19"/>
      <c r="P236" s="19"/>
      <c r="Q236" s="19"/>
      <c r="R236" s="19"/>
      <c r="S236" s="19"/>
      <c r="T236" s="19"/>
      <c r="U236" s="19"/>
      <c r="V236" s="19"/>
      <c r="W236" s="21"/>
      <c r="X236" s="22"/>
    </row>
    <row r="237" spans="1:24"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c r="W237" s="155"/>
      <c r="X237" s="146"/>
    </row>
    <row r="238" spans="1:24" s="102" customFormat="1" ht="27">
      <c r="A238" s="358"/>
      <c r="B238" s="115"/>
      <c r="C238" s="128" t="s">
        <v>23</v>
      </c>
      <c r="D238" s="113">
        <f>Gasto_o_ing_per_capita!D238-Gasto_o_ing_per_capita!$D238</f>
        <v>0</v>
      </c>
      <c r="E238" s="113">
        <f>Gasto_o_ing_per_capita!E238-Gasto_o_ing_per_capita!$D238</f>
        <v>-22.426255788046461</v>
      </c>
      <c r="F238" s="113">
        <f>Gasto_o_ing_per_capita!F238-Gasto_o_ing_per_capita!$D238</f>
        <v>130.44497196350272</v>
      </c>
      <c r="G238" s="113">
        <f>Gasto_o_ing_per_capita!G238-Gasto_o_ing_per_capita!$D238</f>
        <v>107.54560226459654</v>
      </c>
      <c r="H238" s="113">
        <f>Gasto_o_ing_per_capita!H238-Gasto_o_ing_per_capita!$D238</f>
        <v>-55.437291943419638</v>
      </c>
      <c r="I238" s="113">
        <f>Gasto_o_ing_per_capita!I238-Gasto_o_ing_per_capita!$D238</f>
        <v>-28.695018852856265</v>
      </c>
      <c r="J238" s="113">
        <f>Gasto_o_ing_per_capita!J238-Gasto_o_ing_per_capita!$D238</f>
        <v>51.467975099756131</v>
      </c>
      <c r="K238" s="113">
        <f>Gasto_o_ing_per_capita!K238-Gasto_o_ing_per_capita!$D238</f>
        <v>189.55172696602335</v>
      </c>
      <c r="L238" s="113">
        <f>Gasto_o_ing_per_capita!L238-Gasto_o_ing_per_capita!$D238</f>
        <v>7.5963163228617248</v>
      </c>
      <c r="M238" s="113">
        <f>Gasto_o_ing_per_capita!M238-Gasto_o_ing_per_capita!$D238</f>
        <v>-40.255354207880387</v>
      </c>
      <c r="N238" s="113">
        <f>Gasto_o_ing_per_capita!N238-Gasto_o_ing_per_capita!$D238</f>
        <v>-72.93090446823328</v>
      </c>
      <c r="O238" s="113">
        <f>Gasto_o_ing_per_capita!O238-Gasto_o_ing_per_capita!$D238</f>
        <v>43.757094443126078</v>
      </c>
      <c r="P238" s="113">
        <f>Gasto_o_ing_per_capita!P238-Gasto_o_ing_per_capita!$D238</f>
        <v>107.88467346135155</v>
      </c>
      <c r="Q238" s="113">
        <f>Gasto_o_ing_per_capita!Q238-Gasto_o_ing_per_capita!$D238</f>
        <v>-42.559481500459611</v>
      </c>
      <c r="R238" s="113">
        <f>Gasto_o_ing_per_capita!R238-Gasto_o_ing_per_capita!$D238</f>
        <v>-38.318329137393704</v>
      </c>
      <c r="S238" s="113">
        <f>Gasto_o_ing_per_capita!S238-Gasto_o_ing_per_capita!$D238</f>
        <v>10.907450562798488</v>
      </c>
      <c r="T238" s="113">
        <f>Gasto_o_ing_per_capita!T238-Gasto_o_ing_per_capita!$D238</f>
        <v>56.065736834169201</v>
      </c>
      <c r="U238" s="113">
        <f>Gasto_o_ing_per_capita!U238-Gasto_o_ing_per_capita!$D238</f>
        <v>44.978667488107732</v>
      </c>
      <c r="V238" s="113">
        <f>Gasto_o_ing_per_capita!V238-Gasto_o_ing_per_capita!$D238</f>
        <v>98.54085094054372</v>
      </c>
      <c r="W238" s="155"/>
      <c r="X238" s="146"/>
    </row>
    <row r="239" spans="1:24" s="102" customFormat="1">
      <c r="A239" s="351" t="str">
        <f>IF(B239="","",(IF(ISERROR(MATCH(B239,Tot_res!C:C,0)),"Eliminar!!!","")))</f>
        <v/>
      </c>
      <c r="B239" s="115" t="s">
        <v>246</v>
      </c>
      <c r="C239" s="329" t="str">
        <f>VLOOKUP(B239,Tot_res!C:D,2,FALSE)</f>
        <v>Gestión de recursos hídricos para el regadío</v>
      </c>
      <c r="D239" s="332">
        <f>Gasto_o_ing_per_capita!D239-Gasto_o_ing_per_capita!$D239</f>
        <v>0</v>
      </c>
      <c r="E239" s="332">
        <f>Gasto_o_ing_per_capita!E239-Gasto_o_ing_per_capita!$D239</f>
        <v>0.59024583579841061</v>
      </c>
      <c r="F239" s="332">
        <f>Gasto_o_ing_per_capita!F239-Gasto_o_ing_per_capita!$D239</f>
        <v>0.28568342600241148</v>
      </c>
      <c r="G239" s="332">
        <f>Gasto_o_ing_per_capita!G239-Gasto_o_ing_per_capita!$D239</f>
        <v>-0.64366491728962805</v>
      </c>
      <c r="H239" s="332">
        <f>Gasto_o_ing_per_capita!H239-Gasto_o_ing_per_capita!$D239</f>
        <v>2.2177274332360115</v>
      </c>
      <c r="I239" s="332">
        <f>Gasto_o_ing_per_capita!I239-Gasto_o_ing_per_capita!$D239</f>
        <v>-0.51846366636682739</v>
      </c>
      <c r="J239" s="332">
        <f>Gasto_o_ing_per_capita!J239-Gasto_o_ing_per_capita!$D239</f>
        <v>-0.64366491728962805</v>
      </c>
      <c r="K239" s="332">
        <f>Gasto_o_ing_per_capita!K239-Gasto_o_ing_per_capita!$D239</f>
        <v>5.4135769433140135E-2</v>
      </c>
      <c r="L239" s="332">
        <f>Gasto_o_ing_per_capita!L239-Gasto_o_ing_per_capita!$D239</f>
        <v>-0.64366491728962805</v>
      </c>
      <c r="M239" s="332">
        <f>Gasto_o_ing_per_capita!M239-Gasto_o_ing_per_capita!$D239</f>
        <v>-0.4064807472413009</v>
      </c>
      <c r="N239" s="332">
        <f>Gasto_o_ing_per_capita!N239-Gasto_o_ing_per_capita!$D239</f>
        <v>1.1703107495840337</v>
      </c>
      <c r="O239" s="332">
        <f>Gasto_o_ing_per_capita!O239-Gasto_o_ing_per_capita!$D239</f>
        <v>-0.64366491728962805</v>
      </c>
      <c r="P239" s="332">
        <f>Gasto_o_ing_per_capita!P239-Gasto_o_ing_per_capita!$D239</f>
        <v>-0.64366491728962805</v>
      </c>
      <c r="Q239" s="332">
        <f>Gasto_o_ing_per_capita!Q239-Gasto_o_ing_per_capita!$D239</f>
        <v>-0.64366491728962805</v>
      </c>
      <c r="R239" s="332">
        <f>Gasto_o_ing_per_capita!R239-Gasto_o_ing_per_capita!$D239</f>
        <v>-0.64366491728962805</v>
      </c>
      <c r="S239" s="332">
        <f>Gasto_o_ing_per_capita!S239-Gasto_o_ing_per_capita!$D239</f>
        <v>-0.64366491728962805</v>
      </c>
      <c r="T239" s="332">
        <f>Gasto_o_ing_per_capita!T239-Gasto_o_ing_per_capita!$D239</f>
        <v>0.10515658645099801</v>
      </c>
      <c r="U239" s="332">
        <f>Gasto_o_ing_per_capita!U239-Gasto_o_ing_per_capita!$D239</f>
        <v>1.9684021987319085</v>
      </c>
      <c r="V239" s="332">
        <f>Gasto_o_ing_per_capita!V239-Gasto_o_ing_per_capita!$D239</f>
        <v>-0.64366491728962805</v>
      </c>
      <c r="W239" s="155"/>
      <c r="X239" s="146"/>
    </row>
    <row r="240" spans="1:24" s="102" customFormat="1">
      <c r="A240" s="351" t="str">
        <f>IF(B240="","",(IF(ISERROR(MATCH(B240,Tot_res!C:C,0)),"Eliminar!!!","")))</f>
        <v/>
      </c>
      <c r="B240" s="115" t="s">
        <v>247</v>
      </c>
      <c r="C240" s="329" t="str">
        <f>VLOOKUP(B240,Tot_res!C:D,2,FALSE)</f>
        <v>Subvenciones y apoyo al transporte terrestre</v>
      </c>
      <c r="D240" s="332">
        <f>Gasto_o_ing_per_capita!D240-Gasto_o_ing_per_capita!$D240</f>
        <v>0</v>
      </c>
      <c r="E240" s="332">
        <f>Gasto_o_ing_per_capita!E240-Gasto_o_ing_per_capita!$D240</f>
        <v>-12.329780348151733</v>
      </c>
      <c r="F240" s="332">
        <f>Gasto_o_ing_per_capita!F240-Gasto_o_ing_per_capita!$D240</f>
        <v>-2.697168994148047</v>
      </c>
      <c r="G240" s="332">
        <f>Gasto_o_ing_per_capita!G240-Gasto_o_ing_per_capita!$D240</f>
        <v>-9.6695596718998349</v>
      </c>
      <c r="H240" s="332">
        <f>Gasto_o_ing_per_capita!H240-Gasto_o_ing_per_capita!$D240</f>
        <v>-19.537212170471179</v>
      </c>
      <c r="I240" s="332">
        <f>Gasto_o_ing_per_capita!I240-Gasto_o_ing_per_capita!$D240</f>
        <v>-9.0860804220285534</v>
      </c>
      <c r="J240" s="332">
        <f>Gasto_o_ing_per_capita!J240-Gasto_o_ing_per_capita!$D240</f>
        <v>-12.093970313213605</v>
      </c>
      <c r="K240" s="332">
        <f>Gasto_o_ing_per_capita!K240-Gasto_o_ing_per_capita!$D240</f>
        <v>-15.631315817417553</v>
      </c>
      <c r="L240" s="332">
        <f>Gasto_o_ing_per_capita!L240-Gasto_o_ing_per_capita!$D240</f>
        <v>-9.4433695553857646</v>
      </c>
      <c r="M240" s="332">
        <f>Gasto_o_ing_per_capita!M240-Gasto_o_ing_per_capita!$D240</f>
        <v>20.988886627821948</v>
      </c>
      <c r="N240" s="332">
        <f>Gasto_o_ing_per_capita!N240-Gasto_o_ing_per_capita!$D240</f>
        <v>-7.952283695616913</v>
      </c>
      <c r="O240" s="332">
        <f>Gasto_o_ing_per_capita!O240-Gasto_o_ing_per_capita!$D240</f>
        <v>-16.188116682646225</v>
      </c>
      <c r="P240" s="332">
        <f>Gasto_o_ing_per_capita!P240-Gasto_o_ing_per_capita!$D240</f>
        <v>-10.102107758533425</v>
      </c>
      <c r="Q240" s="332">
        <f>Gasto_o_ing_per_capita!Q240-Gasto_o_ing_per_capita!$D240</f>
        <v>30.445050573102463</v>
      </c>
      <c r="R240" s="332">
        <f>Gasto_o_ing_per_capita!R240-Gasto_o_ing_per_capita!$D240</f>
        <v>-14.719270454704773</v>
      </c>
      <c r="S240" s="332">
        <f>Gasto_o_ing_per_capita!S240-Gasto_o_ing_per_capita!$D240</f>
        <v>1.8180933445036516</v>
      </c>
      <c r="T240" s="332">
        <f>Gasto_o_ing_per_capita!T240-Gasto_o_ing_per_capita!$D240</f>
        <v>-10.321171836295493</v>
      </c>
      <c r="U240" s="332">
        <f>Gasto_o_ing_per_capita!U240-Gasto_o_ing_per_capita!$D240</f>
        <v>2.5239399729096768</v>
      </c>
      <c r="V240" s="332">
        <f>Gasto_o_ing_per_capita!V240-Gasto_o_ing_per_capita!$D240</f>
        <v>-18.256133790357026</v>
      </c>
      <c r="W240" s="155"/>
      <c r="X240" s="146"/>
    </row>
    <row r="241" spans="1:24" s="102" customFormat="1">
      <c r="A241" s="351" t="str">
        <f>IF(B241="","",(IF(ISERROR(MATCH(B241,Tot_res!C:C,0)),"Eliminar!!!","")))</f>
        <v/>
      </c>
      <c r="B241" s="115" t="s">
        <v>248</v>
      </c>
      <c r="C241" s="329" t="str">
        <f>VLOOKUP(B241,Tot_res!C:D,2,FALSE)</f>
        <v>Estudios y servicios de asistencia técnica en obras públicas y urbanismo</v>
      </c>
      <c r="D241" s="332">
        <f>Gasto_o_ing_per_capita!D241-Gasto_o_ing_per_capita!$D241</f>
        <v>0</v>
      </c>
      <c r="E241" s="332">
        <f>Gasto_o_ing_per_capita!E241-Gasto_o_ing_per_capita!$D241</f>
        <v>-8.8789063472967111E-2</v>
      </c>
      <c r="F241" s="332">
        <f>Gasto_o_ing_per_capita!F241-Gasto_o_ing_per_capita!$D241</f>
        <v>0.47953961793959066</v>
      </c>
      <c r="G241" s="332">
        <f>Gasto_o_ing_per_capita!G241-Gasto_o_ing_per_capita!$D241</f>
        <v>0.40035182105612677</v>
      </c>
      <c r="H241" s="332">
        <f>Gasto_o_ing_per_capita!H241-Gasto_o_ing_per_capita!$D241</f>
        <v>-0.20002057188961825</v>
      </c>
      <c r="I241" s="332">
        <f>Gasto_o_ing_per_capita!I241-Gasto_o_ing_per_capita!$D241</f>
        <v>-0.26629381765830751</v>
      </c>
      <c r="J241" s="332">
        <f>Gasto_o_ing_per_capita!J241-Gasto_o_ing_per_capita!$D241</f>
        <v>0.17740211940291184</v>
      </c>
      <c r="K241" s="332">
        <f>Gasto_o_ing_per_capita!K241-Gasto_o_ing_per_capita!$D241</f>
        <v>0.68667921312541458</v>
      </c>
      <c r="L241" s="332">
        <f>Gasto_o_ing_per_capita!L241-Gasto_o_ing_per_capita!$D241</f>
        <v>0.13497016695653297</v>
      </c>
      <c r="M241" s="332">
        <f>Gasto_o_ing_per_capita!M241-Gasto_o_ing_per_capita!$D241</f>
        <v>-0.17997651047277435</v>
      </c>
      <c r="N241" s="332">
        <f>Gasto_o_ing_per_capita!N241-Gasto_o_ing_per_capita!$D241</f>
        <v>-0.13976395846858114</v>
      </c>
      <c r="O241" s="332">
        <f>Gasto_o_ing_per_capita!O241-Gasto_o_ing_per_capita!$D241</f>
        <v>0.18692633209915666</v>
      </c>
      <c r="P241" s="332">
        <f>Gasto_o_ing_per_capita!P241-Gasto_o_ing_per_capita!$D241</f>
        <v>0.36771085003559456</v>
      </c>
      <c r="Q241" s="332">
        <f>Gasto_o_ing_per_capita!Q241-Gasto_o_ing_per_capita!$D241</f>
        <v>-0.1630808952391094</v>
      </c>
      <c r="R241" s="332">
        <f>Gasto_o_ing_per_capita!R241-Gasto_o_ing_per_capita!$D241</f>
        <v>-1.014971475660531E-2</v>
      </c>
      <c r="S241" s="332">
        <f>Gasto_o_ing_per_capita!S241-Gasto_o_ing_per_capita!$D241</f>
        <v>0.13797179267468118</v>
      </c>
      <c r="T241" s="332">
        <f>Gasto_o_ing_per_capita!T241-Gasto_o_ing_per_capita!$D241</f>
        <v>4.335197535227886E-2</v>
      </c>
      <c r="U241" s="332">
        <f>Gasto_o_ing_per_capita!U241-Gasto_o_ing_per_capita!$D241</f>
        <v>0.35012273644742353</v>
      </c>
      <c r="V241" s="332">
        <f>Gasto_o_ing_per_capita!V241-Gasto_o_ing_per_capita!$D241</f>
        <v>-5.8773201322623203E-2</v>
      </c>
      <c r="W241" s="155"/>
      <c r="X241" s="146"/>
    </row>
    <row r="242" spans="1:24" s="102" customFormat="1">
      <c r="A242" s="351" t="str">
        <f>IF(B242="","",(IF(ISERROR(MATCH(B242,Tot_res!C:C,0)),"Eliminar!!!","")))</f>
        <v/>
      </c>
      <c r="B242" s="115" t="s">
        <v>249</v>
      </c>
      <c r="C242" s="329" t="str">
        <f>VLOOKUP(B242,Tot_res!C:D,2,FALSE)</f>
        <v>Dirección y servicios generales de fomento</v>
      </c>
      <c r="D242" s="332">
        <f>Gasto_o_ing_per_capita!D242-Gasto_o_ing_per_capita!$D242</f>
        <v>0</v>
      </c>
      <c r="E242" s="332">
        <f>Gasto_o_ing_per_capita!E242-Gasto_o_ing_per_capita!$D242</f>
        <v>-0.32764748520787634</v>
      </c>
      <c r="F242" s="332">
        <f>Gasto_o_ing_per_capita!F242-Gasto_o_ing_per_capita!$D242</f>
        <v>0.40026014684964961</v>
      </c>
      <c r="G242" s="332">
        <f>Gasto_o_ing_per_capita!G242-Gasto_o_ing_per_capita!$D242</f>
        <v>0.7611809164493426</v>
      </c>
      <c r="H242" s="332">
        <f>Gasto_o_ing_per_capita!H242-Gasto_o_ing_per_capita!$D242</f>
        <v>-0.53216686173599137</v>
      </c>
      <c r="I242" s="332">
        <f>Gasto_o_ing_per_capita!I242-Gasto_o_ing_per_capita!$D242</f>
        <v>-0.69413022770206956</v>
      </c>
      <c r="J242" s="332">
        <f>Gasto_o_ing_per_capita!J242-Gasto_o_ing_per_capita!$D242</f>
        <v>0.38759724042474142</v>
      </c>
      <c r="K242" s="332">
        <f>Gasto_o_ing_per_capita!K242-Gasto_o_ing_per_capita!$D242</f>
        <v>1.1911903077922124</v>
      </c>
      <c r="L242" s="332">
        <f>Gasto_o_ing_per_capita!L242-Gasto_o_ing_per_capita!$D242</f>
        <v>0.14869351974521727</v>
      </c>
      <c r="M242" s="332">
        <f>Gasto_o_ing_per_capita!M242-Gasto_o_ing_per_capita!$D242</f>
        <v>-0.35955438097983805</v>
      </c>
      <c r="N242" s="332">
        <f>Gasto_o_ing_per_capita!N242-Gasto_o_ing_per_capita!$D242</f>
        <v>-0.44409043743822729</v>
      </c>
      <c r="O242" s="332">
        <f>Gasto_o_ing_per_capita!O242-Gasto_o_ing_per_capita!$D242</f>
        <v>-0.31178895410850815</v>
      </c>
      <c r="P242" s="332">
        <f>Gasto_o_ing_per_capita!P242-Gasto_o_ing_per_capita!$D242</f>
        <v>3.0985260873925351</v>
      </c>
      <c r="Q242" s="332">
        <f>Gasto_o_ing_per_capita!Q242-Gasto_o_ing_per_capita!$D242</f>
        <v>-0.30460568632722973</v>
      </c>
      <c r="R242" s="332">
        <f>Gasto_o_ing_per_capita!R242-Gasto_o_ing_per_capita!$D242</f>
        <v>-0.63221486313635333</v>
      </c>
      <c r="S242" s="332">
        <f>Gasto_o_ing_per_capita!S242-Gasto_o_ing_per_capita!$D242</f>
        <v>5.0868613968606979E-2</v>
      </c>
      <c r="T242" s="332">
        <f>Gasto_o_ing_per_capita!T242-Gasto_o_ing_per_capita!$D242</f>
        <v>-0.14973965875550288</v>
      </c>
      <c r="U242" s="332">
        <f>Gasto_o_ing_per_capita!U242-Gasto_o_ing_per_capita!$D242</f>
        <v>0.28650371554677401</v>
      </c>
      <c r="V242" s="332">
        <f>Gasto_o_ing_per_capita!V242-Gasto_o_ing_per_capita!$D242</f>
        <v>-0.96152503687470814</v>
      </c>
      <c r="W242" s="155"/>
      <c r="X242" s="146"/>
    </row>
    <row r="243" spans="1:24"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Gasto_o_ing_per_capita!D243-Gasto_o_ing_per_capita!$D243</f>
        <v>0</v>
      </c>
      <c r="E243" s="332">
        <f>Gasto_o_ing_per_capita!E243-Gasto_o_ing_per_capita!$D243</f>
        <v>-3.0043452224297384E-2</v>
      </c>
      <c r="F243" s="332">
        <f>Gasto_o_ing_per_capita!F243-Gasto_o_ing_per_capita!$D243</f>
        <v>1.5026682250074501</v>
      </c>
      <c r="G243" s="332">
        <f>Gasto_o_ing_per_capita!G243-Gasto_o_ing_per_capita!$D243</f>
        <v>8.6473760179929471E-2</v>
      </c>
      <c r="H243" s="332">
        <f>Gasto_o_ing_per_capita!H243-Gasto_o_ing_per_capita!$D243</f>
        <v>-0.4725948440418275</v>
      </c>
      <c r="I243" s="332">
        <f>Gasto_o_ing_per_capita!I243-Gasto_o_ing_per_capita!$D243</f>
        <v>-0.20691065074247694</v>
      </c>
      <c r="J243" s="332">
        <f>Gasto_o_ing_per_capita!J243-Gasto_o_ing_per_capita!$D243</f>
        <v>-0.19584086967344194</v>
      </c>
      <c r="K243" s="332">
        <f>Gasto_o_ing_per_capita!K243-Gasto_o_ing_per_capita!$D243</f>
        <v>0.70376949800115551</v>
      </c>
      <c r="L243" s="332">
        <f>Gasto_o_ing_per_capita!L243-Gasto_o_ing_per_capita!$D243</f>
        <v>0.51828596024242746</v>
      </c>
      <c r="M243" s="332">
        <f>Gasto_o_ing_per_capita!M243-Gasto_o_ing_per_capita!$D243</f>
        <v>-0.56597617913589537</v>
      </c>
      <c r="N243" s="332">
        <f>Gasto_o_ing_per_capita!N243-Gasto_o_ing_per_capita!$D243</f>
        <v>-0.17814690314386583</v>
      </c>
      <c r="O243" s="332">
        <f>Gasto_o_ing_per_capita!O243-Gasto_o_ing_per_capita!$D243</f>
        <v>1.9881376151885217</v>
      </c>
      <c r="P243" s="332">
        <f>Gasto_o_ing_per_capita!P243-Gasto_o_ing_per_capita!$D243</f>
        <v>-0.26248497061551923</v>
      </c>
      <c r="Q243" s="332">
        <f>Gasto_o_ing_per_capita!Q243-Gasto_o_ing_per_capita!$D243</f>
        <v>-0.41630737492368353</v>
      </c>
      <c r="R243" s="332">
        <f>Gasto_o_ing_per_capita!R243-Gasto_o_ing_per_capita!$D243</f>
        <v>1.4115686478603033</v>
      </c>
      <c r="S243" s="332">
        <f>Gasto_o_ing_per_capita!S243-Gasto_o_ing_per_capita!$D243</f>
        <v>-5.700803578716207E-2</v>
      </c>
      <c r="T243" s="332">
        <f>Gasto_o_ing_per_capita!T243-Gasto_o_ing_per_capita!$D243</f>
        <v>-2.225492590579381E-2</v>
      </c>
      <c r="U243" s="332">
        <f>Gasto_o_ing_per_capita!U243-Gasto_o_ing_per_capita!$D243</f>
        <v>1.5034402075932676</v>
      </c>
      <c r="V243" s="332">
        <f>Gasto_o_ing_per_capita!V243-Gasto_o_ing_per_capita!$D243</f>
        <v>1.9335128622127742</v>
      </c>
      <c r="W243" s="155"/>
      <c r="X243" s="146"/>
    </row>
    <row r="244" spans="1:24" s="102" customFormat="1">
      <c r="A244" s="351" t="str">
        <f>IF(B244="","",(IF(ISERROR(MATCH(B244,Tot_res!C:C,0)),"Eliminar!!!","")))</f>
        <v/>
      </c>
      <c r="B244" s="115" t="s">
        <v>250</v>
      </c>
      <c r="C244" s="329" t="str">
        <f>VLOOKUP(B244,Tot_res!C:D,2,FALSE)</f>
        <v>Gestión e infraestructuras del agua</v>
      </c>
      <c r="D244" s="332">
        <f>Gasto_o_ing_per_capita!D244-Gasto_o_ing_per_capita!$D244</f>
        <v>0</v>
      </c>
      <c r="E244" s="332">
        <f>Gasto_o_ing_per_capita!E244-Gasto_o_ing_per_capita!$D244</f>
        <v>0.20215522114023798</v>
      </c>
      <c r="F244" s="332">
        <f>Gasto_o_ing_per_capita!F244-Gasto_o_ing_per_capita!$D244</f>
        <v>49.018077622293248</v>
      </c>
      <c r="G244" s="332">
        <f>Gasto_o_ing_per_capita!G244-Gasto_o_ing_per_capita!$D244</f>
        <v>-14.857354271552296</v>
      </c>
      <c r="H244" s="332">
        <f>Gasto_o_ing_per_capita!H244-Gasto_o_ing_per_capita!$D244</f>
        <v>-20.038145070800713</v>
      </c>
      <c r="I244" s="332">
        <f>Gasto_o_ing_per_capita!I244-Gasto_o_ing_per_capita!$D244</f>
        <v>-9.3473270676360194</v>
      </c>
      <c r="J244" s="332">
        <f>Gasto_o_ing_per_capita!J244-Gasto_o_ing_per_capita!$D244</f>
        <v>-14.52367593974725</v>
      </c>
      <c r="K244" s="332">
        <f>Gasto_o_ing_per_capita!K244-Gasto_o_ing_per_capita!$D244</f>
        <v>27.686971236746778</v>
      </c>
      <c r="L244" s="332">
        <f>Gasto_o_ing_per_capita!L244-Gasto_o_ing_per_capita!$D244</f>
        <v>19.946771540150536</v>
      </c>
      <c r="M244" s="332">
        <f>Gasto_o_ing_per_capita!M244-Gasto_o_ing_per_capita!$D244</f>
        <v>-19.344953075045609</v>
      </c>
      <c r="N244" s="332">
        <f>Gasto_o_ing_per_capita!N244-Gasto_o_ing_per_capita!$D244</f>
        <v>-4.9445832001084327</v>
      </c>
      <c r="O244" s="332">
        <f>Gasto_o_ing_per_capita!O244-Gasto_o_ing_per_capita!$D244</f>
        <v>65.292673395052461</v>
      </c>
      <c r="P244" s="332">
        <f>Gasto_o_ing_per_capita!P244-Gasto_o_ing_per_capita!$D244</f>
        <v>-13.169969805159862</v>
      </c>
      <c r="Q244" s="332">
        <f>Gasto_o_ing_per_capita!Q244-Gasto_o_ing_per_capita!$D244</f>
        <v>-12.261932114113394</v>
      </c>
      <c r="R244" s="332">
        <f>Gasto_o_ing_per_capita!R244-Gasto_o_ing_per_capita!$D244</f>
        <v>66.213828777680078</v>
      </c>
      <c r="S244" s="332">
        <f>Gasto_o_ing_per_capita!S244-Gasto_o_ing_per_capita!$D244</f>
        <v>2.316354372133226</v>
      </c>
      <c r="T244" s="332">
        <f>Gasto_o_ing_per_capita!T244-Gasto_o_ing_per_capita!$D244</f>
        <v>-12.958425483129709</v>
      </c>
      <c r="U244" s="332">
        <f>Gasto_o_ing_per_capita!U244-Gasto_o_ing_per_capita!$D244</f>
        <v>66.529673279714075</v>
      </c>
      <c r="V244" s="332">
        <f>Gasto_o_ing_per_capita!V244-Gasto_o_ing_per_capita!$D244</f>
        <v>68.713191347054618</v>
      </c>
      <c r="W244" s="155"/>
      <c r="X244" s="145"/>
    </row>
    <row r="245" spans="1:24" s="102" customFormat="1">
      <c r="A245" s="351" t="str">
        <f>IF(B245="","",(IF(ISERROR(MATCH(B245,Tot_res!C:C,0)),"Eliminar!!!","")))</f>
        <v/>
      </c>
      <c r="B245" s="115" t="s">
        <v>251</v>
      </c>
      <c r="C245" s="329" t="str">
        <f>VLOOKUP(B245,Tot_res!C:D,2,FALSE)</f>
        <v>Normativa y ordenac. territorial recursos hídricos</v>
      </c>
      <c r="D245" s="332">
        <f>Gasto_o_ing_per_capita!D245-Gasto_o_ing_per_capita!$D245</f>
        <v>0</v>
      </c>
      <c r="E245" s="332">
        <f>Gasto_o_ing_per_capita!E245-Gasto_o_ing_per_capita!$D245</f>
        <v>0</v>
      </c>
      <c r="F245" s="332">
        <f>Gasto_o_ing_per_capita!F245-Gasto_o_ing_per_capita!$D245</f>
        <v>0</v>
      </c>
      <c r="G245" s="332">
        <f>Gasto_o_ing_per_capita!G245-Gasto_o_ing_per_capita!$D245</f>
        <v>0</v>
      </c>
      <c r="H245" s="332">
        <f>Gasto_o_ing_per_capita!H245-Gasto_o_ing_per_capita!$D245</f>
        <v>0</v>
      </c>
      <c r="I245" s="332">
        <f>Gasto_o_ing_per_capita!I245-Gasto_o_ing_per_capita!$D245</f>
        <v>0</v>
      </c>
      <c r="J245" s="332">
        <f>Gasto_o_ing_per_capita!J245-Gasto_o_ing_per_capita!$D245</f>
        <v>0</v>
      </c>
      <c r="K245" s="332">
        <f>Gasto_o_ing_per_capita!K245-Gasto_o_ing_per_capita!$D245</f>
        <v>0</v>
      </c>
      <c r="L245" s="332">
        <f>Gasto_o_ing_per_capita!L245-Gasto_o_ing_per_capita!$D245</f>
        <v>0</v>
      </c>
      <c r="M245" s="332">
        <f>Gasto_o_ing_per_capita!M245-Gasto_o_ing_per_capita!$D245</f>
        <v>0</v>
      </c>
      <c r="N245" s="332">
        <f>Gasto_o_ing_per_capita!N245-Gasto_o_ing_per_capita!$D245</f>
        <v>0</v>
      </c>
      <c r="O245" s="332">
        <f>Gasto_o_ing_per_capita!O245-Gasto_o_ing_per_capita!$D245</f>
        <v>0</v>
      </c>
      <c r="P245" s="332">
        <f>Gasto_o_ing_per_capita!P245-Gasto_o_ing_per_capita!$D245</f>
        <v>0</v>
      </c>
      <c r="Q245" s="332">
        <f>Gasto_o_ing_per_capita!Q245-Gasto_o_ing_per_capita!$D245</f>
        <v>0</v>
      </c>
      <c r="R245" s="332">
        <f>Gasto_o_ing_per_capita!R245-Gasto_o_ing_per_capita!$D245</f>
        <v>0</v>
      </c>
      <c r="S245" s="332">
        <f>Gasto_o_ing_per_capita!S245-Gasto_o_ing_per_capita!$D245</f>
        <v>0</v>
      </c>
      <c r="T245" s="332">
        <f>Gasto_o_ing_per_capita!T245-Gasto_o_ing_per_capita!$D245</f>
        <v>0</v>
      </c>
      <c r="U245" s="332">
        <f>Gasto_o_ing_per_capita!U245-Gasto_o_ing_per_capita!$D245</f>
        <v>0</v>
      </c>
      <c r="V245" s="332">
        <f>Gasto_o_ing_per_capita!V245-Gasto_o_ing_per_capita!$D245</f>
        <v>0</v>
      </c>
      <c r="W245" s="155"/>
      <c r="X245" s="145"/>
    </row>
    <row r="246" spans="1:24" s="102" customFormat="1">
      <c r="A246" s="351" t="str">
        <f>IF(B246="","",(IF(ISERROR(MATCH(B246,Tot_res!C:C,0)),"Eliminar!!!","")))</f>
        <v/>
      </c>
      <c r="B246" s="115" t="s">
        <v>252</v>
      </c>
      <c r="C246" s="329" t="str">
        <f>VLOOKUP(B246,Tot_res!C:D,2,FALSE)</f>
        <v>Infraestructura del transporte ferroviario + AF10 (no se ha hecho)</v>
      </c>
      <c r="D246" s="332">
        <f>Gasto_o_ing_per_capita!D246-Gasto_o_ing_per_capita!$D246</f>
        <v>0</v>
      </c>
      <c r="E246" s="332">
        <f>Gasto_o_ing_per_capita!E246-Gasto_o_ing_per_capita!$D246</f>
        <v>2.7564482654331792</v>
      </c>
      <c r="F246" s="332">
        <f>Gasto_o_ing_per_capita!F246-Gasto_o_ing_per_capita!$D246</f>
        <v>-1.9171273193922678</v>
      </c>
      <c r="G246" s="332">
        <f>Gasto_o_ing_per_capita!G246-Gasto_o_ing_per_capita!$D246</f>
        <v>1.0677670566166215</v>
      </c>
      <c r="H246" s="332">
        <f>Gasto_o_ing_per_capita!H246-Gasto_o_ing_per_capita!$D246</f>
        <v>0.75558392942396368</v>
      </c>
      <c r="I246" s="332">
        <f>Gasto_o_ing_per_capita!I246-Gasto_o_ing_per_capita!$D246</f>
        <v>3.3035960442914627</v>
      </c>
      <c r="J246" s="332">
        <f>Gasto_o_ing_per_capita!J246-Gasto_o_ing_per_capita!$D246</f>
        <v>-0.8900721029572991</v>
      </c>
      <c r="K246" s="332">
        <f>Gasto_o_ing_per_capita!K246-Gasto_o_ing_per_capita!$D246</f>
        <v>5.4227916167747088</v>
      </c>
      <c r="L246" s="332">
        <f>Gasto_o_ing_per_capita!L246-Gasto_o_ing_per_capita!$D246</f>
        <v>-2.1716872064700485</v>
      </c>
      <c r="M246" s="332">
        <f>Gasto_o_ing_per_capita!M246-Gasto_o_ing_per_capita!$D246</f>
        <v>-0.98023701649975736</v>
      </c>
      <c r="N246" s="332">
        <f>Gasto_o_ing_per_capita!N246-Gasto_o_ing_per_capita!$D246</f>
        <v>-1.7659952797776604</v>
      </c>
      <c r="O246" s="332">
        <f>Gasto_o_ing_per_capita!O246-Gasto_o_ing_per_capita!$D246</f>
        <v>-0.61747355610270516</v>
      </c>
      <c r="P246" s="332">
        <f>Gasto_o_ing_per_capita!P246-Gasto_o_ing_per_capita!$D246</f>
        <v>-1.2484743672371326</v>
      </c>
      <c r="Q246" s="332">
        <f>Gasto_o_ing_per_capita!Q246-Gasto_o_ing_per_capita!$D246</f>
        <v>-1.1687216690158759</v>
      </c>
      <c r="R246" s="332">
        <f>Gasto_o_ing_per_capita!R246-Gasto_o_ing_per_capita!$D246</f>
        <v>-1.9449533671306496</v>
      </c>
      <c r="S246" s="332">
        <f>Gasto_o_ing_per_capita!S246-Gasto_o_ing_per_capita!$D246</f>
        <v>-1.7775168740593383</v>
      </c>
      <c r="T246" s="332">
        <f>Gasto_o_ing_per_capita!T246-Gasto_o_ing_per_capita!$D246</f>
        <v>-2.2560512188410731</v>
      </c>
      <c r="U246" s="332">
        <f>Gasto_o_ing_per_capita!U246-Gasto_o_ing_per_capita!$D246</f>
        <v>-2.4217465166249323</v>
      </c>
      <c r="V246" s="332">
        <f>Gasto_o_ing_per_capita!V246-Gasto_o_ing_per_capita!$D246</f>
        <v>-2.7543430794806989</v>
      </c>
      <c r="W246" s="155"/>
      <c r="X246" s="145"/>
    </row>
    <row r="247" spans="1:24" s="102" customFormat="1">
      <c r="A247" s="351" t="str">
        <f>IF(B247="","",(IF(ISERROR(MATCH(B247,Tot_res!C:C,0)),"Eliminar!!!","")))</f>
        <v/>
      </c>
      <c r="B247" s="115" t="s">
        <v>253</v>
      </c>
      <c r="C247" s="329" t="str">
        <f>VLOOKUP(B247,Tot_res!C:D,2,FALSE)</f>
        <v>Creación de infraestructura de carreteras + AF06/1</v>
      </c>
      <c r="D247" s="332">
        <f>Gasto_o_ing_per_capita!D247-Gasto_o_ing_per_capita!$D247</f>
        <v>0</v>
      </c>
      <c r="E247" s="332">
        <f>Gasto_o_ing_per_capita!E247-Gasto_o_ing_per_capita!$D247</f>
        <v>14.162703452009914</v>
      </c>
      <c r="F247" s="332">
        <f>Gasto_o_ing_per_capita!F247-Gasto_o_ing_per_capita!$D247</f>
        <v>66.691780869365459</v>
      </c>
      <c r="G247" s="332">
        <f>Gasto_o_ing_per_capita!G247-Gasto_o_ing_per_capita!$D247</f>
        <v>70.349719303082594</v>
      </c>
      <c r="H247" s="332">
        <f>Gasto_o_ing_per_capita!H247-Gasto_o_ing_per_capita!$D247</f>
        <v>38.647168637134889</v>
      </c>
      <c r="I247" s="332">
        <f>Gasto_o_ing_per_capita!I247-Gasto_o_ing_per_capita!$D247</f>
        <v>-7.9518339389734614</v>
      </c>
      <c r="J247" s="332">
        <f>Gasto_o_ing_per_capita!J247-Gasto_o_ing_per_capita!$D247</f>
        <v>68.910500408200306</v>
      </c>
      <c r="K247" s="332">
        <f>Gasto_o_ing_per_capita!K247-Gasto_o_ing_per_capita!$D247</f>
        <v>-2.0590786201458613</v>
      </c>
      <c r="L247" s="332">
        <f>Gasto_o_ing_per_capita!L247-Gasto_o_ing_per_capita!$D247</f>
        <v>-3.8373289552493617</v>
      </c>
      <c r="M247" s="332">
        <f>Gasto_o_ing_per_capita!M247-Gasto_o_ing_per_capita!$D247</f>
        <v>-15.717645625042383</v>
      </c>
      <c r="N247" s="332">
        <f>Gasto_o_ing_per_capita!N247-Gasto_o_ing_per_capita!$D247</f>
        <v>-15.351870097992244</v>
      </c>
      <c r="O247" s="332">
        <f>Gasto_o_ing_per_capita!O247-Gasto_o_ing_per_capita!$D247</f>
        <v>-23.328906176660642</v>
      </c>
      <c r="P247" s="332">
        <f>Gasto_o_ing_per_capita!P247-Gasto_o_ing_per_capita!$D247</f>
        <v>11.490700989519347</v>
      </c>
      <c r="Q247" s="332">
        <f>Gasto_o_ing_per_capita!Q247-Gasto_o_ing_per_capita!$D247</f>
        <v>-21.899970622017349</v>
      </c>
      <c r="R247" s="332">
        <f>Gasto_o_ing_per_capita!R247-Gasto_o_ing_per_capita!$D247</f>
        <v>-22.752119413862591</v>
      </c>
      <c r="S247" s="332">
        <f>Gasto_o_ing_per_capita!S247-Gasto_o_ing_per_capita!$D247</f>
        <v>4.0639195455607151</v>
      </c>
      <c r="T247" s="332">
        <f>Gasto_o_ing_per_capita!T247-Gasto_o_ing_per_capita!$D247</f>
        <v>1.8155663279597007</v>
      </c>
      <c r="U247" s="332">
        <f>Gasto_o_ing_per_capita!U247-Gasto_o_ing_per_capita!$D247</f>
        <v>81.094614364277447</v>
      </c>
      <c r="V247" s="332">
        <f>Gasto_o_ing_per_capita!V247-Gasto_o_ing_per_capita!$D247</f>
        <v>-22.277031110333343</v>
      </c>
      <c r="W247" s="155"/>
      <c r="X247" s="146"/>
    </row>
    <row r="248" spans="1:24" s="102" customFormat="1">
      <c r="A248" s="351" t="str">
        <f>IF(B248="","",(IF(ISERROR(MATCH(B248,Tot_res!C:C,0)),"Eliminar!!!","")))</f>
        <v/>
      </c>
      <c r="B248" s="115" t="s">
        <v>255</v>
      </c>
      <c r="C248" s="329" t="str">
        <f>VLOOKUP(B248,Tot_res!C:D,2,FALSE)</f>
        <v>Conservación y explotación de carreteras + AF07</v>
      </c>
      <c r="D248" s="332">
        <f>Gasto_o_ing_per_capita!D248-Gasto_o_ing_per_capita!$D248</f>
        <v>0</v>
      </c>
      <c r="E248" s="332">
        <f>Gasto_o_ing_per_capita!E248-Gasto_o_ing_per_capita!$D248</f>
        <v>-7.6869308840882056</v>
      </c>
      <c r="F248" s="332">
        <f>Gasto_o_ing_per_capita!F248-Gasto_o_ing_per_capita!$D248</f>
        <v>44.634147740861636</v>
      </c>
      <c r="G248" s="332">
        <f>Gasto_o_ing_per_capita!G248-Gasto_o_ing_per_capita!$D248</f>
        <v>4.0269095218462176</v>
      </c>
      <c r="H248" s="332">
        <f>Gasto_o_ing_per_capita!H248-Gasto_o_ing_per_capita!$D248</f>
        <v>-19.382916245468476</v>
      </c>
      <c r="I248" s="332">
        <f>Gasto_o_ing_per_capita!I248-Gasto_o_ing_per_capita!$D248</f>
        <v>-19.198313272989786</v>
      </c>
      <c r="J248" s="332">
        <f>Gasto_o_ing_per_capita!J248-Gasto_o_ing_per_capita!$D248</f>
        <v>27.139532542047053</v>
      </c>
      <c r="K248" s="332">
        <f>Gasto_o_ing_per_capita!K248-Gasto_o_ing_per_capita!$D248</f>
        <v>39.318955124151785</v>
      </c>
      <c r="L248" s="332">
        <f>Gasto_o_ing_per_capita!L248-Gasto_o_ing_per_capita!$D248</f>
        <v>42.379630658806661</v>
      </c>
      <c r="M248" s="332">
        <f>Gasto_o_ing_per_capita!M248-Gasto_o_ing_per_capita!$D248</f>
        <v>-11.116425943935866</v>
      </c>
      <c r="N248" s="332">
        <f>Gasto_o_ing_per_capita!N248-Gasto_o_ing_per_capita!$D248</f>
        <v>-6.8982201254122444</v>
      </c>
      <c r="O248" s="332">
        <f>Gasto_o_ing_per_capita!O248-Gasto_o_ing_per_capita!$D248</f>
        <v>1.8790692858943103</v>
      </c>
      <c r="P248" s="332">
        <f>Gasto_o_ing_per_capita!P248-Gasto_o_ing_per_capita!$D248</f>
        <v>0.77271496537751361</v>
      </c>
      <c r="Q248" s="332">
        <f>Gasto_o_ing_per_capita!Q248-Gasto_o_ing_per_capita!$D248</f>
        <v>-4.8045336593136323</v>
      </c>
      <c r="R248" s="332">
        <f>Gasto_o_ing_per_capita!R248-Gasto_o_ing_per_capita!$D248</f>
        <v>-0.17343756328201465</v>
      </c>
      <c r="S248" s="332">
        <f>Gasto_o_ing_per_capita!S248-Gasto_o_ing_per_capita!$D248</f>
        <v>3.7072398331293535</v>
      </c>
      <c r="T248" s="332">
        <f>Gasto_o_ing_per_capita!T248-Gasto_o_ing_per_capita!$D248</f>
        <v>2.3606133929078581</v>
      </c>
      <c r="U248" s="332">
        <f>Gasto_o_ing_per_capita!U248-Gasto_o_ing_per_capita!$D248</f>
        <v>4.4107500792557843</v>
      </c>
      <c r="V248" s="332">
        <f>Gasto_o_ing_per_capita!V248-Gasto_o_ing_per_capita!$D248</f>
        <v>-12.339483910132632</v>
      </c>
      <c r="W248" s="155"/>
      <c r="X248" s="146"/>
    </row>
    <row r="249" spans="1:24" s="102" customFormat="1">
      <c r="A249" s="351" t="str">
        <f>IF(B249="","",(IF(ISERROR(MATCH(B249,Tot_res!C:C,0)),"Eliminar!!!","")))</f>
        <v/>
      </c>
      <c r="B249" s="115" t="s">
        <v>257</v>
      </c>
      <c r="C249" s="329" t="str">
        <f>VLOOKUP(B249,Tot_res!C:D,2,FALSE)</f>
        <v>Ordenac. e inspección del transporte terrestre</v>
      </c>
      <c r="D249" s="332">
        <f>Gasto_o_ing_per_capita!D249-Gasto_o_ing_per_capita!$D249</f>
        <v>0</v>
      </c>
      <c r="E249" s="332">
        <f>Gasto_o_ing_per_capita!E249-Gasto_o_ing_per_capita!$D249</f>
        <v>-0.12056599881046864</v>
      </c>
      <c r="F249" s="332">
        <f>Gasto_o_ing_per_capita!F249-Gasto_o_ing_per_capita!$D249</f>
        <v>0.15106503548607531</v>
      </c>
      <c r="G249" s="332">
        <f>Gasto_o_ing_per_capita!G249-Gasto_o_ing_per_capita!$D249</f>
        <v>0.13362287698496667</v>
      </c>
      <c r="H249" s="332">
        <f>Gasto_o_ing_per_capita!H249-Gasto_o_ing_per_capita!$D249</f>
        <v>-0.317126759798044</v>
      </c>
      <c r="I249" s="332">
        <f>Gasto_o_ing_per_capita!I249-Gasto_o_ing_per_capita!$D249</f>
        <v>-0.28941654781611226</v>
      </c>
      <c r="J249" s="332">
        <f>Gasto_o_ing_per_capita!J249-Gasto_o_ing_per_capita!$D249</f>
        <v>0.15753464470764755</v>
      </c>
      <c r="K249" s="332">
        <f>Gasto_o_ing_per_capita!K249-Gasto_o_ing_per_capita!$D249</f>
        <v>-1.2247132283818962E-2</v>
      </c>
      <c r="L249" s="332">
        <f>Gasto_o_ing_per_capita!L249-Gasto_o_ing_per_capita!$D249</f>
        <v>0.19483383801566367</v>
      </c>
      <c r="M249" s="332">
        <f>Gasto_o_ing_per_capita!M249-Gasto_o_ing_per_capita!$D249</f>
        <v>0.1764835764534346</v>
      </c>
      <c r="N249" s="332">
        <f>Gasto_o_ing_per_capita!N249-Gasto_o_ing_per_capita!$D249</f>
        <v>-9.655865518625556E-2</v>
      </c>
      <c r="O249" s="332">
        <f>Gasto_o_ing_per_capita!O249-Gasto_o_ing_per_capita!$D249</f>
        <v>-1.1890503224277371E-2</v>
      </c>
      <c r="P249" s="332">
        <f>Gasto_o_ing_per_capita!P249-Gasto_o_ing_per_capita!$D249</f>
        <v>-5.0694916204407914E-2</v>
      </c>
      <c r="Q249" s="332">
        <f>Gasto_o_ing_per_capita!Q249-Gasto_o_ing_per_capita!$D249</f>
        <v>2.3676564532745581E-2</v>
      </c>
      <c r="R249" s="332">
        <f>Gasto_o_ing_per_capita!R249-Gasto_o_ing_per_capita!$D249</f>
        <v>-8.3053446308649193E-2</v>
      </c>
      <c r="S249" s="332">
        <f>Gasto_o_ing_per_capita!S249-Gasto_o_ing_per_capita!$D249</f>
        <v>0.2831973023068669</v>
      </c>
      <c r="T249" s="332">
        <f>Gasto_o_ing_per_capita!T249-Gasto_o_ing_per_capita!$D249</f>
        <v>0.13956539146095737</v>
      </c>
      <c r="U249" s="332">
        <f>Gasto_o_ing_per_capita!U249-Gasto_o_ing_per_capita!$D249</f>
        <v>1.8122904587545507E-2</v>
      </c>
      <c r="V249" s="332">
        <f>Gasto_o_ing_per_capita!V249-Gasto_o_ing_per_capita!$D249</f>
        <v>-0.29437818342834066</v>
      </c>
      <c r="W249" s="155"/>
      <c r="X249" s="146"/>
    </row>
    <row r="250" spans="1:24" s="102" customFormat="1">
      <c r="A250" s="351" t="str">
        <f>IF(B250="","",(IF(ISERROR(MATCH(B250,Tot_res!C:C,0)),"Eliminar!!!","")))</f>
        <v/>
      </c>
      <c r="B250" s="115" t="s">
        <v>258</v>
      </c>
      <c r="C250" s="329" t="str">
        <f>VLOOKUP(B250,Tot_res!C:D,2,FALSE)</f>
        <v>Seguridad tráfico marítimo y vigilancia costera</v>
      </c>
      <c r="D250" s="332">
        <f>Gasto_o_ing_per_capita!D250-Gasto_o_ing_per_capita!$D250</f>
        <v>0</v>
      </c>
      <c r="E250" s="332">
        <f>Gasto_o_ing_per_capita!E250-Gasto_o_ing_per_capita!$D250</f>
        <v>-0.29396284540622819</v>
      </c>
      <c r="F250" s="332">
        <f>Gasto_o_ing_per_capita!F250-Gasto_o_ing_per_capita!$D250</f>
        <v>0.54731638365325308</v>
      </c>
      <c r="G250" s="332">
        <f>Gasto_o_ing_per_capita!G250-Gasto_o_ing_per_capita!$D250</f>
        <v>-0.13661439356243055</v>
      </c>
      <c r="H250" s="332">
        <f>Gasto_o_ing_per_capita!H250-Gasto_o_ing_per_capita!$D250</f>
        <v>-0.20217890624451529</v>
      </c>
      <c r="I250" s="332">
        <f>Gasto_o_ing_per_capita!I250-Gasto_o_ing_per_capita!$D250</f>
        <v>0.16928450217473112</v>
      </c>
      <c r="J250" s="332">
        <f>Gasto_o_ing_per_capita!J250-Gasto_o_ing_per_capita!$D250</f>
        <v>0.16056520277226327</v>
      </c>
      <c r="K250" s="332">
        <f>Gasto_o_ing_per_capita!K250-Gasto_o_ing_per_capita!$D250</f>
        <v>0.1069897890995104</v>
      </c>
      <c r="L250" s="332">
        <f>Gasto_o_ing_per_capita!L250-Gasto_o_ing_per_capita!$D250</f>
        <v>-7.8564076725742282E-2</v>
      </c>
      <c r="M250" s="332">
        <f>Gasto_o_ing_per_capita!M250-Gasto_o_ing_per_capita!$D250</f>
        <v>0.16868789022664687</v>
      </c>
      <c r="N250" s="332">
        <f>Gasto_o_ing_per_capita!N250-Gasto_o_ing_per_capita!$D250</f>
        <v>-9.8391734490985483E-2</v>
      </c>
      <c r="O250" s="332">
        <f>Gasto_o_ing_per_capita!O250-Gasto_o_ing_per_capita!$D250</f>
        <v>-0.36904607659559674</v>
      </c>
      <c r="P250" s="332">
        <f>Gasto_o_ing_per_capita!P250-Gasto_o_ing_per_capita!$D250</f>
        <v>-6.8287526183446023E-2</v>
      </c>
      <c r="Q250" s="332">
        <f>Gasto_o_ing_per_capita!Q250-Gasto_o_ing_per_capita!$D250</f>
        <v>-3.6458083610785064E-2</v>
      </c>
      <c r="R250" s="332">
        <f>Gasto_o_ing_per_capita!R250-Gasto_o_ing_per_capita!$D250</f>
        <v>0.19409696855434944</v>
      </c>
      <c r="S250" s="332">
        <f>Gasto_o_ing_per_capita!S250-Gasto_o_ing_per_capita!$D250</f>
        <v>0.63424556088753148</v>
      </c>
      <c r="T250" s="332">
        <f>Gasto_o_ing_per_capita!T250-Gasto_o_ing_per_capita!$D250</f>
        <v>0.32783152149938077</v>
      </c>
      <c r="U250" s="332">
        <f>Gasto_o_ing_per_capita!U250-Gasto_o_ing_per_capita!$D250</f>
        <v>0.31355690661270552</v>
      </c>
      <c r="V250" s="332">
        <f>Gasto_o_ing_per_capita!V250-Gasto_o_ing_per_capita!$D250</f>
        <v>0.60376922189556681</v>
      </c>
      <c r="W250" s="155"/>
      <c r="X250" s="146"/>
    </row>
    <row r="251" spans="1:24" s="102" customFormat="1">
      <c r="A251" s="351" t="str">
        <f>IF(B251="","",(IF(ISERROR(MATCH(B251,Tot_res!C:C,0)),"Eliminar!!!","")))</f>
        <v/>
      </c>
      <c r="B251" s="115" t="s">
        <v>259</v>
      </c>
      <c r="C251" s="329" t="str">
        <f>VLOOKUP(B251,Tot_res!C:D,2,FALSE)</f>
        <v>Regulación y supervisción de la aviación civil</v>
      </c>
      <c r="D251" s="332">
        <f>Gasto_o_ing_per_capita!D251-Gasto_o_ing_per_capita!$D251</f>
        <v>0</v>
      </c>
      <c r="E251" s="332">
        <f>Gasto_o_ing_per_capita!E251-Gasto_o_ing_per_capita!$D251</f>
        <v>-0.15950502162100455</v>
      </c>
      <c r="F251" s="332">
        <f>Gasto_o_ing_per_capita!F251-Gasto_o_ing_per_capita!$D251</f>
        <v>-6.5882337307489935E-2</v>
      </c>
      <c r="G251" s="332">
        <f>Gasto_o_ing_per_capita!G251-Gasto_o_ing_per_capita!$D251</f>
        <v>-5.1703875438371183E-2</v>
      </c>
      <c r="H251" s="332">
        <f>Gasto_o_ing_per_capita!H251-Gasto_o_ing_per_capita!$D251</f>
        <v>0.65456940025259058</v>
      </c>
      <c r="I251" s="332">
        <f>Gasto_o_ing_per_capita!I251-Gasto_o_ing_per_capita!$D251</f>
        <v>0.43858172334231726</v>
      </c>
      <c r="J251" s="332">
        <f>Gasto_o_ing_per_capita!J251-Gasto_o_ing_per_capita!$D251</f>
        <v>-1.4132382700750679E-2</v>
      </c>
      <c r="K251" s="332">
        <f>Gasto_o_ing_per_capita!K251-Gasto_o_ing_per_capita!$D251</f>
        <v>-0.20017943196222276</v>
      </c>
      <c r="L251" s="332">
        <f>Gasto_o_ing_per_capita!L251-Gasto_o_ing_per_capita!$D251</f>
        <v>-5.5900417303910155E-2</v>
      </c>
      <c r="M251" s="332">
        <f>Gasto_o_ing_per_capita!M251-Gasto_o_ing_per_capita!$D251</f>
        <v>8.2405095745810009E-2</v>
      </c>
      <c r="N251" s="332">
        <f>Gasto_o_ing_per_capita!N251-Gasto_o_ing_per_capita!$D251</f>
        <v>-9.4184937669117952E-2</v>
      </c>
      <c r="O251" s="332">
        <f>Gasto_o_ing_per_capita!O251-Gasto_o_ing_per_capita!$D251</f>
        <v>-0.21126110235379669</v>
      </c>
      <c r="P251" s="332">
        <f>Gasto_o_ing_per_capita!P251-Gasto_o_ing_per_capita!$D251</f>
        <v>-8.5982494216246819E-2</v>
      </c>
      <c r="Q251" s="332">
        <f>Gasto_o_ing_per_capita!Q251-Gasto_o_ing_per_capita!$D251</f>
        <v>0.13185711408424394</v>
      </c>
      <c r="R251" s="332">
        <f>Gasto_o_ing_per_capita!R251-Gasto_o_ing_per_capita!$D251</f>
        <v>-0.12549771161637269</v>
      </c>
      <c r="S251" s="332">
        <f>Gasto_o_ing_per_capita!S251-Gasto_o_ing_per_capita!$D251</f>
        <v>5.1440968556235589E-3</v>
      </c>
      <c r="T251" s="332">
        <f>Gasto_o_ing_per_capita!T251-Gasto_o_ing_per_capita!$D251</f>
        <v>6.062506187644745E-2</v>
      </c>
      <c r="U251" s="332">
        <f>Gasto_o_ing_per_capita!U251-Gasto_o_ing_per_capita!$D251</f>
        <v>-0.11886347765162864</v>
      </c>
      <c r="V251" s="332">
        <f>Gasto_o_ing_per_capita!V251-Gasto_o_ing_per_capita!$D251</f>
        <v>7.2413207743431407E-2</v>
      </c>
      <c r="W251" s="155"/>
      <c r="X251" s="145"/>
    </row>
    <row r="252" spans="1:24" s="102" customFormat="1">
      <c r="A252" s="351" t="str">
        <f>IF(B252="","",(IF(ISERROR(MATCH(B252,Tot_res!C:C,0)),"Eliminar!!!","")))</f>
        <v/>
      </c>
      <c r="B252" s="115" t="s">
        <v>260</v>
      </c>
      <c r="C252" s="329" t="str">
        <f>VLOOKUP(B252,Tot_res!C:D,2,FALSE)</f>
        <v>Calidad del agua</v>
      </c>
      <c r="D252" s="332">
        <f>Gasto_o_ing_per_capita!D252-Gasto_o_ing_per_capita!$D252</f>
        <v>0</v>
      </c>
      <c r="E252" s="332">
        <f>Gasto_o_ing_per_capita!E252-Gasto_o_ing_per_capita!$D252</f>
        <v>-0.61190870226702665</v>
      </c>
      <c r="F252" s="332">
        <f>Gasto_o_ing_per_capita!F252-Gasto_o_ing_per_capita!$D252</f>
        <v>16.875462550320709</v>
      </c>
      <c r="G252" s="332">
        <f>Gasto_o_ing_per_capita!G252-Gasto_o_ing_per_capita!$D252</f>
        <v>15.265775926699437</v>
      </c>
      <c r="H252" s="332">
        <f>Gasto_o_ing_per_capita!H252-Gasto_o_ing_per_capita!$D252</f>
        <v>-2.4573969395347546</v>
      </c>
      <c r="I252" s="332">
        <f>Gasto_o_ing_per_capita!I252-Gasto_o_ing_per_capita!$D252</f>
        <v>-1.8748251392211914</v>
      </c>
      <c r="J252" s="332">
        <f>Gasto_o_ing_per_capita!J252-Gasto_o_ing_per_capita!$D252</f>
        <v>0.32467852157106725</v>
      </c>
      <c r="K252" s="332">
        <f>Gasto_o_ing_per_capita!K252-Gasto_o_ing_per_capita!$D252</f>
        <v>-2.1898504105814656</v>
      </c>
      <c r="L252" s="332">
        <f>Gasto_o_ing_per_capita!L252-Gasto_o_ing_per_capita!$D252</f>
        <v>-2.3468776329332584</v>
      </c>
      <c r="M252" s="332">
        <f>Gasto_o_ing_per_capita!M252-Gasto_o_ing_per_capita!$D252</f>
        <v>-2.4378517586835531</v>
      </c>
      <c r="N252" s="332">
        <f>Gasto_o_ing_per_capita!N252-Gasto_o_ing_per_capita!$D252</f>
        <v>-2.416187129759038</v>
      </c>
      <c r="O252" s="332">
        <f>Gasto_o_ing_per_capita!O252-Gasto_o_ing_per_capita!$D252</f>
        <v>18.633093853241494</v>
      </c>
      <c r="P252" s="332">
        <f>Gasto_o_ing_per_capita!P252-Gasto_o_ing_per_capita!$D252</f>
        <v>0.63399366723402162</v>
      </c>
      <c r="Q252" s="332">
        <f>Gasto_o_ing_per_capita!Q252-Gasto_o_ing_per_capita!$D252</f>
        <v>-2.4327431899234169</v>
      </c>
      <c r="R252" s="332">
        <f>Gasto_o_ing_per_capita!R252-Gasto_o_ing_per_capita!$D252</f>
        <v>-2.4286573483490344</v>
      </c>
      <c r="S252" s="332">
        <f>Gasto_o_ing_per_capita!S252-Gasto_o_ing_per_capita!$D252</f>
        <v>-2.2128813828636469</v>
      </c>
      <c r="T252" s="332">
        <f>Gasto_o_ing_per_capita!T252-Gasto_o_ing_per_capita!$D252</f>
        <v>4.4614880501369987</v>
      </c>
      <c r="U252" s="332">
        <f>Gasto_o_ing_per_capita!U252-Gasto_o_ing_per_capita!$D252</f>
        <v>-2.1614941514060724</v>
      </c>
      <c r="V252" s="332">
        <f>Gasto_o_ing_per_capita!V252-Gasto_o_ing_per_capita!$D252</f>
        <v>19.241714084674573</v>
      </c>
      <c r="W252" s="155"/>
      <c r="X252" s="145"/>
    </row>
    <row r="253" spans="1:24" s="102" customFormat="1">
      <c r="A253" s="351" t="str">
        <f>IF(B253="","",(IF(ISERROR(MATCH(B253,Tot_res!C:C,0)),"Eliminar!!!","")))</f>
        <v/>
      </c>
      <c r="B253" s="115" t="s">
        <v>262</v>
      </c>
      <c r="C253" s="329" t="str">
        <f>VLOOKUP(B253,Tot_res!C:D,2,FALSE)</f>
        <v>Protección y mejora del medio ambiente</v>
      </c>
      <c r="D253" s="332">
        <f>Gasto_o_ing_per_capita!D253-Gasto_o_ing_per_capita!$D253</f>
        <v>0</v>
      </c>
      <c r="E253" s="332">
        <f>Gasto_o_ing_per_capita!E253-Gasto_o_ing_per_capita!$D253</f>
        <v>-4.1364429146310555E-3</v>
      </c>
      <c r="F253" s="332">
        <f>Gasto_o_ing_per_capita!F253-Gasto_o_ing_per_capita!$D253</f>
        <v>-1.4696686057026453E-2</v>
      </c>
      <c r="G253" s="332">
        <f>Gasto_o_ing_per_capita!G253-Gasto_o_ing_per_capita!$D253</f>
        <v>-1.4696686057026453E-2</v>
      </c>
      <c r="H253" s="332">
        <f>Gasto_o_ing_per_capita!H253-Gasto_o_ing_per_capita!$D253</f>
        <v>-1.4696686057026453E-2</v>
      </c>
      <c r="I253" s="332">
        <f>Gasto_o_ing_per_capita!I253-Gasto_o_ing_per_capita!$D253</f>
        <v>-1.4696686057026453E-2</v>
      </c>
      <c r="J253" s="332">
        <f>Gasto_o_ing_per_capita!J253-Gasto_o_ing_per_capita!$D253</f>
        <v>4.541397685556342E-2</v>
      </c>
      <c r="K253" s="332">
        <f>Gasto_o_ing_per_capita!K253-Gasto_o_ing_per_capita!$D253</f>
        <v>-1.4696686057026453E-2</v>
      </c>
      <c r="L253" s="332">
        <f>Gasto_o_ing_per_capita!L253-Gasto_o_ing_per_capita!$D253</f>
        <v>-1.4696686057026453E-2</v>
      </c>
      <c r="M253" s="332">
        <f>Gasto_o_ing_per_capita!M253-Gasto_o_ing_per_capita!$D253</f>
        <v>-1.0179168299500663E-2</v>
      </c>
      <c r="N253" s="332">
        <f>Gasto_o_ing_per_capita!N253-Gasto_o_ing_per_capita!$D253</f>
        <v>-1.4696686057026509E-2</v>
      </c>
      <c r="O253" s="332">
        <f>Gasto_o_ing_per_capita!O253-Gasto_o_ing_per_capita!$D253</f>
        <v>-1.4696686057026453E-2</v>
      </c>
      <c r="P253" s="332">
        <f>Gasto_o_ing_per_capita!P253-Gasto_o_ing_per_capita!$D253</f>
        <v>-1.4696686057026509E-2</v>
      </c>
      <c r="Q253" s="332">
        <f>Gasto_o_ing_per_capita!Q253-Gasto_o_ing_per_capita!$D253</f>
        <v>6.4384381405124369E-2</v>
      </c>
      <c r="R253" s="332">
        <f>Gasto_o_ing_per_capita!R253-Gasto_o_ing_per_capita!$D253</f>
        <v>-1.4696686057026453E-2</v>
      </c>
      <c r="S253" s="332">
        <f>Gasto_o_ing_per_capita!S253-Gasto_o_ing_per_capita!$D253</f>
        <v>-1.4696686057026509E-2</v>
      </c>
      <c r="T253" s="332">
        <f>Gasto_o_ing_per_capita!T253-Gasto_o_ing_per_capita!$D253</f>
        <v>-6.1845937606207491E-3</v>
      </c>
      <c r="U253" s="332">
        <f>Gasto_o_ing_per_capita!U253-Gasto_o_ing_per_capita!$D253</f>
        <v>-1.4696686057026453E-2</v>
      </c>
      <c r="V253" s="332">
        <f>Gasto_o_ing_per_capita!V253-Gasto_o_ing_per_capita!$D253</f>
        <v>-1.4696686057026453E-2</v>
      </c>
      <c r="W253" s="155"/>
      <c r="X253" s="146"/>
    </row>
    <row r="254" spans="1:24" s="102" customFormat="1">
      <c r="A254" s="351" t="str">
        <f>IF(B254="","",(IF(ISERROR(MATCH(B254,Tot_res!C:C,0)),"Eliminar!!!","")))</f>
        <v/>
      </c>
      <c r="B254" s="115" t="s">
        <v>264</v>
      </c>
      <c r="C254" s="329" t="str">
        <f>VLOOKUP(B254,Tot_res!C:D,2,FALSE)</f>
        <v>Protección y mejora del medio natural + AF09</v>
      </c>
      <c r="D254" s="332">
        <f>Gasto_o_ing_per_capita!D254-Gasto_o_ing_per_capita!$D254</f>
        <v>0</v>
      </c>
      <c r="E254" s="332">
        <f>Gasto_o_ing_per_capita!E254-Gasto_o_ing_per_capita!$D254</f>
        <v>-0.87006308435048241</v>
      </c>
      <c r="F254" s="332">
        <f>Gasto_o_ing_per_capita!F254-Gasto_o_ing_per_capita!$D254</f>
        <v>0.85701917393639837</v>
      </c>
      <c r="G254" s="332">
        <f>Gasto_o_ing_per_capita!G254-Gasto_o_ing_per_capita!$D254</f>
        <v>1.7408946273675476</v>
      </c>
      <c r="H254" s="332">
        <f>Gasto_o_ing_per_capita!H254-Gasto_o_ing_per_capita!$D254</f>
        <v>-1.2654282119064364</v>
      </c>
      <c r="I254" s="332">
        <f>Gasto_o_ing_per_capita!I254-Gasto_o_ing_per_capita!$D254</f>
        <v>0.64128968284255761</v>
      </c>
      <c r="J254" s="332">
        <f>Gasto_o_ing_per_capita!J254-Gasto_o_ing_per_capita!$D254</f>
        <v>-1.0453493094472386</v>
      </c>
      <c r="K254" s="332">
        <f>Gasto_o_ing_per_capita!K254-Gasto_o_ing_per_capita!$D254</f>
        <v>6.6436483734904055</v>
      </c>
      <c r="L254" s="332">
        <f>Gasto_o_ing_per_capita!L254-Gasto_o_ing_per_capita!$D254</f>
        <v>7.1789666298217281</v>
      </c>
      <c r="M254" s="332">
        <f>Gasto_o_ing_per_capita!M254-Gasto_o_ing_per_capita!$D254</f>
        <v>-1.5509234792640636</v>
      </c>
      <c r="N254" s="332">
        <f>Gasto_o_ing_per_capita!N254-Gasto_o_ing_per_capita!$D254</f>
        <v>-1.3338880605127323</v>
      </c>
      <c r="O254" s="332">
        <f>Gasto_o_ing_per_capita!O254-Gasto_o_ing_per_capita!$D254</f>
        <v>5.055127317201876</v>
      </c>
      <c r="P254" s="332">
        <f>Gasto_o_ing_per_capita!P254-Gasto_o_ing_per_capita!$D254</f>
        <v>-0.107414964864327</v>
      </c>
      <c r="Q254" s="332">
        <f>Gasto_o_ing_per_capita!Q254-Gasto_o_ing_per_capita!$D254</f>
        <v>-1.5546058229780186</v>
      </c>
      <c r="R254" s="332">
        <f>Gasto_o_ing_per_capita!R254-Gasto_o_ing_per_capita!$D254</f>
        <v>-1.1280701675168288</v>
      </c>
      <c r="S254" s="332">
        <f>Gasto_o_ing_per_capita!S254-Gasto_o_ing_per_capita!$D254</f>
        <v>-0.55850588181803884</v>
      </c>
      <c r="T254" s="332">
        <f>Gasto_o_ing_per_capita!T254-Gasto_o_ing_per_capita!$D254</f>
        <v>-0.53875580070711981</v>
      </c>
      <c r="U254" s="332">
        <f>Gasto_o_ing_per_capita!U254-Gasto_o_ing_per_capita!$D254</f>
        <v>0.74159188772953044</v>
      </c>
      <c r="V254" s="332">
        <f>Gasto_o_ing_per_capita!V254-Gasto_o_ing_per_capita!$D254</f>
        <v>-1.828895062445826</v>
      </c>
      <c r="W254" s="155"/>
      <c r="X254" s="146"/>
    </row>
    <row r="255" spans="1:24" s="102" customFormat="1">
      <c r="A255" s="351" t="str">
        <f>IF(B255="","",(IF(ISERROR(MATCH(B255,Tot_res!C:C,0)),"Eliminar!!!","")))</f>
        <v/>
      </c>
      <c r="B255" s="115" t="s">
        <v>266</v>
      </c>
      <c r="C255" s="329" t="str">
        <f>VLOOKUP(B255,Tot_res!C:D,2,FALSE)</f>
        <v>Actuación en la costa</v>
      </c>
      <c r="D255" s="332">
        <f>Gasto_o_ing_per_capita!D255-Gasto_o_ing_per_capita!$D255</f>
        <v>0</v>
      </c>
      <c r="E255" s="332">
        <f>Gasto_o_ing_per_capita!E255-Gasto_o_ing_per_capita!$D255</f>
        <v>-0.61811298255202507</v>
      </c>
      <c r="F255" s="332">
        <f>Gasto_o_ing_per_capita!F255-Gasto_o_ing_per_capita!$D255</f>
        <v>-1.4088978014473938</v>
      </c>
      <c r="G255" s="332">
        <f>Gasto_o_ing_per_capita!G255-Gasto_o_ing_per_capita!$D255</f>
        <v>2.2848438092462544</v>
      </c>
      <c r="H255" s="332">
        <f>Gasto_o_ing_per_capita!H255-Gasto_o_ing_per_capita!$D255</f>
        <v>0.92251325961207153</v>
      </c>
      <c r="I255" s="332">
        <f>Gasto_o_ing_per_capita!I255-Gasto_o_ing_per_capita!$D255</f>
        <v>2.0794565445861473</v>
      </c>
      <c r="J255" s="332">
        <f>Gasto_o_ing_per_capita!J255-Gasto_o_ing_per_capita!$D255</f>
        <v>7.2913833095733587</v>
      </c>
      <c r="K255" s="332">
        <f>Gasto_o_ing_per_capita!K255-Gasto_o_ing_per_capita!$D255</f>
        <v>-1.4507499916875168</v>
      </c>
      <c r="L255" s="332">
        <f>Gasto_o_ing_per_capita!L255-Gasto_o_ing_per_capita!$D255</f>
        <v>-1.4900114750942783</v>
      </c>
      <c r="M255" s="332">
        <f>Gasto_o_ing_per_capita!M255-Gasto_o_ing_per_capita!$D255</f>
        <v>-0.96244948331346947</v>
      </c>
      <c r="N255" s="332">
        <f>Gasto_o_ing_per_capita!N255-Gasto_o_ing_per_capita!$D255</f>
        <v>-0.23957899433343122</v>
      </c>
      <c r="O255" s="332">
        <f>Gasto_o_ing_per_capita!O255-Gasto_o_ing_per_capita!$D255</f>
        <v>-1.5123030546174996</v>
      </c>
      <c r="P255" s="332">
        <f>Gasto_o_ing_per_capita!P255-Gasto_o_ing_per_capita!$D255</f>
        <v>1.8405839860609332</v>
      </c>
      <c r="Q255" s="332">
        <f>Gasto_o_ing_per_capita!Q255-Gasto_o_ing_per_capita!$D255</f>
        <v>-1.3491231478671977</v>
      </c>
      <c r="R255" s="332">
        <f>Gasto_o_ing_per_capita!R255-Gasto_o_ing_per_capita!$D255</f>
        <v>-0.36387197381933745</v>
      </c>
      <c r="S255" s="332">
        <f>Gasto_o_ing_per_capita!S255-Gasto_o_ing_per_capita!$D255</f>
        <v>-1.3758098003533052</v>
      </c>
      <c r="T255" s="332">
        <f>Gasto_o_ing_per_capita!T255-Gasto_o_ing_per_capita!$D255</f>
        <v>7.9649800397476547</v>
      </c>
      <c r="U255" s="332">
        <f>Gasto_o_ing_per_capita!U255-Gasto_o_ing_per_capita!$D255</f>
        <v>-1.4171203226190396</v>
      </c>
      <c r="V255" s="332">
        <f>Gasto_o_ing_per_capita!V255-Gasto_o_ing_per_capita!$D255</f>
        <v>-1.0425592673184081</v>
      </c>
      <c r="W255" s="155"/>
      <c r="X255" s="145"/>
    </row>
    <row r="256" spans="1:24" s="102" customFormat="1">
      <c r="A256" s="351" t="str">
        <f>IF(B256="","",(IF(ISERROR(MATCH(B256,Tot_res!C:C,0)),"Eliminar!!!","")))</f>
        <v/>
      </c>
      <c r="B256" s="115" t="s">
        <v>268</v>
      </c>
      <c r="C256" s="329" t="str">
        <f>VLOOKUP(B256,Tot_res!C:D,2,FALSE)</f>
        <v>Actuac. prevención contaminac. y cambio climático</v>
      </c>
      <c r="D256" s="332">
        <f>Gasto_o_ing_per_capita!D256-Gasto_o_ing_per_capita!$D256</f>
        <v>0</v>
      </c>
      <c r="E256" s="332">
        <f>Gasto_o_ing_per_capita!E256-Gasto_o_ing_per_capita!$D256</f>
        <v>0</v>
      </c>
      <c r="F256" s="332">
        <f>Gasto_o_ing_per_capita!F256-Gasto_o_ing_per_capita!$D256</f>
        <v>0</v>
      </c>
      <c r="G256" s="332">
        <f>Gasto_o_ing_per_capita!G256-Gasto_o_ing_per_capita!$D256</f>
        <v>0</v>
      </c>
      <c r="H256" s="332">
        <f>Gasto_o_ing_per_capita!H256-Gasto_o_ing_per_capita!$D256</f>
        <v>0</v>
      </c>
      <c r="I256" s="332">
        <f>Gasto_o_ing_per_capita!I256-Gasto_o_ing_per_capita!$D256</f>
        <v>0</v>
      </c>
      <c r="J256" s="332">
        <f>Gasto_o_ing_per_capita!J256-Gasto_o_ing_per_capita!$D256</f>
        <v>0</v>
      </c>
      <c r="K256" s="332">
        <f>Gasto_o_ing_per_capita!K256-Gasto_o_ing_per_capita!$D256</f>
        <v>0</v>
      </c>
      <c r="L256" s="332">
        <f>Gasto_o_ing_per_capita!L256-Gasto_o_ing_per_capita!$D256</f>
        <v>0</v>
      </c>
      <c r="M256" s="332">
        <f>Gasto_o_ing_per_capita!M256-Gasto_o_ing_per_capita!$D256</f>
        <v>0</v>
      </c>
      <c r="N256" s="332">
        <f>Gasto_o_ing_per_capita!N256-Gasto_o_ing_per_capita!$D256</f>
        <v>0</v>
      </c>
      <c r="O256" s="332">
        <f>Gasto_o_ing_per_capita!O256-Gasto_o_ing_per_capita!$D256</f>
        <v>0</v>
      </c>
      <c r="P256" s="332">
        <f>Gasto_o_ing_per_capita!P256-Gasto_o_ing_per_capita!$D256</f>
        <v>0</v>
      </c>
      <c r="Q256" s="332">
        <f>Gasto_o_ing_per_capita!Q256-Gasto_o_ing_per_capita!$D256</f>
        <v>0</v>
      </c>
      <c r="R256" s="332">
        <f>Gasto_o_ing_per_capita!R256-Gasto_o_ing_per_capita!$D256</f>
        <v>0</v>
      </c>
      <c r="S256" s="332">
        <f>Gasto_o_ing_per_capita!S256-Gasto_o_ing_per_capita!$D256</f>
        <v>0</v>
      </c>
      <c r="T256" s="332">
        <f>Gasto_o_ing_per_capita!T256-Gasto_o_ing_per_capita!$D256</f>
        <v>0</v>
      </c>
      <c r="U256" s="332">
        <f>Gasto_o_ing_per_capita!U256-Gasto_o_ing_per_capita!$D256</f>
        <v>0</v>
      </c>
      <c r="V256" s="332">
        <f>Gasto_o_ing_per_capita!V256-Gasto_o_ing_per_capita!$D256</f>
        <v>0</v>
      </c>
      <c r="W256" s="155"/>
      <c r="X256" s="145"/>
    </row>
    <row r="257" spans="1:24"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Gasto_o_ing_per_capita!D257-Gasto_o_ing_per_capita!$D257</f>
        <v>0</v>
      </c>
      <c r="E257" s="332">
        <f>Gasto_o_ing_per_capita!E257-Gasto_o_ing_per_capita!$D257</f>
        <v>-3.0074064954497366E-4</v>
      </c>
      <c r="F257" s="332">
        <f>Gasto_o_ing_per_capita!F257-Gasto_o_ing_per_capita!$D257</f>
        <v>1.6242659911106015E-3</v>
      </c>
      <c r="G257" s="332">
        <f>Gasto_o_ing_per_capita!G257-Gasto_o_ing_per_capita!$D257</f>
        <v>1.3560461390336716E-3</v>
      </c>
      <c r="H257" s="332">
        <f>Gasto_o_ing_per_capita!H257-Gasto_o_ing_per_capita!$D257</f>
        <v>-6.7749691639393847E-4</v>
      </c>
      <c r="I257" s="332">
        <f>Gasto_o_ing_per_capita!I257-Gasto_o_ing_per_capita!$D257</f>
        <v>-9.0197342510266653E-4</v>
      </c>
      <c r="J257" s="332">
        <f>Gasto_o_ing_per_capita!J257-Gasto_o_ing_per_capita!$D257</f>
        <v>6.0088513757249377E-4</v>
      </c>
      <c r="K257" s="332">
        <f>Gasto_o_ing_per_capita!K257-Gasto_o_ing_per_capita!$D257</f>
        <v>2.3258760088988185E-3</v>
      </c>
      <c r="L257" s="332">
        <f>Gasto_o_ing_per_capita!L257-Gasto_o_ing_per_capita!$D257</f>
        <v>4.5716233612554916E-4</v>
      </c>
      <c r="M257" s="332">
        <f>Gasto_o_ing_per_capita!M257-Gasto_o_ing_per_capita!$D257</f>
        <v>-6.0960495071444589E-4</v>
      </c>
      <c r="N257" s="332">
        <f>Gasto_o_ing_per_capita!N257-Gasto_o_ing_per_capita!$D257</f>
        <v>-4.7339956080981937E-4</v>
      </c>
      <c r="O257" s="332">
        <f>Gasto_o_ing_per_capita!O257-Gasto_o_ing_per_capita!$D257</f>
        <v>6.3314494301063983E-4</v>
      </c>
      <c r="P257" s="332">
        <f>Gasto_o_ing_per_capita!P257-Gasto_o_ing_per_capita!$D257</f>
        <v>1.2454867250414039E-3</v>
      </c>
      <c r="Q257" s="332">
        <f>Gasto_o_ing_per_capita!Q257-Gasto_o_ing_per_capita!$D257</f>
        <v>-5.5237720102226237E-4</v>
      </c>
      <c r="R257" s="332">
        <f>Gasto_o_ing_per_capita!R257-Gasto_o_ing_per_capita!$D257</f>
        <v>-3.4378466099341254E-5</v>
      </c>
      <c r="S257" s="332">
        <f>Gasto_o_ing_per_capita!S257-Gasto_o_ing_per_capita!$D257</f>
        <v>4.6732925120334594E-4</v>
      </c>
      <c r="T257" s="332">
        <f>Gasto_o_ing_per_capita!T257-Gasto_o_ing_per_capita!$D257</f>
        <v>1.4683904432071806E-4</v>
      </c>
      <c r="U257" s="332">
        <f>Gasto_o_ing_per_capita!U257-Gasto_o_ing_per_capita!$D257</f>
        <v>1.1859133891159968E-3</v>
      </c>
      <c r="V257" s="332">
        <f>Gasto_o_ing_per_capita!V257-Gasto_o_ing_per_capita!$D257</f>
        <v>-1.9907283679126433E-4</v>
      </c>
      <c r="W257" s="155"/>
      <c r="X257" s="146"/>
    </row>
    <row r="258" spans="1:24" s="102" customFormat="1">
      <c r="A258" s="351" t="str">
        <f>IF(B258="","",(IF(ISERROR(MATCH(B258,Tot_res!C:C,0)),"Eliminar!!!","")))</f>
        <v/>
      </c>
      <c r="B258" s="115" t="s">
        <v>270</v>
      </c>
      <c r="C258" s="329" t="str">
        <f>VLOOKUP(B258,Tot_res!C:D,2,FALSE)</f>
        <v>Servicio postal universal</v>
      </c>
      <c r="D258" s="332">
        <f>Gasto_o_ing_per_capita!D258-Gasto_o_ing_per_capita!$D258</f>
        <v>0</v>
      </c>
      <c r="E258" s="332">
        <f>Gasto_o_ing_per_capita!E258-Gasto_o_ing_per_capita!$D258</f>
        <v>-4.8657012962599344</v>
      </c>
      <c r="F258" s="332">
        <f>Gasto_o_ing_per_capita!F258-Gasto_o_ing_per_capita!$D258</f>
        <v>3.8525408251602116</v>
      </c>
      <c r="G258" s="332">
        <f>Gasto_o_ing_per_capita!G258-Gasto_o_ing_per_capita!$D258</f>
        <v>-1.7088062358716822</v>
      </c>
      <c r="H258" s="332">
        <f>Gasto_o_ing_per_capita!H258-Gasto_o_ing_per_capita!$D258</f>
        <v>16.614289794163973</v>
      </c>
      <c r="I258" s="332">
        <f>Gasto_o_ing_per_capita!I258-Gasto_o_ing_per_capita!$D258</f>
        <v>44.281430083231612</v>
      </c>
      <c r="J258" s="332">
        <f>Gasto_o_ing_per_capita!J258-Gasto_o_ing_per_capita!$D258</f>
        <v>2.4009522079539156</v>
      </c>
      <c r="K258" s="332">
        <f>Gasto_o_ing_per_capita!K258-Gasto_o_ing_per_capita!$D258</f>
        <v>10.107613722347917</v>
      </c>
      <c r="L258" s="332">
        <f>Gasto_o_ing_per_capita!L258-Gasto_o_ing_per_capita!$D258</f>
        <v>7.2769501097746243</v>
      </c>
      <c r="M258" s="332">
        <f>Gasto_o_ing_per_capita!M258-Gasto_o_ing_per_capita!$D258</f>
        <v>-4.844026844188452</v>
      </c>
      <c r="N258" s="332">
        <f>Gasto_o_ing_per_capita!N258-Gasto_o_ing_per_capita!$D258</f>
        <v>-5.7375708019023062</v>
      </c>
      <c r="O258" s="332">
        <f>Gasto_o_ing_per_capita!O258-Gasto_o_ing_per_capita!$D258</f>
        <v>9.161465409790754</v>
      </c>
      <c r="P258" s="332">
        <f>Gasto_o_ing_per_capita!P258-Gasto_o_ing_per_capita!$D258</f>
        <v>6.9962929344409552</v>
      </c>
      <c r="Q258" s="332">
        <f>Gasto_o_ing_per_capita!Q258-Gasto_o_ing_per_capita!$D258</f>
        <v>-9.7839701802555634</v>
      </c>
      <c r="R258" s="332">
        <f>Gasto_o_ing_per_capita!R258-Gasto_o_ing_per_capita!$D258</f>
        <v>-9.8469051731324786</v>
      </c>
      <c r="S258" s="332">
        <f>Gasto_o_ing_per_capita!S258-Gasto_o_ing_per_capita!$D258</f>
        <v>7.6313190664025612</v>
      </c>
      <c r="T258" s="332">
        <f>Gasto_o_ing_per_capita!T258-Gasto_o_ing_per_capita!$D258</f>
        <v>-4.836442570386005</v>
      </c>
      <c r="U258" s="332">
        <f>Gasto_o_ing_per_capita!U258-Gasto_o_ing_per_capita!$D258</f>
        <v>2.6093805011262621</v>
      </c>
      <c r="V258" s="332">
        <f>Gasto_o_ing_per_capita!V258-Gasto_o_ing_per_capita!$D258</f>
        <v>16.392966450735205</v>
      </c>
      <c r="W258" s="155"/>
      <c r="X258" s="146"/>
    </row>
    <row r="259" spans="1:24" s="102" customFormat="1">
      <c r="A259" s="351" t="str">
        <f>IF(B259="","",(IF(ISERROR(MATCH(B259,Tot_res!C:C,0)),"Eliminar!!!","")))</f>
        <v/>
      </c>
      <c r="B259" s="115" t="s">
        <v>751</v>
      </c>
      <c r="C259" s="329" t="str">
        <f>VLOOKUP(B259,Tot_res!C:D,2,FALSE)</f>
        <v>Salvamento y lucha contra la contaminación en la mar</v>
      </c>
      <c r="D259" s="332">
        <f>Gasto_o_ing_per_capita!D259-Gasto_o_ing_per_capita!$D259</f>
        <v>0</v>
      </c>
      <c r="E259" s="332">
        <f>Gasto_o_ing_per_capita!E259-Gasto_o_ing_per_capita!$D259</f>
        <v>-0.980998623466661</v>
      </c>
      <c r="F259" s="332">
        <f>Gasto_o_ing_per_capita!F259-Gasto_o_ing_per_capita!$D259</f>
        <v>1.8264778265519457</v>
      </c>
      <c r="G259" s="332">
        <f>Gasto_o_ing_per_capita!G259-Gasto_o_ing_per_capita!$D259</f>
        <v>-0.45590296231238403</v>
      </c>
      <c r="H259" s="332">
        <f>Gasto_o_ing_per_capita!H259-Gasto_o_ing_per_capita!$D259</f>
        <v>-0.67470169043227779</v>
      </c>
      <c r="I259" s="332">
        <f>Gasto_o_ing_per_capita!I259-Gasto_o_ing_per_capita!$D259</f>
        <v>0.5649280723832999</v>
      </c>
      <c r="J259" s="332">
        <f>Gasto_o_ing_per_capita!J259-Gasto_o_ing_per_capita!$D259</f>
        <v>0.53583044713887773</v>
      </c>
      <c r="K259" s="332">
        <f>Gasto_o_ing_per_capita!K259-Gasto_o_ing_per_capita!$D259</f>
        <v>0.35704116173786549</v>
      </c>
      <c r="L259" s="332">
        <f>Gasto_o_ing_per_capita!L259-Gasto_o_ing_per_capita!$D259</f>
        <v>-0.26218024599461609</v>
      </c>
      <c r="M259" s="332">
        <f>Gasto_o_ing_per_capita!M259-Gasto_o_ing_per_capita!$D259</f>
        <v>0.56293708777772666</v>
      </c>
      <c r="N259" s="332">
        <f>Gasto_o_ing_per_capita!N259-Gasto_o_ing_per_capita!$D259</f>
        <v>-0.32834814876951368</v>
      </c>
      <c r="O259" s="332">
        <f>Gasto_o_ing_per_capita!O259-Gasto_o_ing_per_capita!$D259</f>
        <v>-1.2315627596941949</v>
      </c>
      <c r="P259" s="332">
        <f>Gasto_o_ing_per_capita!P259-Gasto_o_ing_per_capita!$D259</f>
        <v>-0.22788583738645718</v>
      </c>
      <c r="Q259" s="332">
        <f>Gasto_o_ing_per_capita!Q259-Gasto_o_ing_per_capita!$D259</f>
        <v>-0.12166615745941689</v>
      </c>
      <c r="R259" s="332">
        <f>Gasto_o_ing_per_capita!R259-Gasto_o_ing_per_capita!$D259</f>
        <v>0.64773103794032982</v>
      </c>
      <c r="S259" s="332">
        <f>Gasto_o_ing_per_capita!S259-Gasto_o_ing_per_capita!$D259</f>
        <v>2.1165736823328736</v>
      </c>
      <c r="T259" s="332">
        <f>Gasto_o_ing_per_capita!T259-Gasto_o_ing_per_capita!$D259</f>
        <v>1.0940235351016927</v>
      </c>
      <c r="U259" s="332">
        <f>Gasto_o_ing_per_capita!U259-Gasto_o_ing_per_capita!$D259</f>
        <v>1.0463869790770906</v>
      </c>
      <c r="V259" s="332">
        <f>Gasto_o_ing_per_capita!V259-Gasto_o_ing_per_capita!$D259</f>
        <v>2.0148695143857109</v>
      </c>
      <c r="W259" s="155"/>
      <c r="X259" s="146"/>
    </row>
    <row r="260" spans="1:24"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Gasto_o_ing_per_capita!D260-Gasto_o_ing_per_capita!$D260</f>
        <v>0</v>
      </c>
      <c r="E260" s="332">
        <f>Gasto_o_ing_per_capita!E260-Gasto_o_ing_per_capita!$D260</f>
        <v>0.8998558113845907</v>
      </c>
      <c r="F260" s="332">
        <f>Gasto_o_ing_per_capita!F260-Gasto_o_ing_per_capita!$D260</f>
        <v>3.383079489217395</v>
      </c>
      <c r="G260" s="332">
        <f>Gasto_o_ing_per_capita!G260-Gasto_o_ing_per_capita!$D260</f>
        <v>0.93378671710324146</v>
      </c>
      <c r="H260" s="332">
        <f>Gasto_o_ing_per_capita!H260-Gasto_o_ing_per_capita!$D260</f>
        <v>1.1466605384201023</v>
      </c>
      <c r="I260" s="332">
        <f>Gasto_o_ing_per_capita!I260-Gasto_o_ing_per_capita!$D260</f>
        <v>-1.0932993152159656</v>
      </c>
      <c r="J260" s="332">
        <f>Gasto_o_ing_per_capita!J260-Gasto_o_ing_per_capita!$D260</f>
        <v>0.78864262722057821</v>
      </c>
      <c r="K260" s="332">
        <f>Gasto_o_ing_per_capita!K260-Gasto_o_ing_per_capita!$D260</f>
        <v>0.75431303484469647</v>
      </c>
      <c r="L260" s="332">
        <f>Gasto_o_ing_per_capita!L260-Gasto_o_ing_per_capita!$D260</f>
        <v>-0.55417972467006704</v>
      </c>
      <c r="M260" s="332">
        <f>Gasto_o_ing_per_capita!M260-Gasto_o_ing_per_capita!$D260</f>
        <v>-0.65742409347356823</v>
      </c>
      <c r="N260" s="332">
        <f>Gasto_o_ing_per_capita!N260-Gasto_o_ing_per_capita!$D260</f>
        <v>0.45653032532500526</v>
      </c>
      <c r="O260" s="332">
        <f>Gasto_o_ing_per_capita!O260-Gasto_o_ing_per_capita!$D260</f>
        <v>-0.25711068503730794</v>
      </c>
      <c r="P260" s="332">
        <f>Gasto_o_ing_per_capita!P260-Gasto_o_ing_per_capita!$D260</f>
        <v>0.15992950879231604</v>
      </c>
      <c r="Q260" s="332">
        <f>Gasto_o_ing_per_capita!Q260-Gasto_o_ing_per_capita!$D260</f>
        <v>-1.0932993152159656</v>
      </c>
      <c r="R260" s="332">
        <f>Gasto_o_ing_per_capita!R260-Gasto_o_ing_per_capita!$D260</f>
        <v>-0.58666893444580936</v>
      </c>
      <c r="S260" s="332">
        <f>Gasto_o_ing_per_capita!S260-Gasto_o_ing_per_capita!$D260</f>
        <v>-1.0932993152159656</v>
      </c>
      <c r="T260" s="332">
        <f>Gasto_o_ing_per_capita!T260-Gasto_o_ing_per_capita!$D260</f>
        <v>-1.0881619290230597</v>
      </c>
      <c r="U260" s="332">
        <f>Gasto_o_ing_per_capita!U260-Gasto_o_ing_per_capita!$D260</f>
        <v>1.0129237944207798</v>
      </c>
      <c r="V260" s="332">
        <f>Gasto_o_ing_per_capita!V260-Gasto_o_ing_per_capita!$D260</f>
        <v>-1.0944068383339056E-2</v>
      </c>
      <c r="W260" s="155"/>
      <c r="X260" s="145"/>
    </row>
    <row r="261" spans="1:24" s="102" customFormat="1">
      <c r="A261" s="351" t="str">
        <f>IF(B261="","",(IF(ISERROR(MATCH(B261,Tot_res!C:C,0)),"Eliminar!!!","")))</f>
        <v/>
      </c>
      <c r="B261" s="119" t="s">
        <v>754</v>
      </c>
      <c r="C261" s="329" t="str">
        <f>VLOOKUP(B261,Tot_res!C:D,2,FALSE)</f>
        <v>Otras aportaciones a Corporaciones Locales, mejoras suminstro agua CyMel</v>
      </c>
      <c r="D261" s="332">
        <f>Gasto_o_ing_per_capita!D261-Gasto_o_ing_per_capita!$D261</f>
        <v>0</v>
      </c>
      <c r="E261" s="332">
        <f>Gasto_o_ing_per_capita!E261-Gasto_o_ing_per_capita!$D261</f>
        <v>0.20518611210450416</v>
      </c>
      <c r="F261" s="332">
        <f>Gasto_o_ing_per_capita!F261-Gasto_o_ing_per_capita!$D261</f>
        <v>-0.43668224036340503</v>
      </c>
      <c r="G261" s="332">
        <f>Gasto_o_ing_per_capita!G261-Gasto_o_ing_per_capita!$D261</f>
        <v>-0.43668224036340503</v>
      </c>
      <c r="H261" s="332">
        <f>Gasto_o_ing_per_capita!H261-Gasto_o_ing_per_capita!$D261</f>
        <v>-0.43668224036340503</v>
      </c>
      <c r="I261" s="332">
        <f>Gasto_o_ing_per_capita!I261-Gasto_o_ing_per_capita!$D261</f>
        <v>-0.43668224036340503</v>
      </c>
      <c r="J261" s="332">
        <f>Gasto_o_ing_per_capita!J261-Gasto_o_ing_per_capita!$D261</f>
        <v>-0.43668224036340503</v>
      </c>
      <c r="K261" s="332">
        <f>Gasto_o_ing_per_capita!K261-Gasto_o_ing_per_capita!$D261</f>
        <v>-0.43668224036340503</v>
      </c>
      <c r="L261" s="332">
        <f>Gasto_o_ing_per_capita!L261-Gasto_o_ing_per_capita!$D261</f>
        <v>-0.43668224036340503</v>
      </c>
      <c r="M261" s="332">
        <f>Gasto_o_ing_per_capita!M261-Gasto_o_ing_per_capita!$D261</f>
        <v>-0.43668224036340503</v>
      </c>
      <c r="N261" s="332">
        <f>Gasto_o_ing_per_capita!N261-Gasto_o_ing_per_capita!$D261</f>
        <v>-0.43668224036340503</v>
      </c>
      <c r="O261" s="332">
        <f>Gasto_o_ing_per_capita!O261-Gasto_o_ing_per_capita!$D261</f>
        <v>-0.43668224036340503</v>
      </c>
      <c r="P261" s="332">
        <f>Gasto_o_ing_per_capita!P261-Gasto_o_ing_per_capita!$D261</f>
        <v>-0.43668224036340503</v>
      </c>
      <c r="Q261" s="332">
        <f>Gasto_o_ing_per_capita!Q261-Gasto_o_ing_per_capita!$D261</f>
        <v>-0.43668224036340503</v>
      </c>
      <c r="R261" s="332">
        <f>Gasto_o_ing_per_capita!R261-Gasto_o_ing_per_capita!$D261</f>
        <v>-0.43668224036340503</v>
      </c>
      <c r="S261" s="332">
        <f>Gasto_o_ing_per_capita!S261-Gasto_o_ing_per_capita!$D261</f>
        <v>-0.43668224036340503</v>
      </c>
      <c r="T261" s="332">
        <f>Gasto_o_ing_per_capita!T261-Gasto_o_ing_per_capita!$D261</f>
        <v>-0.43668224036340503</v>
      </c>
      <c r="U261" s="332">
        <f>Gasto_o_ing_per_capita!U261-Gasto_o_ing_per_capita!$D261</f>
        <v>-0.43668224036340503</v>
      </c>
      <c r="V261" s="332">
        <f>Gasto_o_ing_per_capita!V261-Gasto_o_ing_per_capita!$D261</f>
        <v>87.975696671515976</v>
      </c>
      <c r="W261" s="155"/>
      <c r="X261" s="145"/>
    </row>
    <row r="262" spans="1:24" s="102" customFormat="1">
      <c r="A262" s="351" t="str">
        <f>IF(B262="","",(IF(ISERROR(MATCH(B262,Tot_res!C:C,0)),"Eliminar!!!","")))</f>
        <v/>
      </c>
      <c r="B262" s="119" t="s">
        <v>272</v>
      </c>
      <c r="C262" s="329" t="str">
        <f>VLOOKUP(B262,Tot_res!C:D,2,FALSE)</f>
        <v>Obras hidráulicas</v>
      </c>
      <c r="D262" s="332">
        <f>Gasto_o_ing_per_capita!D262-Gasto_o_ing_per_capita!$D262</f>
        <v>0</v>
      </c>
      <c r="E262" s="332">
        <f>Gasto_o_ing_per_capita!E262-Gasto_o_ing_per_capita!$D262</f>
        <v>-3.9456322472398062</v>
      </c>
      <c r="F262" s="332">
        <f>Gasto_o_ing_per_capita!F262-Gasto_o_ing_per_capita!$D262</f>
        <v>-3.9456322472398062</v>
      </c>
      <c r="G262" s="332">
        <f>Gasto_o_ing_per_capita!G262-Gasto_o_ing_per_capita!$D262</f>
        <v>-3.9456322472398062</v>
      </c>
      <c r="H262" s="332">
        <f>Gasto_o_ing_per_capita!H262-Gasto_o_ing_per_capita!$D262</f>
        <v>-3.9456322472398062</v>
      </c>
      <c r="I262" s="332">
        <f>Gasto_o_ing_per_capita!I262-Gasto_o_ing_per_capita!$D262</f>
        <v>2.4540327938821136</v>
      </c>
      <c r="J262" s="332">
        <f>Gasto_o_ing_per_capita!J262-Gasto_o_ing_per_capita!$D262</f>
        <v>-3.9456322472398062</v>
      </c>
      <c r="K262" s="332">
        <f>Gasto_o_ing_per_capita!K262-Gasto_o_ing_per_capita!$D262</f>
        <v>-3.9456322472398062</v>
      </c>
      <c r="L262" s="332">
        <f>Gasto_o_ing_per_capita!L262-Gasto_o_ing_per_capita!$D262</f>
        <v>-3.9456322472398062</v>
      </c>
      <c r="M262" s="332">
        <f>Gasto_o_ing_per_capita!M262-Gasto_o_ing_per_capita!$D262</f>
        <v>13.901245877970158</v>
      </c>
      <c r="N262" s="332">
        <f>Gasto_o_ing_per_capita!N262-Gasto_o_ing_per_capita!$D262</f>
        <v>-3.9456322472398062</v>
      </c>
      <c r="O262" s="332">
        <f>Gasto_o_ing_per_capita!O262-Gasto_o_ing_per_capita!$D262</f>
        <v>-3.9456322472398062</v>
      </c>
      <c r="P262" s="332">
        <f>Gasto_o_ing_per_capita!P262-Gasto_o_ing_per_capita!$D262</f>
        <v>9.4475532741000237</v>
      </c>
      <c r="Q262" s="332">
        <f>Gasto_o_ing_per_capita!Q262-Gasto_o_ing_per_capita!$D262</f>
        <v>-3.9456322472398062</v>
      </c>
      <c r="R262" s="332">
        <f>Gasto_o_ing_per_capita!R262-Gasto_o_ing_per_capita!$D262</f>
        <v>-3.9456322472398062</v>
      </c>
      <c r="S262" s="332">
        <f>Gasto_o_ing_per_capita!S262-Gasto_o_ing_per_capita!$D262</f>
        <v>-3.9456322472398062</v>
      </c>
      <c r="T262" s="332">
        <f>Gasto_o_ing_per_capita!T262-Gasto_o_ing_per_capita!$D262</f>
        <v>-3.9456322472398062</v>
      </c>
      <c r="U262" s="332">
        <f>Gasto_o_ing_per_capita!U262-Gasto_o_ing_per_capita!$D262</f>
        <v>-3.9456322472398062</v>
      </c>
      <c r="V262" s="332">
        <f>Gasto_o_ing_per_capita!V262-Gasto_o_ing_per_capita!$D262</f>
        <v>-3.9456322472398062</v>
      </c>
      <c r="W262" s="155"/>
      <c r="X262" s="145"/>
    </row>
    <row r="263" spans="1:24" s="102" customFormat="1">
      <c r="A263" s="351" t="str">
        <f>IF(B263="","",(IF(ISERROR(MATCH(B263,Tot_res!C:C,0)),"Eliminar!!!","")))</f>
        <v/>
      </c>
      <c r="B263" s="119" t="s">
        <v>273</v>
      </c>
      <c r="C263" s="329" t="str">
        <f>VLOOKUP(B263,Tot_res!C:D,2,FALSE)</f>
        <v>Confederaciones hidrográficas, Andalucía</v>
      </c>
      <c r="D263" s="332">
        <f>Gasto_o_ing_per_capita!D263-Gasto_o_ing_per_capita!$D263</f>
        <v>0</v>
      </c>
      <c r="E263" s="332">
        <f>Gasto_o_ing_per_capita!E263-Gasto_o_ing_per_capita!$D263</f>
        <v>18.057749168545602</v>
      </c>
      <c r="F263" s="332">
        <f>Gasto_o_ing_per_capita!F263-Gasto_o_ing_per_capita!$D263</f>
        <v>-3.9610549453200092</v>
      </c>
      <c r="G263" s="332">
        <f>Gasto_o_ing_per_capita!G263-Gasto_o_ing_per_capita!$D263</f>
        <v>-3.9610549453200092</v>
      </c>
      <c r="H263" s="332">
        <f>Gasto_o_ing_per_capita!H263-Gasto_o_ing_per_capita!$D263</f>
        <v>-3.9610549453200092</v>
      </c>
      <c r="I263" s="332">
        <f>Gasto_o_ing_per_capita!I263-Gasto_o_ing_per_capita!$D263</f>
        <v>-3.9610549453200092</v>
      </c>
      <c r="J263" s="332">
        <f>Gasto_o_ing_per_capita!J263-Gasto_o_ing_per_capita!$D263</f>
        <v>-3.9610549453200092</v>
      </c>
      <c r="K263" s="332">
        <f>Gasto_o_ing_per_capita!K263-Gasto_o_ing_per_capita!$D263</f>
        <v>-3.9610549453200092</v>
      </c>
      <c r="L263" s="332">
        <f>Gasto_o_ing_per_capita!L263-Gasto_o_ing_per_capita!$D263</f>
        <v>-3.9610549453200092</v>
      </c>
      <c r="M263" s="332">
        <f>Gasto_o_ing_per_capita!M263-Gasto_o_ing_per_capita!$D263</f>
        <v>-3.9610549453200092</v>
      </c>
      <c r="N263" s="332">
        <f>Gasto_o_ing_per_capita!N263-Gasto_o_ing_per_capita!$D263</f>
        <v>-3.9610549453200092</v>
      </c>
      <c r="O263" s="332">
        <f>Gasto_o_ing_per_capita!O263-Gasto_o_ing_per_capita!$D263</f>
        <v>-3.9610549453200092</v>
      </c>
      <c r="P263" s="332">
        <f>Gasto_o_ing_per_capita!P263-Gasto_o_ing_per_capita!$D263</f>
        <v>-3.9610549453200092</v>
      </c>
      <c r="Q263" s="332">
        <f>Gasto_o_ing_per_capita!Q263-Gasto_o_ing_per_capita!$D263</f>
        <v>-3.9610549453200092</v>
      </c>
      <c r="R263" s="332">
        <f>Gasto_o_ing_per_capita!R263-Gasto_o_ing_per_capita!$D263</f>
        <v>-3.9610549453200092</v>
      </c>
      <c r="S263" s="332">
        <f>Gasto_o_ing_per_capita!S263-Gasto_o_ing_per_capita!$D263</f>
        <v>-3.9610549453200092</v>
      </c>
      <c r="T263" s="332">
        <f>Gasto_o_ing_per_capita!T263-Gasto_o_ing_per_capita!$D263</f>
        <v>-3.9610549453200092</v>
      </c>
      <c r="U263" s="332">
        <f>Gasto_o_ing_per_capita!U263-Gasto_o_ing_per_capita!$D263</f>
        <v>-3.9610549453200092</v>
      </c>
      <c r="V263" s="332">
        <f>Gasto_o_ing_per_capita!V263-Gasto_o_ing_per_capita!$D263</f>
        <v>-3.9610549453200092</v>
      </c>
      <c r="W263" s="155"/>
      <c r="X263" s="145"/>
    </row>
    <row r="264" spans="1:24" s="102" customFormat="1">
      <c r="A264" s="351" t="str">
        <f>IF(B264="","",(IF(ISERROR(MATCH(B264,Tot_res!C:C,0)),"Eliminar!!!","")))</f>
        <v/>
      </c>
      <c r="B264" s="119" t="s">
        <v>274</v>
      </c>
      <c r="C264" s="329" t="str">
        <f>VLOOKUP(B264,Tot_res!C:D,2,FALSE)</f>
        <v>Parques Nacionales</v>
      </c>
      <c r="D264" s="332">
        <f>Gasto_o_ing_per_capita!D264-Gasto_o_ing_per_capita!$D264</f>
        <v>0</v>
      </c>
      <c r="E264" s="332">
        <f>Gasto_o_ing_per_capita!E264-Gasto_o_ing_per_capita!$D264</f>
        <v>0.6560896760908701</v>
      </c>
      <c r="F264" s="332">
        <f>Gasto_o_ing_per_capita!F264-Gasto_o_ing_per_capita!$D264</f>
        <v>2.0006910188776743</v>
      </c>
      <c r="G264" s="332">
        <f>Gasto_o_ing_per_capita!G264-Gasto_o_ing_per_capita!$D264</f>
        <v>2.2389370777038677</v>
      </c>
      <c r="H264" s="332">
        <f>Gasto_o_ing_per_capita!H264-Gasto_o_ing_per_capita!$D264</f>
        <v>5.3975861992739436</v>
      </c>
      <c r="I264" s="332">
        <f>Gasto_o_ing_per_capita!I264-Gasto_o_ing_per_capita!$D264</f>
        <v>12.026993647649968</v>
      </c>
      <c r="J264" s="332">
        <f>Gasto_o_ing_per_capita!J264-Gasto_o_ing_per_capita!$D264</f>
        <v>2.2206195004875688</v>
      </c>
      <c r="K264" s="332">
        <f>Gasto_o_ing_per_capita!K264-Gasto_o_ing_per_capita!$D264</f>
        <v>-0.6219062197499704</v>
      </c>
      <c r="L264" s="332">
        <f>Gasto_o_ing_per_capita!L264-Gasto_o_ing_per_capita!$D264</f>
        <v>-1.5632222114812957</v>
      </c>
      <c r="M264" s="332">
        <f>Gasto_o_ing_per_capita!M264-Gasto_o_ing_per_capita!$D264</f>
        <v>-1.5632222114812957</v>
      </c>
      <c r="N264" s="332">
        <f>Gasto_o_ing_per_capita!N264-Gasto_o_ing_per_capita!$D264</f>
        <v>-1.5632222114812957</v>
      </c>
      <c r="O264" s="332">
        <f>Gasto_o_ing_per_capita!O264-Gasto_o_ing_per_capita!$D264</f>
        <v>-1.5632222114812957</v>
      </c>
      <c r="P264" s="332">
        <f>Gasto_o_ing_per_capita!P264-Gasto_o_ing_per_capita!$D264</f>
        <v>0.19233657754636391</v>
      </c>
      <c r="Q264" s="332">
        <f>Gasto_o_ing_per_capita!Q264-Gasto_o_ing_per_capita!$D264</f>
        <v>-1.5632222114812957</v>
      </c>
      <c r="R264" s="332">
        <f>Gasto_o_ing_per_capita!R264-Gasto_o_ing_per_capita!$D264</f>
        <v>-1.5632222114812957</v>
      </c>
      <c r="S264" s="332">
        <f>Gasto_o_ing_per_capita!S264-Gasto_o_ing_per_capita!$D264</f>
        <v>-1.5632222114812957</v>
      </c>
      <c r="T264" s="332">
        <f>Gasto_o_ing_per_capita!T264-Gasto_o_ing_per_capita!$D264</f>
        <v>-1.5632222114812957</v>
      </c>
      <c r="U264" s="332">
        <f>Gasto_o_ing_per_capita!U264-Gasto_o_ing_per_capita!$D264</f>
        <v>-1.5632222114812957</v>
      </c>
      <c r="V264" s="332">
        <f>Gasto_o_ing_per_capita!V264-Gasto_o_ing_per_capita!$D264</f>
        <v>-1.5632222114812957</v>
      </c>
      <c r="W264" s="155"/>
      <c r="X264" s="146"/>
    </row>
    <row r="265" spans="1:24" s="102" customFormat="1">
      <c r="A265" s="351" t="str">
        <f>IF(B265="","",(IF(ISERROR(MATCH(B265,Tot_res!C:C,0)),"Eliminar!!!","")))</f>
        <v/>
      </c>
      <c r="B265" s="119" t="s">
        <v>276</v>
      </c>
      <c r="C265" s="329" t="str">
        <f>VLOOKUP(B265,Tot_res!C:D,2,FALSE)</f>
        <v>Infraestructuras ferroviarias, ADIF y Renfe</v>
      </c>
      <c r="D265" s="332">
        <f>Gasto_o_ing_per_capita!D265-Gasto_o_ing_per_capita!$D265</f>
        <v>0</v>
      </c>
      <c r="E265" s="332">
        <f>Gasto_o_ing_per_capita!E265-Gasto_o_ing_per_capita!$D265</f>
        <v>-28.867961216666508</v>
      </c>
      <c r="F265" s="332">
        <f>Gasto_o_ing_per_capita!F265-Gasto_o_ing_per_capita!$D265</f>
        <v>-34.912001591815752</v>
      </c>
      <c r="G265" s="332">
        <f>Gasto_o_ing_per_capita!G265-Gasto_o_ing_per_capita!$D265</f>
        <v>32.282063372085986</v>
      </c>
      <c r="H265" s="332">
        <f>Gasto_o_ing_per_capita!H265-Gasto_o_ing_per_capita!$D265</f>
        <v>-54.924273862117339</v>
      </c>
      <c r="I265" s="332">
        <f>Gasto_o_ing_per_capita!I265-Gasto_o_ing_per_capita!$D265</f>
        <v>-56.855810975955634</v>
      </c>
      <c r="J265" s="332">
        <f>Gasto_o_ing_per_capita!J265-Gasto_o_ing_per_capita!$D265</f>
        <v>-29.986214499913714</v>
      </c>
      <c r="K265" s="332">
        <f>Gasto_o_ing_per_capita!K265-Gasto_o_ing_per_capita!$D265</f>
        <v>150.60196002754236</v>
      </c>
      <c r="L265" s="332">
        <f>Gasto_o_ing_per_capita!L265-Gasto_o_ing_per_capita!$D265</f>
        <v>-35.591820594421932</v>
      </c>
      <c r="M265" s="332">
        <f>Gasto_o_ing_per_capita!M265-Gasto_o_ing_per_capita!$D265</f>
        <v>-9.3003666132666751</v>
      </c>
      <c r="N265" s="332">
        <f>Gasto_o_ing_per_capita!N265-Gasto_o_ing_per_capita!$D265</f>
        <v>-3.2817665100900939</v>
      </c>
      <c r="O265" s="332">
        <f>Gasto_o_ing_per_capita!O265-Gasto_o_ing_per_capita!$D265</f>
        <v>14.383009906112818</v>
      </c>
      <c r="P265" s="332">
        <f>Gasto_o_ing_per_capita!P265-Gasto_o_ing_per_capita!$D265</f>
        <v>98.678935817488068</v>
      </c>
      <c r="Q265" s="332">
        <f>Gasto_o_ing_per_capita!Q265-Gasto_o_ing_per_capita!$D265</f>
        <v>-1.1478183100759196</v>
      </c>
      <c r="R265" s="332">
        <f>Gasto_o_ing_per_capita!R265-Gasto_o_ing_per_capita!$D265</f>
        <v>-32.721109764543463</v>
      </c>
      <c r="S265" s="332">
        <f>Gasto_o_ing_per_capita!S265-Gasto_o_ing_per_capita!$D265</f>
        <v>44.078246269578244</v>
      </c>
      <c r="T265" s="332">
        <f>Gasto_o_ing_per_capita!T265-Gasto_o_ing_per_capita!$D265</f>
        <v>0.57005501142729997</v>
      </c>
      <c r="U265" s="332">
        <f>Gasto_o_ing_per_capita!U265-Gasto_o_ing_per_capita!$D265</f>
        <v>-40.986502990329186</v>
      </c>
      <c r="V265" s="332">
        <f>Gasto_o_ing_per_capita!V265-Gasto_o_ing_per_capita!$D265</f>
        <v>-53.261646960700624</v>
      </c>
      <c r="W265" s="155"/>
      <c r="X265" s="146"/>
    </row>
    <row r="266" spans="1:24" s="102" customFormat="1">
      <c r="A266" s="351" t="str">
        <f>IF(B266="","",(IF(ISERROR(MATCH(B266,Tot_res!C:C,0)),"Eliminar!!!","")))</f>
        <v/>
      </c>
      <c r="B266" s="119" t="s">
        <v>277</v>
      </c>
      <c r="C266" s="329" t="str">
        <f>VLOOKUP(B266,Tot_res!C:D,2,FALSE)</f>
        <v>Infraestructuras aeroportuarias, AENA</v>
      </c>
      <c r="D266" s="332">
        <f>Gasto_o_ing_per_capita!D266-Gasto_o_ing_per_capita!$D266</f>
        <v>0</v>
      </c>
      <c r="E266" s="332">
        <f>Gasto_o_ing_per_capita!E266-Gasto_o_ing_per_capita!$D266</f>
        <v>-3.1937535661826582</v>
      </c>
      <c r="F266" s="332">
        <f>Gasto_o_ing_per_capita!F266-Gasto_o_ing_per_capita!$D266</f>
        <v>-4.5305406235032706</v>
      </c>
      <c r="G266" s="332">
        <f>Gasto_o_ing_per_capita!G266-Gasto_o_ing_per_capita!$D266</f>
        <v>-1.4034583497583428</v>
      </c>
      <c r="H266" s="332">
        <f>Gasto_o_ing_per_capita!H266-Gasto_o_ing_per_capita!$D266</f>
        <v>9.4329840218276395</v>
      </c>
      <c r="I266" s="332">
        <f>Gasto_o_ing_per_capita!I266-Gasto_o_ing_per_capita!$D266</f>
        <v>22.532068300276272</v>
      </c>
      <c r="J266" s="332">
        <f>Gasto_o_ing_per_capita!J266-Gasto_o_ing_per_capita!$D266</f>
        <v>-4.2387917024074735</v>
      </c>
      <c r="K266" s="332">
        <f>Gasto_o_ing_per_capita!K266-Gasto_o_ing_per_capita!$D266</f>
        <v>-5.2649979151823842</v>
      </c>
      <c r="L266" s="332">
        <f>Gasto_o_ing_per_capita!L266-Gasto_o_ing_per_capita!$D266</f>
        <v>-5.2147516526036473</v>
      </c>
      <c r="M266" s="332">
        <f>Gasto_o_ing_per_capita!M266-Gasto_o_ing_per_capita!$D266</f>
        <v>-2.4395494011574161</v>
      </c>
      <c r="N266" s="332">
        <f>Gasto_o_ing_per_capita!N266-Gasto_o_ing_per_capita!$D266</f>
        <v>-4.2467451775969849</v>
      </c>
      <c r="O266" s="332">
        <f>Gasto_o_ing_per_capita!O266-Gasto_o_ing_per_capita!$D266</f>
        <v>-5.5032640433067819</v>
      </c>
      <c r="P266" s="332">
        <f>Gasto_o_ing_per_capita!P266-Gasto_o_ing_per_capita!$D266</f>
        <v>2.234641246372461</v>
      </c>
      <c r="Q266" s="332">
        <f>Gasto_o_ing_per_capita!Q266-Gasto_o_ing_per_capita!$D266</f>
        <v>9.5045006689407394</v>
      </c>
      <c r="R266" s="332">
        <f>Gasto_o_ing_per_capita!R266-Gasto_o_ing_per_capita!$D266</f>
        <v>-4.9319690043152669</v>
      </c>
      <c r="S266" s="332">
        <f>Gasto_o_ing_per_capita!S266-Gasto_o_ing_per_capita!$D266</f>
        <v>-4.7639723132858922</v>
      </c>
      <c r="T266" s="332">
        <f>Gasto_o_ing_per_capita!T266-Gasto_o_ing_per_capita!$D266</f>
        <v>-3.0935330941418266</v>
      </c>
      <c r="U266" s="332">
        <f>Gasto_o_ing_per_capita!U266-Gasto_o_ing_per_capita!$D266</f>
        <v>-4.9572888077674362</v>
      </c>
      <c r="V266" s="332">
        <f>Gasto_o_ing_per_capita!V266-Gasto_o_ing_per_capita!$D266</f>
        <v>-1.8992566424915003</v>
      </c>
      <c r="W266" s="155"/>
      <c r="X266" s="146"/>
    </row>
    <row r="267" spans="1:24" s="102" customFormat="1">
      <c r="A267" s="351" t="str">
        <f>IF(B267="","",(IF(ISERROR(MATCH(B267,Tot_res!C:C,0)),"Eliminar!!!","")))</f>
        <v/>
      </c>
      <c r="B267" s="119" t="s">
        <v>278</v>
      </c>
      <c r="C267" s="329" t="str">
        <f>VLOOKUP(B267,Tot_res!C:D,2,FALSE)</f>
        <v xml:space="preserve">Infraestructuras portuarias, Puertos del Estado </v>
      </c>
      <c r="D267" s="332">
        <f>Gasto_o_ing_per_capita!D267-Gasto_o_ing_per_capita!$D267</f>
        <v>0</v>
      </c>
      <c r="E267" s="332">
        <f>Gasto_o_ing_per_capita!E267-Gasto_o_ing_per_capita!$D267</f>
        <v>-1.2825435321222765</v>
      </c>
      <c r="F267" s="332">
        <f>Gasto_o_ing_per_capita!F267-Gasto_o_ing_per_capita!$D267</f>
        <v>-3.7188970839364499</v>
      </c>
      <c r="G267" s="332">
        <f>Gasto_o_ing_per_capita!G267-Gasto_o_ing_per_capita!$D267</f>
        <v>1.8643689294944945</v>
      </c>
      <c r="H267" s="332">
        <f>Gasto_o_ing_per_capita!H267-Gasto_o_ing_per_capita!$D267</f>
        <v>-2.8117967964842521</v>
      </c>
      <c r="I267" s="332">
        <f>Gasto_o_ing_per_capita!I267-Gasto_o_ing_per_capita!$D267</f>
        <v>0.47651853233509911</v>
      </c>
      <c r="J267" s="332">
        <f>Gasto_o_ing_per_capita!J267-Gasto_o_ing_per_capita!$D267</f>
        <v>9.879617295723838</v>
      </c>
      <c r="K267" s="332">
        <f>Gasto_o_ing_per_capita!K267-Gasto_o_ing_per_capita!$D267</f>
        <v>-5.0485818951651558</v>
      </c>
      <c r="L267" s="332">
        <f>Gasto_o_ing_per_capita!L267-Gasto_o_ing_per_capita!$D267</f>
        <v>-5.6089117959803865</v>
      </c>
      <c r="M267" s="332">
        <f>Gasto_o_ing_per_capita!M267-Gasto_o_ing_per_capita!$D267</f>
        <v>6.3711053357965746</v>
      </c>
      <c r="N267" s="332">
        <f>Gasto_o_ing_per_capita!N267-Gasto_o_ing_per_capita!$D267</f>
        <v>-1.2955266229874667</v>
      </c>
      <c r="O267" s="332">
        <f>Gasto_o_ing_per_capita!O267-Gasto_o_ing_per_capita!$D267</f>
        <v>-6.4861004735203753</v>
      </c>
      <c r="P267" s="332">
        <f>Gasto_o_ing_per_capita!P267-Gasto_o_ing_per_capita!$D267</f>
        <v>1.1235231720119465</v>
      </c>
      <c r="Q267" s="332">
        <f>Gasto_o_ing_per_capita!Q267-Gasto_o_ing_per_capita!$D267</f>
        <v>-5.4817614030694148</v>
      </c>
      <c r="R267" s="332">
        <f>Gasto_o_ing_per_capita!R267-Gasto_o_ing_per_capita!$D267</f>
        <v>5.5299263378156169</v>
      </c>
      <c r="S267" s="332">
        <f>Gasto_o_ing_per_capita!S267-Gasto_o_ing_per_capita!$D267</f>
        <v>-3.4563910076496587</v>
      </c>
      <c r="T267" s="332">
        <f>Gasto_o_ing_per_capita!T267-Gasto_o_ing_per_capita!$D267</f>
        <v>12.734463763821578</v>
      </c>
      <c r="U267" s="332">
        <f>Gasto_o_ing_per_capita!U267-Gasto_o_ing_per_capita!$D267</f>
        <v>-4.4247968182384279</v>
      </c>
      <c r="V267" s="332">
        <f>Gasto_o_ing_per_capita!V267-Gasto_o_ing_per_capita!$D267</f>
        <v>-1.4068782367844657</v>
      </c>
      <c r="W267" s="155"/>
      <c r="X267" s="145"/>
    </row>
    <row r="268" spans="1:24" s="102" customFormat="1">
      <c r="A268" s="351" t="str">
        <f>IF(B268="","",(IF(ISERROR(MATCH(B268,Tot_res!C:C,0)),"Eliminar!!!","")))</f>
        <v/>
      </c>
      <c r="B268" s="119" t="s">
        <v>279</v>
      </c>
      <c r="C268" s="329" t="str">
        <f>VLOOKUP(B268,Tot_res!C:D,2,FALSE)</f>
        <v>Autopistas de peaje</v>
      </c>
      <c r="D268" s="332">
        <f>Gasto_o_ing_per_capita!D268-Gasto_o_ing_per_capita!$D268</f>
        <v>0</v>
      </c>
      <c r="E268" s="332">
        <f>Gasto_o_ing_per_capita!E268-Gasto_o_ing_per_capita!$D268</f>
        <v>-1.2542276466235831</v>
      </c>
      <c r="F268" s="332">
        <f>Gasto_o_ing_per_capita!F268-Gasto_o_ing_per_capita!$D268</f>
        <v>1.0899327537117207</v>
      </c>
      <c r="G268" s="332">
        <f>Gasto_o_ing_per_capita!G268-Gasto_o_ing_per_capita!$D268</f>
        <v>-1.4494084496810209</v>
      </c>
      <c r="H268" s="332">
        <f>Gasto_o_ing_per_capita!H268-Gasto_o_ing_per_capita!$D268</f>
        <v>-2.1179006714652298</v>
      </c>
      <c r="I268" s="332">
        <f>Gasto_o_ing_per_capita!I268-Gasto_o_ing_per_capita!$D268</f>
        <v>-2.0981318974977827</v>
      </c>
      <c r="J268" s="332">
        <f>Gasto_o_ing_per_capita!J268-Gasto_o_ing_per_capita!$D268</f>
        <v>-1.8821924327045441</v>
      </c>
      <c r="K268" s="332">
        <f>Gasto_o_ing_per_capita!K268-Gasto_o_ing_per_capita!$D268</f>
        <v>3.1288764463604481</v>
      </c>
      <c r="L268" s="332">
        <f>Gasto_o_ing_per_capita!L268-Gasto_o_ing_per_capita!$D268</f>
        <v>2.0310438788128433</v>
      </c>
      <c r="M268" s="332">
        <f>Gasto_o_ing_per_capita!M268-Gasto_o_ing_per_capita!$D268</f>
        <v>1.7598922202544678</v>
      </c>
      <c r="N268" s="332">
        <f>Gasto_o_ing_per_capita!N268-Gasto_o_ing_per_capita!$D268</f>
        <v>-0.47841587927780704</v>
      </c>
      <c r="O268" s="332">
        <f>Gasto_o_ing_per_capita!O268-Gasto_o_ing_per_capita!$D268</f>
        <v>-1.8873873294411911</v>
      </c>
      <c r="P268" s="332">
        <f>Gasto_o_ing_per_capita!P268-Gasto_o_ing_per_capita!$D268</f>
        <v>0.11424207755973459</v>
      </c>
      <c r="Q268" s="332">
        <f>Gasto_o_ing_per_capita!Q268-Gasto_o_ing_per_capita!$D268</f>
        <v>-1.1857522401267988</v>
      </c>
      <c r="R268" s="332">
        <f>Gasto_o_ing_per_capita!R268-Gasto_o_ing_per_capita!$D268</f>
        <v>-1.6633322880634211</v>
      </c>
      <c r="S268" s="332">
        <f>Gasto_o_ing_per_capita!S268-Gasto_o_ing_per_capita!$D268</f>
        <v>1.3513704142843554</v>
      </c>
      <c r="T268" s="332">
        <f>Gasto_o_ing_per_capita!T268-Gasto_o_ing_per_capita!$D268</f>
        <v>1.0374163147892546</v>
      </c>
      <c r="U268" s="332">
        <f>Gasto_o_ing_per_capita!U268-Gasto_o_ing_per_capita!$D268</f>
        <v>14.850022404354682</v>
      </c>
      <c r="V268" s="332">
        <f>Gasto_o_ing_per_capita!V268-Gasto_o_ing_per_capita!$D268</f>
        <v>-2.0362025167986859</v>
      </c>
      <c r="W268" s="155"/>
      <c r="X268" s="146"/>
    </row>
    <row r="269" spans="1:24" s="102" customFormat="1">
      <c r="A269" s="351" t="str">
        <f>IF(B269="","",(IF(ISERROR(MATCH(B269,Tot_res!C:C,0)),"Eliminar!!!","")))</f>
        <v/>
      </c>
      <c r="B269" s="119" t="s">
        <v>281</v>
      </c>
      <c r="C269" s="329" t="str">
        <f>VLOOKUP(B269,Tot_res!C:D,2,FALSE)</f>
        <v>Excedente bruto de AENA</v>
      </c>
      <c r="D269" s="332">
        <f>Gasto_o_ing_per_capita!D269-Gasto_o_ing_per_capita!$D269</f>
        <v>0</v>
      </c>
      <c r="E269" s="332">
        <f>Gasto_o_ing_per_capita!E269-Gasto_o_ing_per_capita!$D269</f>
        <v>2.5861473007350355</v>
      </c>
      <c r="F269" s="332">
        <f>Gasto_o_ing_per_capita!F269-Gasto_o_ing_per_capita!$D269</f>
        <v>-1.3057240803288082</v>
      </c>
      <c r="G269" s="332">
        <f>Gasto_o_ing_per_capita!G269-Gasto_o_ing_per_capita!$D269</f>
        <v>-3.4701537611247275</v>
      </c>
      <c r="H269" s="332">
        <f>Gasto_o_ing_per_capita!H269-Gasto_o_ing_per_capita!$D269</f>
        <v>0.62575403285921993</v>
      </c>
      <c r="I269" s="332">
        <f>Gasto_o_ing_per_capita!I269-Gasto_o_ing_per_capita!$D269</f>
        <v>-2.3465471017760038</v>
      </c>
      <c r="J269" s="332">
        <f>Gasto_o_ing_per_capita!J269-Gasto_o_ing_per_capita!$D269</f>
        <v>-3.104314607639111</v>
      </c>
      <c r="K269" s="332">
        <f>Gasto_o_ing_per_capita!K269-Gasto_o_ing_per_capita!$D269</f>
        <v>2.0176510992339587</v>
      </c>
      <c r="L269" s="332">
        <f>Gasto_o_ing_per_capita!L269-Gasto_o_ing_per_capita!$D269</f>
        <v>-5.3646711732000441</v>
      </c>
      <c r="M269" s="332">
        <f>Gasto_o_ing_per_capita!M269-Gasto_o_ing_per_capita!$D269</f>
        <v>-1.517149638580392</v>
      </c>
      <c r="N269" s="332">
        <f>Gasto_o_ing_per_capita!N269-Gasto_o_ing_per_capita!$D269</f>
        <v>-5.1931689027796324E-2</v>
      </c>
      <c r="O269" s="332">
        <f>Gasto_o_ing_per_capita!O269-Gasto_o_ing_per_capita!$D269</f>
        <v>0.13874567297919072</v>
      </c>
      <c r="P269" s="332">
        <f>Gasto_o_ing_per_capita!P269-Gasto_o_ing_per_capita!$D269</f>
        <v>-0.25391616982705045</v>
      </c>
      <c r="Q269" s="332">
        <f>Gasto_o_ing_per_capita!Q269-Gasto_o_ing_per_capita!$D269</f>
        <v>3.4347105316137316</v>
      </c>
      <c r="R269" s="332">
        <f>Gasto_o_ing_per_capita!R269-Gasto_o_ing_per_capita!$D269</f>
        <v>-0.56122050066612417</v>
      </c>
      <c r="S269" s="332">
        <f>Gasto_o_ing_per_capita!S269-Gasto_o_ing_per_capita!$D269</f>
        <v>-3.6608557391783307</v>
      </c>
      <c r="T269" s="332">
        <f>Gasto_o_ing_per_capita!T269-Gasto_o_ing_per_capita!$D269</f>
        <v>-5.2414396921624942</v>
      </c>
      <c r="U269" s="332">
        <f>Gasto_o_ing_per_capita!U269-Gasto_o_ing_per_capita!$D269</f>
        <v>1.3188728399174963</v>
      </c>
      <c r="V269" s="332">
        <f>Gasto_o_ing_per_capita!V269-Gasto_o_ing_per_capita!$D269</f>
        <v>0.62468718289048297</v>
      </c>
      <c r="W269" s="155"/>
      <c r="X269" s="145"/>
    </row>
    <row r="270" spans="1:24" s="102" customFormat="1">
      <c r="A270" s="351" t="str">
        <f>IF(B270="","",(IF(ISERROR(MATCH(B270,Tot_res!C:C,0)),"Eliminar!!!","")))</f>
        <v/>
      </c>
      <c r="B270" s="119" t="s">
        <v>282</v>
      </c>
      <c r="C270" s="329" t="str">
        <f>VLOOKUP(B270,Tot_res!C:D,2,FALSE)</f>
        <v>Excedene bruto de puertos del Estado</v>
      </c>
      <c r="D270" s="332">
        <f>Gasto_o_ing_per_capita!D270-Gasto_o_ing_per_capita!$D270</f>
        <v>0</v>
      </c>
      <c r="E270" s="332">
        <f>Gasto_o_ing_per_capita!E270-Gasto_o_ing_per_capita!$D270</f>
        <v>0.50400575481337562</v>
      </c>
      <c r="F270" s="332">
        <f>Gasto_o_ing_per_capita!F270-Gasto_o_ing_per_capita!$D270</f>
        <v>1.7894130256372449</v>
      </c>
      <c r="G270" s="332">
        <f>Gasto_o_ing_per_capita!G270-Gasto_o_ing_per_capita!$D270</f>
        <v>3.2767972433852455</v>
      </c>
      <c r="H270" s="332">
        <f>Gasto_o_ing_per_capita!H270-Gasto_o_ing_per_capita!$D270</f>
        <v>-3.0456837409994471</v>
      </c>
      <c r="I270" s="332">
        <f>Gasto_o_ing_per_capita!I270-Gasto_o_ing_per_capita!$D270</f>
        <v>-6.2134797793523013</v>
      </c>
      <c r="J270" s="332">
        <f>Gasto_o_ing_per_capita!J270-Gasto_o_ing_per_capita!$D270</f>
        <v>5.8733116729358645</v>
      </c>
      <c r="K270" s="332">
        <f>Gasto_o_ing_per_capita!K270-Gasto_o_ing_per_capita!$D270</f>
        <v>-0.63424451311010444</v>
      </c>
      <c r="L270" s="332">
        <f>Gasto_o_ing_per_capita!L270-Gasto_o_ing_per_capita!$D270</f>
        <v>-0.94522611430332582</v>
      </c>
      <c r="M270" s="332">
        <f>Gasto_o_ing_per_capita!M270-Gasto_o_ing_per_capita!$D270</f>
        <v>0.72304524905309719</v>
      </c>
      <c r="N270" s="332">
        <f>Gasto_o_ing_per_capita!N270-Gasto_o_ing_per_capita!$D270</f>
        <v>1.2718228009918402</v>
      </c>
      <c r="O270" s="332">
        <f>Gasto_o_ing_per_capita!O270-Gasto_o_ing_per_capita!$D270</f>
        <v>-2.9303829004234832</v>
      </c>
      <c r="P270" s="332">
        <f>Gasto_o_ing_per_capita!P270-Gasto_o_ing_per_capita!$D270</f>
        <v>3.4861631446768957</v>
      </c>
      <c r="Q270" s="332">
        <f>Gasto_o_ing_per_capita!Q270-Gasto_o_ing_per_capita!$D270</f>
        <v>-4.9986201228226985</v>
      </c>
      <c r="R270" s="332">
        <f>Gasto_o_ing_per_capita!R270-Gasto_o_ing_per_capita!$D270</f>
        <v>3.623996635012622</v>
      </c>
      <c r="S270" s="332">
        <f>Gasto_o_ing_per_capita!S270-Gasto_o_ing_per_capita!$D270</f>
        <v>1.630433340404748</v>
      </c>
      <c r="T270" s="332">
        <f>Gasto_o_ing_per_capita!T270-Gasto_o_ing_per_capita!$D270</f>
        <v>4.4681849646934113</v>
      </c>
      <c r="U270" s="332">
        <f>Gasto_o_ing_per_capita!U270-Gasto_o_ing_per_capita!$D270</f>
        <v>0.22136038130919466</v>
      </c>
      <c r="V270" s="332">
        <f>Gasto_o_ing_per_capita!V270-Gasto_o_ing_per_capita!$D270</f>
        <v>25.534885688236592</v>
      </c>
      <c r="W270" s="105"/>
    </row>
    <row r="271" spans="1:24" s="102" customFormat="1">
      <c r="A271" s="351" t="str">
        <f>IF(B271="","",(IF(ISERROR(MATCH(B271,Tot_res!C:C,0)),"Eliminar!!!","")))</f>
        <v/>
      </c>
      <c r="B271" s="119" t="s">
        <v>283</v>
      </c>
      <c r="C271" s="329" t="str">
        <f>VLOOKUP(B271,Tot_res!C:D,2,FALSE)</f>
        <v>Excedente bruto de los concesionarios de autopistas de peaje</v>
      </c>
      <c r="D271" s="332">
        <f>Gasto_o_ing_per_capita!D271-Gasto_o_ing_per_capita!$D271</f>
        <v>0</v>
      </c>
      <c r="E271" s="332">
        <f>Gasto_o_ing_per_capita!E271-Gasto_o_ing_per_capita!$D271</f>
        <v>8.8979515388874724</v>
      </c>
      <c r="F271" s="332">
        <f>Gasto_o_ing_per_capita!F271-Gasto_o_ing_per_capita!$D271</f>
        <v>-15.556073368640895</v>
      </c>
      <c r="G271" s="332">
        <f>Gasto_o_ing_per_capita!G271-Gasto_o_ing_per_capita!$D271</f>
        <v>5.7915573592552398</v>
      </c>
      <c r="H271" s="332">
        <f>Gasto_o_ing_per_capita!H271-Gasto_o_ing_per_capita!$D271</f>
        <v>17.461795050193828</v>
      </c>
      <c r="I271" s="332">
        <f>Gasto_o_ing_per_capita!I271-Gasto_o_ing_per_capita!$D271</f>
        <v>17.852851126295327</v>
      </c>
      <c r="J271" s="332">
        <f>Gasto_o_ing_per_capita!J271-Gasto_o_ing_per_capita!$D271</f>
        <v>13.443469986347763</v>
      </c>
      <c r="K271" s="332">
        <f>Gasto_o_ing_per_capita!K271-Gasto_o_ing_per_capita!$D271</f>
        <v>-5.8849510036243871</v>
      </c>
      <c r="L271" s="332">
        <f>Gasto_o_ing_per_capita!L271-Gasto_o_ing_per_capita!$D271</f>
        <v>-10.41226586186567</v>
      </c>
      <c r="M271" s="332">
        <f>Gasto_o_ing_per_capita!M271-Gasto_o_ing_per_capita!$D271</f>
        <v>-3.9278032669001313</v>
      </c>
      <c r="N271" s="332">
        <f>Gasto_o_ing_per_capita!N271-Gasto_o_ing_per_capita!$D271</f>
        <v>-1.8457547301125317</v>
      </c>
      <c r="O271" s="332">
        <f>Gasto_o_ing_per_capita!O271-Gasto_o_ing_per_capita!$D271</f>
        <v>10.247693860480222</v>
      </c>
      <c r="P271" s="332">
        <f>Gasto_o_ing_per_capita!P271-Gasto_o_ing_per_capita!$D271</f>
        <v>-7.5821662244788968</v>
      </c>
      <c r="Q271" s="332">
        <f>Gasto_o_ing_per_capita!Q271-Gasto_o_ing_per_capita!$D271</f>
        <v>3.0521432797230368</v>
      </c>
      <c r="R271" s="332">
        <f>Gasto_o_ing_per_capita!R271-Gasto_o_ing_per_capita!$D271</f>
        <v>1.0508833768985397</v>
      </c>
      <c r="S271" s="332">
        <f>Gasto_o_ing_per_capita!S271-Gasto_o_ing_per_capita!$D271</f>
        <v>-34.017084716048544</v>
      </c>
      <c r="T271" s="332">
        <f>Gasto_o_ing_per_capita!T271-Gasto_o_ing_per_capita!$D271</f>
        <v>-11.113082863129399</v>
      </c>
      <c r="U271" s="332">
        <f>Gasto_o_ing_per_capita!U271-Gasto_o_ing_per_capita!$D271</f>
        <v>-58.121738120042096</v>
      </c>
      <c r="V271" s="332">
        <f>Gasto_o_ing_per_capita!V271-Gasto_o_ing_per_capita!$D271</f>
        <v>16.535662103992678</v>
      </c>
      <c r="W271" s="105"/>
    </row>
    <row r="272" spans="1:24" s="102" customFormat="1">
      <c r="A272" s="351" t="str">
        <f>IF(B272="","",(IF(ISERROR(MATCH(B272,Tot_res!C:C,0)),"Eliminar!!!","")))</f>
        <v/>
      </c>
      <c r="B272" s="119" t="s">
        <v>284</v>
      </c>
      <c r="C272" s="329" t="str">
        <f>VLOOKUP(B272,Tot_res!C:D,2,FALSE)</f>
        <v>Infraestructuras de carreteras, SEITT + AF06/2</v>
      </c>
      <c r="D272" s="332">
        <f>Gasto_o_ing_per_capita!D272-Gasto_o_ing_per_capita!$D272</f>
        <v>0</v>
      </c>
      <c r="E272" s="332">
        <f>Gasto_o_ing_per_capita!E272-Gasto_o_ing_per_capita!$D272</f>
        <v>0.30521073458031722</v>
      </c>
      <c r="F272" s="332">
        <f>Gasto_o_ing_per_capita!F272-Gasto_o_ing_per_capita!$D272</f>
        <v>13.514080037410581</v>
      </c>
      <c r="G272" s="332">
        <f>Gasto_o_ing_per_capita!G272-Gasto_o_ing_per_capita!$D272</f>
        <v>11.650417161770493</v>
      </c>
      <c r="H272" s="332">
        <f>Gasto_o_ing_per_capita!H272-Gasto_o_ing_per_capita!$D272</f>
        <v>-7.4626628539113158</v>
      </c>
      <c r="I272" s="332">
        <f>Gasto_o_ing_per_capita!I272-Gasto_o_ing_per_capita!$D272</f>
        <v>-7.3930053401563525</v>
      </c>
      <c r="J272" s="332">
        <f>Gasto_o_ing_per_capita!J272-Gasto_o_ing_per_capita!$D272</f>
        <v>-6.6321181822656481</v>
      </c>
      <c r="K272" s="332">
        <f>Gasto_o_ing_per_capita!K272-Gasto_o_ing_per_capita!$D272</f>
        <v>-6.8017748517107952</v>
      </c>
      <c r="L272" s="332">
        <f>Gasto_o_ing_per_capita!L272-Gasto_o_ing_per_capita!$D272</f>
        <v>26.111566919099133</v>
      </c>
      <c r="M272" s="332">
        <f>Gasto_o_ing_per_capita!M272-Gasto_o_ing_per_capita!$D272</f>
        <v>0.218647651992109</v>
      </c>
      <c r="N272" s="332">
        <f>Gasto_o_ing_per_capita!N272-Gasto_o_ing_per_capita!$D272</f>
        <v>-2.4804888630681639</v>
      </c>
      <c r="O272" s="332">
        <f>Gasto_o_ing_per_capita!O272-Gasto_o_ing_per_capita!$D272</f>
        <v>-6.6504229892043334</v>
      </c>
      <c r="P272" s="332">
        <f>Gasto_o_ing_per_capita!P272-Gasto_o_ing_per_capita!$D272</f>
        <v>10.442738613524794</v>
      </c>
      <c r="Q272" s="332">
        <f>Gasto_o_ing_per_capita!Q272-Gasto_o_ing_per_capita!$D272</f>
        <v>-6.3710271076448102</v>
      </c>
      <c r="R272" s="332">
        <f>Gasto_o_ing_per_capita!R272-Gasto_o_ing_per_capita!$D272</f>
        <v>-6.7816415273473476</v>
      </c>
      <c r="S272" s="332">
        <f>Gasto_o_ing_per_capita!S272-Gasto_o_ing_per_capita!$D272</f>
        <v>0.93562657064561883</v>
      </c>
      <c r="T272" s="332">
        <f>Gasto_o_ing_per_capita!T272-Gasto_o_ing_per_capita!$D272</f>
        <v>0.41715871027474805</v>
      </c>
      <c r="U272" s="332">
        <f>Gasto_o_ing_per_capita!U272-Gasto_o_ing_per_capita!$D272</f>
        <v>-6.4607045592408587</v>
      </c>
      <c r="V272" s="332">
        <f>Gasto_o_ing_per_capita!V272-Gasto_o_ing_per_capita!$D272</f>
        <v>-7.1747901541773302</v>
      </c>
      <c r="W272" s="105"/>
    </row>
    <row r="273" spans="1:23" s="102" customFormat="1">
      <c r="A273" s="351" t="str">
        <f>IF(B273="","",(IF(ISERROR(MATCH(B273,Tot_res!C:C,0)),"Eliminar!!!","")))</f>
        <v/>
      </c>
      <c r="B273" s="119" t="s">
        <v>286</v>
      </c>
      <c r="C273" s="329" t="str">
        <f>VLOOKUP(B273,Tot_res!C:D,2,FALSE)</f>
        <v>"Y" ferroviaria vasca, parte financiada mediante descuento del cupo</v>
      </c>
      <c r="D273" s="332">
        <f>Gasto_o_ing_per_capita!D273-Gasto_o_ing_per_capita!$D273</f>
        <v>0</v>
      </c>
      <c r="E273" s="332">
        <f>Gasto_o_ing_per_capita!E273-Gasto_o_ing_per_capita!$D273</f>
        <v>-4.305690111441641</v>
      </c>
      <c r="F273" s="332">
        <f>Gasto_o_ing_per_capita!F273-Gasto_o_ing_per_capita!$D273</f>
        <v>-3.5737841707945952</v>
      </c>
      <c r="G273" s="332">
        <f>Gasto_o_ing_per_capita!G273-Gasto_o_ing_per_capita!$D273</f>
        <v>-3.9947877566934968</v>
      </c>
      <c r="H273" s="332">
        <f>Gasto_o_ing_per_capita!H273-Gasto_o_ing_per_capita!$D273</f>
        <v>-5.1012469039574384</v>
      </c>
      <c r="I273" s="332">
        <f>Gasto_o_ing_per_capita!I273-Gasto_o_ing_per_capita!$D273</f>
        <v>-5.265966911761689</v>
      </c>
      <c r="J273" s="332">
        <f>Gasto_o_ing_per_capita!J273-Gasto_o_ing_per_capita!$D273</f>
        <v>-4.2642329261210445</v>
      </c>
      <c r="K273" s="332">
        <f>Gasto_o_ing_per_capita!K273-Gasto_o_ing_per_capita!$D273</f>
        <v>-4.6635052027464265</v>
      </c>
      <c r="L273" s="332">
        <f>Gasto_o_ing_per_capita!L273-Gasto_o_ing_per_capita!$D273</f>
        <v>-3.9714072184376845</v>
      </c>
      <c r="M273" s="332">
        <f>Gasto_o_ing_per_capita!M273-Gasto_o_ing_per_capita!$D273</f>
        <v>-2.5164282418821773</v>
      </c>
      <c r="N273" s="332">
        <f>Gasto_o_ing_per_capita!N273-Gasto_o_ing_per_capita!$D273</f>
        <v>-3.7957745321842045</v>
      </c>
      <c r="O273" s="332">
        <f>Gasto_o_ing_per_capita!O273-Gasto_o_ing_per_capita!$D273</f>
        <v>-4.7357575104297016</v>
      </c>
      <c r="P273" s="332">
        <f>Gasto_o_ing_per_capita!P273-Gasto_o_ing_per_capita!$D273</f>
        <v>-4.5699351968910591</v>
      </c>
      <c r="Q273" s="332">
        <f>Gasto_o_ing_per_capita!Q273-Gasto_o_ing_per_capita!$D273</f>
        <v>-1.6772905968975733</v>
      </c>
      <c r="R273" s="332">
        <f>Gasto_o_ing_per_capita!R273-Gasto_o_ing_per_capita!$D273</f>
        <v>-4.5594855095505249</v>
      </c>
      <c r="S273" s="332">
        <f>Gasto_o_ing_per_capita!S273-Gasto_o_ing_per_capita!$D273</f>
        <v>-2.6956051561196674</v>
      </c>
      <c r="T273" s="332">
        <f>Gasto_o_ing_per_capita!T273-Gasto_o_ing_per_capita!$D273</f>
        <v>73.621815080176688</v>
      </c>
      <c r="U273" s="332">
        <f>Gasto_o_ing_per_capita!U273-Gasto_o_ing_per_capita!$D273</f>
        <v>-4.4189126199559459</v>
      </c>
      <c r="V273" s="332">
        <f>Gasto_o_ing_per_capita!V273-Gasto_o_ing_per_capita!$D273</f>
        <v>-4.959459353402587</v>
      </c>
      <c r="W273" s="105"/>
    </row>
    <row r="274" spans="1:23" s="102" customFormat="1">
      <c r="A274" s="351" t="str">
        <f>IF(B274="","",(IF(ISERROR(MATCH(B274,Tot_res!C:C,0)),"Eliminar!!!","")))</f>
        <v/>
      </c>
      <c r="B274" s="119" t="s">
        <v>1210</v>
      </c>
      <c r="C274" s="329" t="str">
        <f>VLOOKUP(B274,Tot_res!C:D,2,FALSE)</f>
        <v>Parques Nacionales transferidos durante el año, coste efectivo</v>
      </c>
      <c r="D274" s="332">
        <f>Gasto_o_ing_per_capita!D274-Gasto_o_ing_per_capita!$D274</f>
        <v>0</v>
      </c>
      <c r="E274" s="332">
        <f>Gasto_o_ing_per_capita!E274-Gasto_o_ing_per_capita!$D274</f>
        <v>-4.1615581280194324E-4</v>
      </c>
      <c r="F274" s="332">
        <f>Gasto_o_ing_per_capita!F274-Gasto_o_ing_per_capita!$D274</f>
        <v>-3.9136843832168603E-4</v>
      </c>
      <c r="G274" s="332">
        <f>Gasto_o_ing_per_capita!G274-Gasto_o_ing_per_capita!$D274</f>
        <v>-4.0728566810173633E-4</v>
      </c>
      <c r="H274" s="332">
        <f>Gasto_o_ing_per_capita!H274-Gasto_o_ing_per_capita!$D274</f>
        <v>-3.9431062480887519E-4</v>
      </c>
      <c r="I274" s="332">
        <f>Gasto_o_ing_per_capita!I274-Gasto_o_ing_per_capita!$D274</f>
        <v>8.4552239064461625E-3</v>
      </c>
      <c r="J274" s="332">
        <f>Gasto_o_ing_per_capita!J274-Gasto_o_ing_per_capita!$D274</f>
        <v>-4.0465770321525426E-4</v>
      </c>
      <c r="K274" s="332">
        <f>Gasto_o_ing_per_capita!K274-Gasto_o_ing_per_capita!$D274</f>
        <v>-4.0299428252258676E-4</v>
      </c>
      <c r="L274" s="332">
        <f>Gasto_o_ing_per_capita!L274-Gasto_o_ing_per_capita!$D274</f>
        <v>-4.1390047134005209E-4</v>
      </c>
      <c r="M274" s="332">
        <f>Gasto_o_ing_per_capita!M274-Gasto_o_ing_per_capita!$D274</f>
        <v>-3.8713945657981713E-4</v>
      </c>
      <c r="N274" s="332">
        <f>Gasto_o_ing_per_capita!N274-Gasto_o_ing_per_capita!$D274</f>
        <v>-4.0723714765110268E-4</v>
      </c>
      <c r="O274" s="332">
        <f>Gasto_o_ing_per_capita!O274-Gasto_o_ing_per_capita!$D274</f>
        <v>-4.2009270235692517E-4</v>
      </c>
      <c r="P274" s="332">
        <f>Gasto_o_ing_per_capita!P274-Gasto_o_ing_per_capita!$D274</f>
        <v>-4.0670484154477346E-4</v>
      </c>
      <c r="Q274" s="332">
        <f>Gasto_o_ing_per_capita!Q274-Gasto_o_ing_per_capita!$D274</f>
        <v>-3.7476403110430796E-4</v>
      </c>
      <c r="R274" s="332">
        <f>Gasto_o_ing_per_capita!R274-Gasto_o_ing_per_capita!$D274</f>
        <v>-4.1135435302301127E-4</v>
      </c>
      <c r="S274" s="332">
        <f>Gasto_o_ing_per_capita!S274-Gasto_o_ing_per_capita!$D274</f>
        <v>-3.8217714048441472E-4</v>
      </c>
      <c r="T274" s="332">
        <f>Gasto_o_ing_per_capita!T274-Gasto_o_ing_per_capita!$D274</f>
        <v>-3.7811086632437549E-4</v>
      </c>
      <c r="U274" s="332">
        <f>Gasto_o_ing_per_capita!U274-Gasto_o_ing_per_capita!$D274</f>
        <v>-3.9365251830726622E-4</v>
      </c>
      <c r="V274" s="332">
        <f>Gasto_o_ing_per_capita!V274-Gasto_o_ing_per_capita!$D274</f>
        <v>-4.1352809960933578E-4</v>
      </c>
      <c r="W274" s="105"/>
    </row>
    <row r="275" spans="1:23" s="102" customFormat="1">
      <c r="A275" s="351" t="str">
        <f>IF(B275="","",(IF(ISERROR(MATCH(B275,Tot_res!C:C,0)),"Eliminar!!!","")))</f>
        <v/>
      </c>
      <c r="B275" s="115" t="s">
        <v>226</v>
      </c>
      <c r="C275" s="329" t="str">
        <f>VLOOKUP(B275,Tot_res!C:D,2,FALSE)</f>
        <v>Ajuste forales, ayudas al transporte colectivo urbano</v>
      </c>
      <c r="D275" s="332">
        <f>Gasto_o_ing_per_capita!D275-Gasto_o_ing_per_capita!$D275</f>
        <v>0</v>
      </c>
      <c r="E275" s="332">
        <f>Gasto_o_ing_per_capita!E275-Gasto_o_ing_per_capita!$D275</f>
        <v>-0.41133321203759016</v>
      </c>
      <c r="F275" s="332">
        <f>Gasto_o_ing_per_capita!F275-Gasto_o_ing_per_capita!$D275</f>
        <v>-0.41133321203759016</v>
      </c>
      <c r="G275" s="332">
        <f>Gasto_o_ing_per_capita!G275-Gasto_o_ing_per_capita!$D275</f>
        <v>-0.41133321203759016</v>
      </c>
      <c r="H275" s="332">
        <f>Gasto_o_ing_per_capita!H275-Gasto_o_ing_per_capita!$D275</f>
        <v>-0.41133321203759016</v>
      </c>
      <c r="I275" s="332">
        <f>Gasto_o_ing_per_capita!I275-Gasto_o_ing_per_capita!$D275</f>
        <v>-0.41133321203759016</v>
      </c>
      <c r="J275" s="332">
        <f>Gasto_o_ing_per_capita!J275-Gasto_o_ing_per_capita!$D275</f>
        <v>-0.41133321203759016</v>
      </c>
      <c r="K275" s="332">
        <f>Gasto_o_ing_per_capita!K275-Gasto_o_ing_per_capita!$D275</f>
        <v>-0.41133321203759016</v>
      </c>
      <c r="L275" s="332">
        <f>Gasto_o_ing_per_capita!L275-Gasto_o_ing_per_capita!$D275</f>
        <v>-0.41133321203759016</v>
      </c>
      <c r="M275" s="332">
        <f>Gasto_o_ing_per_capita!M275-Gasto_o_ing_per_capita!$D275</f>
        <v>-0.41133321203759016</v>
      </c>
      <c r="N275" s="332">
        <f>Gasto_o_ing_per_capita!N275-Gasto_o_ing_per_capita!$D275</f>
        <v>-0.41133321203759016</v>
      </c>
      <c r="O275" s="332">
        <f>Gasto_o_ing_per_capita!O275-Gasto_o_ing_per_capita!$D275</f>
        <v>-0.41133321203759016</v>
      </c>
      <c r="P275" s="332">
        <f>Gasto_o_ing_per_capita!P275-Gasto_o_ing_per_capita!$D275</f>
        <v>-0.41133321203759016</v>
      </c>
      <c r="Q275" s="332">
        <f>Gasto_o_ing_per_capita!Q275-Gasto_o_ing_per_capita!$D275</f>
        <v>-0.41133321203759016</v>
      </c>
      <c r="R275" s="332">
        <f>Gasto_o_ing_per_capita!R275-Gasto_o_ing_per_capita!$D275</f>
        <v>-0.41133321203759016</v>
      </c>
      <c r="S275" s="332">
        <f>Gasto_o_ing_per_capita!S275-Gasto_o_ing_per_capita!$D275</f>
        <v>6.3806450751497472</v>
      </c>
      <c r="T275" s="332">
        <f>Gasto_o_ing_per_capita!T275-Gasto_o_ing_per_capita!$D275</f>
        <v>6.3755076889568416</v>
      </c>
      <c r="U275" s="332">
        <f>Gasto_o_ing_per_capita!U275-Gasto_o_ing_per_capita!$D275</f>
        <v>-0.41133321203759016</v>
      </c>
      <c r="V275" s="332">
        <f>Gasto_o_ing_per_capita!V275-Gasto_o_ing_per_capita!$D275</f>
        <v>-0.41133321203759016</v>
      </c>
      <c r="W275" s="114"/>
    </row>
    <row r="276" spans="1:23">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3">
        <f>Gasto_o_ing_per_capita!D277-Gasto_o_ing_per_capita!$D277</f>
        <v>0</v>
      </c>
      <c r="E277" s="113">
        <f>Gasto_o_ing_per_capita!E277-Gasto_o_ing_per_capita!$D277</f>
        <v>41.317111237168589</v>
      </c>
      <c r="F277" s="113">
        <f>Gasto_o_ing_per_capita!F277-Gasto_o_ing_per_capita!$D277</f>
        <v>-40.817424879140297</v>
      </c>
      <c r="G277" s="113">
        <f>Gasto_o_ing_per_capita!G277-Gasto_o_ing_per_capita!$D277</f>
        <v>-0.18634831129443796</v>
      </c>
      <c r="H277" s="113">
        <f>Gasto_o_ing_per_capita!H277-Gasto_o_ing_per_capita!$D277</f>
        <v>203.8044009980606</v>
      </c>
      <c r="I277" s="113">
        <f>Gasto_o_ing_per_capita!I277-Gasto_o_ing_per_capita!$D277</f>
        <v>476.81658531759933</v>
      </c>
      <c r="J277" s="113">
        <f>Gasto_o_ing_per_capita!J277-Gasto_o_ing_per_capita!$D277</f>
        <v>-19.743201040822214</v>
      </c>
      <c r="K277" s="113">
        <f>Gasto_o_ing_per_capita!K277-Gasto_o_ing_per_capita!$D277</f>
        <v>5.9867331108919615</v>
      </c>
      <c r="L277" s="113">
        <f>Gasto_o_ing_per_capita!L277-Gasto_o_ing_per_capita!$D277</f>
        <v>-0.13806351473114375</v>
      </c>
      <c r="M277" s="113">
        <f>Gasto_o_ing_per_capita!M277-Gasto_o_ing_per_capita!$D277</f>
        <v>-85.193361847540558</v>
      </c>
      <c r="N277" s="113">
        <f>Gasto_o_ing_per_capita!N277-Gasto_o_ing_per_capita!$D277</f>
        <v>-67.850376331422581</v>
      </c>
      <c r="O277" s="113">
        <f>Gasto_o_ing_per_capita!O277-Gasto_o_ing_per_capita!$D277</f>
        <v>149.22461625103261</v>
      </c>
      <c r="P277" s="113">
        <f>Gasto_o_ing_per_capita!P277-Gasto_o_ing_per_capita!$D277</f>
        <v>28.923802762193063</v>
      </c>
      <c r="Q277" s="113">
        <f>Gasto_o_ing_per_capita!Q277-Gasto_o_ing_per_capita!$D277</f>
        <v>-96.841075000314419</v>
      </c>
      <c r="R277" s="113">
        <f>Gasto_o_ing_per_capita!R277-Gasto_o_ing_per_capita!$D277</f>
        <v>-34.701490814587714</v>
      </c>
      <c r="S277" s="113">
        <f>Gasto_o_ing_per_capita!S277-Gasto_o_ing_per_capita!$D277</f>
        <v>-94.282773566798937</v>
      </c>
      <c r="T277" s="113">
        <f>Gasto_o_ing_per_capita!T277-Gasto_o_ing_per_capita!$D277</f>
        <v>-65.198731240883362</v>
      </c>
      <c r="U277" s="113">
        <f>Gasto_o_ing_per_capita!U277-Gasto_o_ing_per_capita!$D277</f>
        <v>-93.071312216563911</v>
      </c>
      <c r="V277" s="113">
        <f>Gasto_o_ing_per_capita!V277-Gasto_o_ing_per_capita!$D277</f>
        <v>709.50111957207389</v>
      </c>
      <c r="W277" s="114"/>
    </row>
    <row r="278" spans="1:23" s="102" customFormat="1">
      <c r="A278" s="351" t="str">
        <f>IF(B278="","",(IF(ISERROR(MATCH(B278,Tot_res!C:C,0)),"Eliminar!!!","")))</f>
        <v/>
      </c>
      <c r="B278" s="115" t="s">
        <v>629</v>
      </c>
      <c r="C278" s="329" t="str">
        <f>VLOOKUP(B278,Tot_res!C:D,2,FALSE)</f>
        <v>Subsidio y renta para eventuales agrarios en Andalucía y Extremadura</v>
      </c>
      <c r="D278" s="332">
        <f>Gasto_o_ing_per_capita!D278-Gasto_o_ing_per_capita!$D278</f>
        <v>0</v>
      </c>
      <c r="E278" s="332">
        <f>Gasto_o_ing_per_capita!E278-Gasto_o_ing_per_capita!$D278</f>
        <v>84.387336361818569</v>
      </c>
      <c r="F278" s="332">
        <f>Gasto_o_ing_per_capita!F278-Gasto_o_ing_per_capita!$D278</f>
        <v>-21.920116111928621</v>
      </c>
      <c r="G278" s="332">
        <f>Gasto_o_ing_per_capita!G278-Gasto_o_ing_per_capita!$D278</f>
        <v>-21.920116111928621</v>
      </c>
      <c r="H278" s="332">
        <f>Gasto_o_ing_per_capita!H278-Gasto_o_ing_per_capita!$D278</f>
        <v>-21.920116111928621</v>
      </c>
      <c r="I278" s="332">
        <f>Gasto_o_ing_per_capita!I278-Gasto_o_ing_per_capita!$D278</f>
        <v>-21.920116111928621</v>
      </c>
      <c r="J278" s="332">
        <f>Gasto_o_ing_per_capita!J278-Gasto_o_ing_per_capita!$D278</f>
        <v>-21.920116111928621</v>
      </c>
      <c r="K278" s="332">
        <f>Gasto_o_ing_per_capita!K278-Gasto_o_ing_per_capita!$D278</f>
        <v>-21.920116111928621</v>
      </c>
      <c r="L278" s="332">
        <f>Gasto_o_ing_per_capita!L278-Gasto_o_ing_per_capita!$D278</f>
        <v>-21.920116111928621</v>
      </c>
      <c r="M278" s="332">
        <f>Gasto_o_ing_per_capita!M278-Gasto_o_ing_per_capita!$D278</f>
        <v>-21.920116111928621</v>
      </c>
      <c r="N278" s="332">
        <f>Gasto_o_ing_per_capita!N278-Gasto_o_ing_per_capita!$D278</f>
        <v>-21.920116111928621</v>
      </c>
      <c r="O278" s="332">
        <f>Gasto_o_ing_per_capita!O278-Gasto_o_ing_per_capita!$D278</f>
        <v>97.177363905272372</v>
      </c>
      <c r="P278" s="332">
        <f>Gasto_o_ing_per_capita!P278-Gasto_o_ing_per_capita!$D278</f>
        <v>-21.920116111928621</v>
      </c>
      <c r="Q278" s="332">
        <f>Gasto_o_ing_per_capita!Q278-Gasto_o_ing_per_capita!$D278</f>
        <v>-21.920116111928621</v>
      </c>
      <c r="R278" s="332">
        <f>Gasto_o_ing_per_capita!R278-Gasto_o_ing_per_capita!$D278</f>
        <v>-21.920116111928621</v>
      </c>
      <c r="S278" s="332">
        <f>Gasto_o_ing_per_capita!S278-Gasto_o_ing_per_capita!$D278</f>
        <v>-21.920116111928621</v>
      </c>
      <c r="T278" s="332">
        <f>Gasto_o_ing_per_capita!T278-Gasto_o_ing_per_capita!$D278</f>
        <v>-21.920116111928621</v>
      </c>
      <c r="U278" s="332">
        <f>Gasto_o_ing_per_capita!U278-Gasto_o_ing_per_capita!$D278</f>
        <v>-21.920116111928621</v>
      </c>
      <c r="V278" s="332">
        <f>Gasto_o_ing_per_capita!V278-Gasto_o_ing_per_capita!$D278</f>
        <v>-21.920116111928621</v>
      </c>
      <c r="W278" s="105"/>
    </row>
    <row r="279" spans="1:23" s="102" customFormat="1">
      <c r="A279" s="351" t="str">
        <f>IF(B279="","",(IF(ISERROR(MATCH(B279,Tot_res!C:C,0)),"Eliminar!!!","")))</f>
        <v/>
      </c>
      <c r="B279" s="115" t="s">
        <v>288</v>
      </c>
      <c r="C279" s="329" t="str">
        <f>VLOOKUP(B279,Tot_res!C:D,2,FALSE)</f>
        <v>Incentivos regionales a la localización industrial</v>
      </c>
      <c r="D279" s="332">
        <f>Gasto_o_ing_per_capita!D279-Gasto_o_ing_per_capita!$D279</f>
        <v>0</v>
      </c>
      <c r="E279" s="332">
        <f>Gasto_o_ing_per_capita!E279-Gasto_o_ing_per_capita!$D279</f>
        <v>-1.8244615676931142E-2</v>
      </c>
      <c r="F279" s="332">
        <f>Gasto_o_ing_per_capita!F279-Gasto_o_ing_per_capita!$D279</f>
        <v>-1.0766668989059833</v>
      </c>
      <c r="G279" s="332">
        <f>Gasto_o_ing_per_capita!G279-Gasto_o_ing_per_capita!$D279</f>
        <v>0.5898928693928156</v>
      </c>
      <c r="H279" s="332">
        <f>Gasto_o_ing_per_capita!H279-Gasto_o_ing_per_capita!$D279</f>
        <v>-1.7409453719845394</v>
      </c>
      <c r="I279" s="332">
        <f>Gasto_o_ing_per_capita!I279-Gasto_o_ing_per_capita!$D279</f>
        <v>-1.4922640263964113</v>
      </c>
      <c r="J279" s="332">
        <f>Gasto_o_ing_per_capita!J279-Gasto_o_ing_per_capita!$D279</f>
        <v>-1.1579607167709005</v>
      </c>
      <c r="K279" s="332">
        <f>Gasto_o_ing_per_capita!K279-Gasto_o_ing_per_capita!$D279</f>
        <v>3.7235299724234157</v>
      </c>
      <c r="L279" s="332">
        <f>Gasto_o_ing_per_capita!L279-Gasto_o_ing_per_capita!$D279</f>
        <v>-1.1826339577810818</v>
      </c>
      <c r="M279" s="332">
        <f>Gasto_o_ing_per_capita!M279-Gasto_o_ing_per_capita!$D279</f>
        <v>-1.7409453719845394</v>
      </c>
      <c r="N279" s="332">
        <f>Gasto_o_ing_per_capita!N279-Gasto_o_ing_per_capita!$D279</f>
        <v>5.7836960831098763</v>
      </c>
      <c r="O279" s="332">
        <f>Gasto_o_ing_per_capita!O279-Gasto_o_ing_per_capita!$D279</f>
        <v>3.9198552932700519</v>
      </c>
      <c r="P279" s="332">
        <f>Gasto_o_ing_per_capita!P279-Gasto_o_ing_per_capita!$D279</f>
        <v>-0.59397677452279862</v>
      </c>
      <c r="Q279" s="332">
        <f>Gasto_o_ing_per_capita!Q279-Gasto_o_ing_per_capita!$D279</f>
        <v>-1.7409453719845394</v>
      </c>
      <c r="R279" s="332">
        <f>Gasto_o_ing_per_capita!R279-Gasto_o_ing_per_capita!$D279</f>
        <v>-1.0747514926606558</v>
      </c>
      <c r="S279" s="332">
        <f>Gasto_o_ing_per_capita!S279-Gasto_o_ing_per_capita!$D279</f>
        <v>-1.7409453719845394</v>
      </c>
      <c r="T279" s="332">
        <f>Gasto_o_ing_per_capita!T279-Gasto_o_ing_per_capita!$D279</f>
        <v>-1.7409453719845394</v>
      </c>
      <c r="U279" s="332">
        <f>Gasto_o_ing_per_capita!U279-Gasto_o_ing_per_capita!$D279</f>
        <v>-1.7409453719845394</v>
      </c>
      <c r="V279" s="332">
        <f>Gasto_o_ing_per_capita!V279-Gasto_o_ing_per_capita!$D279</f>
        <v>-1.7409453719845394</v>
      </c>
      <c r="W279" s="105"/>
    </row>
    <row r="280" spans="1:23" s="102" customFormat="1">
      <c r="A280" s="351" t="str">
        <f>IF(B280="","",(IF(ISERROR(MATCH(B280,Tot_res!C:C,0)),"Eliminar!!!","")))</f>
        <v/>
      </c>
      <c r="B280" s="115" t="s">
        <v>289</v>
      </c>
      <c r="C280" s="329" t="str">
        <f>VLOOKUP(B280,Tot_res!C:D,2,FALSE)</f>
        <v>Desarrollo alternativo de las comarcas mineras del carbón</v>
      </c>
      <c r="D280" s="332">
        <f>Gasto_o_ing_per_capita!D280-Gasto_o_ing_per_capita!$D280</f>
        <v>0</v>
      </c>
      <c r="E280" s="332">
        <f>Gasto_o_ing_per_capita!E280-Gasto_o_ing_per_capita!$D280</f>
        <v>-0.14559525474936941</v>
      </c>
      <c r="F280" s="332">
        <f>Gasto_o_ing_per_capita!F280-Gasto_o_ing_per_capita!$D280</f>
        <v>0.22597463799032577</v>
      </c>
      <c r="G280" s="332">
        <f>Gasto_o_ing_per_capita!G280-Gasto_o_ing_per_capita!$D280</f>
        <v>4.3167181598066806</v>
      </c>
      <c r="H280" s="332">
        <f>Gasto_o_ing_per_capita!H280-Gasto_o_ing_per_capita!$D280</f>
        <v>-0.21481284490939703</v>
      </c>
      <c r="I280" s="332">
        <f>Gasto_o_ing_per_capita!I280-Gasto_o_ing_per_capita!$D280</f>
        <v>-0.21481284490939703</v>
      </c>
      <c r="J280" s="332">
        <f>Gasto_o_ing_per_capita!J280-Gasto_o_ing_per_capita!$D280</f>
        <v>-0.21481284490939703</v>
      </c>
      <c r="K280" s="332">
        <f>Gasto_o_ing_per_capita!K280-Gasto_o_ing_per_capita!$D280</f>
        <v>0.62510635525843594</v>
      </c>
      <c r="L280" s="332">
        <f>Gasto_o_ing_per_capita!L280-Gasto_o_ing_per_capita!$D280</f>
        <v>-0.21481284490939703</v>
      </c>
      <c r="M280" s="332">
        <f>Gasto_o_ing_per_capita!M280-Gasto_o_ing_per_capita!$D280</f>
        <v>-0.12244023902355508</v>
      </c>
      <c r="N280" s="332">
        <f>Gasto_o_ing_per_capita!N280-Gasto_o_ing_per_capita!$D280</f>
        <v>-0.21481284490939703</v>
      </c>
      <c r="O280" s="332">
        <f>Gasto_o_ing_per_capita!O280-Gasto_o_ing_per_capita!$D280</f>
        <v>-0.21481284490939703</v>
      </c>
      <c r="P280" s="332">
        <f>Gasto_o_ing_per_capita!P280-Gasto_o_ing_per_capita!$D280</f>
        <v>0.25948776800325724</v>
      </c>
      <c r="Q280" s="332">
        <f>Gasto_o_ing_per_capita!Q280-Gasto_o_ing_per_capita!$D280</f>
        <v>-0.21481284490939703</v>
      </c>
      <c r="R280" s="332">
        <f>Gasto_o_ing_per_capita!R280-Gasto_o_ing_per_capita!$D280</f>
        <v>-0.21481284490939703</v>
      </c>
      <c r="S280" s="332">
        <f>Gasto_o_ing_per_capita!S280-Gasto_o_ing_per_capita!$D280</f>
        <v>-0.21481284490939703</v>
      </c>
      <c r="T280" s="332">
        <f>Gasto_o_ing_per_capita!T280-Gasto_o_ing_per_capita!$D280</f>
        <v>-0.21481284490939703</v>
      </c>
      <c r="U280" s="332">
        <f>Gasto_o_ing_per_capita!U280-Gasto_o_ing_per_capita!$D280</f>
        <v>-0.21481284490939703</v>
      </c>
      <c r="V280" s="332">
        <f>Gasto_o_ing_per_capita!V280-Gasto_o_ing_per_capita!$D280</f>
        <v>-0.21481284490939703</v>
      </c>
      <c r="W280" s="105"/>
    </row>
    <row r="281" spans="1:23" s="102" customFormat="1">
      <c r="A281" s="351" t="str">
        <f>IF(B281="","",(IF(ISERROR(MATCH(B281,Tot_res!C:C,0)),"Eliminar!!!","")))</f>
        <v/>
      </c>
      <c r="B281" s="115" t="s">
        <v>630</v>
      </c>
      <c r="C281" s="329" t="str">
        <f>VLOOKUP(B281,Tot_res!C:D,2,FALSE)</f>
        <v>Explotación minera</v>
      </c>
      <c r="D281" s="332">
        <f>Gasto_o_ing_per_capita!D281-Gasto_o_ing_per_capita!$D281</f>
        <v>0</v>
      </c>
      <c r="E281" s="332">
        <f>Gasto_o_ing_per_capita!E281-Gasto_o_ing_per_capita!$D281</f>
        <v>-5.5593794537185683</v>
      </c>
      <c r="F281" s="332">
        <f>Gasto_o_ing_per_capita!F281-Gasto_o_ing_per_capita!$D281</f>
        <v>23.977616200130818</v>
      </c>
      <c r="G281" s="332">
        <f>Gasto_o_ing_per_capita!G281-Gasto_o_ing_per_capita!$D281</f>
        <v>50.234984929591008</v>
      </c>
      <c r="H281" s="332">
        <f>Gasto_o_ing_per_capita!H281-Gasto_o_ing_per_capita!$D281</f>
        <v>-7.3205606008710005</v>
      </c>
      <c r="I281" s="332">
        <f>Gasto_o_ing_per_capita!I281-Gasto_o_ing_per_capita!$D281</f>
        <v>-7.2964122832673111</v>
      </c>
      <c r="J281" s="332">
        <f>Gasto_o_ing_per_capita!J281-Gasto_o_ing_per_capita!$D281</f>
        <v>-6.47856541268394</v>
      </c>
      <c r="K281" s="332">
        <f>Gasto_o_ing_per_capita!K281-Gasto_o_ing_per_capita!$D281</f>
        <v>59.037921932534516</v>
      </c>
      <c r="L281" s="332">
        <f>Gasto_o_ing_per_capita!L281-Gasto_o_ing_per_capita!$D281</f>
        <v>-4.444120688522684</v>
      </c>
      <c r="M281" s="332">
        <f>Gasto_o_ing_per_capita!M281-Gasto_o_ing_per_capita!$D281</f>
        <v>-6.7391932441050892</v>
      </c>
      <c r="N281" s="332">
        <f>Gasto_o_ing_per_capita!N281-Gasto_o_ing_per_capita!$D281</f>
        <v>-7.0518955480634693</v>
      </c>
      <c r="O281" s="332">
        <f>Gasto_o_ing_per_capita!O281-Gasto_o_ing_per_capita!$D281</f>
        <v>-7.1958878727521078</v>
      </c>
      <c r="P281" s="332">
        <f>Gasto_o_ing_per_capita!P281-Gasto_o_ing_per_capita!$D281</f>
        <v>9.6384863722565299</v>
      </c>
      <c r="Q281" s="332">
        <f>Gasto_o_ing_per_capita!Q281-Gasto_o_ing_per_capita!$D281</f>
        <v>-7.1364182543992323</v>
      </c>
      <c r="R281" s="332">
        <f>Gasto_o_ing_per_capita!R281-Gasto_o_ing_per_capita!$D281</f>
        <v>-7.2893469435190772</v>
      </c>
      <c r="S281" s="332">
        <f>Gasto_o_ing_per_capita!S281-Gasto_o_ing_per_capita!$D281</f>
        <v>-7.3438045130039677</v>
      </c>
      <c r="T281" s="332">
        <f>Gasto_o_ing_per_capita!T281-Gasto_o_ing_per_capita!$D281</f>
        <v>-7.2994798133823107</v>
      </c>
      <c r="U281" s="332">
        <f>Gasto_o_ing_per_capita!U281-Gasto_o_ing_per_capita!$D281</f>
        <v>-7.2676440912269733</v>
      </c>
      <c r="V281" s="332">
        <f>Gasto_o_ing_per_capita!V281-Gasto_o_ing_per_capita!$D281</f>
        <v>-7.3643644880826109</v>
      </c>
      <c r="W281" s="105"/>
    </row>
    <row r="282" spans="1:23" s="102" customFormat="1">
      <c r="A282" s="351" t="str">
        <f>IF(B282="","",(IF(ISERROR(MATCH(B282,Tot_res!C:C,0)),"Eliminar!!!","")))</f>
        <v/>
      </c>
      <c r="B282" s="115" t="s">
        <v>1212</v>
      </c>
      <c r="C282" s="329" t="str">
        <f>VLOOKUP(B282,Tot_res!C:D,2,FALSE)</f>
        <v>Sobrecostes sistemas eléctricos extrapeninsulares</v>
      </c>
      <c r="D282" s="332">
        <f>Gasto_o_ing_per_capita!D282-Gasto_o_ing_per_capita!$D282</f>
        <v>0</v>
      </c>
      <c r="E282" s="332">
        <f>Gasto_o_ing_per_capita!E282-Gasto_o_ing_per_capita!$D282</f>
        <v>-18.863718611825512</v>
      </c>
      <c r="F282" s="332">
        <f>Gasto_o_ing_per_capita!F282-Gasto_o_ing_per_capita!$D282</f>
        <v>-18.863718611825512</v>
      </c>
      <c r="G282" s="332">
        <f>Gasto_o_ing_per_capita!G282-Gasto_o_ing_per_capita!$D282</f>
        <v>-18.863718611825512</v>
      </c>
      <c r="H282" s="332">
        <f>Gasto_o_ing_per_capita!H282-Gasto_o_ing_per_capita!$D282</f>
        <v>150.14078075809064</v>
      </c>
      <c r="I282" s="332">
        <f>Gasto_o_ing_per_capita!I282-Gasto_o_ing_per_capita!$D282</f>
        <v>284.33451039475108</v>
      </c>
      <c r="J282" s="332">
        <f>Gasto_o_ing_per_capita!J282-Gasto_o_ing_per_capita!$D282</f>
        <v>-18.863718611825512</v>
      </c>
      <c r="K282" s="332">
        <f>Gasto_o_ing_per_capita!K282-Gasto_o_ing_per_capita!$D282</f>
        <v>-18.863718611825512</v>
      </c>
      <c r="L282" s="332">
        <f>Gasto_o_ing_per_capita!L282-Gasto_o_ing_per_capita!$D282</f>
        <v>-18.863718611825512</v>
      </c>
      <c r="M282" s="332">
        <f>Gasto_o_ing_per_capita!M282-Gasto_o_ing_per_capita!$D282</f>
        <v>-18.863718611825512</v>
      </c>
      <c r="N282" s="332">
        <f>Gasto_o_ing_per_capita!N282-Gasto_o_ing_per_capita!$D282</f>
        <v>-18.863718611825512</v>
      </c>
      <c r="O282" s="332">
        <f>Gasto_o_ing_per_capita!O282-Gasto_o_ing_per_capita!$D282</f>
        <v>-18.863718611825512</v>
      </c>
      <c r="P282" s="332">
        <f>Gasto_o_ing_per_capita!P282-Gasto_o_ing_per_capita!$D282</f>
        <v>-18.863718611825512</v>
      </c>
      <c r="Q282" s="332">
        <f>Gasto_o_ing_per_capita!Q282-Gasto_o_ing_per_capita!$D282</f>
        <v>-18.863718611825512</v>
      </c>
      <c r="R282" s="332">
        <f>Gasto_o_ing_per_capita!R282-Gasto_o_ing_per_capita!$D282</f>
        <v>-18.863718611825512</v>
      </c>
      <c r="S282" s="332">
        <f>Gasto_o_ing_per_capita!S282-Gasto_o_ing_per_capita!$D282</f>
        <v>-18.863718611825512</v>
      </c>
      <c r="T282" s="332">
        <f>Gasto_o_ing_per_capita!T282-Gasto_o_ing_per_capita!$D282</f>
        <v>-18.863718611825512</v>
      </c>
      <c r="U282" s="332">
        <f>Gasto_o_ing_per_capita!U282-Gasto_o_ing_per_capita!$D282</f>
        <v>-18.863718611825512</v>
      </c>
      <c r="V282" s="332">
        <f>Gasto_o_ing_per_capita!V282-Gasto_o_ing_per_capita!$D282</f>
        <v>316.091927869247</v>
      </c>
      <c r="W282" s="105"/>
    </row>
    <row r="283" spans="1:23" s="102" customFormat="1">
      <c r="A283" s="351" t="str">
        <f>IF(B283="","",(IF(ISERROR(MATCH(B283,Tot_res!C:C,0)),"Eliminar!!!","")))</f>
        <v/>
      </c>
      <c r="B283" s="115" t="s">
        <v>290</v>
      </c>
      <c r="C283" s="329" t="str">
        <f>VLOOKUP(B283,Tot_res!C:D,2,FALSE)</f>
        <v>Subvenciones y apoyo al transporte marítimo</v>
      </c>
      <c r="D283" s="332">
        <f>Gasto_o_ing_per_capita!D283-Gasto_o_ing_per_capita!$D283</f>
        <v>0</v>
      </c>
      <c r="E283" s="332">
        <f>Gasto_o_ing_per_capita!E283-Gasto_o_ing_per_capita!$D283</f>
        <v>-1.9421436300429533</v>
      </c>
      <c r="F283" s="332">
        <f>Gasto_o_ing_per_capita!F283-Gasto_o_ing_per_capita!$D283</f>
        <v>-2.0083999434426425</v>
      </c>
      <c r="G283" s="332">
        <f>Gasto_o_ing_per_capita!G283-Gasto_o_ing_per_capita!$D283</f>
        <v>-2.0279811787526931</v>
      </c>
      <c r="H283" s="332">
        <f>Gasto_o_ing_per_capita!H283-Gasto_o_ing_per_capita!$D283</f>
        <v>18.150511102568224</v>
      </c>
      <c r="I283" s="332">
        <f>Gasto_o_ing_per_capita!I283-Gasto_o_ing_per_capita!$D283</f>
        <v>17.489808234691282</v>
      </c>
      <c r="J283" s="332">
        <f>Gasto_o_ing_per_capita!J283-Gasto_o_ing_per_capita!$D283</f>
        <v>-2.0279811787526931</v>
      </c>
      <c r="K283" s="332">
        <f>Gasto_o_ing_per_capita!K283-Gasto_o_ing_per_capita!$D283</f>
        <v>-1.9841148380776725</v>
      </c>
      <c r="L283" s="332">
        <f>Gasto_o_ing_per_capita!L283-Gasto_o_ing_per_capita!$D283</f>
        <v>-2.0279811787526931</v>
      </c>
      <c r="M283" s="332">
        <f>Gasto_o_ing_per_capita!M283-Gasto_o_ing_per_capita!$D283</f>
        <v>-1.8197790366659976</v>
      </c>
      <c r="N283" s="332">
        <f>Gasto_o_ing_per_capita!N283-Gasto_o_ing_per_capita!$D283</f>
        <v>-1.8306390731593642</v>
      </c>
      <c r="O283" s="332">
        <f>Gasto_o_ing_per_capita!O283-Gasto_o_ing_per_capita!$D283</f>
        <v>-2.0279811787526931</v>
      </c>
      <c r="P283" s="332">
        <f>Gasto_o_ing_per_capita!P283-Gasto_o_ing_per_capita!$D283</f>
        <v>-2.0279811787526931</v>
      </c>
      <c r="Q283" s="332">
        <f>Gasto_o_ing_per_capita!Q283-Gasto_o_ing_per_capita!$D283</f>
        <v>-1.928793088206338</v>
      </c>
      <c r="R283" s="332">
        <f>Gasto_o_ing_per_capita!R283-Gasto_o_ing_per_capita!$D283</f>
        <v>-1.9493582983097091</v>
      </c>
      <c r="S283" s="332">
        <f>Gasto_o_ing_per_capita!S283-Gasto_o_ing_per_capita!$D283</f>
        <v>-1.9811313551234173</v>
      </c>
      <c r="T283" s="332">
        <f>Gasto_o_ing_per_capita!T283-Gasto_o_ing_per_capita!$D283</f>
        <v>-1.962404061624381</v>
      </c>
      <c r="U283" s="332">
        <f>Gasto_o_ing_per_capita!U283-Gasto_o_ing_per_capita!$D283</f>
        <v>-1.974162680700051</v>
      </c>
      <c r="V283" s="332">
        <f>Gasto_o_ing_per_capita!V283-Gasto_o_ing_per_capita!$D283</f>
        <v>157.33770866719422</v>
      </c>
      <c r="W283" s="105"/>
    </row>
    <row r="284" spans="1:23" s="102" customFormat="1">
      <c r="A284" s="351" t="str">
        <f>IF(B284="","",(IF(ISERROR(MATCH(B284,Tot_res!C:C,0)),"Eliminar!!!","")))</f>
        <v/>
      </c>
      <c r="B284" s="115" t="s">
        <v>291</v>
      </c>
      <c r="C284" s="329" t="str">
        <f>VLOOKUP(B284,Tot_res!C:D,2,FALSE)</f>
        <v>Subvenciones y apoyo al transporte aéreo</v>
      </c>
      <c r="D284" s="332">
        <f>Gasto_o_ing_per_capita!D284-Gasto_o_ing_per_capita!$D284</f>
        <v>0</v>
      </c>
      <c r="E284" s="332">
        <f>Gasto_o_ing_per_capita!E284-Gasto_o_ing_per_capita!$D284</f>
        <v>-7.876702362034492</v>
      </c>
      <c r="F284" s="332">
        <f>Gasto_o_ing_per_capita!F284-Gasto_o_ing_per_capita!$D284</f>
        <v>-7.8821312960986969</v>
      </c>
      <c r="G284" s="332">
        <f>Gasto_o_ing_per_capita!G284-Gasto_o_ing_per_capita!$D284</f>
        <v>-7.8720887920388218</v>
      </c>
      <c r="H284" s="332">
        <f>Gasto_o_ing_per_capita!H284-Gasto_o_ing_per_capita!$D284</f>
        <v>106.08951725500071</v>
      </c>
      <c r="I284" s="332">
        <f>Gasto_o_ing_per_capita!I284-Gasto_o_ing_per_capita!$D284</f>
        <v>106.57386176934506</v>
      </c>
      <c r="J284" s="332">
        <f>Gasto_o_ing_per_capita!J284-Gasto_o_ing_per_capita!$D284</f>
        <v>-7.8621884658874901</v>
      </c>
      <c r="K284" s="332">
        <f>Gasto_o_ing_per_capita!K284-Gasto_o_ing_per_capita!$D284</f>
        <v>-7.8775550108041204</v>
      </c>
      <c r="L284" s="332">
        <f>Gasto_o_ing_per_capita!L284-Gasto_o_ing_per_capita!$D284</f>
        <v>-7.8877415892882912</v>
      </c>
      <c r="M284" s="332">
        <f>Gasto_o_ing_per_capita!M284-Gasto_o_ing_per_capita!$D284</f>
        <v>-7.8645894136439436</v>
      </c>
      <c r="N284" s="332">
        <f>Gasto_o_ing_per_capita!N284-Gasto_o_ing_per_capita!$D284</f>
        <v>-7.8775455189684225</v>
      </c>
      <c r="O284" s="332">
        <f>Gasto_o_ing_per_capita!O284-Gasto_o_ing_per_capita!$D284</f>
        <v>-7.8866113329305971</v>
      </c>
      <c r="P284" s="332">
        <f>Gasto_o_ing_per_capita!P284-Gasto_o_ing_per_capita!$D284</f>
        <v>-7.8707492401657682</v>
      </c>
      <c r="Q284" s="332">
        <f>Gasto_o_ing_per_capita!Q284-Gasto_o_ing_per_capita!$D284</f>
        <v>-7.8620771670725977</v>
      </c>
      <c r="R284" s="332">
        <f>Gasto_o_ing_per_capita!R284-Gasto_o_ing_per_capita!$D284</f>
        <v>-7.8885841785833675</v>
      </c>
      <c r="S284" s="332">
        <f>Gasto_o_ing_per_capita!S284-Gasto_o_ing_per_capita!$D284</f>
        <v>-7.8737290748426565</v>
      </c>
      <c r="T284" s="332">
        <f>Gasto_o_ing_per_capita!T284-Gasto_o_ing_per_capita!$D284</f>
        <v>-7.8607565588416364</v>
      </c>
      <c r="U284" s="332">
        <f>Gasto_o_ing_per_capita!U284-Gasto_o_ing_per_capita!$D284</f>
        <v>-7.8797605237613624</v>
      </c>
      <c r="V284" s="332">
        <f>Gasto_o_ing_per_capita!V284-Gasto_o_ing_per_capita!$D284</f>
        <v>-0.88903435466478253</v>
      </c>
      <c r="W284" s="105"/>
    </row>
    <row r="285" spans="1:23" s="102" customFormat="1">
      <c r="A285" s="351" t="str">
        <f>IF(B285="","",(IF(ISERROR(MATCH(B285,Tot_res!C:C,0)),"Eliminar!!!","")))</f>
        <v/>
      </c>
      <c r="B285" s="115" t="s">
        <v>292</v>
      </c>
      <c r="C285" s="329" t="str">
        <f>VLOOKUP(B285,Tot_res!C:D,2,FALSE)</f>
        <v>Subvenciones al transporte extrapeninsular de mercancías</v>
      </c>
      <c r="D285" s="332">
        <f>Gasto_o_ing_per_capita!D285-Gasto_o_ing_per_capita!$D285</f>
        <v>0</v>
      </c>
      <c r="E285" s="332">
        <f>Gasto_o_ing_per_capita!E285-Gasto_o_ing_per_capita!$D285</f>
        <v>-0.43149683139130468</v>
      </c>
      <c r="F285" s="332">
        <f>Gasto_o_ing_per_capita!F285-Gasto_o_ing_per_capita!$D285</f>
        <v>-0.43149683139130468</v>
      </c>
      <c r="G285" s="332">
        <f>Gasto_o_ing_per_capita!G285-Gasto_o_ing_per_capita!$D285</f>
        <v>-0.43149683139130468</v>
      </c>
      <c r="H285" s="332">
        <f>Gasto_o_ing_per_capita!H285-Gasto_o_ing_per_capita!$D285</f>
        <v>0.60399311593923832</v>
      </c>
      <c r="I285" s="332">
        <f>Gasto_o_ing_per_capita!I285-Gasto_o_ing_per_capita!$D285</f>
        <v>8.6083568470165215</v>
      </c>
      <c r="J285" s="332">
        <f>Gasto_o_ing_per_capita!J285-Gasto_o_ing_per_capita!$D285</f>
        <v>-0.43149683139130468</v>
      </c>
      <c r="K285" s="332">
        <f>Gasto_o_ing_per_capita!K285-Gasto_o_ing_per_capita!$D285</f>
        <v>-0.43149683139130468</v>
      </c>
      <c r="L285" s="332">
        <f>Gasto_o_ing_per_capita!L285-Gasto_o_ing_per_capita!$D285</f>
        <v>-0.43149683139130468</v>
      </c>
      <c r="M285" s="332">
        <f>Gasto_o_ing_per_capita!M285-Gasto_o_ing_per_capita!$D285</f>
        <v>-0.43149683139130468</v>
      </c>
      <c r="N285" s="332">
        <f>Gasto_o_ing_per_capita!N285-Gasto_o_ing_per_capita!$D285</f>
        <v>-0.43149683139130468</v>
      </c>
      <c r="O285" s="332">
        <f>Gasto_o_ing_per_capita!O285-Gasto_o_ing_per_capita!$D285</f>
        <v>-0.43149683139130468</v>
      </c>
      <c r="P285" s="332">
        <f>Gasto_o_ing_per_capita!P285-Gasto_o_ing_per_capita!$D285</f>
        <v>-0.43149683139130468</v>
      </c>
      <c r="Q285" s="332">
        <f>Gasto_o_ing_per_capita!Q285-Gasto_o_ing_per_capita!$D285</f>
        <v>-0.43149683139130468</v>
      </c>
      <c r="R285" s="332">
        <f>Gasto_o_ing_per_capita!R285-Gasto_o_ing_per_capita!$D285</f>
        <v>-0.43149683139130468</v>
      </c>
      <c r="S285" s="332">
        <f>Gasto_o_ing_per_capita!S285-Gasto_o_ing_per_capita!$D285</f>
        <v>-0.43149683139130468</v>
      </c>
      <c r="T285" s="332">
        <f>Gasto_o_ing_per_capita!T285-Gasto_o_ing_per_capita!$D285</f>
        <v>-0.43149683139130468</v>
      </c>
      <c r="U285" s="332">
        <f>Gasto_o_ing_per_capita!U285-Gasto_o_ing_per_capita!$D285</f>
        <v>-0.43149683139130468</v>
      </c>
      <c r="V285" s="332">
        <f>Gasto_o_ing_per_capita!V285-Gasto_o_ing_per_capita!$D285</f>
        <v>-0.43149683139130468</v>
      </c>
      <c r="W285" s="105"/>
    </row>
    <row r="286" spans="1:23"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Gasto_o_ing_per_capita!D286-Gasto_o_ing_per_capita!$D286</f>
        <v>0</v>
      </c>
      <c r="E286" s="332">
        <f>Gasto_o_ing_per_capita!E286-Gasto_o_ing_per_capita!$D286</f>
        <v>-2.3255882927315633E-2</v>
      </c>
      <c r="F286" s="332">
        <f>Gasto_o_ing_per_capita!F286-Gasto_o_ing_per_capita!$D286</f>
        <v>-2.3255882927315633E-2</v>
      </c>
      <c r="G286" s="332">
        <f>Gasto_o_ing_per_capita!G286-Gasto_o_ing_per_capita!$D286</f>
        <v>-2.3255882927315633E-2</v>
      </c>
      <c r="H286" s="332">
        <f>Gasto_o_ing_per_capita!H286-Gasto_o_ing_per_capita!$D286</f>
        <v>-2.3255882927315633E-2</v>
      </c>
      <c r="I286" s="332">
        <f>Gasto_o_ing_per_capita!I286-Gasto_o_ing_per_capita!$D286</f>
        <v>0.49325719719570582</v>
      </c>
      <c r="J286" s="332">
        <f>Gasto_o_ing_per_capita!J286-Gasto_o_ing_per_capita!$D286</f>
        <v>-2.3255882927315633E-2</v>
      </c>
      <c r="K286" s="332">
        <f>Gasto_o_ing_per_capita!K286-Gasto_o_ing_per_capita!$D286</f>
        <v>-2.3255882927315633E-2</v>
      </c>
      <c r="L286" s="332">
        <f>Gasto_o_ing_per_capita!L286-Gasto_o_ing_per_capita!$D286</f>
        <v>-2.3255882927315633E-2</v>
      </c>
      <c r="M286" s="332">
        <f>Gasto_o_ing_per_capita!M286-Gasto_o_ing_per_capita!$D286</f>
        <v>-2.3255882927315633E-2</v>
      </c>
      <c r="N286" s="332">
        <f>Gasto_o_ing_per_capita!N286-Gasto_o_ing_per_capita!$D286</f>
        <v>-2.3255882927315633E-2</v>
      </c>
      <c r="O286" s="332">
        <f>Gasto_o_ing_per_capita!O286-Gasto_o_ing_per_capita!$D286</f>
        <v>-2.3255882927315633E-2</v>
      </c>
      <c r="P286" s="332">
        <f>Gasto_o_ing_per_capita!P286-Gasto_o_ing_per_capita!$D286</f>
        <v>-2.3255882927315633E-2</v>
      </c>
      <c r="Q286" s="332">
        <f>Gasto_o_ing_per_capita!Q286-Gasto_o_ing_per_capita!$D286</f>
        <v>-2.3255882927315633E-2</v>
      </c>
      <c r="R286" s="332">
        <f>Gasto_o_ing_per_capita!R286-Gasto_o_ing_per_capita!$D286</f>
        <v>-2.3255882927315633E-2</v>
      </c>
      <c r="S286" s="332">
        <f>Gasto_o_ing_per_capita!S286-Gasto_o_ing_per_capita!$D286</f>
        <v>-2.3255882927315633E-2</v>
      </c>
      <c r="T286" s="332">
        <f>Gasto_o_ing_per_capita!T286-Gasto_o_ing_per_capita!$D286</f>
        <v>-2.3255882927315633E-2</v>
      </c>
      <c r="U286" s="332">
        <f>Gasto_o_ing_per_capita!U286-Gasto_o_ing_per_capita!$D286</f>
        <v>-2.3255882927315633E-2</v>
      </c>
      <c r="V286" s="332">
        <f>Gasto_o_ing_per_capita!V286-Gasto_o_ing_per_capita!$D286</f>
        <v>-2.3255882927315633E-2</v>
      </c>
      <c r="W286" s="105"/>
    </row>
    <row r="287" spans="1:23" s="102" customFormat="1">
      <c r="A287" s="351" t="str">
        <f>IF(B287="","",(IF(ISERROR(MATCH(B287,Tot_res!C:C,0)),"Eliminar!!!","")))</f>
        <v/>
      </c>
      <c r="B287" s="115" t="s">
        <v>293</v>
      </c>
      <c r="C287" s="329" t="str">
        <f>VLOOKUP(B287,Tot_res!C:D,2,FALSE)</f>
        <v>Transfer. a cc.aa. por fondos de compens. intert.</v>
      </c>
      <c r="D287" s="332">
        <f>Gasto_o_ing_per_capita!D287-Gasto_o_ing_per_capita!$D287</f>
        <v>0</v>
      </c>
      <c r="E287" s="332">
        <f>Gasto_o_ing_per_capita!E287-Gasto_o_ing_per_capita!$D287</f>
        <v>9.6562926440047701</v>
      </c>
      <c r="F287" s="332">
        <f>Gasto_o_ing_per_capita!F287-Gasto_o_ing_per_capita!$D287</f>
        <v>-9.3124555778640978</v>
      </c>
      <c r="G287" s="332">
        <f>Gasto_o_ing_per_capita!G287-Gasto_o_ing_per_capita!$D287</f>
        <v>3.0541537449659266</v>
      </c>
      <c r="H287" s="332">
        <f>Gasto_o_ing_per_capita!H287-Gasto_o_ing_per_capita!$D287</f>
        <v>-9.3124555778640978</v>
      </c>
      <c r="I287" s="332">
        <f>Gasto_o_ing_per_capita!I287-Gasto_o_ing_per_capita!$D287</f>
        <v>10.393160831271329</v>
      </c>
      <c r="J287" s="332">
        <f>Gasto_o_ing_per_capita!J287-Gasto_o_ing_per_capita!$D287</f>
        <v>-0.77848785667670661</v>
      </c>
      <c r="K287" s="332">
        <f>Gasto_o_ing_per_capita!K287-Gasto_o_ing_per_capita!$D287</f>
        <v>-0.90235918260932557</v>
      </c>
      <c r="L287" s="332">
        <f>Gasto_o_ing_per_capita!L287-Gasto_o_ing_per_capita!$D287</f>
        <v>8.917459724994762</v>
      </c>
      <c r="M287" s="332">
        <f>Gasto_o_ing_per_capita!M287-Gasto_o_ing_per_capita!$D287</f>
        <v>-9.3124555778640978</v>
      </c>
      <c r="N287" s="332">
        <f>Gasto_o_ing_per_capita!N287-Gasto_o_ing_per_capita!$D287</f>
        <v>1.4765929386247088</v>
      </c>
      <c r="O287" s="332">
        <f>Gasto_o_ing_per_capita!O287-Gasto_o_ing_per_capita!$D287</f>
        <v>23.281243456491467</v>
      </c>
      <c r="P287" s="332">
        <f>Gasto_o_ing_per_capita!P287-Gasto_o_ing_per_capita!$D287</f>
        <v>6.4672096755676378</v>
      </c>
      <c r="Q287" s="332">
        <f>Gasto_o_ing_per_capita!Q287-Gasto_o_ing_per_capita!$D287</f>
        <v>-9.3124555778640978</v>
      </c>
      <c r="R287" s="332">
        <f>Gasto_o_ing_per_capita!R287-Gasto_o_ing_per_capita!$D287</f>
        <v>3.1461672530765696</v>
      </c>
      <c r="S287" s="332">
        <f>Gasto_o_ing_per_capita!S287-Gasto_o_ing_per_capita!$D287</f>
        <v>-9.3124555778640978</v>
      </c>
      <c r="T287" s="332">
        <f>Gasto_o_ing_per_capita!T287-Gasto_o_ing_per_capita!$D287</f>
        <v>-9.3124555778640978</v>
      </c>
      <c r="U287" s="332">
        <f>Gasto_o_ing_per_capita!U287-Gasto_o_ing_per_capita!$D287</f>
        <v>-9.3124555778640978</v>
      </c>
      <c r="V287" s="332">
        <f>Gasto_o_ing_per_capita!V287-Gasto_o_ing_per_capita!$D287</f>
        <v>27.770444289222624</v>
      </c>
      <c r="W287" s="105"/>
    </row>
    <row r="288" spans="1:23"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Gasto_o_ing_per_capita!D288-Gasto_o_ing_per_capita!$D288</f>
        <v>0</v>
      </c>
      <c r="E288" s="332">
        <f>Gasto_o_ing_per_capita!E288-Gasto_o_ing_per_capita!$D288</f>
        <v>-2.0985971702365855</v>
      </c>
      <c r="F288" s="332">
        <f>Gasto_o_ing_per_capita!F288-Gasto_o_ing_per_capita!$D288</f>
        <v>20.600885886869264</v>
      </c>
      <c r="G288" s="332">
        <f>Gasto_o_ing_per_capita!G288-Gasto_o_ing_per_capita!$D288</f>
        <v>-2.0985971702365855</v>
      </c>
      <c r="H288" s="332">
        <f>Gasto_o_ing_per_capita!H288-Gasto_o_ing_per_capita!$D288</f>
        <v>-2.0985971702365855</v>
      </c>
      <c r="I288" s="332">
        <f>Gasto_o_ing_per_capita!I288-Gasto_o_ing_per_capita!$D288</f>
        <v>-2.0985971702365855</v>
      </c>
      <c r="J288" s="332">
        <f>Gasto_o_ing_per_capita!J288-Gasto_o_ing_per_capita!$D288</f>
        <v>45.608278157215736</v>
      </c>
      <c r="K288" s="332">
        <f>Gasto_o_ing_per_capita!K288-Gasto_o_ing_per_capita!$D288</f>
        <v>-2.0985971702365855</v>
      </c>
      <c r="L288" s="332">
        <f>Gasto_o_ing_per_capita!L288-Gasto_o_ing_per_capita!$D288</f>
        <v>-2.0985971702365855</v>
      </c>
      <c r="M288" s="332">
        <f>Gasto_o_ing_per_capita!M288-Gasto_o_ing_per_capita!$D288</f>
        <v>-2.0985971702365855</v>
      </c>
      <c r="N288" s="332">
        <f>Gasto_o_ing_per_capita!N288-Gasto_o_ing_per_capita!$D288</f>
        <v>-2.0985971702365855</v>
      </c>
      <c r="O288" s="332">
        <f>Gasto_o_ing_per_capita!O288-Gasto_o_ing_per_capita!$D288</f>
        <v>34.387283478062784</v>
      </c>
      <c r="P288" s="332">
        <f>Gasto_o_ing_per_capita!P288-Gasto_o_ing_per_capita!$D288</f>
        <v>-2.0985971702365855</v>
      </c>
      <c r="Q288" s="332">
        <f>Gasto_o_ing_per_capita!Q288-Gasto_o_ing_per_capita!$D288</f>
        <v>-2.0985971702365855</v>
      </c>
      <c r="R288" s="332">
        <f>Gasto_o_ing_per_capita!R288-Gasto_o_ing_per_capita!$D288</f>
        <v>-2.0985971702365855</v>
      </c>
      <c r="S288" s="332">
        <f>Gasto_o_ing_per_capita!S288-Gasto_o_ing_per_capita!$D288</f>
        <v>-2.0985971702365855</v>
      </c>
      <c r="T288" s="332">
        <f>Gasto_o_ing_per_capita!T288-Gasto_o_ing_per_capita!$D288</f>
        <v>-2.0985971702365855</v>
      </c>
      <c r="U288" s="332">
        <f>Gasto_o_ing_per_capita!U288-Gasto_o_ing_per_capita!$D288</f>
        <v>-2.0985971702365855</v>
      </c>
      <c r="V288" s="332">
        <f>Gasto_o_ing_per_capita!V288-Gasto_o_ing_per_capita!$D288</f>
        <v>-2.0985971702365855</v>
      </c>
      <c r="W288" s="105"/>
    </row>
    <row r="289" spans="1:23" s="102" customFormat="1">
      <c r="A289" s="351" t="str">
        <f>IF(B289="","",(IF(ISERROR(MATCH(B289,Tot_res!C:C,0)),"Eliminar!!!","")))</f>
        <v/>
      </c>
      <c r="B289" s="115" t="s">
        <v>294</v>
      </c>
      <c r="C289" s="329" t="str">
        <f>VLOOKUP(B289,Tot_res!C:D,2,FALSE)</f>
        <v>Infraestructuras REF Canarias</v>
      </c>
      <c r="D289" s="332">
        <f>Gasto_o_ing_per_capita!D289-Gasto_o_ing_per_capita!$D289</f>
        <v>0</v>
      </c>
      <c r="E289" s="332">
        <f>Gasto_o_ing_per_capita!E289-Gasto_o_ing_per_capita!$D289</f>
        <v>-2.5882703646186926</v>
      </c>
      <c r="F289" s="332">
        <f>Gasto_o_ing_per_capita!F289-Gasto_o_ing_per_capita!$D289</f>
        <v>-2.5882703646186926</v>
      </c>
      <c r="G289" s="332">
        <f>Gasto_o_ing_per_capita!G289-Gasto_o_ing_per_capita!$D289</f>
        <v>-2.5882703646186926</v>
      </c>
      <c r="H289" s="332">
        <f>Gasto_o_ing_per_capita!H289-Gasto_o_ing_per_capita!$D289</f>
        <v>-2.5882703646186926</v>
      </c>
      <c r="I289" s="332">
        <f>Gasto_o_ing_per_capita!I289-Gasto_o_ing_per_capita!$D289</f>
        <v>54.897205564144457</v>
      </c>
      <c r="J289" s="332">
        <f>Gasto_o_ing_per_capita!J289-Gasto_o_ing_per_capita!$D289</f>
        <v>-2.5882703646186926</v>
      </c>
      <c r="K289" s="332">
        <f>Gasto_o_ing_per_capita!K289-Gasto_o_ing_per_capita!$D289</f>
        <v>-2.5882703646186926</v>
      </c>
      <c r="L289" s="332">
        <f>Gasto_o_ing_per_capita!L289-Gasto_o_ing_per_capita!$D289</f>
        <v>-2.5882703646186926</v>
      </c>
      <c r="M289" s="332">
        <f>Gasto_o_ing_per_capita!M289-Gasto_o_ing_per_capita!$D289</f>
        <v>-2.5882703646186926</v>
      </c>
      <c r="N289" s="332">
        <f>Gasto_o_ing_per_capita!N289-Gasto_o_ing_per_capita!$D289</f>
        <v>-2.5882703646186926</v>
      </c>
      <c r="O289" s="332">
        <f>Gasto_o_ing_per_capita!O289-Gasto_o_ing_per_capita!$D289</f>
        <v>-2.5882703646186926</v>
      </c>
      <c r="P289" s="332">
        <f>Gasto_o_ing_per_capita!P289-Gasto_o_ing_per_capita!$D289</f>
        <v>-2.5882703646186926</v>
      </c>
      <c r="Q289" s="332">
        <f>Gasto_o_ing_per_capita!Q289-Gasto_o_ing_per_capita!$D289</f>
        <v>-2.5882703646186926</v>
      </c>
      <c r="R289" s="332">
        <f>Gasto_o_ing_per_capita!R289-Gasto_o_ing_per_capita!$D289</f>
        <v>-2.5882703646186926</v>
      </c>
      <c r="S289" s="332">
        <f>Gasto_o_ing_per_capita!S289-Gasto_o_ing_per_capita!$D289</f>
        <v>-2.5882703646186926</v>
      </c>
      <c r="T289" s="332">
        <f>Gasto_o_ing_per_capita!T289-Gasto_o_ing_per_capita!$D289</f>
        <v>-2.5882703646186926</v>
      </c>
      <c r="U289" s="332">
        <f>Gasto_o_ing_per_capita!U289-Gasto_o_ing_per_capita!$D289</f>
        <v>-2.5882703646186926</v>
      </c>
      <c r="V289" s="332">
        <f>Gasto_o_ing_per_capita!V289-Gasto_o_ing_per_capita!$D289</f>
        <v>-2.5882703646186926</v>
      </c>
      <c r="W289" s="105"/>
    </row>
    <row r="290" spans="1:23" s="102" customFormat="1">
      <c r="A290" s="351" t="str">
        <f>IF(B290="","",(IF(ISERROR(MATCH(B290,Tot_res!C:C,0)),"Eliminar!!!","")))</f>
        <v/>
      </c>
      <c r="B290" s="115" t="s">
        <v>295</v>
      </c>
      <c r="C290" s="329" t="str">
        <f>VLOOKUP(B290,Tot_res!C:D,2,FALSE)</f>
        <v>Transporte interinsular Canarias</v>
      </c>
      <c r="D290" s="332">
        <f>Gasto_o_ing_per_capita!D290-Gasto_o_ing_per_capita!$D290</f>
        <v>0</v>
      </c>
      <c r="E290" s="332">
        <f>Gasto_o_ing_per_capita!E290-Gasto_o_ing_per_capita!$D290</f>
        <v>-0.6700599568315958</v>
      </c>
      <c r="F290" s="332">
        <f>Gasto_o_ing_per_capita!F290-Gasto_o_ing_per_capita!$D290</f>
        <v>-0.6700599568315958</v>
      </c>
      <c r="G290" s="332">
        <f>Gasto_o_ing_per_capita!G290-Gasto_o_ing_per_capita!$D290</f>
        <v>-0.6700599568315958</v>
      </c>
      <c r="H290" s="332">
        <f>Gasto_o_ing_per_capita!H290-Gasto_o_ing_per_capita!$D290</f>
        <v>-0.6700599568315958</v>
      </c>
      <c r="I290" s="332">
        <f>Gasto_o_ing_per_capita!I290-Gasto_o_ing_per_capita!$D290</f>
        <v>14.211969388253999</v>
      </c>
      <c r="J290" s="332">
        <f>Gasto_o_ing_per_capita!J290-Gasto_o_ing_per_capita!$D290</f>
        <v>-0.6700599568315958</v>
      </c>
      <c r="K290" s="332">
        <f>Gasto_o_ing_per_capita!K290-Gasto_o_ing_per_capita!$D290</f>
        <v>-0.6700599568315958</v>
      </c>
      <c r="L290" s="332">
        <f>Gasto_o_ing_per_capita!L290-Gasto_o_ing_per_capita!$D290</f>
        <v>-0.6700599568315958</v>
      </c>
      <c r="M290" s="332">
        <f>Gasto_o_ing_per_capita!M290-Gasto_o_ing_per_capita!$D290</f>
        <v>-0.6700599568315958</v>
      </c>
      <c r="N290" s="332">
        <f>Gasto_o_ing_per_capita!N290-Gasto_o_ing_per_capita!$D290</f>
        <v>-0.6700599568315958</v>
      </c>
      <c r="O290" s="332">
        <f>Gasto_o_ing_per_capita!O290-Gasto_o_ing_per_capita!$D290</f>
        <v>-0.6700599568315958</v>
      </c>
      <c r="P290" s="332">
        <f>Gasto_o_ing_per_capita!P290-Gasto_o_ing_per_capita!$D290</f>
        <v>-0.6700599568315958</v>
      </c>
      <c r="Q290" s="332">
        <f>Gasto_o_ing_per_capita!Q290-Gasto_o_ing_per_capita!$D290</f>
        <v>-0.6700599568315958</v>
      </c>
      <c r="R290" s="332">
        <f>Gasto_o_ing_per_capita!R290-Gasto_o_ing_per_capita!$D290</f>
        <v>-0.6700599568315958</v>
      </c>
      <c r="S290" s="332">
        <f>Gasto_o_ing_per_capita!S290-Gasto_o_ing_per_capita!$D290</f>
        <v>-0.6700599568315958</v>
      </c>
      <c r="T290" s="332">
        <f>Gasto_o_ing_per_capita!T290-Gasto_o_ing_per_capita!$D290</f>
        <v>-0.6700599568315958</v>
      </c>
      <c r="U290" s="332">
        <f>Gasto_o_ing_per_capita!U290-Gasto_o_ing_per_capita!$D290</f>
        <v>-0.6700599568315958</v>
      </c>
      <c r="V290" s="332">
        <f>Gasto_o_ing_per_capita!V290-Gasto_o_ing_per_capita!$D290</f>
        <v>-0.6700599568315958</v>
      </c>
      <c r="W290" s="105"/>
    </row>
    <row r="291" spans="1:23"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Gasto_o_ing_per_capita!D291-Gasto_o_ing_per_capita!$D291</f>
        <v>0</v>
      </c>
      <c r="E291" s="332">
        <f>Gasto_o_ing_per_capita!E291-Gasto_o_ing_per_capita!$D291</f>
        <v>-12.509053634601422</v>
      </c>
      <c r="F291" s="332">
        <f>Gasto_o_ing_per_capita!F291-Gasto_o_ing_per_capita!$D291</f>
        <v>-20.845330128296229</v>
      </c>
      <c r="G291" s="332">
        <f>Gasto_o_ing_per_capita!G291-Gasto_o_ing_per_capita!$D291</f>
        <v>-1.8865131144997314</v>
      </c>
      <c r="H291" s="332">
        <f>Gasto_o_ing_per_capita!H291-Gasto_o_ing_per_capita!$D291</f>
        <v>-25.291327351366366</v>
      </c>
      <c r="I291" s="332">
        <f>Gasto_o_ing_per_capita!I291-Gasto_o_ing_per_capita!$D291</f>
        <v>12.83665752766839</v>
      </c>
      <c r="J291" s="332">
        <f>Gasto_o_ing_per_capita!J291-Gasto_o_ing_per_capita!$D291</f>
        <v>-2.3345649628337846</v>
      </c>
      <c r="K291" s="332">
        <f>Gasto_o_ing_per_capita!K291-Gasto_o_ing_per_capita!$D291</f>
        <v>-4.0281188073667096E-2</v>
      </c>
      <c r="L291" s="332">
        <f>Gasto_o_ing_per_capita!L291-Gasto_o_ing_per_capita!$D291</f>
        <v>53.297281949287893</v>
      </c>
      <c r="M291" s="332">
        <f>Gasto_o_ing_per_capita!M291-Gasto_o_ing_per_capita!$D291</f>
        <v>-10.998444034493703</v>
      </c>
      <c r="N291" s="332">
        <f>Gasto_o_ing_per_capita!N291-Gasto_o_ing_per_capita!$D291</f>
        <v>-11.540257438296878</v>
      </c>
      <c r="O291" s="332">
        <f>Gasto_o_ing_per_capita!O291-Gasto_o_ing_per_capita!$D291</f>
        <v>30.360964994875157</v>
      </c>
      <c r="P291" s="332">
        <f>Gasto_o_ing_per_capita!P291-Gasto_o_ing_per_capita!$D291</f>
        <v>69.646841069566534</v>
      </c>
      <c r="Q291" s="332">
        <f>Gasto_o_ing_per_capita!Q291-Gasto_o_ing_per_capita!$D291</f>
        <v>-22.050057766118584</v>
      </c>
      <c r="R291" s="332">
        <f>Gasto_o_ing_per_capita!R291-Gasto_o_ing_per_capita!$D291</f>
        <v>27.164710620077546</v>
      </c>
      <c r="S291" s="332">
        <f>Gasto_o_ing_per_capita!S291-Gasto_o_ing_per_capita!$D291</f>
        <v>-19.220379899311233</v>
      </c>
      <c r="T291" s="332">
        <f>Gasto_o_ing_per_capita!T291-Gasto_o_ing_per_capita!$D291</f>
        <v>9.7876379174826376</v>
      </c>
      <c r="U291" s="332">
        <f>Gasto_o_ing_per_capita!U291-Gasto_o_ing_per_capita!$D291</f>
        <v>-18.086016196357861</v>
      </c>
      <c r="V291" s="332">
        <f>Gasto_o_ing_per_capita!V291-Gasto_o_ing_per_capita!$D291</f>
        <v>246.24199212398543</v>
      </c>
      <c r="W291" s="105"/>
    </row>
    <row r="292" spans="1:23" s="102" customFormat="1">
      <c r="A292" s="352"/>
      <c r="B292" s="115"/>
      <c r="C292" s="147"/>
      <c r="D292" s="110"/>
      <c r="E292" s="110"/>
      <c r="F292" s="110"/>
      <c r="G292" s="110"/>
      <c r="H292" s="110"/>
      <c r="I292" s="110"/>
      <c r="J292" s="110"/>
      <c r="K292" s="110"/>
      <c r="L292" s="110"/>
      <c r="M292" s="110"/>
      <c r="N292" s="110"/>
      <c r="O292" s="110"/>
      <c r="P292" s="110"/>
      <c r="Q292" s="110"/>
      <c r="R292" s="110"/>
      <c r="S292" s="110"/>
      <c r="T292" s="110"/>
      <c r="U292" s="110"/>
      <c r="V292" s="110"/>
      <c r="W292" s="105"/>
    </row>
    <row r="293" spans="1:23" s="102" customFormat="1" ht="13.5">
      <c r="A293" s="352"/>
      <c r="B293" s="115"/>
      <c r="C293" s="112" t="s">
        <v>22</v>
      </c>
      <c r="D293" s="113">
        <f>Gasto_o_ing_per_capita!D293-Gasto_o_ing_per_capita!$D293</f>
        <v>0</v>
      </c>
      <c r="E293" s="113">
        <f>Gasto_o_ing_per_capita!E293-Gasto_o_ing_per_capita!$D293</f>
        <v>-27.383889476720981</v>
      </c>
      <c r="F293" s="113">
        <f>Gasto_o_ing_per_capita!F293-Gasto_o_ing_per_capita!$D293</f>
        <v>47.252227701660956</v>
      </c>
      <c r="G293" s="113">
        <f>Gasto_o_ing_per_capita!G293-Gasto_o_ing_per_capita!$D293</f>
        <v>-12.346230353817305</v>
      </c>
      <c r="H293" s="113">
        <f>Gasto_o_ing_per_capita!H293-Gasto_o_ing_per_capita!$D293</f>
        <v>-17.086769758998173</v>
      </c>
      <c r="I293" s="113">
        <f>Gasto_o_ing_per_capita!I293-Gasto_o_ing_per_capita!$D293</f>
        <v>-32.421013672782692</v>
      </c>
      <c r="J293" s="113">
        <f>Gasto_o_ing_per_capita!J293-Gasto_o_ing_per_capita!$D293</f>
        <v>-12.616982414448557</v>
      </c>
      <c r="K293" s="113">
        <f>Gasto_o_ing_per_capita!K293-Gasto_o_ing_per_capita!$D293</f>
        <v>39.73457607938974</v>
      </c>
      <c r="L293" s="113">
        <f>Gasto_o_ing_per_capita!L293-Gasto_o_ing_per_capita!$D293</f>
        <v>-47.105039730328087</v>
      </c>
      <c r="M293" s="113">
        <f>Gasto_o_ing_per_capita!M293-Gasto_o_ing_per_capita!$D293</f>
        <v>28.337263670259347</v>
      </c>
      <c r="N293" s="113">
        <f>Gasto_o_ing_per_capita!N293-Gasto_o_ing_per_capita!$D293</f>
        <v>-60.828813469591751</v>
      </c>
      <c r="O293" s="113">
        <f>Gasto_o_ing_per_capita!O293-Gasto_o_ing_per_capita!$D293</f>
        <v>-16.73456266611214</v>
      </c>
      <c r="P293" s="113">
        <f>Gasto_o_ing_per_capita!P293-Gasto_o_ing_per_capita!$D293</f>
        <v>-9.1226844566779732</v>
      </c>
      <c r="Q293" s="113">
        <f>Gasto_o_ing_per_capita!Q293-Gasto_o_ing_per_capita!$D293</f>
        <v>17.886806432893366</v>
      </c>
      <c r="R293" s="113">
        <f>Gasto_o_ing_per_capita!R293-Gasto_o_ing_per_capita!$D293</f>
        <v>-46.523605445827684</v>
      </c>
      <c r="S293" s="113">
        <f>Gasto_o_ing_per_capita!S293-Gasto_o_ing_per_capita!$D293</f>
        <v>57.888684632612012</v>
      </c>
      <c r="T293" s="113">
        <f>Gasto_o_ing_per_capita!T293-Gasto_o_ing_per_capita!$D293</f>
        <v>97.216750604208016</v>
      </c>
      <c r="U293" s="113">
        <f>Gasto_o_ing_per_capita!U293-Gasto_o_ing_per_capita!$D293</f>
        <v>104.78718976789304</v>
      </c>
      <c r="V293" s="113">
        <f>Gasto_o_ing_per_capita!V293-Gasto_o_ing_per_capita!$D293</f>
        <v>458.09106643270144</v>
      </c>
      <c r="W293" s="105"/>
    </row>
    <row r="294" spans="1:23"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c r="W294" s="105"/>
    </row>
    <row r="295" spans="1:23" s="102" customFormat="1" ht="13.5">
      <c r="A295" s="352"/>
      <c r="B295" s="115"/>
      <c r="C295" s="117" t="s">
        <v>28</v>
      </c>
      <c r="D295" s="113">
        <f>Gasto_o_ing_per_capita!D295-Gasto_o_ing_per_capita!$D295</f>
        <v>0</v>
      </c>
      <c r="E295" s="113">
        <f>Gasto_o_ing_per_capita!E295-Gasto_o_ing_per_capita!$D295</f>
        <v>4.7604062337548072</v>
      </c>
      <c r="F295" s="113">
        <f>Gasto_o_ing_per_capita!F295-Gasto_o_ing_per_capita!$D295</f>
        <v>19.684090129809363</v>
      </c>
      <c r="G295" s="113">
        <f>Gasto_o_ing_per_capita!G295-Gasto_o_ing_per_capita!$D295</f>
        <v>-5.4439821812857474</v>
      </c>
      <c r="H295" s="113">
        <f>Gasto_o_ing_per_capita!H295-Gasto_o_ing_per_capita!$D295</f>
        <v>-12.869772242097241</v>
      </c>
      <c r="I295" s="113">
        <f>Gasto_o_ing_per_capita!I295-Gasto_o_ing_per_capita!$D295</f>
        <v>-4.928162978594699</v>
      </c>
      <c r="J295" s="113">
        <f>Gasto_o_ing_per_capita!J295-Gasto_o_ing_per_capita!$D295</f>
        <v>9.0854988092111029</v>
      </c>
      <c r="K295" s="113">
        <f>Gasto_o_ing_per_capita!K295-Gasto_o_ing_per_capita!$D295</f>
        <v>10.586799931780646</v>
      </c>
      <c r="L295" s="113">
        <f>Gasto_o_ing_per_capita!L295-Gasto_o_ing_per_capita!$D295</f>
        <v>-5.4745446342812585</v>
      </c>
      <c r="M295" s="113">
        <f>Gasto_o_ing_per_capita!M295-Gasto_o_ing_per_capita!$D295</f>
        <v>-17.369959432795383</v>
      </c>
      <c r="N295" s="113">
        <f>Gasto_o_ing_per_capita!N295-Gasto_o_ing_per_capita!$D295</f>
        <v>-7.8793297498171171</v>
      </c>
      <c r="O295" s="113">
        <f>Gasto_o_ing_per_capita!O295-Gasto_o_ing_per_capita!$D295</f>
        <v>9.1959885406925252</v>
      </c>
      <c r="P295" s="113">
        <f>Gasto_o_ing_per_capita!P295-Gasto_o_ing_per_capita!$D295</f>
        <v>26.51837645426717</v>
      </c>
      <c r="Q295" s="113">
        <f>Gasto_o_ing_per_capita!Q295-Gasto_o_ing_per_capita!$D295</f>
        <v>8.3493497486665831</v>
      </c>
      <c r="R295" s="113">
        <f>Gasto_o_ing_per_capita!R295-Gasto_o_ing_per_capita!$D295</f>
        <v>11.749493671234632</v>
      </c>
      <c r="S295" s="113">
        <f>Gasto_o_ing_per_capita!S295-Gasto_o_ing_per_capita!$D295</f>
        <v>-17.503671141937097</v>
      </c>
      <c r="T295" s="113">
        <f>Gasto_o_ing_per_capita!T295-Gasto_o_ing_per_capita!$D295</f>
        <v>-20.912307337376951</v>
      </c>
      <c r="U295" s="113">
        <f>Gasto_o_ing_per_capita!U295-Gasto_o_ing_per_capita!$D295</f>
        <v>3.3229657868765656</v>
      </c>
      <c r="V295" s="113">
        <f>Gasto_o_ing_per_capita!V295-Gasto_o_ing_per_capita!$D295</f>
        <v>94.262509990415282</v>
      </c>
    </row>
    <row r="296" spans="1:23" s="102" customFormat="1">
      <c r="A296" s="351" t="str">
        <f>IF(B296="","",(IF(ISERROR(MATCH(B296,Tot_res!C:C,0)),"Eliminar!!!","")))</f>
        <v/>
      </c>
      <c r="B296" s="119" t="s">
        <v>297</v>
      </c>
      <c r="C296" s="329" t="str">
        <f>VLOOKUP(B296,Tot_res!C:D,2,FALSE)</f>
        <v>Plan nacional sobre drogas + AF 11/1</v>
      </c>
      <c r="D296" s="332">
        <f>Gasto_o_ing_per_capita!D296-Gasto_o_ing_per_capita!$D296</f>
        <v>0</v>
      </c>
      <c r="E296" s="332">
        <f>Gasto_o_ing_per_capita!E296-Gasto_o_ing_per_capita!$D296</f>
        <v>-6.5217282114859887E-2</v>
      </c>
      <c r="F296" s="332">
        <f>Gasto_o_ing_per_capita!F296-Gasto_o_ing_per_capita!$D296</f>
        <v>1.7541915632251937E-2</v>
      </c>
      <c r="G296" s="332">
        <f>Gasto_o_ing_per_capita!G296-Gasto_o_ing_per_capita!$D296</f>
        <v>0.27254011048501914</v>
      </c>
      <c r="H296" s="332">
        <f>Gasto_o_ing_per_capita!H296-Gasto_o_ing_per_capita!$D296</f>
        <v>6.0355807722544674E-2</v>
      </c>
      <c r="I296" s="332">
        <f>Gasto_o_ing_per_capita!I296-Gasto_o_ing_per_capita!$D296</f>
        <v>-7.3682031660975866E-2</v>
      </c>
      <c r="J296" s="332">
        <f>Gasto_o_ing_per_capita!J296-Gasto_o_ing_per_capita!$D296</f>
        <v>0.50387861860665328</v>
      </c>
      <c r="K296" s="332">
        <f>Gasto_o_ing_per_capita!K296-Gasto_o_ing_per_capita!$D296</f>
        <v>0.34292770319435761</v>
      </c>
      <c r="L296" s="332">
        <f>Gasto_o_ing_per_capita!L296-Gasto_o_ing_per_capita!$D296</f>
        <v>6.3992518811896382E-2</v>
      </c>
      <c r="M296" s="332">
        <f>Gasto_o_ing_per_capita!M296-Gasto_o_ing_per_capita!$D296</f>
        <v>-6.1756425380050217E-2</v>
      </c>
      <c r="N296" s="332">
        <f>Gasto_o_ing_per_capita!N296-Gasto_o_ing_per_capita!$D296</f>
        <v>-0.19295849872049686</v>
      </c>
      <c r="O296" s="332">
        <f>Gasto_o_ing_per_capita!O296-Gasto_o_ing_per_capita!$D296</f>
        <v>0.27956618837855196</v>
      </c>
      <c r="P296" s="332">
        <f>Gasto_o_ing_per_capita!P296-Gasto_o_ing_per_capita!$D296</f>
        <v>3.9587598845806982E-2</v>
      </c>
      <c r="Q296" s="332">
        <f>Gasto_o_ing_per_capita!Q296-Gasto_o_ing_per_capita!$D296</f>
        <v>-1.9942088345541342E-2</v>
      </c>
      <c r="R296" s="332">
        <f>Gasto_o_ing_per_capita!R296-Gasto_o_ing_per_capita!$D296</f>
        <v>-7.8193424934149491E-2</v>
      </c>
      <c r="S296" s="332">
        <f>Gasto_o_ing_per_capita!S296-Gasto_o_ing_per_capita!$D296</f>
        <v>0</v>
      </c>
      <c r="T296" s="332">
        <f>Gasto_o_ing_per_capita!T296-Gasto_o_ing_per_capita!$D296</f>
        <v>0</v>
      </c>
      <c r="U296" s="332">
        <f>Gasto_o_ing_per_capita!U296-Gasto_o_ing_per_capita!$D296</f>
        <v>0.16751997336975566</v>
      </c>
      <c r="V296" s="332">
        <f>Gasto_o_ing_per_capita!V296-Gasto_o_ing_per_capita!$D296</f>
        <v>1.4598413783524857</v>
      </c>
      <c r="W296" s="114"/>
    </row>
    <row r="297" spans="1:23" s="102" customFormat="1">
      <c r="A297" s="351" t="str">
        <f>IF(B297="","",(IF(ISERROR(MATCH(B297,Tot_res!C:C,0)),"Eliminar!!!","")))</f>
        <v/>
      </c>
      <c r="B297" s="119" t="s">
        <v>298</v>
      </c>
      <c r="C297" s="329" t="str">
        <f>VLOOKUP(B297,Tot_res!C:D,2,FALSE)</f>
        <v>Direc. y serv. grales. de sanidad, serv. soc. e igualdad</v>
      </c>
      <c r="D297" s="332">
        <f>Gasto_o_ing_per_capita!D297-Gasto_o_ing_per_capita!$D297</f>
        <v>0</v>
      </c>
      <c r="E297" s="332">
        <f>Gasto_o_ing_per_capita!E297-Gasto_o_ing_per_capita!$D297</f>
        <v>-4.26606480531736E-2</v>
      </c>
      <c r="F297" s="332">
        <f>Gasto_o_ing_per_capita!F297-Gasto_o_ing_per_capita!$D297</f>
        <v>5.262964581344276E-2</v>
      </c>
      <c r="G297" s="332">
        <f>Gasto_o_ing_per_capita!G297-Gasto_o_ing_per_capita!$D297</f>
        <v>0.11711127001279897</v>
      </c>
      <c r="H297" s="332">
        <f>Gasto_o_ing_per_capita!H297-Gasto_o_ing_per_capita!$D297</f>
        <v>-6.2540021064615536E-2</v>
      </c>
      <c r="I297" s="332">
        <f>Gasto_o_ing_per_capita!I297-Gasto_o_ing_per_capita!$D297</f>
        <v>-6.5471761698002617E-2</v>
      </c>
      <c r="J297" s="332">
        <f>Gasto_o_ing_per_capita!J297-Gasto_o_ing_per_capita!$D297</f>
        <v>4.5170264995213372E-2</v>
      </c>
      <c r="K297" s="332">
        <f>Gasto_o_ing_per_capita!K297-Gasto_o_ing_per_capita!$D297</f>
        <v>0.11284954337676956</v>
      </c>
      <c r="L297" s="332">
        <f>Gasto_o_ing_per_capita!L297-Gasto_o_ing_per_capita!$D297</f>
        <v>-2.4894981696336194E-3</v>
      </c>
      <c r="M297" s="332">
        <f>Gasto_o_ing_per_capita!M297-Gasto_o_ing_per_capita!$D297</f>
        <v>-6.2404366140692558E-3</v>
      </c>
      <c r="N297" s="332">
        <f>Gasto_o_ing_per_capita!N297-Gasto_o_ing_per_capita!$D297</f>
        <v>-3.1798986652590289E-3</v>
      </c>
      <c r="O297" s="332">
        <f>Gasto_o_ing_per_capita!O297-Gasto_o_ing_per_capita!$D297</f>
        <v>2.9064165599091307E-2</v>
      </c>
      <c r="P297" s="332">
        <f>Gasto_o_ing_per_capita!P297-Gasto_o_ing_per_capita!$D297</f>
        <v>0.10305978816725214</v>
      </c>
      <c r="Q297" s="332">
        <f>Gasto_o_ing_per_capita!Q297-Gasto_o_ing_per_capita!$D297</f>
        <v>-3.1409653043142027E-2</v>
      </c>
      <c r="R297" s="332">
        <f>Gasto_o_ing_per_capita!R297-Gasto_o_ing_per_capita!$D297</f>
        <v>-6.7834683338116264E-2</v>
      </c>
      <c r="S297" s="332">
        <f>Gasto_o_ing_per_capita!S297-Gasto_o_ing_per_capita!$D297</f>
        <v>1.1770815905632226E-2</v>
      </c>
      <c r="T297" s="332">
        <f>Gasto_o_ing_per_capita!T297-Gasto_o_ing_per_capita!$D297</f>
        <v>5.8409229992875566E-2</v>
      </c>
      <c r="U297" s="332">
        <f>Gasto_o_ing_per_capita!U297-Gasto_o_ing_per_capita!$D297</f>
        <v>2.9862337193111821E-2</v>
      </c>
      <c r="V297" s="332">
        <f>Gasto_o_ing_per_capita!V297-Gasto_o_ing_per_capita!$D297</f>
        <v>-0.14313090510163096</v>
      </c>
      <c r="W297" s="105"/>
    </row>
    <row r="298" spans="1:23" s="102" customFormat="1">
      <c r="A298" s="351" t="str">
        <f>IF(B298="","",(IF(ISERROR(MATCH(B298,Tot_res!C:C,0)),"Eliminar!!!","")))</f>
        <v/>
      </c>
      <c r="B298" s="119" t="s">
        <v>299</v>
      </c>
      <c r="C298" s="329" t="str">
        <f>VLOOKUP(B298,Tot_res!C:D,2,FALSE)</f>
        <v>Políticas de salud y ordenación profesional</v>
      </c>
      <c r="D298" s="332">
        <f>Gasto_o_ing_per_capita!D298-Gasto_o_ing_per_capita!$D298</f>
        <v>0</v>
      </c>
      <c r="E298" s="332">
        <f>Gasto_o_ing_per_capita!E298-Gasto_o_ing_per_capita!$D298</f>
        <v>-5.2367013697171005E-2</v>
      </c>
      <c r="F298" s="332">
        <f>Gasto_o_ing_per_capita!F298-Gasto_o_ing_per_capita!$D298</f>
        <v>-1.3337006216580516E-3</v>
      </c>
      <c r="G298" s="332">
        <f>Gasto_o_ing_per_capita!G298-Gasto_o_ing_per_capita!$D298</f>
        <v>2.6917436553124119E-2</v>
      </c>
      <c r="H298" s="332">
        <f>Gasto_o_ing_per_capita!H298-Gasto_o_ing_per_capita!$D298</f>
        <v>-5.0992096074790549E-2</v>
      </c>
      <c r="I298" s="332">
        <f>Gasto_o_ing_per_capita!I298-Gasto_o_ing_per_capita!$D298</f>
        <v>-6.443615034117911E-2</v>
      </c>
      <c r="J298" s="332">
        <f>Gasto_o_ing_per_capita!J298-Gasto_o_ing_per_capita!$D298</f>
        <v>-6.802971546903458E-3</v>
      </c>
      <c r="K298" s="332">
        <f>Gasto_o_ing_per_capita!K298-Gasto_o_ing_per_capita!$D298</f>
        <v>1.3739362233063768E-2</v>
      </c>
      <c r="L298" s="332">
        <f>Gasto_o_ing_per_capita!L298-Gasto_o_ing_per_capita!$D298</f>
        <v>-2.7907309594412233E-2</v>
      </c>
      <c r="M298" s="332">
        <f>Gasto_o_ing_per_capita!M298-Gasto_o_ing_per_capita!$D298</f>
        <v>0.15435824629269018</v>
      </c>
      <c r="N298" s="332">
        <f>Gasto_o_ing_per_capita!N298-Gasto_o_ing_per_capita!$D298</f>
        <v>-4.1190720168204908E-2</v>
      </c>
      <c r="O298" s="332">
        <f>Gasto_o_ing_per_capita!O298-Gasto_o_ing_per_capita!$D298</f>
        <v>-1.1954421960802042E-2</v>
      </c>
      <c r="P298" s="332">
        <f>Gasto_o_ing_per_capita!P298-Gasto_o_ing_per_capita!$D298</f>
        <v>1.3043007430799336E-2</v>
      </c>
      <c r="Q298" s="332">
        <f>Gasto_o_ing_per_capita!Q298-Gasto_o_ing_per_capita!$D298</f>
        <v>-3.6392341839507125E-2</v>
      </c>
      <c r="R298" s="332">
        <f>Gasto_o_ing_per_capita!R298-Gasto_o_ing_per_capita!$D298</f>
        <v>-5.4990850458119911E-2</v>
      </c>
      <c r="S298" s="332">
        <f>Gasto_o_ing_per_capita!S298-Gasto_o_ing_per_capita!$D298</f>
        <v>-2.7380654734708632E-2</v>
      </c>
      <c r="T298" s="332">
        <f>Gasto_o_ing_per_capita!T298-Gasto_o_ing_per_capita!$D298</f>
        <v>4.6622967609116217E-3</v>
      </c>
      <c r="U298" s="332">
        <f>Gasto_o_ing_per_capita!U298-Gasto_o_ing_per_capita!$D298</f>
        <v>-9.1354704235822037E-3</v>
      </c>
      <c r="V298" s="332">
        <f>Gasto_o_ing_per_capita!V298-Gasto_o_ing_per_capita!$D298</f>
        <v>-0.10985990668300391</v>
      </c>
      <c r="W298" s="105"/>
    </row>
    <row r="299" spans="1:23" s="102" customFormat="1">
      <c r="A299" s="351" t="str">
        <f>IF(B299="","",(IF(ISERROR(MATCH(B299,Tot_res!C:C,0)),"Eliminar!!!","")))</f>
        <v/>
      </c>
      <c r="B299" s="119" t="s">
        <v>300</v>
      </c>
      <c r="C299" s="329" t="str">
        <f>VLOOKUP(B299,Tot_res!C:D,2,FALSE)</f>
        <v>Asistencia sanitaria del mutualismo administrativo</v>
      </c>
      <c r="D299" s="332">
        <f>Gasto_o_ing_per_capita!D299-Gasto_o_ing_per_capita!$D299</f>
        <v>0</v>
      </c>
      <c r="E299" s="332">
        <f>Gasto_o_ing_per_capita!E299-Gasto_o_ing_per_capita!$D299</f>
        <v>13.064413194800949</v>
      </c>
      <c r="F299" s="332">
        <f>Gasto_o_ing_per_capita!F299-Gasto_o_ing_per_capita!$D299</f>
        <v>10.216467275594738</v>
      </c>
      <c r="G299" s="332">
        <f>Gasto_o_ing_per_capita!G299-Gasto_o_ing_per_capita!$D299</f>
        <v>-7.9128378424747012</v>
      </c>
      <c r="H299" s="332">
        <f>Gasto_o_ing_per_capita!H299-Gasto_o_ing_per_capita!$D299</f>
        <v>-13.87404298173918</v>
      </c>
      <c r="I299" s="332">
        <f>Gasto_o_ing_per_capita!I299-Gasto_o_ing_per_capita!$D299</f>
        <v>-4.4535664289417198</v>
      </c>
      <c r="J299" s="332">
        <f>Gasto_o_ing_per_capita!J299-Gasto_o_ing_per_capita!$D299</f>
        <v>-3.2029500637347894</v>
      </c>
      <c r="K299" s="332">
        <f>Gasto_o_ing_per_capita!K299-Gasto_o_ing_per_capita!$D299</f>
        <v>18.683018801372363</v>
      </c>
      <c r="L299" s="332">
        <f>Gasto_o_ing_per_capita!L299-Gasto_o_ing_per_capita!$D299</f>
        <v>2.3313165443662598</v>
      </c>
      <c r="M299" s="332">
        <f>Gasto_o_ing_per_capita!M299-Gasto_o_ing_per_capita!$D299</f>
        <v>-22.859102261753243</v>
      </c>
      <c r="N299" s="332">
        <f>Gasto_o_ing_per_capita!N299-Gasto_o_ing_per_capita!$D299</f>
        <v>-7.3659815054599846</v>
      </c>
      <c r="O299" s="332">
        <f>Gasto_o_ing_per_capita!O299-Gasto_o_ing_per_capita!$D299</f>
        <v>22.43517790285825</v>
      </c>
      <c r="P299" s="332">
        <f>Gasto_o_ing_per_capita!P299-Gasto_o_ing_per_capita!$D299</f>
        <v>6.7928711564490172</v>
      </c>
      <c r="Q299" s="332">
        <f>Gasto_o_ing_per_capita!Q299-Gasto_o_ing_per_capita!$D299</f>
        <v>8.8143599345881611</v>
      </c>
      <c r="R299" s="332">
        <f>Gasto_o_ing_per_capita!R299-Gasto_o_ing_per_capita!$D299</f>
        <v>17.467327350504284</v>
      </c>
      <c r="S299" s="332">
        <f>Gasto_o_ing_per_capita!S299-Gasto_o_ing_per_capita!$D299</f>
        <v>-20.134117606889202</v>
      </c>
      <c r="T299" s="332">
        <f>Gasto_o_ing_per_capita!T299-Gasto_o_ing_per_capita!$D299</f>
        <v>-27.84976906129382</v>
      </c>
      <c r="U299" s="332">
        <f>Gasto_o_ing_per_capita!U299-Gasto_o_ing_per_capita!$D299</f>
        <v>-2.8384646638591207</v>
      </c>
      <c r="V299" s="332">
        <f>Gasto_o_ing_per_capita!V299-Gasto_o_ing_per_capita!$D299</f>
        <v>106.6302190296098</v>
      </c>
      <c r="W299" s="105"/>
    </row>
    <row r="300" spans="1:23" s="102" customFormat="1">
      <c r="A300" s="351" t="str">
        <f>IF(B300="","",(IF(ISERROR(MATCH(B300,Tot_res!C:C,0)),"Eliminar!!!","")))</f>
        <v/>
      </c>
      <c r="B300" s="119" t="s">
        <v>302</v>
      </c>
      <c r="C300" s="329" t="str">
        <f>VLOOKUP(B300,Tot_res!C:D,2,FALSE)</f>
        <v>Prestaciones y farmacia</v>
      </c>
      <c r="D300" s="332">
        <f>Gasto_o_ing_per_capita!D300-Gasto_o_ing_per_capita!$D300</f>
        <v>0</v>
      </c>
      <c r="E300" s="332">
        <f>Gasto_o_ing_per_capita!E300-Gasto_o_ing_per_capita!$D300</f>
        <v>-8.385709294651944E-2</v>
      </c>
      <c r="F300" s="332">
        <f>Gasto_o_ing_per_capita!F300-Gasto_o_ing_per_capita!$D300</f>
        <v>0.1470409822155776</v>
      </c>
      <c r="G300" s="332">
        <f>Gasto_o_ing_per_capita!G300-Gasto_o_ing_per_capita!$D300</f>
        <v>0.13702389355361255</v>
      </c>
      <c r="H300" s="332">
        <f>Gasto_o_ing_per_capita!H300-Gasto_o_ing_per_capita!$D300</f>
        <v>-3.9481999467665174E-2</v>
      </c>
      <c r="I300" s="332">
        <f>Gasto_o_ing_per_capita!I300-Gasto_o_ing_per_capita!$D300</f>
        <v>-7.6959256159378597E-2</v>
      </c>
      <c r="J300" s="332">
        <f>Gasto_o_ing_per_capita!J300-Gasto_o_ing_per_capita!$D300</f>
        <v>8.2943149759056478E-2</v>
      </c>
      <c r="K300" s="332">
        <f>Gasto_o_ing_per_capita!K300-Gasto_o_ing_per_capita!$D300</f>
        <v>0.16857094893951552</v>
      </c>
      <c r="L300" s="332">
        <f>Gasto_o_ing_per_capita!L300-Gasto_o_ing_per_capita!$D300</f>
        <v>0.10517317820539174</v>
      </c>
      <c r="M300" s="332">
        <f>Gasto_o_ing_per_capita!M300-Gasto_o_ing_per_capita!$D300</f>
        <v>-3.6321970076353738E-2</v>
      </c>
      <c r="N300" s="332">
        <f>Gasto_o_ing_per_capita!N300-Gasto_o_ing_per_capita!$D300</f>
        <v>-1.2707257446725295E-2</v>
      </c>
      <c r="O300" s="332">
        <f>Gasto_o_ing_per_capita!O300-Gasto_o_ing_per_capita!$D300</f>
        <v>9.4649887074909733E-2</v>
      </c>
      <c r="P300" s="332">
        <f>Gasto_o_ing_per_capita!P300-Gasto_o_ing_per_capita!$D300</f>
        <v>7.9573938582184311E-2</v>
      </c>
      <c r="Q300" s="332">
        <f>Gasto_o_ing_per_capita!Q300-Gasto_o_ing_per_capita!$D300</f>
        <v>-2.5656930580149728E-2</v>
      </c>
      <c r="R300" s="332">
        <f>Gasto_o_ing_per_capita!R300-Gasto_o_ing_per_capita!$D300</f>
        <v>-6.9742325540978589E-2</v>
      </c>
      <c r="S300" s="332">
        <f>Gasto_o_ing_per_capita!S300-Gasto_o_ing_per_capita!$D300</f>
        <v>5.7975991506139968E-2</v>
      </c>
      <c r="T300" s="332">
        <f>Gasto_o_ing_per_capita!T300-Gasto_o_ing_per_capita!$D300</f>
        <v>5.8222520585910598E-2</v>
      </c>
      <c r="U300" s="332">
        <f>Gasto_o_ing_per_capita!U300-Gasto_o_ing_per_capita!$D300</f>
        <v>0.17892884380697138</v>
      </c>
      <c r="V300" s="332">
        <f>Gasto_o_ing_per_capita!V300-Gasto_o_ing_per_capita!$D300</f>
        <v>-0.31502960017980763</v>
      </c>
      <c r="W300" s="105"/>
    </row>
    <row r="301" spans="1:23" s="102" customFormat="1">
      <c r="A301" s="351" t="str">
        <f>IF(B301="","",(IF(ISERROR(MATCH(B301,Tot_res!C:C,0)),"Eliminar!!!","")))</f>
        <v/>
      </c>
      <c r="B301" s="119" t="s">
        <v>303</v>
      </c>
      <c r="C301" s="329" t="str">
        <f>VLOOKUP(B301,Tot_res!C:D,2,FALSE)</f>
        <v>Salud pública, sanidad exterior y calidad + AF11/2</v>
      </c>
      <c r="D301" s="332">
        <f>Gasto_o_ing_per_capita!D301-Gasto_o_ing_per_capita!$D301</f>
        <v>0</v>
      </c>
      <c r="E301" s="332">
        <f>Gasto_o_ing_per_capita!E301-Gasto_o_ing_per_capita!$D301</f>
        <v>-1.7522073436495256E-2</v>
      </c>
      <c r="F301" s="332">
        <f>Gasto_o_ing_per_capita!F301-Gasto_o_ing_per_capita!$D301</f>
        <v>1.1933657270532638E-2</v>
      </c>
      <c r="G301" s="332">
        <f>Gasto_o_ing_per_capita!G301-Gasto_o_ing_per_capita!$D301</f>
        <v>1.088379699612374E-2</v>
      </c>
      <c r="H301" s="332">
        <f>Gasto_o_ing_per_capita!H301-Gasto_o_ing_per_capita!$D301</f>
        <v>9.1990104307662079E-3</v>
      </c>
      <c r="I301" s="332">
        <f>Gasto_o_ing_per_capita!I301-Gasto_o_ing_per_capita!$D301</f>
        <v>-7.6855706607347751E-3</v>
      </c>
      <c r="J301" s="332">
        <f>Gasto_o_ing_per_capita!J301-Gasto_o_ing_per_capita!$D301</f>
        <v>0.10190386828698716</v>
      </c>
      <c r="K301" s="332">
        <f>Gasto_o_ing_per_capita!K301-Gasto_o_ing_per_capita!$D301</f>
        <v>-1.0402672817959036E-2</v>
      </c>
      <c r="L301" s="332">
        <f>Gasto_o_ing_per_capita!L301-Gasto_o_ing_per_capita!$D301</f>
        <v>-7.2160176803978127E-3</v>
      </c>
      <c r="M301" s="332">
        <f>Gasto_o_ing_per_capita!M301-Gasto_o_ing_per_capita!$D301</f>
        <v>5.7880087750428189E-7</v>
      </c>
      <c r="N301" s="332">
        <f>Gasto_o_ing_per_capita!N301-Gasto_o_ing_per_capita!$D301</f>
        <v>-4.0890890609878161E-3</v>
      </c>
      <c r="O301" s="332">
        <f>Gasto_o_ing_per_capita!O301-Gasto_o_ing_per_capita!$D301</f>
        <v>9.447701407264808E-3</v>
      </c>
      <c r="P301" s="332">
        <f>Gasto_o_ing_per_capita!P301-Gasto_o_ing_per_capita!$D301</f>
        <v>-7.6219548972027429E-3</v>
      </c>
      <c r="Q301" s="332">
        <f>Gasto_o_ing_per_capita!Q301-Gasto_o_ing_per_capita!$D301</f>
        <v>1.3887467781099117E-2</v>
      </c>
      <c r="R301" s="332">
        <f>Gasto_o_ing_per_capita!R301-Gasto_o_ing_per_capita!$D301</f>
        <v>1.7358268356365003E-2</v>
      </c>
      <c r="S301" s="332">
        <f>Gasto_o_ing_per_capita!S301-Gasto_o_ing_per_capita!$D301</f>
        <v>0</v>
      </c>
      <c r="T301" s="332">
        <f>Gasto_o_ing_per_capita!T301-Gasto_o_ing_per_capita!$D301</f>
        <v>0</v>
      </c>
      <c r="U301" s="332">
        <f>Gasto_o_ing_per_capita!U301-Gasto_o_ing_per_capita!$D301</f>
        <v>9.7246116387855408E-2</v>
      </c>
      <c r="V301" s="332">
        <f>Gasto_o_ing_per_capita!V301-Gasto_o_ing_per_capita!$D301</f>
        <v>-4.762462592216482E-2</v>
      </c>
      <c r="W301" s="105"/>
    </row>
    <row r="302" spans="1:23" s="102" customFormat="1">
      <c r="A302" s="351" t="str">
        <f>IF(B302="","",(IF(ISERROR(MATCH(B302,Tot_res!C:C,0)),"Eliminar!!!","")))</f>
        <v/>
      </c>
      <c r="B302" s="119" t="s">
        <v>304</v>
      </c>
      <c r="C302" s="329" t="str">
        <f>VLOOKUP(B302,Tot_res!C:D,2,FALSE)</f>
        <v>Seguridad alimentaria y nutrición</v>
      </c>
      <c r="D302" s="332">
        <f>Gasto_o_ing_per_capita!D302-Gasto_o_ing_per_capita!$D302</f>
        <v>0</v>
      </c>
      <c r="E302" s="332">
        <f>Gasto_o_ing_per_capita!E302-Gasto_o_ing_per_capita!$D302</f>
        <v>0</v>
      </c>
      <c r="F302" s="332">
        <f>Gasto_o_ing_per_capita!F302-Gasto_o_ing_per_capita!$D302</f>
        <v>0</v>
      </c>
      <c r="G302" s="332">
        <f>Gasto_o_ing_per_capita!G302-Gasto_o_ing_per_capita!$D302</f>
        <v>0</v>
      </c>
      <c r="H302" s="332">
        <f>Gasto_o_ing_per_capita!H302-Gasto_o_ing_per_capita!$D302</f>
        <v>0</v>
      </c>
      <c r="I302" s="332">
        <f>Gasto_o_ing_per_capita!I302-Gasto_o_ing_per_capita!$D302</f>
        <v>0</v>
      </c>
      <c r="J302" s="332">
        <f>Gasto_o_ing_per_capita!J302-Gasto_o_ing_per_capita!$D302</f>
        <v>0</v>
      </c>
      <c r="K302" s="332">
        <f>Gasto_o_ing_per_capita!K302-Gasto_o_ing_per_capita!$D302</f>
        <v>0</v>
      </c>
      <c r="L302" s="332">
        <f>Gasto_o_ing_per_capita!L302-Gasto_o_ing_per_capita!$D302</f>
        <v>0</v>
      </c>
      <c r="M302" s="332">
        <f>Gasto_o_ing_per_capita!M302-Gasto_o_ing_per_capita!$D302</f>
        <v>0</v>
      </c>
      <c r="N302" s="332">
        <f>Gasto_o_ing_per_capita!N302-Gasto_o_ing_per_capita!$D302</f>
        <v>0</v>
      </c>
      <c r="O302" s="332">
        <f>Gasto_o_ing_per_capita!O302-Gasto_o_ing_per_capita!$D302</f>
        <v>0</v>
      </c>
      <c r="P302" s="332">
        <f>Gasto_o_ing_per_capita!P302-Gasto_o_ing_per_capita!$D302</f>
        <v>0</v>
      </c>
      <c r="Q302" s="332">
        <f>Gasto_o_ing_per_capita!Q302-Gasto_o_ing_per_capita!$D302</f>
        <v>0</v>
      </c>
      <c r="R302" s="332">
        <f>Gasto_o_ing_per_capita!R302-Gasto_o_ing_per_capita!$D302</f>
        <v>0</v>
      </c>
      <c r="S302" s="332">
        <f>Gasto_o_ing_per_capita!S302-Gasto_o_ing_per_capita!$D302</f>
        <v>0</v>
      </c>
      <c r="T302" s="332">
        <f>Gasto_o_ing_per_capita!T302-Gasto_o_ing_per_capita!$D302</f>
        <v>0</v>
      </c>
      <c r="U302" s="332">
        <f>Gasto_o_ing_per_capita!U302-Gasto_o_ing_per_capita!$D302</f>
        <v>0</v>
      </c>
      <c r="V302" s="332">
        <f>Gasto_o_ing_per_capita!V302-Gasto_o_ing_per_capita!$D302</f>
        <v>0</v>
      </c>
      <c r="W302" s="105"/>
    </row>
    <row r="303" spans="1:23" s="102" customFormat="1">
      <c r="A303" s="351" t="str">
        <f>IF(B303="","",(IF(ISERROR(MATCH(B303,Tot_res!C:C,0)),"Eliminar!!!","")))</f>
        <v/>
      </c>
      <c r="B303" s="119" t="s">
        <v>305</v>
      </c>
      <c r="C303" s="329" t="str">
        <f>VLOOKUP(B303,Tot_res!C:D,2,FALSE)</f>
        <v>Donación y trasplante de órganos, tejidos y células</v>
      </c>
      <c r="D303" s="332">
        <f>Gasto_o_ing_per_capita!D303-Gasto_o_ing_per_capita!$D303</f>
        <v>0</v>
      </c>
      <c r="E303" s="332">
        <f>Gasto_o_ing_per_capita!E303-Gasto_o_ing_per_capita!$D303</f>
        <v>-3.6089505553931756E-3</v>
      </c>
      <c r="F303" s="332">
        <f>Gasto_o_ing_per_capita!F303-Gasto_o_ing_per_capita!$D303</f>
        <v>4.4522949874513384E-3</v>
      </c>
      <c r="G303" s="332">
        <f>Gasto_o_ing_per_capita!G303-Gasto_o_ing_per_capita!$D303</f>
        <v>9.9072283765752611E-3</v>
      </c>
      <c r="H303" s="332">
        <f>Gasto_o_ing_per_capita!H303-Gasto_o_ing_per_capita!$D303</f>
        <v>-5.2906801479930543E-3</v>
      </c>
      <c r="I303" s="332">
        <f>Gasto_o_ing_per_capita!I303-Gasto_o_ing_per_capita!$D303</f>
        <v>-5.5386957658979524E-3</v>
      </c>
      <c r="J303" s="332">
        <f>Gasto_o_ing_per_capita!J303-Gasto_o_ing_per_capita!$D303</f>
        <v>3.8212558969695637E-3</v>
      </c>
      <c r="K303" s="332">
        <f>Gasto_o_ing_per_capita!K303-Gasto_o_ing_per_capita!$D303</f>
        <v>9.5467003158935942E-3</v>
      </c>
      <c r="L303" s="332">
        <f>Gasto_o_ing_per_capita!L303-Gasto_o_ing_per_capita!$D303</f>
        <v>-2.1060335958213161E-4</v>
      </c>
      <c r="M303" s="332">
        <f>Gasto_o_ing_per_capita!M303-Gasto_o_ing_per_capita!$D303</f>
        <v>-5.2792041874680229E-4</v>
      </c>
      <c r="N303" s="332">
        <f>Gasto_o_ing_per_capita!N303-Gasto_o_ing_per_capita!$D303</f>
        <v>-2.6900897144777058E-4</v>
      </c>
      <c r="O303" s="332">
        <f>Gasto_o_ing_per_capita!O303-Gasto_o_ing_per_capita!$D303</f>
        <v>2.458732845552189E-3</v>
      </c>
      <c r="P303" s="332">
        <f>Gasto_o_ing_per_capita!P303-Gasto_o_ing_per_capita!$D303</f>
        <v>8.7185192142724133E-3</v>
      </c>
      <c r="Q303" s="332">
        <f>Gasto_o_ing_per_capita!Q303-Gasto_o_ing_per_capita!$D303</f>
        <v>-2.6571533712629741E-3</v>
      </c>
      <c r="R303" s="332">
        <f>Gasto_o_ing_per_capita!R303-Gasto_o_ing_per_capita!$D303</f>
        <v>-5.7385911672713646E-3</v>
      </c>
      <c r="S303" s="332">
        <f>Gasto_o_ing_per_capita!S303-Gasto_o_ing_per_capita!$D303</f>
        <v>9.9577232270625649E-4</v>
      </c>
      <c r="T303" s="332">
        <f>Gasto_o_ing_per_capita!T303-Gasto_o_ing_per_capita!$D303</f>
        <v>4.9412288055289827E-3</v>
      </c>
      <c r="U303" s="332">
        <f>Gasto_o_ing_per_capita!U303-Gasto_o_ing_per_capita!$D303</f>
        <v>2.5262555379864243E-3</v>
      </c>
      <c r="V303" s="332">
        <f>Gasto_o_ing_per_capita!V303-Gasto_o_ing_per_capita!$D303</f>
        <v>-1.2108403951496718E-2</v>
      </c>
      <c r="W303" s="105"/>
    </row>
    <row r="304" spans="1:23" s="102" customFormat="1">
      <c r="A304" s="351" t="str">
        <f>IF(B304="","",(IF(ISERROR(MATCH(B304,Tot_res!C:C,0)),"Eliminar!!!","")))</f>
        <v/>
      </c>
      <c r="B304" s="115" t="s">
        <v>306</v>
      </c>
      <c r="C304" s="329" t="str">
        <f>VLOOKUP(B304,Tot_res!C:D,2,FALSE)</f>
        <v>Protec. y promoc. de derechos de consum. y usuar.</v>
      </c>
      <c r="D304" s="332">
        <f>Gasto_o_ing_per_capita!D304-Gasto_o_ing_per_capita!$D304</f>
        <v>0</v>
      </c>
      <c r="E304" s="332">
        <f>Gasto_o_ing_per_capita!E304-Gasto_o_ing_per_capita!$D304</f>
        <v>0</v>
      </c>
      <c r="F304" s="332">
        <f>Gasto_o_ing_per_capita!F304-Gasto_o_ing_per_capita!$D304</f>
        <v>0</v>
      </c>
      <c r="G304" s="332">
        <f>Gasto_o_ing_per_capita!G304-Gasto_o_ing_per_capita!$D304</f>
        <v>0</v>
      </c>
      <c r="H304" s="332">
        <f>Gasto_o_ing_per_capita!H304-Gasto_o_ing_per_capita!$D304</f>
        <v>0</v>
      </c>
      <c r="I304" s="332">
        <f>Gasto_o_ing_per_capita!I304-Gasto_o_ing_per_capita!$D304</f>
        <v>0</v>
      </c>
      <c r="J304" s="332">
        <f>Gasto_o_ing_per_capita!J304-Gasto_o_ing_per_capita!$D304</f>
        <v>0</v>
      </c>
      <c r="K304" s="332">
        <f>Gasto_o_ing_per_capita!K304-Gasto_o_ing_per_capita!$D304</f>
        <v>0</v>
      </c>
      <c r="L304" s="332">
        <f>Gasto_o_ing_per_capita!L304-Gasto_o_ing_per_capita!$D304</f>
        <v>0</v>
      </c>
      <c r="M304" s="332">
        <f>Gasto_o_ing_per_capita!M304-Gasto_o_ing_per_capita!$D304</f>
        <v>0</v>
      </c>
      <c r="N304" s="332">
        <f>Gasto_o_ing_per_capita!N304-Gasto_o_ing_per_capita!$D304</f>
        <v>0</v>
      </c>
      <c r="O304" s="332">
        <f>Gasto_o_ing_per_capita!O304-Gasto_o_ing_per_capita!$D304</f>
        <v>0</v>
      </c>
      <c r="P304" s="332">
        <f>Gasto_o_ing_per_capita!P304-Gasto_o_ing_per_capita!$D304</f>
        <v>0</v>
      </c>
      <c r="Q304" s="332">
        <f>Gasto_o_ing_per_capita!Q304-Gasto_o_ing_per_capita!$D304</f>
        <v>0</v>
      </c>
      <c r="R304" s="332">
        <f>Gasto_o_ing_per_capita!R304-Gasto_o_ing_per_capita!$D304</f>
        <v>0</v>
      </c>
      <c r="S304" s="332">
        <f>Gasto_o_ing_per_capita!S304-Gasto_o_ing_per_capita!$D304</f>
        <v>0</v>
      </c>
      <c r="T304" s="332">
        <f>Gasto_o_ing_per_capita!T304-Gasto_o_ing_per_capita!$D304</f>
        <v>0</v>
      </c>
      <c r="U304" s="332">
        <f>Gasto_o_ing_per_capita!U304-Gasto_o_ing_per_capita!$D304</f>
        <v>0</v>
      </c>
      <c r="V304" s="332">
        <f>Gasto_o_ing_per_capita!V304-Gasto_o_ing_per_capita!$D304</f>
        <v>0</v>
      </c>
      <c r="W304" s="105"/>
    </row>
    <row r="305" spans="1:23" s="102" customFormat="1">
      <c r="A305" s="351" t="str">
        <f>IF(B305="","",(IF(ISERROR(MATCH(B305,Tot_res!C:C,0)),"Eliminar!!!","")))</f>
        <v/>
      </c>
      <c r="B305" s="115" t="s">
        <v>783</v>
      </c>
      <c r="C305" s="329" t="str">
        <f>VLOOKUP(B305,Tot_res!C:D,2,FALSE)</f>
        <v>Atención Primaria de Salud, ISM</v>
      </c>
      <c r="D305" s="332">
        <f>Gasto_o_ing_per_capita!D305-Gasto_o_ing_per_capita!$D305</f>
        <v>0</v>
      </c>
      <c r="E305" s="332">
        <f>Gasto_o_ing_per_capita!E305-Gasto_o_ing_per_capita!$D305</f>
        <v>-2.2984071979398887E-2</v>
      </c>
      <c r="F305" s="332">
        <f>Gasto_o_ing_per_capita!F305-Gasto_o_ing_per_capita!$D305</f>
        <v>-2.2984071979398887E-2</v>
      </c>
      <c r="G305" s="332">
        <f>Gasto_o_ing_per_capita!G305-Gasto_o_ing_per_capita!$D305</f>
        <v>-2.2984071979398887E-2</v>
      </c>
      <c r="H305" s="332">
        <f>Gasto_o_ing_per_capita!H305-Gasto_o_ing_per_capita!$D305</f>
        <v>-2.2984071979398887E-2</v>
      </c>
      <c r="I305" s="332">
        <f>Gasto_o_ing_per_capita!I305-Gasto_o_ing_per_capita!$D305</f>
        <v>-2.2984071979398887E-2</v>
      </c>
      <c r="J305" s="332">
        <f>Gasto_o_ing_per_capita!J305-Gasto_o_ing_per_capita!$D305</f>
        <v>-2.2984071979398887E-2</v>
      </c>
      <c r="K305" s="332">
        <f>Gasto_o_ing_per_capita!K305-Gasto_o_ing_per_capita!$D305</f>
        <v>-2.2984071979398887E-2</v>
      </c>
      <c r="L305" s="332">
        <f>Gasto_o_ing_per_capita!L305-Gasto_o_ing_per_capita!$D305</f>
        <v>-2.2984071979398887E-2</v>
      </c>
      <c r="M305" s="332">
        <f>Gasto_o_ing_per_capita!M305-Gasto_o_ing_per_capita!$D305</f>
        <v>-2.2984071979398887E-2</v>
      </c>
      <c r="N305" s="332">
        <f>Gasto_o_ing_per_capita!N305-Gasto_o_ing_per_capita!$D305</f>
        <v>-2.2984071979398887E-2</v>
      </c>
      <c r="O305" s="332">
        <f>Gasto_o_ing_per_capita!O305-Gasto_o_ing_per_capita!$D305</f>
        <v>-2.2984071979398887E-2</v>
      </c>
      <c r="P305" s="332">
        <f>Gasto_o_ing_per_capita!P305-Gasto_o_ing_per_capita!$D305</f>
        <v>-2.2984071979398887E-2</v>
      </c>
      <c r="Q305" s="332">
        <f>Gasto_o_ing_per_capita!Q305-Gasto_o_ing_per_capita!$D305</f>
        <v>0.14353066074704057</v>
      </c>
      <c r="R305" s="332">
        <f>Gasto_o_ing_per_capita!R305-Gasto_o_ing_per_capita!$D305</f>
        <v>-2.2984071979398887E-2</v>
      </c>
      <c r="S305" s="332">
        <f>Gasto_o_ing_per_capita!S305-Gasto_o_ing_per_capita!$D305</f>
        <v>-2.2984071979398887E-2</v>
      </c>
      <c r="T305" s="332">
        <f>Gasto_o_ing_per_capita!T305-Gasto_o_ing_per_capita!$D305</f>
        <v>-2.2984071979398887E-2</v>
      </c>
      <c r="U305" s="332">
        <f>Gasto_o_ing_per_capita!U305-Gasto_o_ing_per_capita!$D305</f>
        <v>-2.2984071979398887E-2</v>
      </c>
      <c r="V305" s="332">
        <f>Gasto_o_ing_per_capita!V305-Gasto_o_ing_per_capita!$D305</f>
        <v>-2.2984071979398887E-2</v>
      </c>
      <c r="W305" s="105"/>
    </row>
    <row r="306" spans="1:23"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Gasto_o_ing_per_capita!D306-Gasto_o_ing_per_capita!$D306</f>
        <v>0</v>
      </c>
      <c r="E306" s="332">
        <f>Gasto_o_ing_per_capita!E306-Gasto_o_ing_per_capita!$D306</f>
        <v>-4.3966648717019687</v>
      </c>
      <c r="F306" s="332">
        <f>Gasto_o_ing_per_capita!F306-Gasto_o_ing_per_capita!$D306</f>
        <v>-1.5181242292554202</v>
      </c>
      <c r="G306" s="332">
        <f>Gasto_o_ing_per_capita!G306-Gasto_o_ing_per_capita!$D306</f>
        <v>3.6011135955036657</v>
      </c>
      <c r="H306" s="332">
        <f>Gasto_o_ing_per_capita!H306-Gasto_o_ing_per_capita!$D306</f>
        <v>3.0660607619804487</v>
      </c>
      <c r="I306" s="332">
        <f>Gasto_o_ing_per_capita!I306-Gasto_o_ing_per_capita!$D306</f>
        <v>-0.37871179040221392</v>
      </c>
      <c r="J306" s="332">
        <f>Gasto_o_ing_per_capita!J306-Gasto_o_ing_per_capita!$D306</f>
        <v>1.9367991350433016</v>
      </c>
      <c r="K306" s="332">
        <f>Gasto_o_ing_per_capita!K306-Gasto_o_ing_per_capita!$D306</f>
        <v>-0.30745042321647276</v>
      </c>
      <c r="L306" s="332">
        <f>Gasto_o_ing_per_capita!L306-Gasto_o_ing_per_capita!$D306</f>
        <v>0.35818819962403126</v>
      </c>
      <c r="M306" s="332">
        <f>Gasto_o_ing_per_capita!M306-Gasto_o_ing_per_capita!$D306</f>
        <v>4.9738748381303282</v>
      </c>
      <c r="N306" s="332">
        <f>Gasto_o_ing_per_capita!N306-Gasto_o_ing_per_capita!$D306</f>
        <v>1.041194516738873</v>
      </c>
      <c r="O306" s="332">
        <f>Gasto_o_ing_per_capita!O306-Gasto_o_ing_per_capita!$D306</f>
        <v>-4.7089776369683154</v>
      </c>
      <c r="P306" s="332">
        <f>Gasto_o_ing_per_capita!P306-Gasto_o_ing_per_capita!$D306</f>
        <v>-0.11180321879984589</v>
      </c>
      <c r="Q306" s="332">
        <f>Gasto_o_ing_per_capita!Q306-Gasto_o_ing_per_capita!$D306</f>
        <v>-1.6486842537083568</v>
      </c>
      <c r="R306" s="332">
        <f>Gasto_o_ing_per_capita!R306-Gasto_o_ing_per_capita!$D306</f>
        <v>-2.2102786724115706</v>
      </c>
      <c r="S306" s="332">
        <f>Gasto_o_ing_per_capita!S306-Gasto_o_ing_per_capita!$D306</f>
        <v>7.4057077272540397</v>
      </c>
      <c r="T306" s="332">
        <f>Gasto_o_ing_per_capita!T306-Gasto_o_ing_per_capita!$D306</f>
        <v>0.21487992944268441</v>
      </c>
      <c r="U306" s="332">
        <f>Gasto_o_ing_per_capita!U306-Gasto_o_ing_per_capita!$D306</f>
        <v>12.449037162791505</v>
      </c>
      <c r="V306" s="332">
        <f>Gasto_o_ing_per_capita!V306-Gasto_o_ing_per_capita!$D306</f>
        <v>-5.7239104537189096</v>
      </c>
      <c r="W306" s="105"/>
    </row>
    <row r="307" spans="1:23" s="102" customFormat="1">
      <c r="A307" s="351" t="str">
        <f>IF(B307="","",(IF(ISERROR(MATCH(B307,Tot_res!C:C,0)),"Eliminar!!!","")))</f>
        <v/>
      </c>
      <c r="B307" s="115" t="s">
        <v>786</v>
      </c>
      <c r="C307" s="329" t="str">
        <f>VLOOKUP(B307,Tot_res!C:D,2,FALSE)</f>
        <v>Atenció Primaria de Salud INGESA neto de Ceuta y Melilla</v>
      </c>
      <c r="D307" s="332">
        <f>Gasto_o_ing_per_capita!D307-Gasto_o_ing_per_capita!$D307</f>
        <v>0</v>
      </c>
      <c r="E307" s="332">
        <f>Gasto_o_ing_per_capita!E307-Gasto_o_ing_per_capita!$D307</f>
        <v>-3.4344442089708972E-2</v>
      </c>
      <c r="F307" s="332">
        <f>Gasto_o_ing_per_capita!F307-Gasto_o_ing_per_capita!$D307</f>
        <v>5.9760097737156091E-2</v>
      </c>
      <c r="G307" s="332">
        <f>Gasto_o_ing_per_capita!G307-Gasto_o_ing_per_capita!$D307</f>
        <v>6.722426749785293E-2</v>
      </c>
      <c r="H307" s="332">
        <f>Gasto_o_ing_per_capita!H307-Gasto_o_ing_per_capita!$D307</f>
        <v>4.6639964150574066E-2</v>
      </c>
      <c r="I307" s="332">
        <f>Gasto_o_ing_per_capita!I307-Gasto_o_ing_per_capita!$D307</f>
        <v>-3.4344442089708972E-2</v>
      </c>
      <c r="J307" s="332">
        <f>Gasto_o_ing_per_capita!J307-Gasto_o_ing_per_capita!$D307</f>
        <v>5.8315073899683247E-2</v>
      </c>
      <c r="K307" s="332">
        <f>Gasto_o_ing_per_capita!K307-Gasto_o_ing_per_capita!$D307</f>
        <v>6.3742517958517125E-2</v>
      </c>
      <c r="L307" s="332">
        <f>Gasto_o_ing_per_capita!L307-Gasto_o_ing_per_capita!$D307</f>
        <v>5.2739143950415547E-2</v>
      </c>
      <c r="M307" s="332">
        <f>Gasto_o_ing_per_capita!M307-Gasto_o_ing_per_capita!$D307</f>
        <v>-3.4344442089708972E-2</v>
      </c>
      <c r="N307" s="332">
        <f>Gasto_o_ing_per_capita!N307-Gasto_o_ing_per_capita!$D307</f>
        <v>-3.4344442089708972E-2</v>
      </c>
      <c r="O307" s="332">
        <f>Gasto_o_ing_per_capita!O307-Gasto_o_ing_per_capita!$D307</f>
        <v>5.6954020708611212E-2</v>
      </c>
      <c r="P307" s="332">
        <f>Gasto_o_ing_per_capita!P307-Gasto_o_ing_per_capita!$D307</f>
        <v>-3.4344442089708972E-2</v>
      </c>
      <c r="Q307" s="332">
        <f>Gasto_o_ing_per_capita!Q307-Gasto_o_ing_per_capita!$D307</f>
        <v>5.0497332560291812E-2</v>
      </c>
      <c r="R307" s="332">
        <f>Gasto_o_ing_per_capita!R307-Gasto_o_ing_per_capita!$D307</f>
        <v>4.5583462199383785E-2</v>
      </c>
      <c r="S307" s="332">
        <f>Gasto_o_ing_per_capita!S307-Gasto_o_ing_per_capita!$D307</f>
        <v>-3.4344442089708972E-2</v>
      </c>
      <c r="T307" s="332">
        <f>Gasto_o_ing_per_capita!T307-Gasto_o_ing_per_capita!$D307</f>
        <v>-3.4344442089708972E-2</v>
      </c>
      <c r="U307" s="332">
        <f>Gasto_o_ing_per_capita!U307-Gasto_o_ing_per_capita!$D307</f>
        <v>5.7698809588818435E-2</v>
      </c>
      <c r="V307" s="332">
        <f>Gasto_o_ing_per_capita!V307-Gasto_o_ing_per_capita!$D307</f>
        <v>3.1086631585523335E-2</v>
      </c>
      <c r="W307" s="105"/>
    </row>
    <row r="308" spans="1:23" s="102" customFormat="1">
      <c r="A308" s="351" t="str">
        <f>IF(B308="","",(IF(ISERROR(MATCH(B308,Tot_res!C:C,0)),"Eliminar!!!","")))</f>
        <v/>
      </c>
      <c r="B308" s="115" t="s">
        <v>788</v>
      </c>
      <c r="C308" s="329" t="str">
        <f>VLOOKUP(B308,Tot_res!C:D,2,FALSE)</f>
        <v>Atención Especializada, INGESA neto de Ceuta y Melilla</v>
      </c>
      <c r="D308" s="332">
        <f>Gasto_o_ing_per_capita!D308-Gasto_o_ing_per_capita!$D308</f>
        <v>0</v>
      </c>
      <c r="E308" s="332">
        <f>Gasto_o_ing_per_capita!E308-Gasto_o_ing_per_capita!$D308</f>
        <v>-7.6369348917362107E-3</v>
      </c>
      <c r="F308" s="332">
        <f>Gasto_o_ing_per_capita!F308-Gasto_o_ing_per_capita!$D308</f>
        <v>1.0884252455447274E-2</v>
      </c>
      <c r="G308" s="332">
        <f>Gasto_o_ing_per_capita!G308-Gasto_o_ing_per_capita!$D308</f>
        <v>1.7370236537308473E-2</v>
      </c>
      <c r="H308" s="332">
        <f>Gasto_o_ing_per_capita!H308-Gasto_o_ing_per_capita!$D308</f>
        <v>-5.1647667085799598E-4</v>
      </c>
      <c r="I308" s="332">
        <f>Gasto_o_ing_per_capita!I308-Gasto_o_ing_per_capita!$D308</f>
        <v>-1.0138658701654472E-2</v>
      </c>
      <c r="J308" s="332">
        <f>Gasto_o_ing_per_capita!J308-Gasto_o_ing_per_capita!$D308</f>
        <v>9.6286001982987535E-3</v>
      </c>
      <c r="K308" s="332">
        <f>Gasto_o_ing_per_capita!K308-Gasto_o_ing_per_capita!$D308</f>
        <v>1.434477318195046E-2</v>
      </c>
      <c r="L308" s="332">
        <f>Gasto_o_ing_per_capita!L308-Gasto_o_ing_per_capita!$D308</f>
        <v>4.7834005241226413E-3</v>
      </c>
      <c r="M308" s="332">
        <f>Gasto_o_ing_per_capita!M308-Gasto_o_ing_per_capita!$D308</f>
        <v>-2.8026530055255544E-3</v>
      </c>
      <c r="N308" s="332">
        <f>Gasto_o_ing_per_capita!N308-Gasto_o_ing_per_capita!$D308</f>
        <v>-5.3202820562634479E-3</v>
      </c>
      <c r="O308" s="332">
        <f>Gasto_o_ing_per_capita!O308-Gasto_o_ing_per_capita!$D308</f>
        <v>8.4459141642346663E-3</v>
      </c>
      <c r="P308" s="332">
        <f>Gasto_o_ing_per_capita!P308-Gasto_o_ing_per_capita!$D308</f>
        <v>5.9214340363626522E-3</v>
      </c>
      <c r="Q308" s="332">
        <f>Gasto_o_ing_per_capita!Q308-Gasto_o_ing_per_capita!$D308</f>
        <v>2.8353803883212209E-3</v>
      </c>
      <c r="R308" s="332">
        <f>Gasto_o_ing_per_capita!R308-Gasto_o_ing_per_capita!$D308</f>
        <v>-1.4345231592909763E-3</v>
      </c>
      <c r="S308" s="332">
        <f>Gasto_o_ing_per_capita!S308-Gasto_o_ing_per_capita!$D308</f>
        <v>-2.4576937427357448E-3</v>
      </c>
      <c r="T308" s="332">
        <f>Gasto_o_ing_per_capita!T308-Gasto_o_ing_per_capita!$D308</f>
        <v>4.1842572982648957E-3</v>
      </c>
      <c r="U308" s="332">
        <f>Gasto_o_ing_per_capita!U308-Gasto_o_ing_per_capita!$D308</f>
        <v>9.0930978398803541E-3</v>
      </c>
      <c r="V308" s="332">
        <f>Gasto_o_ing_per_capita!V308-Gasto_o_ing_per_capita!$D308</f>
        <v>-1.4031532018071058E-2</v>
      </c>
      <c r="W308" s="105"/>
    </row>
    <row r="309" spans="1:23" s="102" customFormat="1">
      <c r="A309" s="351" t="str">
        <f>IF(B309="","",(IF(ISERROR(MATCH(B309,Tot_res!C:C,0)),"Eliminar!!!","")))</f>
        <v/>
      </c>
      <c r="B309" s="115" t="s">
        <v>790</v>
      </c>
      <c r="C309" s="329" t="str">
        <f>VLOOKUP(B309,Tot_res!C:D,2,FALSE)</f>
        <v>Atención Especializada, ISM</v>
      </c>
      <c r="D309" s="332">
        <f>Gasto_o_ing_per_capita!D309-Gasto_o_ing_per_capita!$D309</f>
        <v>0</v>
      </c>
      <c r="E309" s="332">
        <f>Gasto_o_ing_per_capita!E309-Gasto_o_ing_per_capita!$D309</f>
        <v>-5.8787634204619851E-3</v>
      </c>
      <c r="F309" s="332">
        <f>Gasto_o_ing_per_capita!F309-Gasto_o_ing_per_capita!$D309</f>
        <v>-5.8787634204619851E-3</v>
      </c>
      <c r="G309" s="332">
        <f>Gasto_o_ing_per_capita!G309-Gasto_o_ing_per_capita!$D309</f>
        <v>-5.8787634204619851E-3</v>
      </c>
      <c r="H309" s="332">
        <f>Gasto_o_ing_per_capita!H309-Gasto_o_ing_per_capita!$D309</f>
        <v>-5.8787634204619851E-3</v>
      </c>
      <c r="I309" s="332">
        <f>Gasto_o_ing_per_capita!I309-Gasto_o_ing_per_capita!$D309</f>
        <v>-5.8787634204619851E-3</v>
      </c>
      <c r="J309" s="332">
        <f>Gasto_o_ing_per_capita!J309-Gasto_o_ing_per_capita!$D309</f>
        <v>-5.8787634204619851E-3</v>
      </c>
      <c r="K309" s="332">
        <f>Gasto_o_ing_per_capita!K309-Gasto_o_ing_per_capita!$D309</f>
        <v>-5.8787634204619851E-3</v>
      </c>
      <c r="L309" s="332">
        <f>Gasto_o_ing_per_capita!L309-Gasto_o_ing_per_capita!$D309</f>
        <v>-5.8787634204619851E-3</v>
      </c>
      <c r="M309" s="332">
        <f>Gasto_o_ing_per_capita!M309-Gasto_o_ing_per_capita!$D309</f>
        <v>-5.8787634204619851E-3</v>
      </c>
      <c r="N309" s="332">
        <f>Gasto_o_ing_per_capita!N309-Gasto_o_ing_per_capita!$D309</f>
        <v>-5.8787634204619851E-3</v>
      </c>
      <c r="O309" s="332">
        <f>Gasto_o_ing_per_capita!O309-Gasto_o_ing_per_capita!$D309</f>
        <v>-5.8787634204619851E-3</v>
      </c>
      <c r="P309" s="332">
        <f>Gasto_o_ing_per_capita!P309-Gasto_o_ing_per_capita!$D309</f>
        <v>-5.8787634204619851E-3</v>
      </c>
      <c r="Q309" s="332">
        <f>Gasto_o_ing_per_capita!Q309-Gasto_o_ing_per_capita!$D309</f>
        <v>3.4959538844700724E-2</v>
      </c>
      <c r="R309" s="332">
        <f>Gasto_o_ing_per_capita!R309-Gasto_o_ing_per_capita!$D309</f>
        <v>-5.8787634204619851E-3</v>
      </c>
      <c r="S309" s="332">
        <f>Gasto_o_ing_per_capita!S309-Gasto_o_ing_per_capita!$D309</f>
        <v>-5.8787634204619851E-3</v>
      </c>
      <c r="T309" s="332">
        <f>Gasto_o_ing_per_capita!T309-Gasto_o_ing_per_capita!$D309</f>
        <v>-7.1984347039983666E-4</v>
      </c>
      <c r="U309" s="332">
        <f>Gasto_o_ing_per_capita!U309-Gasto_o_ing_per_capita!$D309</f>
        <v>-5.8787634204619851E-3</v>
      </c>
      <c r="V309" s="332">
        <f>Gasto_o_ing_per_capita!V309-Gasto_o_ing_per_capita!$D309</f>
        <v>-5.8787634204619851E-3</v>
      </c>
      <c r="W309" s="105"/>
    </row>
    <row r="310" spans="1:23" s="102" customFormat="1">
      <c r="A310" s="351" t="str">
        <f>IF(B310="","",(IF(ISERROR(MATCH(B310,Tot_res!C:C,0)),"Eliminar!!!","")))</f>
        <v/>
      </c>
      <c r="B310" s="115" t="s">
        <v>792</v>
      </c>
      <c r="C310" s="329" t="str">
        <f>VLOOKUP(B310,Tot_res!C:D,2,FALSE)</f>
        <v>Atención Especializada, mutuas de la Seg. Social</v>
      </c>
      <c r="D310" s="332">
        <f>Gasto_o_ing_per_capita!D310-Gasto_o_ing_per_capita!$D310</f>
        <v>0</v>
      </c>
      <c r="E310" s="332">
        <f>Gasto_o_ing_per_capita!E310-Gasto_o_ing_per_capita!$D310</f>
        <v>-4.2603025636311314</v>
      </c>
      <c r="F310" s="332">
        <f>Gasto_o_ing_per_capita!F310-Gasto_o_ing_per_capita!$D310</f>
        <v>13.649686396375145</v>
      </c>
      <c r="G310" s="332">
        <f>Gasto_o_ing_per_capita!G310-Gasto_o_ing_per_capita!$D310</f>
        <v>-3.5966294189558541</v>
      </c>
      <c r="H310" s="332">
        <f>Gasto_o_ing_per_capita!H310-Gasto_o_ing_per_capita!$D310</f>
        <v>-0.46940182136747488</v>
      </c>
      <c r="I310" s="332">
        <f>Gasto_o_ing_per_capita!I310-Gasto_o_ing_per_capita!$D310</f>
        <v>-3.8164592060346791</v>
      </c>
      <c r="J310" s="332">
        <f>Gasto_o_ing_per_capita!J310-Gasto_o_ing_per_capita!$D310</f>
        <v>1.6864303697872121</v>
      </c>
      <c r="K310" s="332">
        <f>Gasto_o_ing_per_capita!K310-Gasto_o_ing_per_capita!$D310</f>
        <v>-5.5376744068129433</v>
      </c>
      <c r="L310" s="332">
        <f>Gasto_o_ing_per_capita!L310-Gasto_o_ing_per_capita!$D310</f>
        <v>-5.3852978770264883</v>
      </c>
      <c r="M310" s="332">
        <f>Gasto_o_ing_per_capita!M310-Gasto_o_ing_per_capita!$D310</f>
        <v>2.9950107284127991</v>
      </c>
      <c r="N310" s="332">
        <f>Gasto_o_ing_per_capita!N310-Gasto_o_ing_per_capita!$D310</f>
        <v>-8.4118619564353736E-2</v>
      </c>
      <c r="O310" s="332">
        <f>Gasto_o_ing_per_capita!O310-Gasto_o_ing_per_capita!$D310</f>
        <v>-6.0316885648375651</v>
      </c>
      <c r="P310" s="332">
        <f>Gasto_o_ing_per_capita!P310-Gasto_o_ing_per_capita!$D310</f>
        <v>-0.35890095173968106</v>
      </c>
      <c r="Q310" s="332">
        <f>Gasto_o_ing_per_capita!Q310-Gasto_o_ing_per_capita!$D310</f>
        <v>3.9776881565421274</v>
      </c>
      <c r="R310" s="332">
        <f>Gasto_o_ing_per_capita!R310-Gasto_o_ing_per_capita!$D310</f>
        <v>-1.7362775632425524</v>
      </c>
      <c r="S310" s="332">
        <f>Gasto_o_ing_per_capita!S310-Gasto_o_ing_per_capita!$D310</f>
        <v>-1.8084460584588165</v>
      </c>
      <c r="T310" s="332">
        <f>Gasto_o_ing_per_capita!T310-Gasto_o_ing_per_capita!$D310</f>
        <v>9.1370981089492354</v>
      </c>
      <c r="U310" s="332">
        <f>Gasto_o_ing_per_capita!U310-Gasto_o_ing_per_capita!$D310</f>
        <v>-3.854272781562158</v>
      </c>
      <c r="V310" s="332">
        <f>Gasto_o_ing_per_capita!V310-Gasto_o_ing_per_capita!$D310</f>
        <v>-7.0743694702487083</v>
      </c>
      <c r="W310" s="105"/>
    </row>
    <row r="311" spans="1:23" s="102" customFormat="1">
      <c r="A311" s="351" t="str">
        <f>IF(B311="","",(IF(ISERROR(MATCH(B311,Tot_res!C:C,0)),"Eliminar!!!","")))</f>
        <v/>
      </c>
      <c r="B311" s="115" t="s">
        <v>622</v>
      </c>
      <c r="C311" s="329" t="str">
        <f>VLOOKUP(B311,Tot_res!C:D,2,FALSE)</f>
        <v xml:space="preserve">Medicina Marítima </v>
      </c>
      <c r="D311" s="332">
        <f>Gasto_o_ing_per_capita!D311-Gasto_o_ing_per_capita!$D311</f>
        <v>0</v>
      </c>
      <c r="E311" s="332">
        <f>Gasto_o_ing_per_capita!E311-Gasto_o_ing_per_capita!$D311</f>
        <v>-0.19336281181388287</v>
      </c>
      <c r="F311" s="332">
        <f>Gasto_o_ing_per_capita!F311-Gasto_o_ing_per_capita!$D311</f>
        <v>-0.48025134491437044</v>
      </c>
      <c r="G311" s="332">
        <f>Gasto_o_ing_per_capita!G311-Gasto_o_ing_per_capita!$D311</f>
        <v>5.7361416583131153E-2</v>
      </c>
      <c r="H311" s="332">
        <f>Gasto_o_ing_per_capita!H311-Gasto_o_ing_per_capita!$D311</f>
        <v>-0.1153204261085583</v>
      </c>
      <c r="I311" s="332">
        <f>Gasto_o_ing_per_capita!I311-Gasto_o_ing_per_capita!$D311</f>
        <v>2.3785829880971461</v>
      </c>
      <c r="J311" s="332">
        <f>Gasto_o_ing_per_capita!J311-Gasto_o_ing_per_capita!$D311</f>
        <v>7.4108668818007573</v>
      </c>
      <c r="K311" s="332">
        <f>Gasto_o_ing_per_capita!K311-Gasto_o_ing_per_capita!$D311</f>
        <v>-0.48025134491437044</v>
      </c>
      <c r="L311" s="332">
        <f>Gasto_o_ing_per_capita!L311-Gasto_o_ing_per_capita!$D311</f>
        <v>-0.48025134491437044</v>
      </c>
      <c r="M311" s="332">
        <f>Gasto_o_ing_per_capita!M311-Gasto_o_ing_per_capita!$D311</f>
        <v>-0.31158985291420971</v>
      </c>
      <c r="N311" s="332">
        <f>Gasto_o_ing_per_capita!N311-Gasto_o_ing_per_capita!$D311</f>
        <v>-0.32110571420558409</v>
      </c>
      <c r="O311" s="332">
        <f>Gasto_o_ing_per_capita!O311-Gasto_o_ing_per_capita!$D311</f>
        <v>-0.48025134491437044</v>
      </c>
      <c r="P311" s="332">
        <f>Gasto_o_ing_per_capita!P311-Gasto_o_ing_per_capita!$D311</f>
        <v>1.1466969708432739</v>
      </c>
      <c r="Q311" s="332">
        <f>Gasto_o_ing_per_capita!Q311-Gasto_o_ing_per_capita!$D311</f>
        <v>-0.4649189897255343</v>
      </c>
      <c r="R311" s="332">
        <f>Gasto_o_ing_per_capita!R311-Gasto_o_ing_per_capita!$D311</f>
        <v>-0.24147598800665204</v>
      </c>
      <c r="S311" s="332">
        <f>Gasto_o_ing_per_capita!S311-Gasto_o_ing_per_capita!$D311</f>
        <v>-0.48025134491437044</v>
      </c>
      <c r="T311" s="332">
        <f>Gasto_o_ing_per_capita!T311-Gasto_o_ing_per_capita!$D311</f>
        <v>-2.2992147248272532E-2</v>
      </c>
      <c r="U311" s="332">
        <f>Gasto_o_ing_per_capita!U311-Gasto_o_ing_per_capita!$D311</f>
        <v>-0.48025134491437044</v>
      </c>
      <c r="V311" s="332">
        <f>Gasto_o_ing_per_capita!V311-Gasto_o_ing_per_capita!$D311</f>
        <v>2.0711608722543708</v>
      </c>
      <c r="W311" s="105"/>
    </row>
    <row r="312" spans="1:23" s="102" customFormat="1">
      <c r="A312" s="351" t="str">
        <f>IF(B312="","",(IF(ISERROR(MATCH(B312,Tot_res!C:C,0)),"Eliminar!!!","")))</f>
        <v/>
      </c>
      <c r="B312" s="115" t="s">
        <v>794</v>
      </c>
      <c r="C312" s="329" t="str">
        <f>VLOOKUP(B312,Tot_res!C:D,2,FALSE)</f>
        <v>Admón.,Ser.Grales.y Cont.Int.Asist.San., neto CyMel</v>
      </c>
      <c r="D312" s="332">
        <f>Gasto_o_ing_per_capita!D312-Gasto_o_ing_per_capita!$D312</f>
        <v>0</v>
      </c>
      <c r="E312" s="332">
        <f>Gasto_o_ing_per_capita!E312-Gasto_o_ing_per_capita!$D312</f>
        <v>-2.5244171834708853E-3</v>
      </c>
      <c r="F312" s="332">
        <f>Gasto_o_ing_per_capita!F312-Gasto_o_ing_per_capita!$D312</f>
        <v>4.2652254956988926E-3</v>
      </c>
      <c r="G312" s="332">
        <f>Gasto_o_ing_per_capita!G312-Gasto_o_ing_per_capita!$D312</f>
        <v>5.069443345114364E-3</v>
      </c>
      <c r="H312" s="332">
        <f>Gasto_o_ing_per_capita!H312-Gasto_o_ing_per_capita!$D312</f>
        <v>2.8516127356295554E-3</v>
      </c>
      <c r="I312" s="332">
        <f>Gasto_o_ing_per_capita!I312-Gasto_o_ing_per_capita!$D312</f>
        <v>-2.6568993667494302E-3</v>
      </c>
      <c r="J312" s="332">
        <f>Gasto_o_ing_per_capita!J312-Gasto_o_ing_per_capita!$D312</f>
        <v>4.1095331681950727E-3</v>
      </c>
      <c r="K312" s="332">
        <f>Gasto_o_ing_per_capita!K312-Gasto_o_ing_per_capita!$D312</f>
        <v>4.6943064958063531E-3</v>
      </c>
      <c r="L312" s="332">
        <f>Gasto_o_ing_per_capita!L312-Gasto_o_ing_per_capita!$D312</f>
        <v>3.50876140977344E-3</v>
      </c>
      <c r="M312" s="332">
        <f>Gasto_o_ing_per_capita!M312-Gasto_o_ing_per_capita!$D312</f>
        <v>-2.2684112181720856E-3</v>
      </c>
      <c r="N312" s="332">
        <f>Gasto_o_ing_per_capita!N312-Gasto_o_ing_per_capita!$D312</f>
        <v>-2.4017356850876185E-3</v>
      </c>
      <c r="O312" s="332">
        <f>Gasto_o_ing_per_capita!O312-Gasto_o_ing_per_capita!$D312</f>
        <v>3.9628881553729327E-3</v>
      </c>
      <c r="P312" s="332">
        <f>Gasto_o_ing_per_capita!P312-Gasto_o_ing_per_capita!$D312</f>
        <v>-1.8064153360370467E-3</v>
      </c>
      <c r="Q312" s="332">
        <f>Gasto_o_ing_per_capita!Q312-Gasto_o_ing_per_capita!$D312</f>
        <v>3.2672201811087681E-3</v>
      </c>
      <c r="R312" s="332">
        <f>Gasto_o_ing_per_capita!R312-Gasto_o_ing_per_capita!$D312</f>
        <v>2.737781223977255E-3</v>
      </c>
      <c r="S312" s="332">
        <f>Gasto_o_ing_per_capita!S312-Gasto_o_ing_per_capita!$D312</f>
        <v>-2.2501434317380407E-3</v>
      </c>
      <c r="T312" s="332">
        <f>Gasto_o_ing_per_capita!T312-Gasto_o_ing_per_capita!$D312</f>
        <v>-1.8984098903885166E-3</v>
      </c>
      <c r="U312" s="332">
        <f>Gasto_o_ing_per_capita!U312-Gasto_o_ing_per_capita!$D312</f>
        <v>4.0431345231153621E-3</v>
      </c>
      <c r="V312" s="332">
        <f>Gasto_o_ing_per_capita!V312-Gasto_o_ing_per_capita!$D312</f>
        <v>1.1758379250709885E-3</v>
      </c>
      <c r="W312" s="105"/>
    </row>
    <row r="313" spans="1:23" s="102" customFormat="1">
      <c r="A313" s="351" t="str">
        <f>IF(B313="","",(IF(ISERROR(MATCH(B313,Tot_res!C:C,0)),"Eliminar!!!","")))</f>
        <v/>
      </c>
      <c r="B313" s="115" t="s">
        <v>796</v>
      </c>
      <c r="C313" s="329" t="str">
        <f>VLOOKUP(B313,Tot_res!C:D,2,FALSE)</f>
        <v>Formación del Personal Sanitario, neto de CyMel</v>
      </c>
      <c r="D313" s="332">
        <f>Gasto_o_ing_per_capita!D313-Gasto_o_ing_per_capita!$D313</f>
        <v>0</v>
      </c>
      <c r="E313" s="332">
        <f>Gasto_o_ing_per_capita!E313-Gasto_o_ing_per_capita!$D313</f>
        <v>-9.7987335315902766E-6</v>
      </c>
      <c r="F313" s="332">
        <f>Gasto_o_ing_per_capita!F313-Gasto_o_ing_per_capita!$D313</f>
        <v>1.2077990842429711E-5</v>
      </c>
      <c r="G313" s="332">
        <f>Gasto_o_ing_per_capita!G313-Gasto_o_ing_per_capita!$D313</f>
        <v>2.4188557528759372E-5</v>
      </c>
      <c r="H313" s="332">
        <f>Gasto_o_ing_per_capita!H313-Gasto_o_ing_per_capita!$D313</f>
        <v>-9.209340210853019E-6</v>
      </c>
      <c r="I313" s="332">
        <f>Gasto_o_ing_per_capita!I313-Gasto_o_ing_per_capita!$D313</f>
        <v>-1.4972475150180979E-5</v>
      </c>
      <c r="J313" s="332">
        <f>Gasto_o_ing_per_capita!J313-Gasto_o_ing_per_capita!$D313</f>
        <v>9.7334491039501243E-6</v>
      </c>
      <c r="K313" s="332">
        <f>Gasto_o_ing_per_capita!K313-Gasto_o_ing_per_capita!$D313</f>
        <v>1.8539441641383383E-5</v>
      </c>
      <c r="L313" s="332">
        <f>Gasto_o_ing_per_capita!L313-Gasto_o_ing_per_capita!$D313</f>
        <v>6.865391790872419E-7</v>
      </c>
      <c r="M313" s="332">
        <f>Gasto_o_ing_per_capita!M313-Gasto_o_ing_per_capita!$D313</f>
        <v>1.989030146696321E-7</v>
      </c>
      <c r="N313" s="332">
        <f>Gasto_o_ing_per_capita!N313-Gasto_o_ing_per_capita!$D313</f>
        <v>-5.0077317658504849E-6</v>
      </c>
      <c r="O313" s="332">
        <f>Gasto_o_ing_per_capita!O313-Gasto_o_ing_per_capita!$D313</f>
        <v>7.5251491908220837E-6</v>
      </c>
      <c r="P313" s="332">
        <f>Gasto_o_ing_per_capita!P313-Gasto_o_ing_per_capita!$D313</f>
        <v>1.8240931488747967E-5</v>
      </c>
      <c r="Q313" s="332">
        <f>Gasto_o_ing_per_capita!Q313-Gasto_o_ing_per_capita!$D313</f>
        <v>-2.9507851595451723E-6</v>
      </c>
      <c r="R313" s="332">
        <f>Gasto_o_ing_per_capita!R313-Gasto_o_ing_per_capita!$D313</f>
        <v>-1.092350772637489E-5</v>
      </c>
      <c r="S313" s="332">
        <f>Gasto_o_ing_per_capita!S313-Gasto_o_ing_per_capita!$D313</f>
        <v>9.12303146026396E-7</v>
      </c>
      <c r="T313" s="332">
        <f>Gasto_o_ing_per_capita!T313-Gasto_o_ing_per_capita!$D313</f>
        <v>1.4648327239984892E-5</v>
      </c>
      <c r="U313" s="332">
        <f>Gasto_o_ing_per_capita!U313-Gasto_o_ing_per_capita!$D313</f>
        <v>8.7335642845517015E-6</v>
      </c>
      <c r="V313" s="332">
        <f>Gasto_o_ing_per_capita!V313-Gasto_o_ing_per_capita!$D313</f>
        <v>-3.444452071485658E-5</v>
      </c>
      <c r="W313" s="105"/>
    </row>
    <row r="314" spans="1:23" s="102" customFormat="1">
      <c r="A314" s="351" t="str">
        <f>IF(B314="","",(IF(ISERROR(MATCH(B314,Tot_res!C:C,0)),"Eliminar!!!","")))</f>
        <v/>
      </c>
      <c r="B314" s="115" t="s">
        <v>309</v>
      </c>
      <c r="C314" s="329" t="str">
        <f>VLOOKUP(B314,Tot_res!C:D,2,FALSE)</f>
        <v>ISM sanidad transferida</v>
      </c>
      <c r="D314" s="332">
        <f>Gasto_o_ing_per_capita!D314-Gasto_o_ing_per_capita!$D314</f>
        <v>0</v>
      </c>
      <c r="E314" s="332">
        <f>Gasto_o_ing_per_capita!E314-Gasto_o_ing_per_capita!$D314</f>
        <v>2.3175565750784162</v>
      </c>
      <c r="F314" s="332">
        <f>Gasto_o_ing_per_capita!F314-Gasto_o_ing_per_capita!$D314</f>
        <v>-0.74387291006950818</v>
      </c>
      <c r="G314" s="332">
        <f>Gasto_o_ing_per_capita!G314-Gasto_o_ing_per_capita!$D314</f>
        <v>3.4899397030409229</v>
      </c>
      <c r="H314" s="332">
        <f>Gasto_o_ing_per_capita!H314-Gasto_o_ing_per_capita!$D314</f>
        <v>0.25073127087743363</v>
      </c>
      <c r="I314" s="332">
        <f>Gasto_o_ing_per_capita!I314-Gasto_o_ing_per_capita!$D314</f>
        <v>-0.74387291006950818</v>
      </c>
      <c r="J314" s="332">
        <f>Gasto_o_ing_per_capita!J314-Gasto_o_ing_per_capita!$D314</f>
        <v>2.1983768664993453</v>
      </c>
      <c r="K314" s="332">
        <f>Gasto_o_ing_per_capita!K314-Gasto_o_ing_per_capita!$D314</f>
        <v>-0.74387291006950818</v>
      </c>
      <c r="L314" s="332">
        <f>Gasto_o_ing_per_capita!L314-Gasto_o_ing_per_capita!$D314</f>
        <v>-0.74387291006950818</v>
      </c>
      <c r="M314" s="332">
        <f>Gasto_o_ing_per_capita!M314-Gasto_o_ing_per_capita!$D314</f>
        <v>-0.74387291006950818</v>
      </c>
      <c r="N314" s="332">
        <f>Gasto_o_ing_per_capita!N314-Gasto_o_ing_per_capita!$D314</f>
        <v>-0.74387291006950818</v>
      </c>
      <c r="O314" s="332">
        <f>Gasto_o_ing_per_capita!O314-Gasto_o_ing_per_capita!$D314</f>
        <v>-0.74387291006950818</v>
      </c>
      <c r="P314" s="332">
        <f>Gasto_o_ing_per_capita!P314-Gasto_o_ing_per_capita!$D314</f>
        <v>-0.74387291006950818</v>
      </c>
      <c r="Q314" s="332">
        <f>Gasto_o_ing_per_capita!Q314-Gasto_o_ing_per_capita!$D314</f>
        <v>-0.74387291006950818</v>
      </c>
      <c r="R314" s="332">
        <f>Gasto_o_ing_per_capita!R314-Gasto_o_ing_per_capita!$D314</f>
        <v>0.42946586161501565</v>
      </c>
      <c r="S314" s="332">
        <f>Gasto_o_ing_per_capita!S314-Gasto_o_ing_per_capita!$D314</f>
        <v>-0.74387291006950818</v>
      </c>
      <c r="T314" s="332">
        <f>Gasto_o_ing_per_capita!T314-Gasto_o_ing_per_capita!$D314</f>
        <v>-0.74387291006950818</v>
      </c>
      <c r="U314" s="332">
        <f>Gasto_o_ing_per_capita!U314-Gasto_o_ing_per_capita!$D314</f>
        <v>-0.74387291006950818</v>
      </c>
      <c r="V314" s="332">
        <f>Gasto_o_ing_per_capita!V314-Gasto_o_ing_per_capita!$D314</f>
        <v>-0.74387291006950818</v>
      </c>
      <c r="W314" s="105"/>
    </row>
    <row r="315" spans="1:23" s="102" customFormat="1">
      <c r="A315" s="351" t="str">
        <f>IF(B315="","",(IF(ISERROR(MATCH(B315,Tot_res!C:C,0)),"Eliminar!!!","")))</f>
        <v/>
      </c>
      <c r="B315" s="115" t="s">
        <v>798</v>
      </c>
      <c r="C315" s="329" t="str">
        <f>VLOOKUP(B315,Tot_res!C:D,2,FALSE)</f>
        <v>ISM transf. antes de 2002, sanidad</v>
      </c>
      <c r="D315" s="332">
        <f>Gasto_o_ing_per_capita!D315-Gasto_o_ing_per_capita!$D315</f>
        <v>0</v>
      </c>
      <c r="E315" s="332">
        <f>Gasto_o_ing_per_capita!E315-Gasto_o_ing_per_capita!$D315</f>
        <v>-1.6653813738218668</v>
      </c>
      <c r="F315" s="332">
        <f>Gasto_o_ing_per_capita!F315-Gasto_o_ing_per_capita!$D315</f>
        <v>-1.6653813738218668</v>
      </c>
      <c r="G315" s="332">
        <f>Gasto_o_ing_per_capita!G315-Gasto_o_ing_per_capita!$D315</f>
        <v>-1.6653813738218668</v>
      </c>
      <c r="H315" s="332">
        <f>Gasto_o_ing_per_capita!H315-Gasto_o_ing_per_capita!$D315</f>
        <v>-1.6653813738218668</v>
      </c>
      <c r="I315" s="332">
        <f>Gasto_o_ing_per_capita!I315-Gasto_o_ing_per_capita!$D315</f>
        <v>2.5084129407517954</v>
      </c>
      <c r="J315" s="332">
        <f>Gasto_o_ing_per_capita!J315-Gasto_o_ing_per_capita!$D315</f>
        <v>-1.6653813738218668</v>
      </c>
      <c r="K315" s="332">
        <f>Gasto_o_ing_per_capita!K315-Gasto_o_ing_per_capita!$D315</f>
        <v>-1.6653813738218668</v>
      </c>
      <c r="L315" s="332">
        <f>Gasto_o_ing_per_capita!L315-Gasto_o_ing_per_capita!$D315</f>
        <v>-1.6653813738218668</v>
      </c>
      <c r="M315" s="332">
        <f>Gasto_o_ing_per_capita!M315-Gasto_o_ing_per_capita!$D315</f>
        <v>-1.3527566067194021</v>
      </c>
      <c r="N315" s="332">
        <f>Gasto_o_ing_per_capita!N315-Gasto_o_ing_per_capita!$D315</f>
        <v>-2.7359443584505261E-2</v>
      </c>
      <c r="O315" s="332">
        <f>Gasto_o_ing_per_capita!O315-Gasto_o_ing_per_capita!$D315</f>
        <v>-1.6653813738218668</v>
      </c>
      <c r="P315" s="332">
        <f>Gasto_o_ing_per_capita!P315-Gasto_o_ing_per_capita!$D315</f>
        <v>19.668855825774799</v>
      </c>
      <c r="Q315" s="332">
        <f>Gasto_o_ing_per_capita!Q315-Gasto_o_ing_per_capita!$D315</f>
        <v>-1.6653813738218668</v>
      </c>
      <c r="R315" s="332">
        <f>Gasto_o_ing_per_capita!R315-Gasto_o_ing_per_capita!$D315</f>
        <v>-1.6653813738218668</v>
      </c>
      <c r="S315" s="332">
        <f>Gasto_o_ing_per_capita!S315-Gasto_o_ing_per_capita!$D315</f>
        <v>-1.6653813738218668</v>
      </c>
      <c r="T315" s="332">
        <f>Gasto_o_ing_per_capita!T315-Gasto_o_ing_per_capita!$D315</f>
        <v>-1.6653813738218668</v>
      </c>
      <c r="U315" s="332">
        <f>Gasto_o_ing_per_capita!U315-Gasto_o_ing_per_capita!$D315</f>
        <v>-1.6653813738218668</v>
      </c>
      <c r="V315" s="332">
        <f>Gasto_o_ing_per_capita!V315-Gasto_o_ing_per_capita!$D315</f>
        <v>-1.6653813738218668</v>
      </c>
      <c r="W315" s="105"/>
    </row>
    <row r="316" spans="1:23" s="102" customFormat="1">
      <c r="A316" s="351" t="str">
        <f>IF(B316="","",(IF(ISERROR(MATCH(B316,Tot_res!C:C,0)),"Eliminar!!!","")))</f>
        <v/>
      </c>
      <c r="B316" s="115" t="s">
        <v>623</v>
      </c>
      <c r="C316" s="329" t="str">
        <f>VLOOKUP(B316,Tot_res!C:D,2,FALSE)</f>
        <v>Compensación Fondo Cohesión Sanitaria, extrapresupuestario</v>
      </c>
      <c r="D316" s="332">
        <f>Gasto_o_ing_per_capita!D316-Gasto_o_ing_per_capita!$D316</f>
        <v>0</v>
      </c>
      <c r="E316" s="332">
        <f>Gasto_o_ing_per_capita!E316-Gasto_o_ing_per_capita!$D316</f>
        <v>0</v>
      </c>
      <c r="F316" s="332">
        <f>Gasto_o_ing_per_capita!F316-Gasto_o_ing_per_capita!$D316</f>
        <v>0</v>
      </c>
      <c r="G316" s="332">
        <f>Gasto_o_ing_per_capita!G316-Gasto_o_ing_per_capita!$D316</f>
        <v>0</v>
      </c>
      <c r="H316" s="332">
        <f>Gasto_o_ing_per_capita!H316-Gasto_o_ing_per_capita!$D316</f>
        <v>0</v>
      </c>
      <c r="I316" s="332">
        <f>Gasto_o_ing_per_capita!I316-Gasto_o_ing_per_capita!$D316</f>
        <v>0</v>
      </c>
      <c r="J316" s="332">
        <f>Gasto_o_ing_per_capita!J316-Gasto_o_ing_per_capita!$D316</f>
        <v>0</v>
      </c>
      <c r="K316" s="332">
        <f>Gasto_o_ing_per_capita!K316-Gasto_o_ing_per_capita!$D316</f>
        <v>0</v>
      </c>
      <c r="L316" s="332">
        <f>Gasto_o_ing_per_capita!L316-Gasto_o_ing_per_capita!$D316</f>
        <v>0</v>
      </c>
      <c r="M316" s="332">
        <f>Gasto_o_ing_per_capita!M316-Gasto_o_ing_per_capita!$D316</f>
        <v>0</v>
      </c>
      <c r="N316" s="332">
        <f>Gasto_o_ing_per_capita!N316-Gasto_o_ing_per_capita!$D316</f>
        <v>0</v>
      </c>
      <c r="O316" s="332">
        <f>Gasto_o_ing_per_capita!O316-Gasto_o_ing_per_capita!$D316</f>
        <v>0</v>
      </c>
      <c r="P316" s="332">
        <f>Gasto_o_ing_per_capita!P316-Gasto_o_ing_per_capita!$D316</f>
        <v>0</v>
      </c>
      <c r="Q316" s="332">
        <f>Gasto_o_ing_per_capita!Q316-Gasto_o_ing_per_capita!$D316</f>
        <v>0</v>
      </c>
      <c r="R316" s="332">
        <f>Gasto_o_ing_per_capita!R316-Gasto_o_ing_per_capita!$D316</f>
        <v>0</v>
      </c>
      <c r="S316" s="332">
        <f>Gasto_o_ing_per_capita!S316-Gasto_o_ing_per_capita!$D316</f>
        <v>0</v>
      </c>
      <c r="T316" s="332">
        <f>Gasto_o_ing_per_capita!T316-Gasto_o_ing_per_capita!$D316</f>
        <v>0</v>
      </c>
      <c r="U316" s="332">
        <f>Gasto_o_ing_per_capita!U316-Gasto_o_ing_per_capita!$D316</f>
        <v>0</v>
      </c>
      <c r="V316" s="332">
        <f>Gasto_o_ing_per_capita!V316-Gasto_o_ing_per_capita!$D316</f>
        <v>0</v>
      </c>
      <c r="W316" s="105"/>
    </row>
    <row r="317" spans="1:23" s="102" customFormat="1">
      <c r="A317" s="351" t="str">
        <f>IF(B317="","",(IF(ISERROR(MATCH(B317,Tot_res!C:C,0)),"Eliminar!!!","")))</f>
        <v/>
      </c>
      <c r="B317" s="115" t="s">
        <v>1214</v>
      </c>
      <c r="C317" s="329" t="str">
        <f>VLOOKUP(B317,Tot_res!C:D,2,FALSE)</f>
        <v>Gestion del Hospital Militar San Carlos (San Fernando)</v>
      </c>
      <c r="D317" s="332">
        <f>Gasto_o_ing_per_capita!D317-Gasto_o_ing_per_capita!$D317</f>
        <v>0</v>
      </c>
      <c r="E317" s="332">
        <f>Gasto_o_ing_per_capita!E317-Gasto_o_ing_per_capita!$D317</f>
        <v>0.23415404508273155</v>
      </c>
      <c r="F317" s="332">
        <f>Gasto_o_ing_per_capita!F317-Gasto_o_ing_per_capita!$D317</f>
        <v>-5.1362826539712109E-2</v>
      </c>
      <c r="G317" s="332">
        <f>Gasto_o_ing_per_capita!G317-Gasto_o_ing_per_capita!$D317</f>
        <v>-5.1362826539712109E-2</v>
      </c>
      <c r="H317" s="332">
        <f>Gasto_o_ing_per_capita!H317-Gasto_o_ing_per_capita!$D317</f>
        <v>-5.1362826539712109E-2</v>
      </c>
      <c r="I317" s="332">
        <f>Gasto_o_ing_per_capita!I317-Gasto_o_ing_per_capita!$D317</f>
        <v>-5.1362826539712109E-2</v>
      </c>
      <c r="J317" s="332">
        <f>Gasto_o_ing_per_capita!J317-Gasto_o_ing_per_capita!$D317</f>
        <v>-5.1362826539712109E-2</v>
      </c>
      <c r="K317" s="332">
        <f>Gasto_o_ing_per_capita!K317-Gasto_o_ing_per_capita!$D317</f>
        <v>-5.1362826539712109E-2</v>
      </c>
      <c r="L317" s="332">
        <f>Gasto_o_ing_per_capita!L317-Gasto_o_ing_per_capita!$D317</f>
        <v>-5.1362826539712109E-2</v>
      </c>
      <c r="M317" s="332">
        <f>Gasto_o_ing_per_capita!M317-Gasto_o_ing_per_capita!$D317</f>
        <v>-5.1362826539712109E-2</v>
      </c>
      <c r="N317" s="332">
        <f>Gasto_o_ing_per_capita!N317-Gasto_o_ing_per_capita!$D317</f>
        <v>-5.1362826539712109E-2</v>
      </c>
      <c r="O317" s="332">
        <f>Gasto_o_ing_per_capita!O317-Gasto_o_ing_per_capita!$D317</f>
        <v>-5.1362826539712109E-2</v>
      </c>
      <c r="P317" s="332">
        <f>Gasto_o_ing_per_capita!P317-Gasto_o_ing_per_capita!$D317</f>
        <v>-5.1362826539712109E-2</v>
      </c>
      <c r="Q317" s="332">
        <f>Gasto_o_ing_per_capita!Q317-Gasto_o_ing_per_capita!$D317</f>
        <v>-5.1362826539712109E-2</v>
      </c>
      <c r="R317" s="332">
        <f>Gasto_o_ing_per_capita!R317-Gasto_o_ing_per_capita!$D317</f>
        <v>-5.1362826539712109E-2</v>
      </c>
      <c r="S317" s="332">
        <f>Gasto_o_ing_per_capita!S317-Gasto_o_ing_per_capita!$D317</f>
        <v>-5.1362826539712109E-2</v>
      </c>
      <c r="T317" s="332">
        <f>Gasto_o_ing_per_capita!T317-Gasto_o_ing_per_capita!$D317</f>
        <v>-5.1362826539712109E-2</v>
      </c>
      <c r="U317" s="332">
        <f>Gasto_o_ing_per_capita!U317-Gasto_o_ing_per_capita!$D317</f>
        <v>-5.1362826539712109E-2</v>
      </c>
      <c r="V317" s="332">
        <f>Gasto_o_ing_per_capita!V317-Gasto_o_ing_per_capita!$D317</f>
        <v>-5.1362826539712109E-2</v>
      </c>
      <c r="W317" s="105"/>
    </row>
    <row r="318" spans="1:23" s="102" customFormat="1">
      <c r="A318" s="351" t="str">
        <f>IF(B318="","",(IF(ISERROR(MATCH(B318,Tot_res!C:C,0)),"Eliminar!!!","")))</f>
        <v/>
      </c>
      <c r="B318" s="102" t="s">
        <v>1216</v>
      </c>
      <c r="C318" s="329" t="str">
        <f>VLOOKUP(B318,Tot_res!C:D,2,FALSE)</f>
        <v>Gestion de funciones y servicios traspasados en materia sanitaria</v>
      </c>
      <c r="D318" s="332">
        <f>Gasto_o_ing_per_capita!D318-Gasto_o_ing_per_capita!$D318</f>
        <v>0</v>
      </c>
      <c r="E318" s="332">
        <f>Gasto_o_ing_per_capita!E318-Gasto_o_ing_per_capita!$D318</f>
        <v>-1.3944711365423018E-3</v>
      </c>
      <c r="F318" s="332">
        <f>Gasto_o_ing_per_capita!F318-Gasto_o_ing_per_capita!$D318</f>
        <v>-1.3944711365423018E-3</v>
      </c>
      <c r="G318" s="332">
        <f>Gasto_o_ing_per_capita!G318-Gasto_o_ing_per_capita!$D318</f>
        <v>-1.3944711365423018E-3</v>
      </c>
      <c r="H318" s="332">
        <f>Gasto_o_ing_per_capita!H318-Gasto_o_ing_per_capita!$D318</f>
        <v>5.7592077748132471E-2</v>
      </c>
      <c r="I318" s="332">
        <f>Gasto_o_ing_per_capita!I318-Gasto_o_ing_per_capita!$D318</f>
        <v>-1.3944711365423018E-3</v>
      </c>
      <c r="J318" s="332">
        <f>Gasto_o_ing_per_capita!J318-Gasto_o_ing_per_capita!$D318</f>
        <v>-1.3944711365423018E-3</v>
      </c>
      <c r="K318" s="332">
        <f>Gasto_o_ing_per_capita!K318-Gasto_o_ing_per_capita!$D318</f>
        <v>-1.3944711365423018E-3</v>
      </c>
      <c r="L318" s="332">
        <f>Gasto_o_ing_per_capita!L318-Gasto_o_ing_per_capita!$D318</f>
        <v>-1.3944711365423018E-3</v>
      </c>
      <c r="M318" s="332">
        <f>Gasto_o_ing_per_capita!M318-Gasto_o_ing_per_capita!$D318</f>
        <v>-1.3944711365423018E-3</v>
      </c>
      <c r="N318" s="332">
        <f>Gasto_o_ing_per_capita!N318-Gasto_o_ing_per_capita!$D318</f>
        <v>-1.3944711365423018E-3</v>
      </c>
      <c r="O318" s="332">
        <f>Gasto_o_ing_per_capita!O318-Gasto_o_ing_per_capita!$D318</f>
        <v>-1.3944711365423018E-3</v>
      </c>
      <c r="P318" s="332">
        <f>Gasto_o_ing_per_capita!P318-Gasto_o_ing_per_capita!$D318</f>
        <v>-1.3944711365423018E-3</v>
      </c>
      <c r="Q318" s="332">
        <f>Gasto_o_ing_per_capita!Q318-Gasto_o_ing_per_capita!$D318</f>
        <v>-1.3944711365423018E-3</v>
      </c>
      <c r="R318" s="332">
        <f>Gasto_o_ing_per_capita!R318-Gasto_o_ing_per_capita!$D318</f>
        <v>-1.3944711365423018E-3</v>
      </c>
      <c r="S318" s="332">
        <f>Gasto_o_ing_per_capita!S318-Gasto_o_ing_per_capita!$D318</f>
        <v>-1.3944711365423018E-3</v>
      </c>
      <c r="T318" s="332">
        <f>Gasto_o_ing_per_capita!T318-Gasto_o_ing_per_capita!$D318</f>
        <v>-1.3944711365423018E-3</v>
      </c>
      <c r="U318" s="332">
        <f>Gasto_o_ing_per_capita!U318-Gasto_o_ing_per_capita!$D318</f>
        <v>-1.3944711365423018E-3</v>
      </c>
      <c r="V318" s="332">
        <f>Gasto_o_ing_per_capita!V318-Gasto_o_ing_per_capita!$D318</f>
        <v>-1.3944711365423018E-3</v>
      </c>
      <c r="W318" s="105"/>
    </row>
    <row r="319" spans="1:23" s="102" customFormat="1">
      <c r="A319" s="352"/>
      <c r="B319" s="115"/>
      <c r="C319" s="148"/>
      <c r="D319" s="110"/>
      <c r="E319" s="110"/>
      <c r="F319" s="110"/>
      <c r="G319" s="110"/>
      <c r="H319" s="110"/>
      <c r="I319" s="110"/>
      <c r="J319" s="110"/>
      <c r="K319" s="110"/>
      <c r="L319" s="110"/>
      <c r="M319" s="110"/>
      <c r="N319" s="110"/>
      <c r="O319" s="110"/>
      <c r="P319" s="110"/>
      <c r="Q319" s="110"/>
      <c r="R319" s="110"/>
      <c r="S319" s="110"/>
      <c r="T319" s="110"/>
      <c r="U319" s="110"/>
      <c r="V319" s="110"/>
      <c r="W319" s="105"/>
    </row>
    <row r="320" spans="1:23" s="102" customFormat="1">
      <c r="A320" s="352"/>
      <c r="B320" s="115"/>
      <c r="C320" s="105"/>
      <c r="D320" s="110"/>
      <c r="E320" s="110"/>
      <c r="F320" s="110"/>
      <c r="G320" s="110"/>
      <c r="H320" s="110"/>
      <c r="I320" s="110"/>
      <c r="J320" s="110"/>
      <c r="K320" s="110"/>
      <c r="L320" s="110"/>
      <c r="M320" s="110"/>
      <c r="N320" s="110"/>
      <c r="O320" s="110"/>
      <c r="P320" s="110"/>
      <c r="Q320" s="110"/>
      <c r="R320" s="110"/>
      <c r="S320" s="110"/>
      <c r="T320" s="110"/>
      <c r="U320" s="110"/>
      <c r="V320" s="110"/>
    </row>
    <row r="321" spans="1:23" s="102" customFormat="1" ht="13.5">
      <c r="A321" s="358"/>
      <c r="B321" s="115"/>
      <c r="C321" s="117" t="s">
        <v>58</v>
      </c>
      <c r="D321" s="113">
        <f>Gasto_o_ing_per_capita!D321-Gasto_o_ing_per_capita!$D321</f>
        <v>0</v>
      </c>
      <c r="E321" s="113">
        <f>Gasto_o_ing_per_capita!E321-Gasto_o_ing_per_capita!$D321</f>
        <v>2.2710563976962028</v>
      </c>
      <c r="F321" s="113">
        <f>Gasto_o_ing_per_capita!F321-Gasto_o_ing_per_capita!$D321</f>
        <v>0.81493683320556798</v>
      </c>
      <c r="G321" s="113">
        <f>Gasto_o_ing_per_capita!G321-Gasto_o_ing_per_capita!$D321</f>
        <v>0.81091515278314574</v>
      </c>
      <c r="H321" s="113">
        <f>Gasto_o_ing_per_capita!H321-Gasto_o_ing_per_capita!$D321</f>
        <v>-2.7076598703176078</v>
      </c>
      <c r="I321" s="113">
        <f>Gasto_o_ing_per_capita!I321-Gasto_o_ing_per_capita!$D321</f>
        <v>3.2618382259075211</v>
      </c>
      <c r="J321" s="113">
        <f>Gasto_o_ing_per_capita!J321-Gasto_o_ing_per_capita!$D321</f>
        <v>0.66063782697854023</v>
      </c>
      <c r="K321" s="113">
        <f>Gasto_o_ing_per_capita!K321-Gasto_o_ing_per_capita!$D321</f>
        <v>-0.31233092593993916</v>
      </c>
      <c r="L321" s="113">
        <f>Gasto_o_ing_per_capita!L321-Gasto_o_ing_per_capita!$D321</f>
        <v>0.46350603391836032</v>
      </c>
      <c r="M321" s="113">
        <f>Gasto_o_ing_per_capita!M321-Gasto_o_ing_per_capita!$D321</f>
        <v>-4.8369531334801144</v>
      </c>
      <c r="N321" s="113">
        <f>Gasto_o_ing_per_capita!N321-Gasto_o_ing_per_capita!$D321</f>
        <v>-0.17469521793176845</v>
      </c>
      <c r="O321" s="113">
        <f>Gasto_o_ing_per_capita!O321-Gasto_o_ing_per_capita!$D321</f>
        <v>1.5704421224164307</v>
      </c>
      <c r="P321" s="113">
        <f>Gasto_o_ing_per_capita!P321-Gasto_o_ing_per_capita!$D321</f>
        <v>-0.31714665687627175</v>
      </c>
      <c r="Q321" s="113">
        <f>Gasto_o_ing_per_capita!Q321-Gasto_o_ing_per_capita!$D321</f>
        <v>1.1562054432371127</v>
      </c>
      <c r="R321" s="113">
        <f>Gasto_o_ing_per_capita!R321-Gasto_o_ing_per_capita!$D321</f>
        <v>4.7909181672113252</v>
      </c>
      <c r="S321" s="113">
        <f>Gasto_o_ing_per_capita!S321-Gasto_o_ing_per_capita!$D321</f>
        <v>0.32280939400259179</v>
      </c>
      <c r="T321" s="113">
        <f>Gasto_o_ing_per_capita!T321-Gasto_o_ing_per_capita!$D321</f>
        <v>-1.2680159795210315</v>
      </c>
      <c r="U321" s="113">
        <f>Gasto_o_ing_per_capita!U321-Gasto_o_ing_per_capita!$D321</f>
        <v>-0.54053697519411159</v>
      </c>
      <c r="V321" s="113">
        <f>Gasto_o_ing_per_capita!V321-Gasto_o_ing_per_capita!$D321</f>
        <v>-4.8938993040914633</v>
      </c>
      <c r="W321" s="114"/>
    </row>
    <row r="322" spans="1:23"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Gasto_o_ing_per_capita!D322-Gasto_o_ing_per_capita!$D322</f>
        <v>0</v>
      </c>
      <c r="E322" s="332">
        <f>Gasto_o_ing_per_capita!E322-Gasto_o_ing_per_capita!$D322</f>
        <v>0.10430451731956736</v>
      </c>
      <c r="F322" s="332">
        <f>Gasto_o_ing_per_capita!F322-Gasto_o_ing_per_capita!$D322</f>
        <v>-7.0340604418705377E-2</v>
      </c>
      <c r="G322" s="332">
        <f>Gasto_o_ing_per_capita!G322-Gasto_o_ing_per_capita!$D322</f>
        <v>-0.27896583623245164</v>
      </c>
      <c r="H322" s="332">
        <f>Gasto_o_ing_per_capita!H322-Gasto_o_ing_per_capita!$D322</f>
        <v>-0.12661469930486069</v>
      </c>
      <c r="I322" s="332">
        <f>Gasto_o_ing_per_capita!I322-Gasto_o_ing_per_capita!$D322</f>
        <v>-3.8715793057800818E-2</v>
      </c>
      <c r="J322" s="332">
        <f>Gasto_o_ing_per_capita!J322-Gasto_o_ing_per_capita!$D322</f>
        <v>-0.10929646241605018</v>
      </c>
      <c r="K322" s="332">
        <f>Gasto_o_ing_per_capita!K322-Gasto_o_ing_per_capita!$D322</f>
        <v>-0.15846126155182727</v>
      </c>
      <c r="L322" s="332">
        <f>Gasto_o_ing_per_capita!L322-Gasto_o_ing_per_capita!$D322</f>
        <v>4.8917263577037184E-2</v>
      </c>
      <c r="M322" s="332">
        <f>Gasto_o_ing_per_capita!M322-Gasto_o_ing_per_capita!$D322</f>
        <v>-7.4851075076936002E-3</v>
      </c>
      <c r="N322" s="332">
        <f>Gasto_o_ing_per_capita!N322-Gasto_o_ing_per_capita!$D322</f>
        <v>-1.1544749794371478E-2</v>
      </c>
      <c r="O322" s="332">
        <f>Gasto_o_ing_per_capita!O322-Gasto_o_ing_per_capita!$D322</f>
        <v>8.492279135392522E-4</v>
      </c>
      <c r="P322" s="332">
        <f>Gasto_o_ing_per_capita!P322-Gasto_o_ing_per_capita!$D322</f>
        <v>-0.16357234653900643</v>
      </c>
      <c r="Q322" s="332">
        <f>Gasto_o_ing_per_capita!Q322-Gasto_o_ing_per_capita!$D322</f>
        <v>7.506182450517529E-2</v>
      </c>
      <c r="R322" s="332">
        <f>Gasto_o_ing_per_capita!R322-Gasto_o_ing_per_capita!$D322</f>
        <v>0.15501085799881453</v>
      </c>
      <c r="S322" s="332">
        <f>Gasto_o_ing_per_capita!S322-Gasto_o_ing_per_capita!$D322</f>
        <v>-2.3526665744318498E-2</v>
      </c>
      <c r="T322" s="332">
        <f>Gasto_o_ing_per_capita!T322-Gasto_o_ing_per_capita!$D322</f>
        <v>-4.2873588681334729E-2</v>
      </c>
      <c r="U322" s="332">
        <f>Gasto_o_ing_per_capita!U322-Gasto_o_ing_per_capita!$D322</f>
        <v>-4.198433110966393E-2</v>
      </c>
      <c r="V322" s="332">
        <f>Gasto_o_ing_per_capita!V322-Gasto_o_ing_per_capita!$D322</f>
        <v>0.36175091669099357</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Gasto_o_ing_per_capita!D323-Gasto_o_ing_per_capita!$D323</f>
        <v>0</v>
      </c>
      <c r="E323" s="332">
        <f>Gasto_o_ing_per_capita!E323-Gasto_o_ing_per_capita!$D323</f>
        <v>6.6038987148205539E-3</v>
      </c>
      <c r="F323" s="332">
        <f>Gasto_o_ing_per_capita!F323-Gasto_o_ing_per_capita!$D323</f>
        <v>4.3311827609687076E-3</v>
      </c>
      <c r="G323" s="332">
        <f>Gasto_o_ing_per_capita!G323-Gasto_o_ing_per_capita!$D323</f>
        <v>2.7881930595680671E-3</v>
      </c>
      <c r="H323" s="332">
        <f>Gasto_o_ing_per_capita!H323-Gasto_o_ing_per_capita!$D323</f>
        <v>-7.3931493889647648E-3</v>
      </c>
      <c r="I323" s="332">
        <f>Gasto_o_ing_per_capita!I323-Gasto_o_ing_per_capita!$D323</f>
        <v>7.1353788751794336E-3</v>
      </c>
      <c r="J323" s="332">
        <f>Gasto_o_ing_per_capita!J323-Gasto_o_ing_per_capita!$D323</f>
        <v>4.651611153973792E-3</v>
      </c>
      <c r="K323" s="332">
        <f>Gasto_o_ing_per_capita!K323-Gasto_o_ing_per_capita!$D323</f>
        <v>6.6825026024609629E-3</v>
      </c>
      <c r="L323" s="332">
        <f>Gasto_o_ing_per_capita!L323-Gasto_o_ing_per_capita!$D323</f>
        <v>6.2603790360040226E-3</v>
      </c>
      <c r="M323" s="332">
        <f>Gasto_o_ing_per_capita!M323-Gasto_o_ing_per_capita!$D323</f>
        <v>-4.8492821916012313E-3</v>
      </c>
      <c r="N323" s="332">
        <f>Gasto_o_ing_per_capita!N323-Gasto_o_ing_per_capita!$D323</f>
        <v>-5.2077444686661756E-3</v>
      </c>
      <c r="O323" s="332">
        <f>Gasto_o_ing_per_capita!O323-Gasto_o_ing_per_capita!$D323</f>
        <v>1.2645748432205076E-2</v>
      </c>
      <c r="P323" s="332">
        <f>Gasto_o_ing_per_capita!P323-Gasto_o_ing_per_capita!$D323</f>
        <v>-3.2337044431681866E-3</v>
      </c>
      <c r="Q323" s="332">
        <f>Gasto_o_ing_per_capita!Q323-Gasto_o_ing_per_capita!$D323</f>
        <v>-8.18890994296647E-3</v>
      </c>
      <c r="R323" s="332">
        <f>Gasto_o_ing_per_capita!R323-Gasto_o_ing_per_capita!$D323</f>
        <v>1.2038588984856234E-2</v>
      </c>
      <c r="S323" s="332">
        <f>Gasto_o_ing_per_capita!S323-Gasto_o_ing_per_capita!$D323</f>
        <v>3.5464101338303147E-3</v>
      </c>
      <c r="T323" s="332">
        <f>Gasto_o_ing_per_capita!T323-Gasto_o_ing_per_capita!$D323</f>
        <v>-7.2814001289998112E-3</v>
      </c>
      <c r="U323" s="332">
        <f>Gasto_o_ing_per_capita!U323-Gasto_o_ing_per_capita!$D323</f>
        <v>3.8965302000853533E-3</v>
      </c>
      <c r="V323" s="332">
        <f>Gasto_o_ing_per_capita!V323-Gasto_o_ing_per_capita!$D323</f>
        <v>1.0136619903045582E-2</v>
      </c>
      <c r="W323" s="105"/>
    </row>
    <row r="324" spans="1:23" s="102" customFormat="1">
      <c r="A324" s="351" t="str">
        <f>IF(B324="","",(IF(ISERROR(MATCH(B324,Tot_res!C:C,0)),"Eliminar!!!","")))</f>
        <v/>
      </c>
      <c r="B324" s="115" t="s">
        <v>639</v>
      </c>
      <c r="C324" s="329" t="str">
        <f>VLOOKUP(B324,Tot_res!C:D,2,FALSE)</f>
        <v>Educación infantil y primaria +AF12/1</v>
      </c>
      <c r="D324" s="332">
        <f>Gasto_o_ing_per_capita!D324-Gasto_o_ing_per_capita!$D324</f>
        <v>0</v>
      </c>
      <c r="E324" s="332">
        <f>Gasto_o_ing_per_capita!E324-Gasto_o_ing_per_capita!$D324</f>
        <v>5.7956068187430381</v>
      </c>
      <c r="F324" s="332">
        <f>Gasto_o_ing_per_capita!F324-Gasto_o_ing_per_capita!$D324</f>
        <v>3.2751997205223766</v>
      </c>
      <c r="G324" s="332">
        <f>Gasto_o_ing_per_capita!G324-Gasto_o_ing_per_capita!$D324</f>
        <v>-2.3711898828158047</v>
      </c>
      <c r="H324" s="332">
        <f>Gasto_o_ing_per_capita!H324-Gasto_o_ing_per_capita!$D324</f>
        <v>-2.3430690105916301</v>
      </c>
      <c r="I324" s="332">
        <f>Gasto_o_ing_per_capita!I324-Gasto_o_ing_per_capita!$D324</f>
        <v>5.423811409179466</v>
      </c>
      <c r="J324" s="332">
        <f>Gasto_o_ing_per_capita!J324-Gasto_o_ing_per_capita!$D324</f>
        <v>3.3920163860838874</v>
      </c>
      <c r="K324" s="332">
        <f>Gasto_o_ing_per_capita!K324-Gasto_o_ing_per_capita!$D324</f>
        <v>-2.3632111453163795</v>
      </c>
      <c r="L324" s="332">
        <f>Gasto_o_ing_per_capita!L324-Gasto_o_ing_per_capita!$D324</f>
        <v>-2.3374217625940692</v>
      </c>
      <c r="M324" s="332">
        <f>Gasto_o_ing_per_capita!M324-Gasto_o_ing_per_capita!$D324</f>
        <v>-2.3350802523209682</v>
      </c>
      <c r="N324" s="332">
        <f>Gasto_o_ing_per_capita!N324-Gasto_o_ing_per_capita!$D324</f>
        <v>-2.3407969391408949</v>
      </c>
      <c r="O324" s="332">
        <f>Gasto_o_ing_per_capita!O324-Gasto_o_ing_per_capita!$D324</f>
        <v>-2.3487709348398185</v>
      </c>
      <c r="P324" s="332">
        <f>Gasto_o_ing_per_capita!P324-Gasto_o_ing_per_capita!$D324</f>
        <v>-2.3598749088788584</v>
      </c>
      <c r="Q324" s="332">
        <f>Gasto_o_ing_per_capita!Q324-Gasto_o_ing_per_capita!$D324</f>
        <v>-2.3323370463464492</v>
      </c>
      <c r="R324" s="332">
        <f>Gasto_o_ing_per_capita!R324-Gasto_o_ing_per_capita!$D324</f>
        <v>-2.3267379728921611</v>
      </c>
      <c r="S324" s="332">
        <f>Gasto_o_ing_per_capita!S324-Gasto_o_ing_per_capita!$D324</f>
        <v>2.5601309760635029</v>
      </c>
      <c r="T324" s="332">
        <f>Gasto_o_ing_per_capita!T324-Gasto_o_ing_per_capita!$D324</f>
        <v>2.5593159057520785</v>
      </c>
      <c r="U324" s="332">
        <f>Gasto_o_ing_per_capita!U324-Gasto_o_ing_per_capita!$D324</f>
        <v>-2.3419003107985046</v>
      </c>
      <c r="V324" s="332">
        <f>Gasto_o_ing_per_capita!V324-Gasto_o_ing_per_capita!$D324</f>
        <v>-2.302901269229066</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Gasto_o_ing_per_capita!D325-Gasto_o_ing_per_capita!$D325</f>
        <v>0</v>
      </c>
      <c r="E325" s="332">
        <f>Gasto_o_ing_per_capita!E325-Gasto_o_ing_per_capita!$D325</f>
        <v>-5.3205669140782841E-2</v>
      </c>
      <c r="F325" s="332">
        <f>Gasto_o_ing_per_capita!F325-Gasto_o_ing_per_capita!$D325</f>
        <v>0.24179736587123934</v>
      </c>
      <c r="G325" s="332">
        <f>Gasto_o_ing_per_capita!G325-Gasto_o_ing_per_capita!$D325</f>
        <v>-0.18507215079338607</v>
      </c>
      <c r="H325" s="332">
        <f>Gasto_o_ing_per_capita!H325-Gasto_o_ing_per_capita!$D325</f>
        <v>0.14085460923719906</v>
      </c>
      <c r="I325" s="332">
        <f>Gasto_o_ing_per_capita!I325-Gasto_o_ing_per_capita!$D325</f>
        <v>-2.773954975190529E-2</v>
      </c>
      <c r="J325" s="332">
        <f>Gasto_o_ing_per_capita!J325-Gasto_o_ing_per_capita!$D325</f>
        <v>0.23220633689325809</v>
      </c>
      <c r="K325" s="332">
        <f>Gasto_o_ing_per_capita!K325-Gasto_o_ing_per_capita!$D325</f>
        <v>0.33268955559015401</v>
      </c>
      <c r="L325" s="332">
        <f>Gasto_o_ing_per_capita!L325-Gasto_o_ing_per_capita!$D325</f>
        <v>0.14127325094419774</v>
      </c>
      <c r="M325" s="332">
        <f>Gasto_o_ing_per_capita!M325-Gasto_o_ing_per_capita!$D325</f>
        <v>-0.30565156396050769</v>
      </c>
      <c r="N325" s="332">
        <f>Gasto_o_ing_per_capita!N325-Gasto_o_ing_per_capita!$D325</f>
        <v>0.27461503859997827</v>
      </c>
      <c r="O325" s="332">
        <f>Gasto_o_ing_per_capita!O325-Gasto_o_ing_per_capita!$D325</f>
        <v>0.16301863207609346</v>
      </c>
      <c r="P325" s="332">
        <f>Gasto_o_ing_per_capita!P325-Gasto_o_ing_per_capita!$D325</f>
        <v>-0.12043441830163426</v>
      </c>
      <c r="Q325" s="332">
        <f>Gasto_o_ing_per_capita!Q325-Gasto_o_ing_per_capita!$D325</f>
        <v>4.979937221998687E-2</v>
      </c>
      <c r="R325" s="332">
        <f>Gasto_o_ing_per_capita!R325-Gasto_o_ing_per_capita!$D325</f>
        <v>5.7655367734894436E-2</v>
      </c>
      <c r="S325" s="332">
        <f>Gasto_o_ing_per_capita!S325-Gasto_o_ing_per_capita!$D325</f>
        <v>0.18672633056254906</v>
      </c>
      <c r="T325" s="332">
        <f>Gasto_o_ing_per_capita!T325-Gasto_o_ing_per_capita!$D325</f>
        <v>-0.30554578730609361</v>
      </c>
      <c r="U325" s="332">
        <f>Gasto_o_ing_per_capita!U325-Gasto_o_ing_per_capita!$D325</f>
        <v>0.74937024820802123</v>
      </c>
      <c r="V325" s="332">
        <f>Gasto_o_ing_per_capita!V325-Gasto_o_ing_per_capita!$D325</f>
        <v>-0.27646397567498959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Gasto_o_ing_per_capita!D326-Gasto_o_ing_per_capita!$D326</f>
        <v>0</v>
      </c>
      <c r="E326" s="332">
        <f>Gasto_o_ing_per_capita!E326-Gasto_o_ing_per_capita!$D326</f>
        <v>-0.24532854161559037</v>
      </c>
      <c r="F326" s="332">
        <f>Gasto_o_ing_per_capita!F326-Gasto_o_ing_per_capita!$D326</f>
        <v>0.54991554584089108</v>
      </c>
      <c r="G326" s="332">
        <f>Gasto_o_ing_per_capita!G326-Gasto_o_ing_per_capita!$D326</f>
        <v>7.9168892497395227E-2</v>
      </c>
      <c r="H326" s="332">
        <f>Gasto_o_ing_per_capita!H326-Gasto_o_ing_per_capita!$D326</f>
        <v>-0.23055633597639691</v>
      </c>
      <c r="I326" s="332">
        <f>Gasto_o_ing_per_capita!I326-Gasto_o_ing_per_capita!$D326</f>
        <v>-9.6685828048426181E-3</v>
      </c>
      <c r="J326" s="332">
        <f>Gasto_o_ing_per_capita!J326-Gasto_o_ing_per_capita!$D326</f>
        <v>0.44198158583429992</v>
      </c>
      <c r="K326" s="332">
        <f>Gasto_o_ing_per_capita!K326-Gasto_o_ing_per_capita!$D326</f>
        <v>0.14187206322885748</v>
      </c>
      <c r="L326" s="332">
        <f>Gasto_o_ing_per_capita!L326-Gasto_o_ing_per_capita!$D326</f>
        <v>0.31543052453156495</v>
      </c>
      <c r="M326" s="332">
        <f>Gasto_o_ing_per_capita!M326-Gasto_o_ing_per_capita!$D326</f>
        <v>-0.97386477399515914</v>
      </c>
      <c r="N326" s="332">
        <f>Gasto_o_ing_per_capita!N326-Gasto_o_ing_per_capita!$D326</f>
        <v>-0.31120438392151417</v>
      </c>
      <c r="O326" s="332">
        <f>Gasto_o_ing_per_capita!O326-Gasto_o_ing_per_capita!$D326</f>
        <v>5.8486165143852187E-2</v>
      </c>
      <c r="P326" s="332">
        <f>Gasto_o_ing_per_capita!P326-Gasto_o_ing_per_capita!$D326</f>
        <v>0.21187096421871887</v>
      </c>
      <c r="Q326" s="332">
        <f>Gasto_o_ing_per_capita!Q326-Gasto_o_ing_per_capita!$D326</f>
        <v>1.293107245281786</v>
      </c>
      <c r="R326" s="332">
        <f>Gasto_o_ing_per_capita!R326-Gasto_o_ing_per_capita!$D326</f>
        <v>3.0382430708233876E-2</v>
      </c>
      <c r="S326" s="332">
        <f>Gasto_o_ing_per_capita!S326-Gasto_o_ing_per_capita!$D326</f>
        <v>1.0441484062803186</v>
      </c>
      <c r="T326" s="332">
        <f>Gasto_o_ing_per_capita!T326-Gasto_o_ing_per_capita!$D326</f>
        <v>-0.3401973148449926</v>
      </c>
      <c r="U326" s="332">
        <f>Gasto_o_ing_per_capita!U326-Gasto_o_ing_per_capita!$D326</f>
        <v>-5.2919545413043778E-3</v>
      </c>
      <c r="V326" s="332">
        <f>Gasto_o_ing_per_capita!V326-Gasto_o_ing_per_capita!$D326</f>
        <v>1.0910448220052995</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Gasto_o_ing_per_capita!D327-Gasto_o_ing_per_capita!$D327</f>
        <v>0</v>
      </c>
      <c r="E327" s="332">
        <f>Gasto_o_ing_per_capita!E327-Gasto_o_ing_per_capita!$D327</f>
        <v>-1.2857651099773417E-5</v>
      </c>
      <c r="F327" s="332">
        <f>Gasto_o_ing_per_capita!F327-Gasto_o_ing_per_capita!$D327</f>
        <v>1.1012967755646557E-5</v>
      </c>
      <c r="G327" s="332">
        <f>Gasto_o_ing_per_capita!G327-Gasto_o_ing_per_capita!$D327</f>
        <v>-4.2607840413461269E-5</v>
      </c>
      <c r="H327" s="332">
        <f>Gasto_o_ing_per_capita!H327-Gasto_o_ing_per_capita!$D327</f>
        <v>-4.9649226811786724E-5</v>
      </c>
      <c r="I327" s="332">
        <f>Gasto_o_ing_per_capita!I327-Gasto_o_ing_per_capita!$D327</f>
        <v>2.5179309807995661E-5</v>
      </c>
      <c r="J327" s="332">
        <f>Gasto_o_ing_per_capita!J327-Gasto_o_ing_per_capita!$D327</f>
        <v>-3.4393680554813324E-5</v>
      </c>
      <c r="K327" s="332">
        <f>Gasto_o_ing_per_capita!K327-Gasto_o_ing_per_capita!$D327</f>
        <v>5.2954939311580009E-6</v>
      </c>
      <c r="L327" s="332">
        <f>Gasto_o_ing_per_capita!L327-Gasto_o_ing_per_capita!$D327</f>
        <v>1.5609235346850385E-6</v>
      </c>
      <c r="M327" s="332">
        <f>Gasto_o_ing_per_capita!M327-Gasto_o_ing_per_capita!$D327</f>
        <v>1.5994015455277869E-5</v>
      </c>
      <c r="N327" s="332">
        <f>Gasto_o_ing_per_capita!N327-Gasto_o_ing_per_capita!$D327</f>
        <v>-2.7398052685067752E-5</v>
      </c>
      <c r="O327" s="332">
        <f>Gasto_o_ing_per_capita!O327-Gasto_o_ing_per_capita!$D327</f>
        <v>-4.649131838351483E-5</v>
      </c>
      <c r="P327" s="332">
        <f>Gasto_o_ing_per_capita!P327-Gasto_o_ing_per_capita!$D327</f>
        <v>6.9453722701237126E-6</v>
      </c>
      <c r="Q327" s="332">
        <f>Gasto_o_ing_per_capita!Q327-Gasto_o_ing_per_capita!$D327</f>
        <v>1.7928858811223236E-6</v>
      </c>
      <c r="R327" s="332">
        <f>Gasto_o_ing_per_capita!R327-Gasto_o_ing_per_capita!$D327</f>
        <v>-3.8233846343595987E-5</v>
      </c>
      <c r="S327" s="332">
        <f>Gasto_o_ing_per_capita!S327-Gasto_o_ing_per_capita!$D327</f>
        <v>1.1543179981086551E-4</v>
      </c>
      <c r="T327" s="332">
        <f>Gasto_o_ing_per_capita!T327-Gasto_o_ing_per_capita!$D327</f>
        <v>7.3855426402584618E-5</v>
      </c>
      <c r="U327" s="332">
        <f>Gasto_o_ing_per_capita!U327-Gasto_o_ing_per_capita!$D327</f>
        <v>2.2793655091659585E-5</v>
      </c>
      <c r="V327" s="332">
        <f>Gasto_o_ing_per_capita!V327-Gasto_o_ing_per_capita!$D327</f>
        <v>-3.3228601757785184E-5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Gasto_o_ing_per_capita!D328-Gasto_o_ing_per_capita!$D328</f>
        <v>0</v>
      </c>
      <c r="E328" s="332">
        <f>Gasto_o_ing_per_capita!E328-Gasto_o_ing_per_capita!$D328</f>
        <v>-6.7593057799008802E-3</v>
      </c>
      <c r="F328" s="332">
        <f>Gasto_o_ing_per_capita!F328-Gasto_o_ing_per_capita!$D328</f>
        <v>-1.0636716090601631E-2</v>
      </c>
      <c r="G328" s="332">
        <f>Gasto_o_ing_per_capita!G328-Gasto_o_ing_per_capita!$D328</f>
        <v>-1.2555624423585179E-2</v>
      </c>
      <c r="H328" s="332">
        <f>Gasto_o_ing_per_capita!H328-Gasto_o_ing_per_capita!$D328</f>
        <v>-1.2996688160726319E-2</v>
      </c>
      <c r="I328" s="332">
        <f>Gasto_o_ing_per_capita!I328-Gasto_o_ing_per_capita!$D328</f>
        <v>-8.6877848960553311E-3</v>
      </c>
      <c r="J328" s="332">
        <f>Gasto_o_ing_per_capita!J328-Gasto_o_ing_per_capita!$D328</f>
        <v>9.6519029928242746E-3</v>
      </c>
      <c r="K328" s="332">
        <f>Gasto_o_ing_per_capita!K328-Gasto_o_ing_per_capita!$D328</f>
        <v>-3.9760811796726754E-3</v>
      </c>
      <c r="L328" s="332">
        <f>Gasto_o_ing_per_capita!L328-Gasto_o_ing_per_capita!$D328</f>
        <v>-1.1438099117362661E-2</v>
      </c>
      <c r="M328" s="332">
        <f>Gasto_o_ing_per_capita!M328-Gasto_o_ing_per_capita!$D328</f>
        <v>-2.8020267288729368E-3</v>
      </c>
      <c r="N328" s="332">
        <f>Gasto_o_ing_per_capita!N328-Gasto_o_ing_per_capita!$D328</f>
        <v>-1.1723795492585511E-2</v>
      </c>
      <c r="O328" s="332">
        <f>Gasto_o_ing_per_capita!O328-Gasto_o_ing_per_capita!$D328</f>
        <v>-1.1835140745406043E-2</v>
      </c>
      <c r="P328" s="332">
        <f>Gasto_o_ing_per_capita!P328-Gasto_o_ing_per_capita!$D328</f>
        <v>-1.3108002028668865E-2</v>
      </c>
      <c r="Q328" s="332">
        <f>Gasto_o_ing_per_capita!Q328-Gasto_o_ing_per_capita!$D328</f>
        <v>3.7941594278676188E-2</v>
      </c>
      <c r="R328" s="332">
        <f>Gasto_o_ing_per_capita!R328-Gasto_o_ing_per_capita!$D328</f>
        <v>2.1523101944922105E-2</v>
      </c>
      <c r="S328" s="332">
        <f>Gasto_o_ing_per_capita!S328-Gasto_o_ing_per_capita!$D328</f>
        <v>3.3047254113864957E-3</v>
      </c>
      <c r="T328" s="332">
        <f>Gasto_o_ing_per_capita!T328-Gasto_o_ing_per_capita!$D328</f>
        <v>-3.2132578319224621E-3</v>
      </c>
      <c r="U328" s="332">
        <f>Gasto_o_ing_per_capita!U328-Gasto_o_ing_per_capita!$D328</f>
        <v>6.5642579810977347E-3</v>
      </c>
      <c r="V328" s="332">
        <f>Gasto_o_ing_per_capita!V328-Gasto_o_ing_per_capita!$D328</f>
        <v>-1.3464099826197735E-3</v>
      </c>
      <c r="W328" s="105"/>
    </row>
    <row r="329" spans="1:23" s="102"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2">
        <f>Gasto_o_ing_per_capita!D329-Gasto_o_ing_per_capita!$D329</f>
        <v>0</v>
      </c>
      <c r="E329" s="332">
        <f>Gasto_o_ing_per_capita!E329-Gasto_o_ing_per_capita!$D329</f>
        <v>-5.1959462269339854E-3</v>
      </c>
      <c r="F329" s="332">
        <f>Gasto_o_ing_per_capita!F329-Gasto_o_ing_per_capita!$D329</f>
        <v>2.6622322224116653E-2</v>
      </c>
      <c r="G329" s="332">
        <f>Gasto_o_ing_per_capita!G329-Gasto_o_ing_per_capita!$D329</f>
        <v>8.9266710156131357E-2</v>
      </c>
      <c r="H329" s="332">
        <f>Gasto_o_ing_per_capita!H329-Gasto_o_ing_per_capita!$D329</f>
        <v>-2.0238457939799909E-2</v>
      </c>
      <c r="I329" s="332">
        <f>Gasto_o_ing_per_capita!I329-Gasto_o_ing_per_capita!$D329</f>
        <v>-1.6477042159950661E-2</v>
      </c>
      <c r="J329" s="332">
        <f>Gasto_o_ing_per_capita!J329-Gasto_o_ing_per_capita!$D329</f>
        <v>3.2661532253050705E-2</v>
      </c>
      <c r="K329" s="332">
        <f>Gasto_o_ing_per_capita!K329-Gasto_o_ing_per_capita!$D329</f>
        <v>2.4785661065197397E-2</v>
      </c>
      <c r="L329" s="332">
        <f>Gasto_o_ing_per_capita!L329-Gasto_o_ing_per_capita!$D329</f>
        <v>-1.4592111518519392E-2</v>
      </c>
      <c r="M329" s="332">
        <f>Gasto_o_ing_per_capita!M329-Gasto_o_ing_per_capita!$D329</f>
        <v>-1.2958313162331044E-2</v>
      </c>
      <c r="N329" s="332">
        <f>Gasto_o_ing_per_capita!N329-Gasto_o_ing_per_capita!$D329</f>
        <v>-8.1416851934982201E-3</v>
      </c>
      <c r="O329" s="332">
        <f>Gasto_o_ing_per_capita!O329-Gasto_o_ing_per_capita!$D329</f>
        <v>6.3024411802917707E-2</v>
      </c>
      <c r="P329" s="332">
        <f>Gasto_o_ing_per_capita!P329-Gasto_o_ing_per_capita!$D329</f>
        <v>-1.2142619966399523E-2</v>
      </c>
      <c r="Q329" s="332">
        <f>Gasto_o_ing_per_capita!Q329-Gasto_o_ing_per_capita!$D329</f>
        <v>1.4532381468207248E-3</v>
      </c>
      <c r="R329" s="332">
        <f>Gasto_o_ing_per_capita!R329-Gasto_o_ing_per_capita!$D329</f>
        <v>4.0610496480039539E-2</v>
      </c>
      <c r="S329" s="332">
        <f>Gasto_o_ing_per_capita!S329-Gasto_o_ing_per_capita!$D329</f>
        <v>-1.763265045433977E-2</v>
      </c>
      <c r="T329" s="332">
        <f>Gasto_o_ing_per_capita!T329-Gasto_o_ing_per_capita!$D329</f>
        <v>-1.2676584369161803E-2</v>
      </c>
      <c r="U329" s="332">
        <f>Gasto_o_ing_per_capita!U329-Gasto_o_ing_per_capita!$D329</f>
        <v>-1.8099214039965717E-2</v>
      </c>
      <c r="V329" s="332">
        <f>Gasto_o_ing_per_capita!V329-Gasto_o_ing_per_capita!$D329</f>
        <v>-7.8937974215063031E-3</v>
      </c>
      <c r="W329" s="105"/>
    </row>
    <row r="330" spans="1:23"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Gasto_o_ing_per_capita!D330-Gasto_o_ing_per_capita!$D330</f>
        <v>0</v>
      </c>
      <c r="E330" s="332">
        <f>Gasto_o_ing_per_capita!E330-Gasto_o_ing_per_capita!$D330</f>
        <v>-8.0234850504076527E-2</v>
      </c>
      <c r="F330" s="332">
        <f>Gasto_o_ing_per_capita!F330-Gasto_o_ing_per_capita!$D330</f>
        <v>-9.2782737416335359E-3</v>
      </c>
      <c r="G330" s="332">
        <f>Gasto_o_ing_per_capita!G330-Gasto_o_ing_per_capita!$D330</f>
        <v>-0.20898713706041619</v>
      </c>
      <c r="H330" s="332">
        <f>Gasto_o_ing_per_capita!H330-Gasto_o_ing_per_capita!$D330</f>
        <v>-8.3541490995183376E-2</v>
      </c>
      <c r="I330" s="332">
        <f>Gasto_o_ing_per_capita!I330-Gasto_o_ing_per_capita!$D330</f>
        <v>1.1634545423002454</v>
      </c>
      <c r="J330" s="332">
        <f>Gasto_o_ing_per_capita!J330-Gasto_o_ing_per_capita!$D330</f>
        <v>-9.4815380372724356E-2</v>
      </c>
      <c r="K330" s="332">
        <f>Gasto_o_ing_per_capita!K330-Gasto_o_ing_per_capita!$D330</f>
        <v>-3.8418071343916671E-2</v>
      </c>
      <c r="L330" s="332">
        <f>Gasto_o_ing_per_capita!L330-Gasto_o_ing_per_capita!$D330</f>
        <v>-9.1839326359575646E-2</v>
      </c>
      <c r="M330" s="332">
        <f>Gasto_o_ing_per_capita!M330-Gasto_o_ing_per_capita!$D330</f>
        <v>-0.1242405921528088</v>
      </c>
      <c r="N330" s="332">
        <f>Gasto_o_ing_per_capita!N330-Gasto_o_ing_per_capita!$D330</f>
        <v>-0.11221381490030069</v>
      </c>
      <c r="O330" s="332">
        <f>Gasto_o_ing_per_capita!O330-Gasto_o_ing_per_capita!$D330</f>
        <v>-0.14397308478251841</v>
      </c>
      <c r="P330" s="332">
        <f>Gasto_o_ing_per_capita!P330-Gasto_o_ing_per_capita!$D330</f>
        <v>-0.16582027120293691</v>
      </c>
      <c r="Q330" s="332">
        <f>Gasto_o_ing_per_capita!Q330-Gasto_o_ing_per_capita!$D330</f>
        <v>0.1482119909544749</v>
      </c>
      <c r="R330" s="332">
        <f>Gasto_o_ing_per_capita!R330-Gasto_o_ing_per_capita!$D330</f>
        <v>-0.12875263068065962</v>
      </c>
      <c r="S330" s="332">
        <f>Gasto_o_ing_per_capita!S330-Gasto_o_ing_per_capita!$D330</f>
        <v>-0.17724940332887504</v>
      </c>
      <c r="T330" s="332">
        <f>Gasto_o_ing_per_capita!T330-Gasto_o_ing_per_capita!$D330</f>
        <v>0.17370847278061641</v>
      </c>
      <c r="U330" s="332">
        <f>Gasto_o_ing_per_capita!U330-Gasto_o_ing_per_capita!$D330</f>
        <v>-3.4445707803701209E-2</v>
      </c>
      <c r="V330" s="332">
        <f>Gasto_o_ing_per_capita!V330-Gasto_o_ing_per_capita!$D330</f>
        <v>-0.13000063868254724</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Gasto_o_ing_per_capita!D331-Gasto_o_ing_per_capita!$D331</f>
        <v>0</v>
      </c>
      <c r="E331" s="332">
        <f>Gasto_o_ing_per_capita!E331-Gasto_o_ing_per_capita!$D331</f>
        <v>7.6069157361405015E-3</v>
      </c>
      <c r="F331" s="332">
        <f>Gasto_o_ing_per_capita!F331-Gasto_o_ing_per_capita!$D331</f>
        <v>-5.0193448983465172E-3</v>
      </c>
      <c r="G331" s="332">
        <f>Gasto_o_ing_per_capita!G331-Gasto_o_ing_per_capita!$D331</f>
        <v>-1.7372048614339136E-2</v>
      </c>
      <c r="H331" s="332">
        <f>Gasto_o_ing_per_capita!H331-Gasto_o_ing_per_capita!$D331</f>
        <v>-1.9727635315496733E-2</v>
      </c>
      <c r="I331" s="332">
        <f>Gasto_o_ing_per_capita!I331-Gasto_o_ing_per_capita!$D331</f>
        <v>8.1027391317427533E-3</v>
      </c>
      <c r="J331" s="332">
        <f>Gasto_o_ing_per_capita!J331-Gasto_o_ing_per_capita!$D331</f>
        <v>-6.2504207140400836E-3</v>
      </c>
      <c r="K331" s="332">
        <f>Gasto_o_ing_per_capita!K331-Gasto_o_ing_per_capita!$D331</f>
        <v>-3.3647947090811037E-3</v>
      </c>
      <c r="L331" s="332">
        <f>Gasto_o_ing_per_capita!L331-Gasto_o_ing_per_capita!$D331</f>
        <v>7.3237701543107658E-3</v>
      </c>
      <c r="M331" s="332">
        <f>Gasto_o_ing_per_capita!M331-Gasto_o_ing_per_capita!$D331</f>
        <v>-5.9926492657264019E-3</v>
      </c>
      <c r="N331" s="332">
        <f>Gasto_o_ing_per_capita!N331-Gasto_o_ing_per_capita!$D331</f>
        <v>-4.0305301469997779E-4</v>
      </c>
      <c r="O331" s="332">
        <f>Gasto_o_ing_per_capita!O331-Gasto_o_ing_per_capita!$D331</f>
        <v>1.0822742388961332E-2</v>
      </c>
      <c r="P331" s="332">
        <f>Gasto_o_ing_per_capita!P331-Gasto_o_ing_per_capita!$D331</f>
        <v>-8.0474162059116783E-3</v>
      </c>
      <c r="Q331" s="332">
        <f>Gasto_o_ing_per_capita!Q331-Gasto_o_ing_per_capita!$D331</f>
        <v>1.5473060195158594E-3</v>
      </c>
      <c r="R331" s="332">
        <f>Gasto_o_ing_per_capita!R331-Gasto_o_ing_per_capita!$D331</f>
        <v>1.558456382579293E-2</v>
      </c>
      <c r="S331" s="332">
        <f>Gasto_o_ing_per_capita!S331-Gasto_o_ing_per_capita!$D331</f>
        <v>-3.5631530246076348E-3</v>
      </c>
      <c r="T331" s="332">
        <f>Gasto_o_ing_per_capita!T331-Gasto_o_ing_per_capita!$D331</f>
        <v>-6.3303926880626527E-3</v>
      </c>
      <c r="U331" s="332">
        <f>Gasto_o_ing_per_capita!U331-Gasto_o_ing_per_capita!$D331</f>
        <v>-4.9560904598902888E-3</v>
      </c>
      <c r="V331" s="332">
        <f>Gasto_o_ing_per_capita!V331-Gasto_o_ing_per_capita!$D331</f>
        <v>2.8324486292550299E-2</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Gasto_o_ing_per_capita!D332-Gasto_o_ing_per_capita!$D332</f>
        <v>0</v>
      </c>
      <c r="E332" s="332">
        <f>Gasto_o_ing_per_capita!E332-Gasto_o_ing_per_capita!$D332</f>
        <v>3.0667305730579075E-2</v>
      </c>
      <c r="F332" s="332">
        <f>Gasto_o_ing_per_capita!F332-Gasto_o_ing_per_capita!$D332</f>
        <v>9.5330509797065255E-2</v>
      </c>
      <c r="G332" s="332">
        <f>Gasto_o_ing_per_capita!G332-Gasto_o_ing_per_capita!$D332</f>
        <v>3.3566866124482342E-2</v>
      </c>
      <c r="H332" s="332">
        <f>Gasto_o_ing_per_capita!H332-Gasto_o_ing_per_capita!$D332</f>
        <v>-5.8601344597962957E-2</v>
      </c>
      <c r="I332" s="332">
        <f>Gasto_o_ing_per_capita!I332-Gasto_o_ing_per_capita!$D332</f>
        <v>4.3593617411191499E-2</v>
      </c>
      <c r="J332" s="332">
        <f>Gasto_o_ing_per_capita!J332-Gasto_o_ing_per_capita!$D332</f>
        <v>4.0861016580175935E-2</v>
      </c>
      <c r="K332" s="332">
        <f>Gasto_o_ing_per_capita!K332-Gasto_o_ing_per_capita!$D332</f>
        <v>0.11035805965782164</v>
      </c>
      <c r="L332" s="332">
        <f>Gasto_o_ing_per_capita!L332-Gasto_o_ing_per_capita!$D332</f>
        <v>0.10033842221997646</v>
      </c>
      <c r="M332" s="332">
        <f>Gasto_o_ing_per_capita!M332-Gasto_o_ing_per_capita!$D332</f>
        <v>-0.10207938669529493</v>
      </c>
      <c r="N332" s="332">
        <f>Gasto_o_ing_per_capita!N332-Gasto_o_ing_per_capita!$D332</f>
        <v>-4.3638742157010912E-2</v>
      </c>
      <c r="O332" s="332">
        <f>Gasto_o_ing_per_capita!O332-Gasto_o_ing_per_capita!$D332</f>
        <v>0.38336345803204053</v>
      </c>
      <c r="P332" s="332">
        <f>Gasto_o_ing_per_capita!P332-Gasto_o_ing_per_capita!$D332</f>
        <v>0.10106723844745991</v>
      </c>
      <c r="Q332" s="332">
        <f>Gasto_o_ing_per_capita!Q332-Gasto_o_ing_per_capita!$D332</f>
        <v>-9.8105641067727234E-2</v>
      </c>
      <c r="R332" s="332">
        <f>Gasto_o_ing_per_capita!R332-Gasto_o_ing_per_capita!$D332</f>
        <v>1.7948684003510795E-2</v>
      </c>
      <c r="S332" s="332">
        <f>Gasto_o_ing_per_capita!S332-Gasto_o_ing_per_capita!$D332</f>
        <v>2.9804873932892217E-2</v>
      </c>
      <c r="T332" s="332">
        <f>Gasto_o_ing_per_capita!T332-Gasto_o_ing_per_capita!$D332</f>
        <v>0</v>
      </c>
      <c r="U332" s="332">
        <f>Gasto_o_ing_per_capita!U332-Gasto_o_ing_per_capita!$D332</f>
        <v>-3.8016212253059289E-2</v>
      </c>
      <c r="V332" s="332">
        <f>Gasto_o_ing_per_capita!V332-Gasto_o_ing_per_capita!$D332</f>
        <v>-0.38352094176130735</v>
      </c>
      <c r="W332" s="105"/>
    </row>
    <row r="333" spans="1:23" s="102" customFormat="1">
      <c r="A333" s="351" t="str">
        <f>IF(B333="","",(IF(ISERROR(MATCH(B333,Tot_res!C:C,0)),"Eliminar!!!","")))</f>
        <v/>
      </c>
      <c r="B333" s="115" t="s">
        <v>311</v>
      </c>
      <c r="C333" s="329" t="str">
        <f>VLOOKUP(B333,Tot_res!C:D,2,FALSE)</f>
        <v>Profesores de religión</v>
      </c>
      <c r="D333" s="332">
        <f>Gasto_o_ing_per_capita!D333-Gasto_o_ing_per_capita!$D333</f>
        <v>0</v>
      </c>
      <c r="E333" s="332">
        <f>Gasto_o_ing_per_capita!E333-Gasto_o_ing_per_capita!$D333</f>
        <v>-3.2829958876295584</v>
      </c>
      <c r="F333" s="332">
        <f>Gasto_o_ing_per_capita!F333-Gasto_o_ing_per_capita!$D333</f>
        <v>-3.2829958876295584</v>
      </c>
      <c r="G333" s="332">
        <f>Gasto_o_ing_per_capita!G333-Gasto_o_ing_per_capita!$D333</f>
        <v>3.6803097787259662</v>
      </c>
      <c r="H333" s="332">
        <f>Gasto_o_ing_per_capita!H333-Gasto_o_ing_per_capita!$D333</f>
        <v>5.4273981943029792E-2</v>
      </c>
      <c r="I333" s="332">
        <f>Gasto_o_ing_per_capita!I333-Gasto_o_ing_per_capita!$D333</f>
        <v>-3.2829958876295584</v>
      </c>
      <c r="J333" s="332">
        <f>Gasto_o_ing_per_capita!J333-Gasto_o_ing_per_capita!$D333</f>
        <v>-3.2829958876295584</v>
      </c>
      <c r="K333" s="332">
        <f>Gasto_o_ing_per_capita!K333-Gasto_o_ing_per_capita!$D333</f>
        <v>1.638707290522516</v>
      </c>
      <c r="L333" s="332">
        <f>Gasto_o_ing_per_capita!L333-Gasto_o_ing_per_capita!$D333</f>
        <v>2.2992521621212654</v>
      </c>
      <c r="M333" s="332">
        <f>Gasto_o_ing_per_capita!M333-Gasto_o_ing_per_capita!$D333</f>
        <v>-0.96196517951460336</v>
      </c>
      <c r="N333" s="332">
        <f>Gasto_o_ing_per_capita!N333-Gasto_o_ing_per_capita!$D333</f>
        <v>2.3955920496044798</v>
      </c>
      <c r="O333" s="332">
        <f>Gasto_o_ing_per_capita!O333-Gasto_o_ing_per_capita!$D333</f>
        <v>3.3828573883129507</v>
      </c>
      <c r="P333" s="332">
        <f>Gasto_o_ing_per_capita!P333-Gasto_o_ing_per_capita!$D333</f>
        <v>2.2161418826518644</v>
      </c>
      <c r="Q333" s="332">
        <f>Gasto_o_ing_per_capita!Q333-Gasto_o_ing_per_capita!$D333</f>
        <v>1.9877126763019404</v>
      </c>
      <c r="R333" s="332">
        <f>Gasto_o_ing_per_capita!R333-Gasto_o_ing_per_capita!$D333</f>
        <v>6.8956929129494231</v>
      </c>
      <c r="S333" s="332">
        <f>Gasto_o_ing_per_capita!S333-Gasto_o_ing_per_capita!$D333</f>
        <v>-3.2829958876295584</v>
      </c>
      <c r="T333" s="332">
        <f>Gasto_o_ing_per_capita!T333-Gasto_o_ing_per_capita!$D333</f>
        <v>-3.2829958876295584</v>
      </c>
      <c r="U333" s="332">
        <f>Gasto_o_ing_per_capita!U333-Gasto_o_ing_per_capita!$D333</f>
        <v>1.1843030157676826</v>
      </c>
      <c r="V333" s="332">
        <f>Gasto_o_ing_per_capita!V333-Gasto_o_ing_per_capita!$D333</f>
        <v>-3.2829958876295584</v>
      </c>
      <c r="W333" s="105"/>
    </row>
    <row r="334" spans="1:23"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c r="W334" s="105"/>
    </row>
    <row r="335" spans="1:23" s="102" customFormat="1" ht="13.5">
      <c r="A335" s="352"/>
      <c r="B335" s="115"/>
      <c r="C335" s="117" t="s">
        <v>76</v>
      </c>
      <c r="D335" s="113">
        <f>Gasto_o_ing_per_capita!D335-Gasto_o_ing_per_capita!$D335</f>
        <v>0</v>
      </c>
      <c r="E335" s="113">
        <f>Gasto_o_ing_per_capita!E335-Gasto_o_ing_per_capita!$D335</f>
        <v>-26.123891127550564</v>
      </c>
      <c r="F335" s="113">
        <f>Gasto_o_ing_per_capita!F335-Gasto_o_ing_per_capita!$D335</f>
        <v>6.3391338677355407</v>
      </c>
      <c r="G335" s="113">
        <f>Gasto_o_ing_per_capita!G335-Gasto_o_ing_per_capita!$D335</f>
        <v>-7.9194183363714501</v>
      </c>
      <c r="H335" s="113">
        <f>Gasto_o_ing_per_capita!H335-Gasto_o_ing_per_capita!$D335</f>
        <v>5.8496893961716978E-2</v>
      </c>
      <c r="I335" s="113">
        <f>Gasto_o_ing_per_capita!I335-Gasto_o_ing_per_capita!$D335</f>
        <v>-13.210626852052144</v>
      </c>
      <c r="J335" s="113">
        <f>Gasto_o_ing_per_capita!J335-Gasto_o_ing_per_capita!$D335</f>
        <v>-23.175892091203707</v>
      </c>
      <c r="K335" s="113">
        <f>Gasto_o_ing_per_capita!K335-Gasto_o_ing_per_capita!$D335</f>
        <v>32.622625384917342</v>
      </c>
      <c r="L335" s="113">
        <f>Gasto_o_ing_per_capita!L335-Gasto_o_ing_per_capita!$D335</f>
        <v>-33.593299183760564</v>
      </c>
      <c r="M335" s="113">
        <f>Gasto_o_ing_per_capita!M335-Gasto_o_ing_per_capita!$D335</f>
        <v>45.690595128221048</v>
      </c>
      <c r="N335" s="113">
        <f>Gasto_o_ing_per_capita!N335-Gasto_o_ing_per_capita!$D335</f>
        <v>-49.612790991376727</v>
      </c>
      <c r="O335" s="113">
        <f>Gasto_o_ing_per_capita!O335-Gasto_o_ing_per_capita!$D335</f>
        <v>-17.299691612471918</v>
      </c>
      <c r="P335" s="113">
        <f>Gasto_o_ing_per_capita!P335-Gasto_o_ing_per_capita!$D335</f>
        <v>-32.621402347765837</v>
      </c>
      <c r="Q335" s="113">
        <f>Gasto_o_ing_per_capita!Q335-Gasto_o_ing_per_capita!$D335</f>
        <v>-10.132528422742098</v>
      </c>
      <c r="R335" s="113">
        <f>Gasto_o_ing_per_capita!R335-Gasto_o_ing_per_capita!$D335</f>
        <v>-52.426235786718507</v>
      </c>
      <c r="S335" s="113">
        <f>Gasto_o_ing_per_capita!S335-Gasto_o_ing_per_capita!$D335</f>
        <v>73.294857675391029</v>
      </c>
      <c r="T335" s="113">
        <f>Gasto_o_ing_per_capita!T335-Gasto_o_ing_per_capita!$D335</f>
        <v>118.20130335904298</v>
      </c>
      <c r="U335" s="113">
        <f>Gasto_o_ing_per_capita!U335-Gasto_o_ing_per_capita!$D335</f>
        <v>97.192036443604707</v>
      </c>
      <c r="V335" s="113">
        <f>Gasto_o_ing_per_capita!V335-Gasto_o_ing_per_capita!$D335</f>
        <v>398.57722599833107</v>
      </c>
      <c r="W335" s="105"/>
    </row>
    <row r="336" spans="1:23" s="102" customFormat="1">
      <c r="A336" s="351" t="str">
        <f>IF(B336="","",(IF(ISERROR(MATCH(B336,Tot_res!C:C,0)),"Eliminar!!!","")))</f>
        <v/>
      </c>
      <c r="B336" s="115" t="s">
        <v>313</v>
      </c>
      <c r="C336" s="329" t="str">
        <f>VLOOKUP(B336,Tot_res!C:D,2,FALSE)</f>
        <v>Dirección y servicios generales de justicia</v>
      </c>
      <c r="D336" s="332">
        <f>Gasto_o_ing_per_capita!D336-Gasto_o_ing_per_capita!$D336</f>
        <v>0</v>
      </c>
      <c r="E336" s="332">
        <f>Gasto_o_ing_per_capita!E336-Gasto_o_ing_per_capita!$D336</f>
        <v>-0.15011995563572067</v>
      </c>
      <c r="F336" s="332">
        <f>Gasto_o_ing_per_capita!F336-Gasto_o_ing_per_capita!$D336</f>
        <v>-0.12229186770751377</v>
      </c>
      <c r="G336" s="332">
        <f>Gasto_o_ing_per_capita!G336-Gasto_o_ing_per_capita!$D336</f>
        <v>-8.5446345138065594E-2</v>
      </c>
      <c r="H336" s="332">
        <f>Gasto_o_ing_per_capita!H336-Gasto_o_ing_per_capita!$D336</f>
        <v>0.63800378893422649</v>
      </c>
      <c r="I336" s="332">
        <f>Gasto_o_ing_per_capita!I336-Gasto_o_ing_per_capita!$D336</f>
        <v>-8.6216571301352074E-2</v>
      </c>
      <c r="J336" s="332">
        <f>Gasto_o_ing_per_capita!J336-Gasto_o_ing_per_capita!$D336</f>
        <v>-0.10449919447689737</v>
      </c>
      <c r="K336" s="332">
        <f>Gasto_o_ing_per_capita!K336-Gasto_o_ing_per_capita!$D336</f>
        <v>0.6211586781368168</v>
      </c>
      <c r="L336" s="332">
        <f>Gasto_o_ing_per_capita!L336-Gasto_o_ing_per_capita!$D336</f>
        <v>0.3806087076177973</v>
      </c>
      <c r="M336" s="332">
        <f>Gasto_o_ing_per_capita!M336-Gasto_o_ing_per_capita!$D336</f>
        <v>-0.1153057069741259</v>
      </c>
      <c r="N336" s="332">
        <f>Gasto_o_ing_per_capita!N336-Gasto_o_ing_per_capita!$D336</f>
        <v>-0.1431696166657368</v>
      </c>
      <c r="O336" s="332">
        <f>Gasto_o_ing_per_capita!O336-Gasto_o_ing_per_capita!$D336</f>
        <v>0.45525357478155515</v>
      </c>
      <c r="P336" s="332">
        <f>Gasto_o_ing_per_capita!P336-Gasto_o_ing_per_capita!$D336</f>
        <v>-0.10976648851139337</v>
      </c>
      <c r="Q336" s="332">
        <f>Gasto_o_ing_per_capita!Q336-Gasto_o_ing_per_capita!$D336</f>
        <v>-7.4244528797493992E-2</v>
      </c>
      <c r="R336" s="332">
        <f>Gasto_o_ing_per_capita!R336-Gasto_o_ing_per_capita!$D336</f>
        <v>0.46807013878479187</v>
      </c>
      <c r="S336" s="332">
        <f>Gasto_o_ing_per_capita!S336-Gasto_o_ing_per_capita!$D336</f>
        <v>-0.15029844678816784</v>
      </c>
      <c r="T336" s="332">
        <f>Gasto_o_ing_per_capita!T336-Gasto_o_ing_per_capita!$D336</f>
        <v>-0.11869642883830878</v>
      </c>
      <c r="U336" s="332">
        <f>Gasto_o_ing_per_capita!U336-Gasto_o_ing_per_capita!$D336</f>
        <v>0.61841107753331581</v>
      </c>
      <c r="V336" s="332">
        <f>Gasto_o_ing_per_capita!V336-Gasto_o_ing_per_capita!$D336</f>
        <v>0.3268393519846855</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Gasto_o_ing_per_capita!D337-Gasto_o_ing_per_capita!$D337</f>
        <v>0</v>
      </c>
      <c r="E337" s="332">
        <f>Gasto_o_ing_per_capita!E337-Gasto_o_ing_per_capita!$D337</f>
        <v>-1.0339085536703332E-2</v>
      </c>
      <c r="F337" s="332">
        <f>Gasto_o_ing_per_capita!F337-Gasto_o_ing_per_capita!$D337</f>
        <v>1.2027483591925126E-3</v>
      </c>
      <c r="G337" s="332">
        <f>Gasto_o_ing_per_capita!G337-Gasto_o_ing_per_capita!$D337</f>
        <v>1.4409931517492355E-2</v>
      </c>
      <c r="H337" s="332">
        <f>Gasto_o_ing_per_capita!H337-Gasto_o_ing_per_capita!$D337</f>
        <v>8.421884598558263E-3</v>
      </c>
      <c r="I337" s="332">
        <f>Gasto_o_ing_per_capita!I337-Gasto_o_ing_per_capita!$D337</f>
        <v>7.2440706380556413E-3</v>
      </c>
      <c r="J337" s="332">
        <f>Gasto_o_ing_per_capita!J337-Gasto_o_ing_per_capita!$D337</f>
        <v>9.9064830978264629E-3</v>
      </c>
      <c r="K337" s="332">
        <f>Gasto_o_ing_per_capita!K337-Gasto_o_ing_per_capita!$D337</f>
        <v>8.2445788412467136E-3</v>
      </c>
      <c r="L337" s="332">
        <f>Gasto_o_ing_per_capita!L337-Gasto_o_ing_per_capita!$D337</f>
        <v>-1.2994317193301089E-2</v>
      </c>
      <c r="M337" s="332">
        <f>Gasto_o_ing_per_capita!M337-Gasto_o_ing_per_capita!$D337</f>
        <v>6.7896869906422519E-4</v>
      </c>
      <c r="N337" s="332">
        <f>Gasto_o_ing_per_capita!N337-Gasto_o_ing_per_capita!$D337</f>
        <v>-5.1332114388023126E-3</v>
      </c>
      <c r="O337" s="332">
        <f>Gasto_o_ing_per_capita!O337-Gasto_o_ing_per_capita!$D337</f>
        <v>-7.9130282780189576E-3</v>
      </c>
      <c r="P337" s="332">
        <f>Gasto_o_ing_per_capita!P337-Gasto_o_ing_per_capita!$D337</f>
        <v>4.6038114218020926E-3</v>
      </c>
      <c r="Q337" s="332">
        <f>Gasto_o_ing_per_capita!Q337-Gasto_o_ing_per_capita!$D337</f>
        <v>6.3950119525561927E-3</v>
      </c>
      <c r="R337" s="332">
        <f>Gasto_o_ing_per_capita!R337-Gasto_o_ing_per_capita!$D337</f>
        <v>-3.7767353994711816E-3</v>
      </c>
      <c r="S337" s="332">
        <f>Gasto_o_ing_per_capita!S337-Gasto_o_ing_per_capita!$D337</f>
        <v>-4.9254893694646723E-3</v>
      </c>
      <c r="T337" s="332">
        <f>Gasto_o_ing_per_capita!T337-Gasto_o_ing_per_capita!$D337</f>
        <v>1.4944370547571723E-3</v>
      </c>
      <c r="U337" s="332">
        <f>Gasto_o_ing_per_capita!U337-Gasto_o_ing_per_capita!$D337</f>
        <v>6.9965562967168049E-3</v>
      </c>
      <c r="V337" s="332">
        <f>Gasto_o_ing_per_capita!V337-Gasto_o_ing_per_capita!$D337</f>
        <v>0.14542650791713982</v>
      </c>
      <c r="W337" s="105"/>
    </row>
    <row r="338" spans="1:23" s="102" customFormat="1">
      <c r="A338" s="351" t="str">
        <f>IF(B338="","",(IF(ISERROR(MATCH(B338,Tot_res!C:C,0)),"Eliminar!!!","")))</f>
        <v/>
      </c>
      <c r="B338" s="115" t="s">
        <v>315</v>
      </c>
      <c r="C338" s="329" t="str">
        <f>VLOOKUP(B338,Tot_res!C:D,2,FALSE)</f>
        <v>Formación de la carrera fiscal</v>
      </c>
      <c r="D338" s="332">
        <f>Gasto_o_ing_per_capita!D338-Gasto_o_ing_per_capita!$D338</f>
        <v>0</v>
      </c>
      <c r="E338" s="332">
        <f>Gasto_o_ing_per_capita!E338-Gasto_o_ing_per_capita!$D338</f>
        <v>-1.5562115513760577E-4</v>
      </c>
      <c r="F338" s="332">
        <f>Gasto_o_ing_per_capita!F338-Gasto_o_ing_per_capita!$D338</f>
        <v>-6.9411848829914469E-4</v>
      </c>
      <c r="G338" s="332">
        <f>Gasto_o_ing_per_capita!G338-Gasto_o_ing_per_capita!$D338</f>
        <v>-9.2163926632961995E-4</v>
      </c>
      <c r="H338" s="332">
        <f>Gasto_o_ing_per_capita!H338-Gasto_o_ing_per_capita!$D338</f>
        <v>2.1870372916671724E-3</v>
      </c>
      <c r="I338" s="332">
        <f>Gasto_o_ing_per_capita!I338-Gasto_o_ing_per_capita!$D338</f>
        <v>2.9621356830891038E-3</v>
      </c>
      <c r="J338" s="332">
        <f>Gasto_o_ing_per_capita!J338-Gasto_o_ing_per_capita!$D338</f>
        <v>-5.8296193419294165E-4</v>
      </c>
      <c r="K338" s="332">
        <f>Gasto_o_ing_per_capita!K338-Gasto_o_ing_per_capita!$D338</f>
        <v>1.0068231702094199E-3</v>
      </c>
      <c r="L338" s="332">
        <f>Gasto_o_ing_per_capita!L338-Gasto_o_ing_per_capita!$D338</f>
        <v>-4.6763482796000518E-3</v>
      </c>
      <c r="M338" s="332">
        <f>Gasto_o_ing_per_capita!M338-Gasto_o_ing_per_capita!$D338</f>
        <v>1.5312034673113616E-3</v>
      </c>
      <c r="N338" s="332">
        <f>Gasto_o_ing_per_capita!N338-Gasto_o_ing_per_capita!$D338</f>
        <v>-8.0234467243447266E-5</v>
      </c>
      <c r="O338" s="332">
        <f>Gasto_o_ing_per_capita!O338-Gasto_o_ing_per_capita!$D338</f>
        <v>-1.552798184638049E-4</v>
      </c>
      <c r="P338" s="332">
        <f>Gasto_o_ing_per_capita!P338-Gasto_o_ing_per_capita!$D338</f>
        <v>1.3659210222977496E-3</v>
      </c>
      <c r="Q338" s="332">
        <f>Gasto_o_ing_per_capita!Q338-Gasto_o_ing_per_capita!$D338</f>
        <v>3.008446716622204E-4</v>
      </c>
      <c r="R338" s="332">
        <f>Gasto_o_ing_per_capita!R338-Gasto_o_ing_per_capita!$D338</f>
        <v>-4.2562083063225654E-3</v>
      </c>
      <c r="S338" s="332">
        <f>Gasto_o_ing_per_capita!S338-Gasto_o_ing_per_capita!$D338</f>
        <v>-5.5214302325928832E-3</v>
      </c>
      <c r="T338" s="332">
        <f>Gasto_o_ing_per_capita!T338-Gasto_o_ing_per_capita!$D338</f>
        <v>-8.7265142125267023E-4</v>
      </c>
      <c r="U338" s="332">
        <f>Gasto_o_ing_per_capita!U338-Gasto_o_ing_per_capita!$D338</f>
        <v>-2.7948099911226341E-3</v>
      </c>
      <c r="V338" s="332">
        <f>Gasto_o_ing_per_capita!V338-Gasto_o_ing_per_capita!$D338</f>
        <v>-1.1572075087229586E-2</v>
      </c>
      <c r="W338" s="105"/>
    </row>
    <row r="339" spans="1:23" s="102" customFormat="1">
      <c r="A339" s="351" t="str">
        <f>IF(B339="","",(IF(ISERROR(MATCH(B339,Tot_res!C:C,0)),"Eliminar!!!","")))</f>
        <v/>
      </c>
      <c r="B339" s="115" t="s">
        <v>317</v>
      </c>
      <c r="C339" s="329" t="str">
        <f>VLOOKUP(B339,Tot_res!C:D,2,FALSE)</f>
        <v>Tribunales de justicia y ministerio fiscal</v>
      </c>
      <c r="D339" s="332">
        <f>Gasto_o_ing_per_capita!D339-Gasto_o_ing_per_capita!$D339</f>
        <v>0</v>
      </c>
      <c r="E339" s="332">
        <f>Gasto_o_ing_per_capita!E339-Gasto_o_ing_per_capita!$D339</f>
        <v>-8.1548546358947931</v>
      </c>
      <c r="F339" s="332">
        <f>Gasto_o_ing_per_capita!F339-Gasto_o_ing_per_capita!$D339</f>
        <v>-6.652228032268809</v>
      </c>
      <c r="G339" s="332">
        <f>Gasto_o_ing_per_capita!G339-Gasto_o_ing_per_capita!$D339</f>
        <v>-4.6610999648296065</v>
      </c>
      <c r="H339" s="332">
        <f>Gasto_o_ing_per_capita!H339-Gasto_o_ing_per_capita!$D339</f>
        <v>34.691798206334838</v>
      </c>
      <c r="I339" s="332">
        <f>Gasto_o_ing_per_capita!I339-Gasto_o_ing_per_capita!$D339</f>
        <v>-4.699712147182602</v>
      </c>
      <c r="J339" s="332">
        <f>Gasto_o_ing_per_capita!J339-Gasto_o_ing_per_capita!$D339</f>
        <v>-5.6932609118281263</v>
      </c>
      <c r="K339" s="332">
        <f>Gasto_o_ing_per_capita!K339-Gasto_o_ing_per_capita!$D339</f>
        <v>33.776913686353211</v>
      </c>
      <c r="L339" s="332">
        <f>Gasto_o_ing_per_capita!L339-Gasto_o_ing_per_capita!$D339</f>
        <v>20.71980215338171</v>
      </c>
      <c r="M339" s="332">
        <f>Gasto_o_ing_per_capita!M339-Gasto_o_ing_per_capita!$D339</f>
        <v>-6.2739371697570618</v>
      </c>
      <c r="N339" s="332">
        <f>Gasto_o_ing_per_capita!N339-Gasto_o_ing_per_capita!$D339</f>
        <v>-7.7820919151261023</v>
      </c>
      <c r="O339" s="332">
        <f>Gasto_o_ing_per_capita!O339-Gasto_o_ing_per_capita!$D339</f>
        <v>24.770295700257133</v>
      </c>
      <c r="P339" s="332">
        <f>Gasto_o_ing_per_capita!P339-Gasto_o_ing_per_capita!$D339</f>
        <v>-5.9764066474366402</v>
      </c>
      <c r="Q339" s="332">
        <f>Gasto_o_ing_per_capita!Q339-Gasto_o_ing_per_capita!$D339</f>
        <v>-4.0450164905467894</v>
      </c>
      <c r="R339" s="332">
        <f>Gasto_o_ing_per_capita!R339-Gasto_o_ing_per_capita!$D339</f>
        <v>25.467380995240969</v>
      </c>
      <c r="S339" s="332">
        <f>Gasto_o_ing_per_capita!S339-Gasto_o_ing_per_capita!$D339</f>
        <v>-8.1646109431351412</v>
      </c>
      <c r="T339" s="332">
        <f>Gasto_o_ing_per_capita!T339-Gasto_o_ing_per_capita!$D339</f>
        <v>-6.4567774851069935</v>
      </c>
      <c r="U339" s="332">
        <f>Gasto_o_ing_per_capita!U339-Gasto_o_ing_per_capita!$D339</f>
        <v>33.632515397670332</v>
      </c>
      <c r="V339" s="332">
        <f>Gasto_o_ing_per_capita!V339-Gasto_o_ing_per_capita!$D339</f>
        <v>17.643645410932162</v>
      </c>
    </row>
    <row r="340" spans="1:23" s="102" customFormat="1">
      <c r="A340" s="351" t="str">
        <f>IF(B340="","",(IF(ISERROR(MATCH(B340,Tot_res!C:C,0)),"Eliminar!!!","")))</f>
        <v/>
      </c>
      <c r="B340" s="115" t="s">
        <v>318</v>
      </c>
      <c r="C340" s="329" t="str">
        <f>VLOOKUP(B340,Tot_res!C:D,2,FALSE)</f>
        <v>Dirección y serv. grales. seguridad y protecc. civil</v>
      </c>
      <c r="D340" s="332">
        <f>Gasto_o_ing_per_capita!D340-Gasto_o_ing_per_capita!$D340</f>
        <v>0</v>
      </c>
      <c r="E340" s="332">
        <f>Gasto_o_ing_per_capita!E340-Gasto_o_ing_per_capita!$D340</f>
        <v>1.2569495971574973E-2</v>
      </c>
      <c r="F340" s="332">
        <f>Gasto_o_ing_per_capita!F340-Gasto_o_ing_per_capita!$D340</f>
        <v>8.0984663382231314E-2</v>
      </c>
      <c r="G340" s="332">
        <f>Gasto_o_ing_per_capita!G340-Gasto_o_ing_per_capita!$D340</f>
        <v>7.6720698251961927E-3</v>
      </c>
      <c r="H340" s="332">
        <f>Gasto_o_ing_per_capita!H340-Gasto_o_ing_per_capita!$D340</f>
        <v>1.655298644112424E-2</v>
      </c>
      <c r="I340" s="332">
        <f>Gasto_o_ing_per_capita!I340-Gasto_o_ing_per_capita!$D340</f>
        <v>2.6094486100948E-2</v>
      </c>
      <c r="J340" s="332">
        <f>Gasto_o_ing_per_capita!J340-Gasto_o_ing_per_capita!$D340</f>
        <v>-2.3857429699144284E-2</v>
      </c>
      <c r="K340" s="332">
        <f>Gasto_o_ing_per_capita!K340-Gasto_o_ing_per_capita!$D340</f>
        <v>0.11047675092492693</v>
      </c>
      <c r="L340" s="332">
        <f>Gasto_o_ing_per_capita!L340-Gasto_o_ing_per_capita!$D340</f>
        <v>-2.9567068237395411E-2</v>
      </c>
      <c r="M340" s="332">
        <f>Gasto_o_ing_per_capita!M340-Gasto_o_ing_per_capita!$D340</f>
        <v>-0.23925432183013617</v>
      </c>
      <c r="N340" s="332">
        <f>Gasto_o_ing_per_capita!N340-Gasto_o_ing_per_capita!$D340</f>
        <v>-5.0456569238389815E-2</v>
      </c>
      <c r="O340" s="332">
        <f>Gasto_o_ing_per_capita!O340-Gasto_o_ing_per_capita!$D340</f>
        <v>4.3657364151465927E-2</v>
      </c>
      <c r="P340" s="332">
        <f>Gasto_o_ing_per_capita!P340-Gasto_o_ing_per_capita!$D340</f>
        <v>-4.6264471552728281E-3</v>
      </c>
      <c r="Q340" s="332">
        <f>Gasto_o_ing_per_capita!Q340-Gasto_o_ing_per_capita!$D340</f>
        <v>5.1391314589543047E-2</v>
      </c>
      <c r="R340" s="332">
        <f>Gasto_o_ing_per_capita!R340-Gasto_o_ing_per_capita!$D340</f>
        <v>-8.3017807944644861E-2</v>
      </c>
      <c r="S340" s="332">
        <f>Gasto_o_ing_per_capita!S340-Gasto_o_ing_per_capita!$D340</f>
        <v>2.0793719709266583</v>
      </c>
      <c r="T340" s="332">
        <f>Gasto_o_ing_per_capita!T340-Gasto_o_ing_per_capita!$D340</f>
        <v>-0.12097219648370983</v>
      </c>
      <c r="U340" s="332">
        <f>Gasto_o_ing_per_capita!U340-Gasto_o_ing_per_capita!$D340</f>
        <v>0.16946731886361466</v>
      </c>
      <c r="V340" s="332">
        <f>Gasto_o_ing_per_capita!V340-Gasto_o_ing_per_capita!$D340</f>
        <v>1.1238376991956591</v>
      </c>
      <c r="W340" s="114"/>
    </row>
    <row r="341" spans="1:23" s="102" customFormat="1">
      <c r="A341" s="351" t="str">
        <f>IF(B341="","",(IF(ISERROR(MATCH(B341,Tot_res!C:C,0)),"Eliminar!!!","")))</f>
        <v/>
      </c>
      <c r="B341" s="115" t="s">
        <v>319</v>
      </c>
      <c r="C341" s="329" t="str">
        <f>VLOOKUP(B341,Tot_res!C:D,2,FALSE)</f>
        <v>Formac. fuerzas y cuerpos de segur. del estado</v>
      </c>
      <c r="D341" s="332">
        <f>Gasto_o_ing_per_capita!D341-Gasto_o_ing_per_capita!$D341</f>
        <v>0</v>
      </c>
      <c r="E341" s="332">
        <f>Gasto_o_ing_per_capita!E341-Gasto_o_ing_per_capita!$D341</f>
        <v>6.4574249983894605E-2</v>
      </c>
      <c r="F341" s="332">
        <f>Gasto_o_ing_per_capita!F341-Gasto_o_ing_per_capita!$D341</f>
        <v>0.38203011199058401</v>
      </c>
      <c r="G341" s="332">
        <f>Gasto_o_ing_per_capita!G341-Gasto_o_ing_per_capita!$D341</f>
        <v>0.13800786841774215</v>
      </c>
      <c r="H341" s="332">
        <f>Gasto_o_ing_per_capita!H341-Gasto_o_ing_per_capita!$D341</f>
        <v>0.21056688877076812</v>
      </c>
      <c r="I341" s="332">
        <f>Gasto_o_ing_per_capita!I341-Gasto_o_ing_per_capita!$D341</f>
        <v>0.20607613145092674</v>
      </c>
      <c r="J341" s="332">
        <f>Gasto_o_ing_per_capita!J341-Gasto_o_ing_per_capita!$D341</f>
        <v>6.6889220450039311E-3</v>
      </c>
      <c r="K341" s="332">
        <f>Gasto_o_ing_per_capita!K341-Gasto_o_ing_per_capita!$D341</f>
        <v>0.3842231669791476</v>
      </c>
      <c r="L341" s="332">
        <f>Gasto_o_ing_per_capita!L341-Gasto_o_ing_per_capita!$D341</f>
        <v>8.4036435038826074E-2</v>
      </c>
      <c r="M341" s="332">
        <f>Gasto_o_ing_per_capita!M341-Gasto_o_ing_per_capita!$D341</f>
        <v>-0.63419362473524443</v>
      </c>
      <c r="N341" s="332">
        <f>Gasto_o_ing_per_capita!N341-Gasto_o_ing_per_capita!$D341</f>
        <v>-5.3890000298036922E-2</v>
      </c>
      <c r="O341" s="332">
        <f>Gasto_o_ing_per_capita!O341-Gasto_o_ing_per_capita!$D341</f>
        <v>0.1949205662947513</v>
      </c>
      <c r="P341" s="332">
        <f>Gasto_o_ing_per_capita!P341-Gasto_o_ing_per_capita!$D341</f>
        <v>6.2455406397128987E-2</v>
      </c>
      <c r="Q341" s="332">
        <f>Gasto_o_ing_per_capita!Q341-Gasto_o_ing_per_capita!$D341</f>
        <v>0.21281247225975131</v>
      </c>
      <c r="R341" s="332">
        <f>Gasto_o_ing_per_capita!R341-Gasto_o_ing_per_capita!$D341</f>
        <v>-0.19658546898145346</v>
      </c>
      <c r="S341" s="332">
        <f>Gasto_o_ing_per_capita!S341-Gasto_o_ing_per_capita!$D341</f>
        <v>0.35497210159199843</v>
      </c>
      <c r="T341" s="332">
        <f>Gasto_o_ing_per_capita!T341-Gasto_o_ing_per_capita!$D341</f>
        <v>-0.23741675742494284</v>
      </c>
      <c r="U341" s="332">
        <f>Gasto_o_ing_per_capita!U341-Gasto_o_ing_per_capita!$D341</f>
        <v>0.81517493740923941</v>
      </c>
      <c r="V341" s="332">
        <f>Gasto_o_ing_per_capita!V341-Gasto_o_ing_per_capita!$D341</f>
        <v>3.5841377675416033</v>
      </c>
      <c r="W341" s="105"/>
    </row>
    <row r="342" spans="1:23" s="102" customFormat="1">
      <c r="A342" s="351" t="str">
        <f>IF(B342="","",(IF(ISERROR(MATCH(B342,Tot_res!C:C,0)),"Eliminar!!!","")))</f>
        <v/>
      </c>
      <c r="B342" s="115" t="s">
        <v>320</v>
      </c>
      <c r="C342" s="329" t="str">
        <f>VLOOKUP(B342,Tot_res!C:D,2,FALSE)</f>
        <v>Fuerzas y cuerpos en reserva</v>
      </c>
      <c r="D342" s="332">
        <f>Gasto_o_ing_per_capita!D342-Gasto_o_ing_per_capita!$D342</f>
        <v>0</v>
      </c>
      <c r="E342" s="332">
        <f>Gasto_o_ing_per_capita!E342-Gasto_o_ing_per_capita!$D342</f>
        <v>5.3307519103329835</v>
      </c>
      <c r="F342" s="332">
        <f>Gasto_o_ing_per_capita!F342-Gasto_o_ing_per_capita!$D342</f>
        <v>0.10273645278145338</v>
      </c>
      <c r="G342" s="332">
        <f>Gasto_o_ing_per_capita!G342-Gasto_o_ing_per_capita!$D342</f>
        <v>1.496844555621875</v>
      </c>
      <c r="H342" s="332">
        <f>Gasto_o_ing_per_capita!H342-Gasto_o_ing_per_capita!$D342</f>
        <v>-3.1433695173593144</v>
      </c>
      <c r="I342" s="332">
        <f>Gasto_o_ing_per_capita!I342-Gasto_o_ing_per_capita!$D342</f>
        <v>0.4563279113805887</v>
      </c>
      <c r="J342" s="332">
        <f>Gasto_o_ing_per_capita!J342-Gasto_o_ing_per_capita!$D342</f>
        <v>0.78974156567093701</v>
      </c>
      <c r="K342" s="332">
        <f>Gasto_o_ing_per_capita!K342-Gasto_o_ing_per_capita!$D342</f>
        <v>1.2400663957573439</v>
      </c>
      <c r="L342" s="332">
        <f>Gasto_o_ing_per_capita!L342-Gasto_o_ing_per_capita!$D342</f>
        <v>-2.5966886670099658</v>
      </c>
      <c r="M342" s="332">
        <f>Gasto_o_ing_per_capita!M342-Gasto_o_ing_per_capita!$D342</f>
        <v>-5.1522447906001618</v>
      </c>
      <c r="N342" s="332">
        <f>Gasto_o_ing_per_capita!N342-Gasto_o_ing_per_capita!$D342</f>
        <v>-0.40837539926768329</v>
      </c>
      <c r="O342" s="332">
        <f>Gasto_o_ing_per_capita!O342-Gasto_o_ing_per_capita!$D342</f>
        <v>-0.66931452984108475</v>
      </c>
      <c r="P342" s="332">
        <f>Gasto_o_ing_per_capita!P342-Gasto_o_ing_per_capita!$D342</f>
        <v>1.7189984821528608</v>
      </c>
      <c r="Q342" s="332">
        <f>Gasto_o_ing_per_capita!Q342-Gasto_o_ing_per_capita!$D342</f>
        <v>-1.2218927820831542</v>
      </c>
      <c r="R342" s="332">
        <f>Gasto_o_ing_per_capita!R342-Gasto_o_ing_per_capita!$D342</f>
        <v>-1.1182084768000315</v>
      </c>
      <c r="S342" s="332">
        <f>Gasto_o_ing_per_capita!S342-Gasto_o_ing_per_capita!$D342</f>
        <v>-1.3833608360670997</v>
      </c>
      <c r="T342" s="332">
        <f>Gasto_o_ing_per_capita!T342-Gasto_o_ing_per_capita!$D342</f>
        <v>-3.0180589917969787</v>
      </c>
      <c r="U342" s="332">
        <f>Gasto_o_ing_per_capita!U342-Gasto_o_ing_per_capita!$D342</f>
        <v>7.8783465721744417</v>
      </c>
      <c r="V342" s="332">
        <f>Gasto_o_ing_per_capita!V342-Gasto_o_ing_per_capita!$D342</f>
        <v>53.742837634302589</v>
      </c>
      <c r="W342" s="105"/>
    </row>
    <row r="343" spans="1:23" s="102" customFormat="1">
      <c r="A343" s="351" t="str">
        <f>IF(B343="","",(IF(ISERROR(MATCH(B343,Tot_res!C:C,0)),"Eliminar!!!","")))</f>
        <v/>
      </c>
      <c r="B343" s="115" t="s">
        <v>321</v>
      </c>
      <c r="C343" s="329" t="str">
        <f>VLOOKUP(B343,Tot_res!C:D,2,FALSE)</f>
        <v>Seguridad ciudadana</v>
      </c>
      <c r="D343" s="332">
        <f>Gasto_o_ing_per_capita!D343-Gasto_o_ing_per_capita!$D343</f>
        <v>0</v>
      </c>
      <c r="E343" s="332">
        <f>Gasto_o_ing_per_capita!E343-Gasto_o_ing_per_capita!$D343</f>
        <v>4.7940035404184869</v>
      </c>
      <c r="F343" s="332">
        <f>Gasto_o_ing_per_capita!F343-Gasto_o_ing_per_capita!$D343</f>
        <v>22.787683878673661</v>
      </c>
      <c r="G343" s="332">
        <f>Gasto_o_ing_per_capita!G343-Gasto_o_ing_per_capita!$D343</f>
        <v>9.5710877332916056</v>
      </c>
      <c r="H343" s="332">
        <f>Gasto_o_ing_per_capita!H343-Gasto_o_ing_per_capita!$D343</f>
        <v>15.962739342082685</v>
      </c>
      <c r="I343" s="332">
        <f>Gasto_o_ing_per_capita!I343-Gasto_o_ing_per_capita!$D343</f>
        <v>15.681952253953042</v>
      </c>
      <c r="J343" s="332">
        <f>Gasto_o_ing_per_capita!J343-Gasto_o_ing_per_capita!$D343</f>
        <v>-1.4654491440240633</v>
      </c>
      <c r="K343" s="332">
        <f>Gasto_o_ing_per_capita!K343-Gasto_o_ing_per_capita!$D343</f>
        <v>20.658676857338335</v>
      </c>
      <c r="L343" s="332">
        <f>Gasto_o_ing_per_capita!L343-Gasto_o_ing_per_capita!$D343</f>
        <v>1.8040568462948556</v>
      </c>
      <c r="M343" s="332">
        <f>Gasto_o_ing_per_capita!M343-Gasto_o_ing_per_capita!$D343</f>
        <v>-44.817050398636553</v>
      </c>
      <c r="N343" s="332">
        <f>Gasto_o_ing_per_capita!N343-Gasto_o_ing_per_capita!$D343</f>
        <v>-4.3736447042910953</v>
      </c>
      <c r="O343" s="332">
        <f>Gasto_o_ing_per_capita!O343-Gasto_o_ing_per_capita!$D343</f>
        <v>9.9837188889033257</v>
      </c>
      <c r="P343" s="332">
        <f>Gasto_o_ing_per_capita!P343-Gasto_o_ing_per_capita!$D343</f>
        <v>0.91697803396262145</v>
      </c>
      <c r="Q343" s="332">
        <f>Gasto_o_ing_per_capita!Q343-Gasto_o_ing_per_capita!$D343</f>
        <v>18.828012607641725</v>
      </c>
      <c r="R343" s="332">
        <f>Gasto_o_ing_per_capita!R343-Gasto_o_ing_per_capita!$D343</f>
        <v>-15.061686237284235</v>
      </c>
      <c r="S343" s="332">
        <f>Gasto_o_ing_per_capita!S343-Gasto_o_ing_per_capita!$D343</f>
        <v>26.01895300694504</v>
      </c>
      <c r="T343" s="332">
        <f>Gasto_o_ing_per_capita!T343-Gasto_o_ing_per_capita!$D343</f>
        <v>-13.387019280548301</v>
      </c>
      <c r="U343" s="332">
        <f>Gasto_o_ing_per_capita!U343-Gasto_o_ing_per_capita!$D343</f>
        <v>58.565504555034991</v>
      </c>
      <c r="V343" s="332">
        <f>Gasto_o_ing_per_capita!V343-Gasto_o_ing_per_capita!$D343</f>
        <v>321.74556913939773</v>
      </c>
      <c r="W343" s="105"/>
    </row>
    <row r="344" spans="1:23" s="102" customFormat="1">
      <c r="A344" s="351" t="str">
        <f>IF(B344="","",(IF(ISERROR(MATCH(B344,Tot_res!C:C,0)),"Eliminar!!!","")))</f>
        <v/>
      </c>
      <c r="B344" s="115" t="s">
        <v>323</v>
      </c>
      <c r="C344" s="329" t="str">
        <f>VLOOKUP(B344,Tot_res!C:D,2,FALSE)</f>
        <v>Seguridad vial</v>
      </c>
      <c r="D344" s="332">
        <f>Gasto_o_ing_per_capita!D344-Gasto_o_ing_per_capita!$D344</f>
        <v>0</v>
      </c>
      <c r="E344" s="332">
        <f>Gasto_o_ing_per_capita!E344-Gasto_o_ing_per_capita!$D344</f>
        <v>-0.60841568005621305</v>
      </c>
      <c r="F344" s="332">
        <f>Gasto_o_ing_per_capita!F344-Gasto_o_ing_per_capita!$D344</f>
        <v>10.906740370258547</v>
      </c>
      <c r="G344" s="332">
        <f>Gasto_o_ing_per_capita!G344-Gasto_o_ing_per_capita!$D344</f>
        <v>4.391278101697516</v>
      </c>
      <c r="H344" s="332">
        <f>Gasto_o_ing_per_capita!H344-Gasto_o_ing_per_capita!$D344</f>
        <v>1.5752379696778487</v>
      </c>
      <c r="I344" s="332">
        <f>Gasto_o_ing_per_capita!I344-Gasto_o_ing_per_capita!$D344</f>
        <v>0.53871710527217864</v>
      </c>
      <c r="J344" s="332">
        <f>Gasto_o_ing_per_capita!J344-Gasto_o_ing_per_capita!$D344</f>
        <v>4.3043759903270562</v>
      </c>
      <c r="K344" s="332">
        <f>Gasto_o_ing_per_capita!K344-Gasto_o_ing_per_capita!$D344</f>
        <v>14.677433569328592</v>
      </c>
      <c r="L344" s="332">
        <f>Gasto_o_ing_per_capita!L344-Gasto_o_ing_per_capita!$D344</f>
        <v>7.3171721247788248</v>
      </c>
      <c r="M344" s="332">
        <f>Gasto_o_ing_per_capita!M344-Gasto_o_ing_per_capita!$D344</f>
        <v>-8.5063712712922062</v>
      </c>
      <c r="N344" s="332">
        <f>Gasto_o_ing_per_capita!N344-Gasto_o_ing_per_capita!$D344</f>
        <v>-1.1809439590075961</v>
      </c>
      <c r="O344" s="332">
        <f>Gasto_o_ing_per_capita!O344-Gasto_o_ing_per_capita!$D344</f>
        <v>8.792598229362504</v>
      </c>
      <c r="P344" s="332">
        <f>Gasto_o_ing_per_capita!P344-Gasto_o_ing_per_capita!$D344</f>
        <v>6.6428570758298982</v>
      </c>
      <c r="Q344" s="332">
        <f>Gasto_o_ing_per_capita!Q344-Gasto_o_ing_per_capita!$D344</f>
        <v>-1.9357055474156546</v>
      </c>
      <c r="R344" s="332">
        <f>Gasto_o_ing_per_capita!R344-Gasto_o_ing_per_capita!$D344</f>
        <v>-1.8927687150761887</v>
      </c>
      <c r="S344" s="332">
        <f>Gasto_o_ing_per_capita!S344-Gasto_o_ing_per_capita!$D344</f>
        <v>3.1566464923283881</v>
      </c>
      <c r="T344" s="332">
        <f>Gasto_o_ing_per_capita!T344-Gasto_o_ing_per_capita!$D344</f>
        <v>-8.1269815667232201</v>
      </c>
      <c r="U344" s="332">
        <f>Gasto_o_ing_per_capita!U344-Gasto_o_ing_per_capita!$D344</f>
        <v>9.2142895264547384</v>
      </c>
      <c r="V344" s="332">
        <f>Gasto_o_ing_per_capita!V344-Gasto_o_ing_per_capita!$D344</f>
        <v>-5.1451836600843421</v>
      </c>
      <c r="W344" s="105"/>
    </row>
    <row r="345" spans="1:23" s="102" customFormat="1">
      <c r="A345" s="351" t="str">
        <f>IF(B345="","",(IF(ISERROR(MATCH(B345,Tot_res!C:C,0)),"Eliminar!!!","")))</f>
        <v/>
      </c>
      <c r="B345" s="115" t="s">
        <v>324</v>
      </c>
      <c r="C345" s="329" t="str">
        <f>VLOOKUP(B345,Tot_res!C:D,2,FALSE)</f>
        <v>Actuaciones policiales en materia de droga</v>
      </c>
      <c r="D345" s="332">
        <f>Gasto_o_ing_per_capita!D345-Gasto_o_ing_per_capita!$D345</f>
        <v>0</v>
      </c>
      <c r="E345" s="332">
        <f>Gasto_o_ing_per_capita!E345-Gasto_o_ing_per_capita!$D345</f>
        <v>0.11977525111399467</v>
      </c>
      <c r="F345" s="332">
        <f>Gasto_o_ing_per_capita!F345-Gasto_o_ing_per_capita!$D345</f>
        <v>0.24577718141329052</v>
      </c>
      <c r="G345" s="332">
        <f>Gasto_o_ing_per_capita!G345-Gasto_o_ing_per_capita!$D345</f>
        <v>0.11749356946433687</v>
      </c>
      <c r="H345" s="332">
        <f>Gasto_o_ing_per_capita!H345-Gasto_o_ing_per_capita!$D345</f>
        <v>0.17457180935743333</v>
      </c>
      <c r="I345" s="332">
        <f>Gasto_o_ing_per_capita!I345-Gasto_o_ing_per_capita!$D345</f>
        <v>0.22560453831700533</v>
      </c>
      <c r="J345" s="332">
        <f>Gasto_o_ing_per_capita!J345-Gasto_o_ing_per_capita!$D345</f>
        <v>-2.3872690385654316E-2</v>
      </c>
      <c r="K345" s="332">
        <f>Gasto_o_ing_per_capita!K345-Gasto_o_ing_per_capita!$D345</f>
        <v>0.25108203964929254</v>
      </c>
      <c r="L345" s="332">
        <f>Gasto_o_ing_per_capita!L345-Gasto_o_ing_per_capita!$D345</f>
        <v>6.4254370288906237E-2</v>
      </c>
      <c r="M345" s="332">
        <f>Gasto_o_ing_per_capita!M345-Gasto_o_ing_per_capita!$D345</f>
        <v>-0.56973076170210102</v>
      </c>
      <c r="N345" s="332">
        <f>Gasto_o_ing_per_capita!N345-Gasto_o_ing_per_capita!$D345</f>
        <v>-1.4301927399012371E-2</v>
      </c>
      <c r="O345" s="332">
        <f>Gasto_o_ing_per_capita!O345-Gasto_o_ing_per_capita!$D345</f>
        <v>0.19621609087338188</v>
      </c>
      <c r="P345" s="332">
        <f>Gasto_o_ing_per_capita!P345-Gasto_o_ing_per_capita!$D345</f>
        <v>3.7252264230925647E-2</v>
      </c>
      <c r="Q345" s="332">
        <f>Gasto_o_ing_per_capita!Q345-Gasto_o_ing_per_capita!$D345</f>
        <v>0.14059131570999361</v>
      </c>
      <c r="R345" s="332">
        <f>Gasto_o_ing_per_capita!R345-Gasto_o_ing_per_capita!$D345</f>
        <v>-0.12943654733857923</v>
      </c>
      <c r="S345" s="332">
        <f>Gasto_o_ing_per_capita!S345-Gasto_o_ing_per_capita!$D345</f>
        <v>0.24257738864030709</v>
      </c>
      <c r="T345" s="332">
        <f>Gasto_o_ing_per_capita!T345-Gasto_o_ing_per_capita!$D345</f>
        <v>-0.23063349358350926</v>
      </c>
      <c r="U345" s="332">
        <f>Gasto_o_ing_per_capita!U345-Gasto_o_ing_per_capita!$D345</f>
        <v>0.6735103657895869</v>
      </c>
      <c r="V345" s="332">
        <f>Gasto_o_ing_per_capita!V345-Gasto_o_ing_per_capita!$D345</f>
        <v>3.4725972459706771</v>
      </c>
      <c r="W345" s="105"/>
    </row>
    <row r="346" spans="1:23" s="102" customFormat="1">
      <c r="A346" s="351" t="str">
        <f>IF(B346="","",(IF(ISERROR(MATCH(B346,Tot_res!C:C,0)),"Eliminar!!!","")))</f>
        <v/>
      </c>
      <c r="B346" s="115" t="s">
        <v>326</v>
      </c>
      <c r="C346" s="329" t="str">
        <f>VLOOKUP(B346,Tot_res!C:D,2,FALSE)</f>
        <v>Centros e instituciones penitenciarias</v>
      </c>
      <c r="D346" s="332">
        <f>Gasto_o_ing_per_capita!D346-Gasto_o_ing_per_capita!$D346</f>
        <v>0</v>
      </c>
      <c r="E346" s="332">
        <f>Gasto_o_ing_per_capita!E346-Gasto_o_ing_per_capita!$D346</f>
        <v>5.6247233340516196</v>
      </c>
      <c r="F346" s="332">
        <f>Gasto_o_ing_per_capita!F346-Gasto_o_ing_per_capita!$D346</f>
        <v>5.3343285262475852</v>
      </c>
      <c r="G346" s="332">
        <f>Gasto_o_ing_per_capita!G346-Gasto_o_ing_per_capita!$D346</f>
        <v>-2.507619766485039</v>
      </c>
      <c r="H346" s="332">
        <f>Gasto_o_ing_per_capita!H346-Gasto_o_ing_per_capita!$D346</f>
        <v>5.097751647873487</v>
      </c>
      <c r="I346" s="332">
        <f>Gasto_o_ing_per_capita!I346-Gasto_o_ing_per_capita!$D346</f>
        <v>6.0172070141430893</v>
      </c>
      <c r="J346" s="332">
        <f>Gasto_o_ing_per_capita!J346-Gasto_o_ing_per_capita!$D346</f>
        <v>0.57924962657069301</v>
      </c>
      <c r="K346" s="332">
        <f>Gasto_o_ing_per_capita!K346-Gasto_o_ing_per_capita!$D346</f>
        <v>17.092740379122169</v>
      </c>
      <c r="L346" s="332">
        <f>Gasto_o_ing_per_capita!L346-Gasto_o_ing_per_capita!$D346</f>
        <v>-3.485765330502776</v>
      </c>
      <c r="M346" s="332">
        <f>Gasto_o_ing_per_capita!M346-Gasto_o_ing_per_capita!$D346</f>
        <v>-16.871947132015066</v>
      </c>
      <c r="N346" s="332">
        <f>Gasto_o_ing_per_capita!N346-Gasto_o_ing_per_capita!$D346</f>
        <v>1.1124003022628095</v>
      </c>
      <c r="O346" s="332">
        <f>Gasto_o_ing_per_capita!O346-Gasto_o_ing_per_capita!$D346</f>
        <v>-2.5054280152399322</v>
      </c>
      <c r="P346" s="332">
        <f>Gasto_o_ing_per_capita!P346-Gasto_o_ing_per_capita!$D346</f>
        <v>2.7506663763984918</v>
      </c>
      <c r="Q346" s="332">
        <f>Gasto_o_ing_per_capita!Q346-Gasto_o_ing_per_capita!$D346</f>
        <v>3.4842807216463498</v>
      </c>
      <c r="R346" s="332">
        <f>Gasto_o_ing_per_capita!R346-Gasto_o_ing_per_capita!$D346</f>
        <v>-2.3497678056492042</v>
      </c>
      <c r="S346" s="332">
        <f>Gasto_o_ing_per_capita!S346-Gasto_o_ing_per_capita!$D346</f>
        <v>-4.9840605794533168</v>
      </c>
      <c r="T346" s="332">
        <f>Gasto_o_ing_per_capita!T346-Gasto_o_ing_per_capita!$D346</f>
        <v>-7.0401437862231475</v>
      </c>
      <c r="U346" s="332">
        <f>Gasto_o_ing_per_capita!U346-Gasto_o_ing_per_capita!$D346</f>
        <v>1.1254912541592788</v>
      </c>
      <c r="V346" s="332">
        <f>Gasto_o_ing_per_capita!V346-Gasto_o_ing_per_capita!$D346</f>
        <v>59.820660508498136</v>
      </c>
      <c r="W346" s="114"/>
    </row>
    <row r="347" spans="1:23" s="102" customFormat="1">
      <c r="A347" s="351" t="str">
        <f>IF(B347="","",(IF(ISERROR(MATCH(B347,Tot_res!C:C,0)),"Eliminar!!!","")))</f>
        <v/>
      </c>
      <c r="B347" s="115" t="s">
        <v>327</v>
      </c>
      <c r="C347" s="329" t="str">
        <f>VLOOKUP(B347,Tot_res!C:D,2,FALSE)</f>
        <v>Protección civil</v>
      </c>
      <c r="D347" s="332">
        <f>Gasto_o_ing_per_capita!D347-Gasto_o_ing_per_capita!$D347</f>
        <v>0</v>
      </c>
      <c r="E347" s="332">
        <f>Gasto_o_ing_per_capita!E347-Gasto_o_ing_per_capita!$D347</f>
        <v>4.8739767775137555E-2</v>
      </c>
      <c r="F347" s="332">
        <f>Gasto_o_ing_per_capita!F347-Gasto_o_ing_per_capita!$D347</f>
        <v>-5.4820095091405008E-2</v>
      </c>
      <c r="G347" s="332">
        <f>Gasto_o_ing_per_capita!G347-Gasto_o_ing_per_capita!$D347</f>
        <v>1.6847315576077326E-3</v>
      </c>
      <c r="H347" s="332">
        <f>Gasto_o_ing_per_capita!H347-Gasto_o_ing_per_capita!$D347</f>
        <v>-6.9434580632125487E-2</v>
      </c>
      <c r="I347" s="332">
        <f>Gasto_o_ing_per_capita!I347-Gasto_o_ing_per_capita!$D347</f>
        <v>-6.7161904907876824E-2</v>
      </c>
      <c r="J347" s="332">
        <f>Gasto_o_ing_per_capita!J347-Gasto_o_ing_per_capita!$D347</f>
        <v>0.24614254065402541</v>
      </c>
      <c r="K347" s="332">
        <f>Gasto_o_ing_per_capita!K347-Gasto_o_ing_per_capita!$D347</f>
        <v>0.12070988703836838</v>
      </c>
      <c r="L347" s="332">
        <f>Gasto_o_ing_per_capita!L347-Gasto_o_ing_per_capita!$D347</f>
        <v>1.0754053214008741E-2</v>
      </c>
      <c r="M347" s="332">
        <f>Gasto_o_ing_per_capita!M347-Gasto_o_ing_per_capita!$D347</f>
        <v>-3.3639565382312331E-2</v>
      </c>
      <c r="N347" s="332">
        <f>Gasto_o_ing_per_capita!N347-Gasto_o_ing_per_capita!$D347</f>
        <v>-4.1080020333058465E-2</v>
      </c>
      <c r="O347" s="332">
        <f>Gasto_o_ing_per_capita!O347-Gasto_o_ing_per_capita!$D347</f>
        <v>0.15614070604252916</v>
      </c>
      <c r="P347" s="332">
        <f>Gasto_o_ing_per_capita!P347-Gasto_o_ing_per_capita!$D347</f>
        <v>-3.0831581202473646E-2</v>
      </c>
      <c r="Q347" s="332">
        <f>Gasto_o_ing_per_capita!Q347-Gasto_o_ing_per_capita!$D347</f>
        <v>-6.6125668814534466E-2</v>
      </c>
      <c r="R347" s="332">
        <f>Gasto_o_ing_per_capita!R347-Gasto_o_ing_per_capita!$D347</f>
        <v>-3.3721275040682896E-2</v>
      </c>
      <c r="S347" s="332">
        <f>Gasto_o_ing_per_capita!S347-Gasto_o_ing_per_capita!$D347</f>
        <v>-7.5290602247317484E-2</v>
      </c>
      <c r="T347" s="332">
        <f>Gasto_o_ing_per_capita!T347-Gasto_o_ing_per_capita!$D347</f>
        <v>0.15823013311455952</v>
      </c>
      <c r="U347" s="332">
        <f>Gasto_o_ing_per_capita!U347-Gasto_o_ing_per_capita!$D347</f>
        <v>-7.931786902876653E-2</v>
      </c>
      <c r="V347" s="332">
        <f>Gasto_o_ing_per_capita!V347-Gasto_o_ing_per_capita!$D347</f>
        <v>-7.9317869028766474E-2</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Gasto_o_ing_per_capita!D348-Gasto_o_ing_per_capita!$D348</f>
        <v>0</v>
      </c>
      <c r="E348" s="332">
        <f>Gasto_o_ing_per_capita!E348-Gasto_o_ing_per_capita!$D348</f>
        <v>-0.21854195943016727</v>
      </c>
      <c r="F348" s="332">
        <f>Gasto_o_ing_per_capita!F348-Gasto_o_ing_per_capita!$D348</f>
        <v>-0.20552500467091023</v>
      </c>
      <c r="G348" s="332">
        <f>Gasto_o_ing_per_capita!G348-Gasto_o_ing_per_capita!$D348</f>
        <v>-0.21388385123227721</v>
      </c>
      <c r="H348" s="332">
        <f>Gasto_o_ing_per_capita!H348-Gasto_o_ing_per_capita!$D348</f>
        <v>-0.20707007788661294</v>
      </c>
      <c r="I348" s="332">
        <f>Gasto_o_ing_per_capita!I348-Gasto_o_ing_per_capita!$D348</f>
        <v>-0.21476737688630224</v>
      </c>
      <c r="J348" s="332">
        <f>Gasto_o_ing_per_capita!J348-Gasto_o_ing_per_capita!$D348</f>
        <v>-0.21250378977947992</v>
      </c>
      <c r="K348" s="332">
        <f>Gasto_o_ing_per_capita!K348-Gasto_o_ing_per_capita!$D348</f>
        <v>-0.21163025345882963</v>
      </c>
      <c r="L348" s="332">
        <f>Gasto_o_ing_per_capita!L348-Gasto_o_ing_per_capita!$D348</f>
        <v>-0.21735757914013304</v>
      </c>
      <c r="M348" s="332">
        <f>Gasto_o_ing_per_capita!M348-Gasto_o_ing_per_capita!$D348</f>
        <v>-0.20330417793286754</v>
      </c>
      <c r="N348" s="332">
        <f>Gasto_o_ing_per_capita!N348-Gasto_o_ing_per_capita!$D348</f>
        <v>-0.21385837098178512</v>
      </c>
      <c r="O348" s="332">
        <f>Gasto_o_ing_per_capita!O348-Gasto_o_ing_per_capita!$D348</f>
        <v>-0.22060939554649367</v>
      </c>
      <c r="P348" s="332">
        <f>Gasto_o_ing_per_capita!P348-Gasto_o_ing_per_capita!$D348</f>
        <v>-0.21357883332806216</v>
      </c>
      <c r="Q348" s="332">
        <f>Gasto_o_ing_per_capita!Q348-Gasto_o_ing_per_capita!$D348</f>
        <v>-0.19680529061950702</v>
      </c>
      <c r="R348" s="332">
        <f>Gasto_o_ing_per_capita!R348-Gasto_o_ing_per_capita!$D348</f>
        <v>-0.21602049896768338</v>
      </c>
      <c r="S348" s="332">
        <f>Gasto_o_ing_per_capita!S348-Gasto_o_ing_per_capita!$D348</f>
        <v>-0.20069824465153377</v>
      </c>
      <c r="T348" s="332">
        <f>Gasto_o_ing_per_capita!T348-Gasto_o_ing_per_capita!$D348</f>
        <v>4.2723556735668149</v>
      </c>
      <c r="U348" s="332">
        <f>Gasto_o_ing_per_capita!U348-Gasto_o_ing_per_capita!$D348</f>
        <v>-0.20672447684019957</v>
      </c>
      <c r="V348" s="332">
        <f>Gasto_o_ing_per_capita!V348-Gasto_o_ing_per_capita!$D348</f>
        <v>-0.21716203015303798</v>
      </c>
      <c r="W348" s="105"/>
    </row>
    <row r="349" spans="1:23" s="102" customFormat="1">
      <c r="A349" s="351" t="str">
        <f>IF(B349="","",(IF(ISERROR(MATCH(B349,Tot_res!C:C,0)),"Eliminar!!!","")))</f>
        <v/>
      </c>
      <c r="B349" s="115" t="s">
        <v>329</v>
      </c>
      <c r="C349" s="329" t="str">
        <f>VLOOKUP(B349,Tot_res!C:D,2,FALSE)</f>
        <v>Administración de Justicia + AF13</v>
      </c>
      <c r="D349" s="332">
        <f>Gasto_o_ing_per_capita!D349-Gasto_o_ing_per_capita!$D349</f>
        <v>0</v>
      </c>
      <c r="E349" s="332">
        <f>Gasto_o_ing_per_capita!E349-Gasto_o_ing_per_capita!$D349</f>
        <v>3.158887768995033</v>
      </c>
      <c r="F349" s="332">
        <f>Gasto_o_ing_per_capita!F349-Gasto_o_ing_per_capita!$D349</f>
        <v>7.5163703157165216</v>
      </c>
      <c r="G349" s="332">
        <f>Gasto_o_ing_per_capita!G349-Gasto_o_ing_per_capita!$D349</f>
        <v>19.176355013476126</v>
      </c>
      <c r="H349" s="332">
        <f>Gasto_o_ing_per_capita!H349-Gasto_o_ing_per_capita!$D349</f>
        <v>-20.660824366436948</v>
      </c>
      <c r="I349" s="332">
        <f>Gasto_o_ing_per_capita!I349-Gasto_o_ing_per_capita!$D349</f>
        <v>4.2064151004032908</v>
      </c>
      <c r="J349" s="332">
        <f>Gasto_o_ing_per_capita!J349-Gasto_o_ing_per_capita!$D349</f>
        <v>13.549118759864768</v>
      </c>
      <c r="K349" s="332">
        <f>Gasto_o_ing_per_capita!K349-Gasto_o_ing_per_capita!$D349</f>
        <v>-21.115824854867132</v>
      </c>
      <c r="L349" s="332">
        <f>Gasto_o_ing_per_capita!L349-Gasto_o_ing_per_capita!$D349</f>
        <v>-21.687280041432469</v>
      </c>
      <c r="M349" s="332">
        <f>Gasto_o_ing_per_capita!M349-Gasto_o_ing_per_capita!$D349</f>
        <v>6.9567487134633765</v>
      </c>
      <c r="N349" s="332">
        <f>Gasto_o_ing_per_capita!N349-Gasto_o_ing_per_capita!$D349</f>
        <v>-1.0970981308794769</v>
      </c>
      <c r="O349" s="332">
        <f>Gasto_o_ing_per_capita!O349-Gasto_o_ing_per_capita!$D349</f>
        <v>-22.011736420303897</v>
      </c>
      <c r="P349" s="332">
        <f>Gasto_o_ing_per_capita!P349-Gasto_o_ing_per_capita!$D349</f>
        <v>-3.1065234966669095</v>
      </c>
      <c r="Q349" s="332">
        <f>Gasto_o_ing_per_capita!Q349-Gasto_o_ing_per_capita!$D349</f>
        <v>7.1842929150567656</v>
      </c>
      <c r="R349" s="332">
        <f>Gasto_o_ing_per_capita!R349-Gasto_o_ing_per_capita!$D349</f>
        <v>-21.553870236941286</v>
      </c>
      <c r="S349" s="332">
        <f>Gasto_o_ing_per_capita!S349-Gasto_o_ing_per_capita!$D349</f>
        <v>5.3673897743213388</v>
      </c>
      <c r="T349" s="332">
        <f>Gasto_o_ing_per_capita!T349-Gasto_o_ing_per_capita!$D349</f>
        <v>5.4649158054806151</v>
      </c>
      <c r="U349" s="332">
        <f>Gasto_o_ing_per_capita!U349-Gasto_o_ing_per_capita!$D349</f>
        <v>18.962657699834203</v>
      </c>
      <c r="V349" s="332">
        <f>Gasto_o_ing_per_capita!V349-Gasto_o_ing_per_capita!$D349</f>
        <v>-21.667768756563884</v>
      </c>
      <c r="W349" s="105"/>
    </row>
    <row r="350" spans="1:23" s="102" customFormat="1">
      <c r="A350" s="351" t="str">
        <f>IF(B350="","",(IF(ISERROR(MATCH(B350,Tot_res!C:C,0)),"Eliminar!!!","")))</f>
        <v/>
      </c>
      <c r="B350" s="115" t="s">
        <v>331</v>
      </c>
      <c r="C350" s="329" t="str">
        <f>VLOOKUP(B350,Tot_res!C:D,2,FALSE)</f>
        <v>Instituciones Penitenciarias transferidas, Cataluña</v>
      </c>
      <c r="D350" s="332">
        <f>Gasto_o_ing_per_capita!D350-Gasto_o_ing_per_capita!$D350</f>
        <v>0</v>
      </c>
      <c r="E350" s="332">
        <f>Gasto_o_ing_per_capita!E350-Gasto_o_ing_per_capita!$D350</f>
        <v>-6.8243523892815308</v>
      </c>
      <c r="F350" s="332">
        <f>Gasto_o_ing_per_capita!F350-Gasto_o_ing_per_capita!$D350</f>
        <v>-6.4178753605950059</v>
      </c>
      <c r="G350" s="332">
        <f>Gasto_o_ing_per_capita!G350-Gasto_o_ing_per_capita!$D350</f>
        <v>-6.6788948675649262</v>
      </c>
      <c r="H350" s="332">
        <f>Gasto_o_ing_per_capita!H350-Gasto_o_ing_per_capita!$D350</f>
        <v>-6.4661229562452363</v>
      </c>
      <c r="I350" s="332">
        <f>Gasto_o_ing_per_capita!I350-Gasto_o_ing_per_capita!$D350</f>
        <v>-6.7064844911949084</v>
      </c>
      <c r="J350" s="332">
        <f>Gasto_o_ing_per_capita!J350-Gasto_o_ing_per_capita!$D350</f>
        <v>-6.6358000509113682</v>
      </c>
      <c r="K350" s="332">
        <f>Gasto_o_ing_per_capita!K350-Gasto_o_ing_per_capita!$D350</f>
        <v>-6.6085223615719944</v>
      </c>
      <c r="L350" s="332">
        <f>Gasto_o_ing_per_capita!L350-Gasto_o_ing_per_capita!$D350</f>
        <v>-6.7873680569217951</v>
      </c>
      <c r="M350" s="332">
        <f>Gasto_o_ing_per_capita!M350-Gasto_o_ing_per_capita!$D350</f>
        <v>34.328630172770389</v>
      </c>
      <c r="N350" s="332">
        <f>Gasto_o_ing_per_capita!N350-Gasto_o_ing_per_capita!$D350</f>
        <v>-6.6780992024726089</v>
      </c>
      <c r="O350" s="332">
        <f>Gasto_o_ing_per_capita!O350-Gasto_o_ing_per_capita!$D350</f>
        <v>-6.8889116740839862</v>
      </c>
      <c r="P350" s="332">
        <f>Gasto_o_ing_per_capita!P350-Gasto_o_ing_per_capita!$D350</f>
        <v>-6.66937015355197</v>
      </c>
      <c r="Q350" s="332">
        <f>Gasto_o_ing_per_capita!Q350-Gasto_o_ing_per_capita!$D350</f>
        <v>-6.1455871392589119</v>
      </c>
      <c r="R350" s="332">
        <f>Gasto_o_ing_per_capita!R350-Gasto_o_ing_per_capita!$D350</f>
        <v>-6.7456154054249859</v>
      </c>
      <c r="S350" s="332">
        <f>Gasto_o_ing_per_capita!S350-Gasto_o_ing_per_capita!$D350</f>
        <v>-6.2671513927281133</v>
      </c>
      <c r="T350" s="332">
        <f>Gasto_o_ing_per_capita!T350-Gasto_o_ing_per_capita!$D350</f>
        <v>-6.2004703878595251</v>
      </c>
      <c r="U350" s="332">
        <f>Gasto_o_ing_per_capita!U350-Gasto_o_ing_per_capita!$D350</f>
        <v>-6.4553309631058919</v>
      </c>
      <c r="V350" s="332">
        <f>Gasto_o_ing_per_capita!V350-Gasto_o_ing_per_capita!$D350</f>
        <v>-6.7812617000428537</v>
      </c>
      <c r="W350" s="105"/>
    </row>
    <row r="351" spans="1:23" s="102" customFormat="1">
      <c r="A351" s="351" t="str">
        <f>IF(B351="","",(IF(ISERROR(MATCH(B351,Tot_res!C:C,0)),"Eliminar!!!","")))</f>
        <v/>
      </c>
      <c r="B351" s="115" t="s">
        <v>332</v>
      </c>
      <c r="C351" s="329" t="str">
        <f>VLOOKUP(B351,Tot_res!C:D,2,FALSE)</f>
        <v>Policía áutonómica catalana y tráfico</v>
      </c>
      <c r="D351" s="332">
        <f>Gasto_o_ing_per_capita!D351-Gasto_o_ing_per_capita!$D351</f>
        <v>0</v>
      </c>
      <c r="E351" s="332">
        <f>Gasto_o_ing_per_capita!E351-Gasto_o_ing_per_capita!$D351</f>
        <v>-19.308061729402933</v>
      </c>
      <c r="F351" s="332">
        <f>Gasto_o_ing_per_capita!F351-Gasto_o_ing_per_capita!$D351</f>
        <v>-18.158020946955887</v>
      </c>
      <c r="G351" s="332">
        <f>Gasto_o_ing_per_capita!G351-Gasto_o_ing_per_capita!$D351</f>
        <v>-18.896520436089702</v>
      </c>
      <c r="H351" s="332">
        <f>Gasto_o_ing_per_capita!H351-Gasto_o_ing_per_capita!$D351</f>
        <v>-18.294527314442576</v>
      </c>
      <c r="I351" s="332">
        <f>Gasto_o_ing_per_capita!I351-Gasto_o_ing_per_capita!$D351</f>
        <v>-18.974579440922945</v>
      </c>
      <c r="J351" s="332">
        <f>Gasto_o_ing_per_capita!J351-Gasto_o_ing_per_capita!$D351</f>
        <v>-18.774592766957156</v>
      </c>
      <c r="K351" s="332">
        <f>Gasto_o_ing_per_capita!K351-Gasto_o_ing_per_capita!$D351</f>
        <v>-18.697416314224835</v>
      </c>
      <c r="L351" s="332">
        <f>Gasto_o_ing_per_capita!L351-Gasto_o_ing_per_capita!$D351</f>
        <v>-19.203422383207375</v>
      </c>
      <c r="M351" s="332">
        <f>Gasto_o_ing_per_capita!M351-Gasto_o_ing_per_capita!$D351</f>
        <v>97.125598540710286</v>
      </c>
      <c r="N351" s="332">
        <f>Gasto_o_ing_per_capita!N351-Gasto_o_ing_per_capita!$D351</f>
        <v>-18.894269269994801</v>
      </c>
      <c r="O351" s="332">
        <f>Gasto_o_ing_per_capita!O351-Gasto_o_ing_per_capita!$D351</f>
        <v>-19.490718571410348</v>
      </c>
      <c r="P351" s="332">
        <f>Gasto_o_ing_per_capita!P351-Gasto_o_ing_per_capita!$D351</f>
        <v>-18.869572272274784</v>
      </c>
      <c r="Q351" s="332">
        <f>Gasto_o_ing_per_capita!Q351-Gasto_o_ing_per_capita!$D351</f>
        <v>-17.387639013865218</v>
      </c>
      <c r="R351" s="332">
        <f>Gasto_o_ing_per_capita!R351-Gasto_o_ing_per_capita!$D351</f>
        <v>-19.08529208651683</v>
      </c>
      <c r="S351" s="332">
        <f>Gasto_o_ing_per_capita!S351-Gasto_o_ing_per_capita!$D351</f>
        <v>-17.731579358118051</v>
      </c>
      <c r="T351" s="332">
        <f>Gasto_o_ing_per_capita!T351-Gasto_o_ing_per_capita!$D351</f>
        <v>-17.542919557929029</v>
      </c>
      <c r="U351" s="332">
        <f>Gasto_o_ing_per_capita!U351-Gasto_o_ing_per_capita!$D351</f>
        <v>-18.263993652370107</v>
      </c>
      <c r="V351" s="332">
        <f>Gasto_o_ing_per_capita!V351-Gasto_o_ing_per_capita!$D351</f>
        <v>-19.186145737917844</v>
      </c>
      <c r="W351" s="105"/>
    </row>
    <row r="352" spans="1:23" s="102" customFormat="1">
      <c r="A352" s="351" t="str">
        <f>IF(B352="","",(IF(ISERROR(MATCH(B352,Tot_res!C:C,0)),"Eliminar!!!","")))</f>
        <v/>
      </c>
      <c r="B352" s="115" t="s">
        <v>225</v>
      </c>
      <c r="C352" s="329" t="str">
        <f>VLOOKUP(B352,Tot_res!C:D,2,FALSE)</f>
        <v>Ajuste forales, seguridad ciudadana y vial</v>
      </c>
      <c r="D352" s="332">
        <f>Gasto_o_ing_per_capita!D352-Gasto_o_ing_per_capita!$D352</f>
        <v>0</v>
      </c>
      <c r="E352" s="332">
        <f>Gasto_o_ing_per_capita!E352-Gasto_o_ing_per_capita!$D352</f>
        <v>-9.9972380165927905</v>
      </c>
      <c r="F352" s="332">
        <f>Gasto_o_ing_per_capita!F352-Gasto_o_ing_per_capita!$D352</f>
        <v>-9.4017752719609256</v>
      </c>
      <c r="G352" s="332">
        <f>Gasto_o_ing_per_capita!G352-Gasto_o_ing_per_capita!$D352</f>
        <v>-9.7841520880014468</v>
      </c>
      <c r="H352" s="332">
        <f>Gasto_o_ing_per_capita!H352-Gasto_o_ing_per_capita!$D352</f>
        <v>-9.4724549013131938</v>
      </c>
      <c r="I352" s="332">
        <f>Gasto_o_ing_per_capita!I352-Gasto_o_ing_per_capita!$D352</f>
        <v>-9.8245691149196865</v>
      </c>
      <c r="J352" s="332">
        <f>Gasto_o_ing_per_capita!J352-Gasto_o_ing_per_capita!$D352</f>
        <v>-9.7210209489876238</v>
      </c>
      <c r="K352" s="332">
        <f>Gasto_o_ing_per_capita!K352-Gasto_o_ing_per_capita!$D352</f>
        <v>-9.6810608857739044</v>
      </c>
      <c r="L352" s="332">
        <f>Gasto_o_ing_per_capita!L352-Gasto_o_ing_per_capita!$D352</f>
        <v>-9.9430583446775813</v>
      </c>
      <c r="M352" s="332">
        <f>Gasto_o_ing_per_capita!M352-Gasto_o_ing_per_capita!$D352</f>
        <v>-9.3001831861586552</v>
      </c>
      <c r="N352" s="332">
        <f>Gasto_o_ing_per_capita!N352-Gasto_o_ing_per_capita!$D352</f>
        <v>-9.7829864897357588</v>
      </c>
      <c r="O352" s="332">
        <f>Gasto_o_ing_per_capita!O352-Gasto_o_ing_per_capita!$D352</f>
        <v>-10.091813223079029</v>
      </c>
      <c r="P352" s="332">
        <f>Gasto_o_ing_per_capita!P352-Gasto_o_ing_per_capita!$D352</f>
        <v>-9.7701989936130254</v>
      </c>
      <c r="Q352" s="332">
        <f>Gasto_o_ing_per_capita!Q352-Gasto_o_ing_per_capita!$D352</f>
        <v>-9.0028905130075252</v>
      </c>
      <c r="R352" s="332">
        <f>Gasto_o_ing_per_capita!R352-Gasto_o_ing_per_capita!$D352</f>
        <v>-9.8818933914297027</v>
      </c>
      <c r="S352" s="332">
        <f>Gasto_o_ing_per_capita!S352-Gasto_o_ing_per_capita!$D352</f>
        <v>75.047805021422406</v>
      </c>
      <c r="T352" s="332">
        <f>Gasto_o_ing_per_capita!T352-Gasto_o_ing_per_capita!$D352</f>
        <v>170.79057361456529</v>
      </c>
      <c r="U352" s="332">
        <f>Gasto_o_ing_per_capita!U352-Gasto_o_ing_per_capita!$D352</f>
        <v>-9.4566453243844109</v>
      </c>
      <c r="V352" s="332">
        <f>Gasto_o_ing_per_capita!V352-Gasto_o_ing_per_capita!$D352</f>
        <v>-9.9341129239767216</v>
      </c>
      <c r="W352" s="105"/>
    </row>
    <row r="353" spans="1:23" s="102" customFormat="1">
      <c r="A353" s="351" t="str">
        <f>IF(B353="","",(IF(ISERROR(MATCH(B353,Tot_res!C:C,0)),"Eliminar!!!","")))</f>
        <v/>
      </c>
      <c r="B353" s="115" t="s">
        <v>1218</v>
      </c>
      <c r="C353" s="329" t="str">
        <f>VLOOKUP(B353,Tot_res!C:D,2,FALSE)</f>
        <v>Administración de justicia, coste efectivo</v>
      </c>
      <c r="D353" s="332">
        <f>Gasto_o_ing_per_capita!D353-Gasto_o_ing_per_capita!$D353</f>
        <v>0</v>
      </c>
      <c r="E353" s="332">
        <f>Gasto_o_ing_per_capita!E353-Gasto_o_ing_per_capita!$D353</f>
        <v>-5.8373732073839658E-3</v>
      </c>
      <c r="F353" s="332">
        <f>Gasto_o_ing_per_capita!F353-Gasto_o_ing_per_capita!$D353</f>
        <v>-5.4896833488710228E-3</v>
      </c>
      <c r="G353" s="332">
        <f>Gasto_o_ing_per_capita!G353-Gasto_o_ing_per_capita!$D353</f>
        <v>-5.7129526335849669E-3</v>
      </c>
      <c r="H353" s="332">
        <f>Gasto_o_ing_per_capita!H353-Gasto_o_ing_per_capita!$D353</f>
        <v>-5.5309530849725315E-3</v>
      </c>
      <c r="I353" s="332">
        <f>Gasto_o_ing_per_capita!I353-Gasto_o_ing_per_capita!$D353</f>
        <v>-5.7365520787180197E-3</v>
      </c>
      <c r="J353" s="332">
        <f>Gasto_o_ing_per_capita!J353-Gasto_o_ing_per_capita!$D353</f>
        <v>-5.6760904503680345E-3</v>
      </c>
      <c r="K353" s="332">
        <f>Gasto_o_ing_per_capita!K353-Gasto_o_ing_per_capita!$D353</f>
        <v>-5.6527578256989029E-3</v>
      </c>
      <c r="L353" s="332">
        <f>Gasto_o_ing_per_capita!L353-Gasto_o_ing_per_capita!$D353</f>
        <v>-5.8057377732072691E-3</v>
      </c>
      <c r="M353" s="332">
        <f>Gasto_o_ing_per_capita!M353-Gasto_o_ing_per_capita!$D353</f>
        <v>-5.4303638729557586E-3</v>
      </c>
      <c r="N353" s="332">
        <f>Gasto_o_ing_per_capita!N353-Gasto_o_ing_per_capita!$D353</f>
        <v>-5.7122720423981406E-3</v>
      </c>
      <c r="O353" s="332">
        <f>Gasto_o_ing_per_capita!O353-Gasto_o_ing_per_capita!$D353</f>
        <v>-5.892595537342428E-3</v>
      </c>
      <c r="P353" s="332">
        <f>Gasto_o_ing_per_capita!P353-Gasto_o_ing_per_capita!$D353</f>
        <v>-5.7048054414096981E-3</v>
      </c>
      <c r="Q353" s="332">
        <f>Gasto_o_ing_per_capita!Q353-Gasto_o_ing_per_capita!$D353</f>
        <v>3.5301348138259428E-2</v>
      </c>
      <c r="R353" s="332">
        <f>Gasto_o_ing_per_capita!R353-Gasto_o_ing_per_capita!$D353</f>
        <v>-5.7700236430917847E-3</v>
      </c>
      <c r="S353" s="332">
        <f>Gasto_o_ing_per_capita!S353-Gasto_o_ing_per_capita!$D353</f>
        <v>-5.3607579942661406E-3</v>
      </c>
      <c r="T353" s="332">
        <f>Gasto_o_ing_per_capita!T353-Gasto_o_ing_per_capita!$D353</f>
        <v>-5.3037208002500915E-3</v>
      </c>
      <c r="U353" s="332">
        <f>Gasto_o_ing_per_capita!U353-Gasto_o_ing_per_capita!$D353</f>
        <v>-5.5217218952548341E-3</v>
      </c>
      <c r="V353" s="332">
        <f>Gasto_o_ing_per_capita!V353-Gasto_o_ing_per_capita!$D353</f>
        <v>-5.8005145546501727E-3</v>
      </c>
      <c r="W353" s="105"/>
    </row>
    <row r="354" spans="1:23"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c r="W354" s="105"/>
    </row>
    <row r="355" spans="1:23" s="102" customFormat="1" ht="13.5">
      <c r="A355" s="352"/>
      <c r="B355" s="115"/>
      <c r="C355" s="117" t="s">
        <v>6</v>
      </c>
      <c r="D355" s="113">
        <f>Gasto_o_ing_per_capita!D355-Gasto_o_ing_per_capita!$D355</f>
        <v>0</v>
      </c>
      <c r="E355" s="113">
        <f>Gasto_o_ing_per_capita!E355-Gasto_o_ing_per_capita!$D355</f>
        <v>2.991635381849953</v>
      </c>
      <c r="F355" s="113">
        <f>Gasto_o_ing_per_capita!F355-Gasto_o_ing_per_capita!$D355</f>
        <v>28.757839667084017</v>
      </c>
      <c r="G355" s="113">
        <f>Gasto_o_ing_per_capita!G355-Gasto_o_ing_per_capita!$D355</f>
        <v>10.155205211808749</v>
      </c>
      <c r="H355" s="113">
        <f>Gasto_o_ing_per_capita!H355-Gasto_o_ing_per_capita!$D355</f>
        <v>-10.09197530409063</v>
      </c>
      <c r="I355" s="113">
        <f>Gasto_o_ing_per_capita!I355-Gasto_o_ing_per_capita!$D355</f>
        <v>-5.3356808958595323</v>
      </c>
      <c r="J355" s="113">
        <f>Gasto_o_ing_per_capita!J355-Gasto_o_ing_per_capita!$D355</f>
        <v>-1.3198900278734378</v>
      </c>
      <c r="K355" s="113">
        <f>Gasto_o_ing_per_capita!K355-Gasto_o_ing_per_capita!$D355</f>
        <v>-0.95936523627518966</v>
      </c>
      <c r="L355" s="113">
        <f>Gasto_o_ing_per_capita!L355-Gasto_o_ing_per_capita!$D355</f>
        <v>-1.828049975950865</v>
      </c>
      <c r="M355" s="113">
        <f>Gasto_o_ing_per_capita!M355-Gasto_o_ing_per_capita!$D355</f>
        <v>5.8870617215967158</v>
      </c>
      <c r="N355" s="113">
        <f>Gasto_o_ing_per_capita!N355-Gasto_o_ing_per_capita!$D355</f>
        <v>-1.2338833688156825</v>
      </c>
      <c r="O355" s="113">
        <f>Gasto_o_ing_per_capita!O355-Gasto_o_ing_per_capita!$D355</f>
        <v>-3.0778015602230102</v>
      </c>
      <c r="P355" s="113">
        <f>Gasto_o_ing_per_capita!P355-Gasto_o_ing_per_capita!$D355</f>
        <v>-7.2222105353738844</v>
      </c>
      <c r="Q355" s="113">
        <f>Gasto_o_ing_per_capita!Q355-Gasto_o_ing_per_capita!$D355</f>
        <v>-9.071852091009303</v>
      </c>
      <c r="R355" s="113">
        <f>Gasto_o_ing_per_capita!R355-Gasto_o_ing_per_capita!$D355</f>
        <v>-2.1003997078578251</v>
      </c>
      <c r="S355" s="113">
        <f>Gasto_o_ing_per_capita!S355-Gasto_o_ing_per_capita!$D355</f>
        <v>2.670681723152768E-2</v>
      </c>
      <c r="T355" s="113">
        <f>Gasto_o_ing_per_capita!T355-Gasto_o_ing_per_capita!$D355</f>
        <v>2.8898532628883089E-2</v>
      </c>
      <c r="U355" s="113">
        <f>Gasto_o_ing_per_capita!U355-Gasto_o_ing_per_capita!$D355</f>
        <v>14.684061480159958</v>
      </c>
      <c r="V355" s="113">
        <f>Gasto_o_ing_per_capita!V355-Gasto_o_ing_per_capita!$D355</f>
        <v>-15.725226532799825</v>
      </c>
      <c r="W355" s="105"/>
    </row>
    <row r="356" spans="1:23"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Gasto_o_ing_per_capita!D356-Gasto_o_ing_per_capita!$D356</f>
        <v>0</v>
      </c>
      <c r="E356" s="332">
        <f>Gasto_o_ing_per_capita!E356-Gasto_o_ing_per_capita!$D356</f>
        <v>2.7809614977522159</v>
      </c>
      <c r="F356" s="332">
        <f>Gasto_o_ing_per_capita!F356-Gasto_o_ing_per_capita!$D356</f>
        <v>28.759894781075779</v>
      </c>
      <c r="G356" s="332">
        <f>Gasto_o_ing_per_capita!G356-Gasto_o_ing_per_capita!$D356</f>
        <v>10.622816077244206</v>
      </c>
      <c r="H356" s="332">
        <f>Gasto_o_ing_per_capita!H356-Gasto_o_ing_per_capita!$D356</f>
        <v>-11.390528481662143</v>
      </c>
      <c r="I356" s="332">
        <f>Gasto_o_ing_per_capita!I356-Gasto_o_ing_per_capita!$D356</f>
        <v>-5.4416356757408195</v>
      </c>
      <c r="J356" s="332">
        <f>Gasto_o_ing_per_capita!J356-Gasto_o_ing_per_capita!$D356</f>
        <v>-0.85475380325206274</v>
      </c>
      <c r="K356" s="332">
        <f>Gasto_o_ing_per_capita!K356-Gasto_o_ing_per_capita!$D356</f>
        <v>-2.9842157175062827</v>
      </c>
      <c r="L356" s="332">
        <f>Gasto_o_ing_per_capita!L356-Gasto_o_ing_per_capita!$D356</f>
        <v>-1.7319976239483861</v>
      </c>
      <c r="M356" s="332">
        <f>Gasto_o_ing_per_capita!M356-Gasto_o_ing_per_capita!$D356</f>
        <v>6.2630768543085154</v>
      </c>
      <c r="N356" s="332">
        <f>Gasto_o_ing_per_capita!N356-Gasto_o_ing_per_capita!$D356</f>
        <v>-0.8260549065829359</v>
      </c>
      <c r="O356" s="332">
        <f>Gasto_o_ing_per_capita!O356-Gasto_o_ing_per_capita!$D356</f>
        <v>-2.9691335802460603</v>
      </c>
      <c r="P356" s="332">
        <f>Gasto_o_ing_per_capita!P356-Gasto_o_ing_per_capita!$D356</f>
        <v>-7.5792567223748062</v>
      </c>
      <c r="Q356" s="332">
        <f>Gasto_o_ing_per_capita!Q356-Gasto_o_ing_per_capita!$D356</f>
        <v>-8.6417061348360864</v>
      </c>
      <c r="R356" s="332">
        <f>Gasto_o_ing_per_capita!R356-Gasto_o_ing_per_capita!$D356</f>
        <v>-1.6327888424223644</v>
      </c>
      <c r="S356" s="332">
        <f>Gasto_o_ing_per_capita!S356-Gasto_o_ing_per_capita!$D356</f>
        <v>0</v>
      </c>
      <c r="T356" s="332">
        <f>Gasto_o_ing_per_capita!T356-Gasto_o_ing_per_capita!$D356</f>
        <v>0</v>
      </c>
      <c r="U356" s="332">
        <f>Gasto_o_ing_per_capita!U356-Gasto_o_ing_per_capita!$D356</f>
        <v>14.767783562392715</v>
      </c>
      <c r="V356" s="332">
        <f>Gasto_o_ing_per_capita!V356-Gasto_o_ing_per_capita!$D356</f>
        <v>-15.257615667364366</v>
      </c>
      <c r="W356" s="105"/>
    </row>
    <row r="357" spans="1:23"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Gasto_o_ing_per_capita!D357-Gasto_o_ing_per_capita!$D357</f>
        <v>0</v>
      </c>
      <c r="E357" s="332">
        <f>Gasto_o_ing_per_capita!E357-Gasto_o_ing_per_capita!$D357</f>
        <v>0.21067388409773746</v>
      </c>
      <c r="F357" s="332">
        <f>Gasto_o_ing_per_capita!F357-Gasto_o_ing_per_capita!$D357</f>
        <v>-2.0551139917677208E-3</v>
      </c>
      <c r="G357" s="332">
        <f>Gasto_o_ing_per_capita!G357-Gasto_o_ing_per_capita!$D357</f>
        <v>-0.46761086543545483</v>
      </c>
      <c r="H357" s="332">
        <f>Gasto_o_ing_per_capita!H357-Gasto_o_ing_per_capita!$D357</f>
        <v>1.2985531775715187</v>
      </c>
      <c r="I357" s="332">
        <f>Gasto_o_ing_per_capita!I357-Gasto_o_ing_per_capita!$D357</f>
        <v>0.10595477988129109</v>
      </c>
      <c r="J357" s="332">
        <f>Gasto_o_ing_per_capita!J357-Gasto_o_ing_per_capita!$D357</f>
        <v>-0.46513622462137111</v>
      </c>
      <c r="K357" s="332">
        <f>Gasto_o_ing_per_capita!K357-Gasto_o_ing_per_capita!$D357</f>
        <v>2.0248504812310992</v>
      </c>
      <c r="L357" s="332">
        <f>Gasto_o_ing_per_capita!L357-Gasto_o_ing_per_capita!$D357</f>
        <v>-9.6052352002477581E-2</v>
      </c>
      <c r="M357" s="332">
        <f>Gasto_o_ing_per_capita!M357-Gasto_o_ing_per_capita!$D357</f>
        <v>-0.37601513271179704</v>
      </c>
      <c r="N357" s="332">
        <f>Gasto_o_ing_per_capita!N357-Gasto_o_ing_per_capita!$D357</f>
        <v>-0.4078284622327415</v>
      </c>
      <c r="O357" s="332">
        <f>Gasto_o_ing_per_capita!O357-Gasto_o_ing_per_capita!$D357</f>
        <v>-0.1086679799769481</v>
      </c>
      <c r="P357" s="332">
        <f>Gasto_o_ing_per_capita!P357-Gasto_o_ing_per_capita!$D357</f>
        <v>0.35704618700092505</v>
      </c>
      <c r="Q357" s="332">
        <f>Gasto_o_ing_per_capita!Q357-Gasto_o_ing_per_capita!$D357</f>
        <v>-0.43014595617321283</v>
      </c>
      <c r="R357" s="332">
        <f>Gasto_o_ing_per_capita!R357-Gasto_o_ing_per_capita!$D357</f>
        <v>-0.46761086543545483</v>
      </c>
      <c r="S357" s="332">
        <f>Gasto_o_ing_per_capita!S357-Gasto_o_ing_per_capita!$D357</f>
        <v>2.6706817231532232E-2</v>
      </c>
      <c r="T357" s="332">
        <f>Gasto_o_ing_per_capita!T357-Gasto_o_ing_per_capita!$D357</f>
        <v>2.8898532628882423E-2</v>
      </c>
      <c r="U357" s="332">
        <f>Gasto_o_ing_per_capita!U357-Gasto_o_ing_per_capita!$D357</f>
        <v>-8.372208223274441E-2</v>
      </c>
      <c r="V357" s="332">
        <f>Gasto_o_ing_per_capita!V357-Gasto_o_ing_per_capita!$D357</f>
        <v>-0.46761086543545483</v>
      </c>
      <c r="W357" s="105"/>
    </row>
    <row r="358" spans="1:23" s="102" customFormat="1">
      <c r="A358" s="351" t="str">
        <f>IF(B358="","",(IF(ISERROR(MATCH(B358,Tot_res!C:C,0)),"Eliminar!!!","")))</f>
        <v/>
      </c>
      <c r="B358" s="119" t="s">
        <v>334</v>
      </c>
      <c r="C358" s="329" t="str">
        <f>VLOOKUP(B358,Tot_res!C:D,2,FALSE)</f>
        <v>Suelo y políticas urbanas</v>
      </c>
      <c r="D358" s="332">
        <f>Gasto_o_ing_per_capita!D358-Gasto_o_ing_per_capita!$D358</f>
        <v>0</v>
      </c>
      <c r="E358" s="332">
        <f>Gasto_o_ing_per_capita!E358-Gasto_o_ing_per_capita!$D358</f>
        <v>0</v>
      </c>
      <c r="F358" s="332">
        <f>Gasto_o_ing_per_capita!F358-Gasto_o_ing_per_capita!$D358</f>
        <v>0</v>
      </c>
      <c r="G358" s="332">
        <f>Gasto_o_ing_per_capita!G358-Gasto_o_ing_per_capita!$D358</f>
        <v>0</v>
      </c>
      <c r="H358" s="332">
        <f>Gasto_o_ing_per_capita!H358-Gasto_o_ing_per_capita!$D358</f>
        <v>0</v>
      </c>
      <c r="I358" s="332">
        <f>Gasto_o_ing_per_capita!I358-Gasto_o_ing_per_capita!$D358</f>
        <v>0</v>
      </c>
      <c r="J358" s="332">
        <f>Gasto_o_ing_per_capita!J358-Gasto_o_ing_per_capita!$D358</f>
        <v>0</v>
      </c>
      <c r="K358" s="332">
        <f>Gasto_o_ing_per_capita!K358-Gasto_o_ing_per_capita!$D358</f>
        <v>0</v>
      </c>
      <c r="L358" s="332">
        <f>Gasto_o_ing_per_capita!L358-Gasto_o_ing_per_capita!$D358</f>
        <v>0</v>
      </c>
      <c r="M358" s="332">
        <f>Gasto_o_ing_per_capita!M358-Gasto_o_ing_per_capita!$D358</f>
        <v>0</v>
      </c>
      <c r="N358" s="332">
        <f>Gasto_o_ing_per_capita!N358-Gasto_o_ing_per_capita!$D358</f>
        <v>0</v>
      </c>
      <c r="O358" s="332">
        <f>Gasto_o_ing_per_capita!O358-Gasto_o_ing_per_capita!$D358</f>
        <v>0</v>
      </c>
      <c r="P358" s="332">
        <f>Gasto_o_ing_per_capita!P358-Gasto_o_ing_per_capita!$D358</f>
        <v>0</v>
      </c>
      <c r="Q358" s="332">
        <f>Gasto_o_ing_per_capita!Q358-Gasto_o_ing_per_capita!$D358</f>
        <v>0</v>
      </c>
      <c r="R358" s="332">
        <f>Gasto_o_ing_per_capita!R358-Gasto_o_ing_per_capita!$D358</f>
        <v>0</v>
      </c>
      <c r="S358" s="332">
        <f>Gasto_o_ing_per_capita!S358-Gasto_o_ing_per_capita!$D358</f>
        <v>0</v>
      </c>
      <c r="T358" s="332">
        <f>Gasto_o_ing_per_capita!T358-Gasto_o_ing_per_capita!$D358</f>
        <v>0</v>
      </c>
      <c r="U358" s="332">
        <f>Gasto_o_ing_per_capita!U358-Gasto_o_ing_per_capita!$D358</f>
        <v>0</v>
      </c>
      <c r="V358" s="332">
        <f>Gasto_o_ing_per_capita!V358-Gasto_o_ing_per_capita!$D358</f>
        <v>0</v>
      </c>
      <c r="W358" s="105"/>
    </row>
    <row r="359" spans="1:23">
      <c r="A359" s="352"/>
      <c r="B359" s="9"/>
      <c r="D359" s="19"/>
      <c r="E359" s="19"/>
      <c r="F359" s="19"/>
      <c r="G359" s="19"/>
      <c r="H359" s="19"/>
      <c r="I359" s="19"/>
      <c r="J359" s="19"/>
      <c r="K359" s="19"/>
      <c r="L359" s="19"/>
      <c r="M359" s="19"/>
      <c r="N359" s="19"/>
      <c r="O359" s="19"/>
      <c r="P359" s="19"/>
      <c r="Q359" s="19"/>
      <c r="R359" s="19"/>
      <c r="S359" s="19"/>
      <c r="T359" s="19"/>
      <c r="U359" s="19"/>
      <c r="V359" s="19"/>
      <c r="W359" s="2"/>
    </row>
    <row r="360" spans="1:23" s="104" customFormat="1" ht="13.5">
      <c r="A360" s="352"/>
      <c r="B360" s="119"/>
      <c r="C360" s="181" t="s">
        <v>45</v>
      </c>
      <c r="D360" s="182">
        <f>Gasto_o_ing_per_capita!D360-Gasto_o_ing_per_capita!$D360</f>
        <v>0</v>
      </c>
      <c r="E360" s="182">
        <f>Gasto_o_ing_per_capita!E360-Gasto_o_ing_per_capita!$D360</f>
        <v>-11.283096362471358</v>
      </c>
      <c r="F360" s="182">
        <f>Gasto_o_ing_per_capita!F360-Gasto_o_ing_per_capita!$D360</f>
        <v>-8.3437727961735</v>
      </c>
      <c r="G360" s="182">
        <f>Gasto_o_ing_per_capita!G360-Gasto_o_ing_per_capita!$D360</f>
        <v>-9.9489502007518986</v>
      </c>
      <c r="H360" s="182">
        <f>Gasto_o_ing_per_capita!H360-Gasto_o_ing_per_capita!$D360</f>
        <v>8.5241407635456206</v>
      </c>
      <c r="I360" s="182">
        <f>Gasto_o_ing_per_capita!I360-Gasto_o_ing_per_capita!$D360</f>
        <v>-12.208381172183778</v>
      </c>
      <c r="J360" s="182">
        <f>Gasto_o_ing_per_capita!J360-Gasto_o_ing_per_capita!$D360</f>
        <v>2.1326630684390473</v>
      </c>
      <c r="K360" s="182">
        <f>Gasto_o_ing_per_capita!K360-Gasto_o_ing_per_capita!$D360</f>
        <v>-2.2031530750931445</v>
      </c>
      <c r="L360" s="182">
        <f>Gasto_o_ing_per_capita!L360-Gasto_o_ing_per_capita!$D360</f>
        <v>-6.6726519702536251</v>
      </c>
      <c r="M360" s="182">
        <f>Gasto_o_ing_per_capita!M360-Gasto_o_ing_per_capita!$D360</f>
        <v>-1.0334806132829151</v>
      </c>
      <c r="N360" s="182">
        <f>Gasto_o_ing_per_capita!N360-Gasto_o_ing_per_capita!$D360</f>
        <v>-1.928114141650461</v>
      </c>
      <c r="O360" s="182">
        <f>Gasto_o_ing_per_capita!O360-Gasto_o_ing_per_capita!$D360</f>
        <v>-7.1235001565261769</v>
      </c>
      <c r="P360" s="182">
        <f>Gasto_o_ing_per_capita!P360-Gasto_o_ing_per_capita!$D360</f>
        <v>4.5196986290707919</v>
      </c>
      <c r="Q360" s="182">
        <f>Gasto_o_ing_per_capita!Q360-Gasto_o_ing_per_capita!$D360</f>
        <v>27.585631754741154</v>
      </c>
      <c r="R360" s="182">
        <f>Gasto_o_ing_per_capita!R360-Gasto_o_ing_per_capita!$D360</f>
        <v>-8.5373817896971929</v>
      </c>
      <c r="S360" s="182">
        <f>Gasto_o_ing_per_capita!S360-Gasto_o_ing_per_capita!$D360</f>
        <v>1.7479818879239595</v>
      </c>
      <c r="T360" s="182">
        <f>Gasto_o_ing_per_capita!T360-Gasto_o_ing_per_capita!$D360</f>
        <v>1.1668720294341703</v>
      </c>
      <c r="U360" s="182">
        <f>Gasto_o_ing_per_capita!U360-Gasto_o_ing_per_capita!$D360</f>
        <v>-9.8713369675541145</v>
      </c>
      <c r="V360" s="182">
        <f>Gasto_o_ing_per_capita!V360-Gasto_o_ing_per_capita!$D360</f>
        <v>-14.129543719153467</v>
      </c>
      <c r="W360" s="122"/>
    </row>
    <row r="361" spans="1:23" s="104" customFormat="1">
      <c r="A361" s="351" t="str">
        <f>IF(B361="","",(IF(ISERROR(MATCH(B361,Tot_res!C:C,0)),"Eliminar!!!","")))</f>
        <v/>
      </c>
      <c r="B361" s="119" t="s">
        <v>648</v>
      </c>
      <c r="C361" s="329" t="str">
        <f>VLOOKUP(B361,Tot_res!C:D,2,FALSE)</f>
        <v>Dirección y servicios generales de Cultura</v>
      </c>
      <c r="D361" s="332">
        <f>Gasto_o_ing_per_capita!D361-Gasto_o_ing_per_capita!$D361</f>
        <v>0</v>
      </c>
      <c r="E361" s="332">
        <f>Gasto_o_ing_per_capita!E361-Gasto_o_ing_per_capita!$D361</f>
        <v>-0.13460679099596456</v>
      </c>
      <c r="F361" s="332">
        <f>Gasto_o_ing_per_capita!F361-Gasto_o_ing_per_capita!$D361</f>
        <v>-9.2369592906091369E-2</v>
      </c>
      <c r="G361" s="332">
        <f>Gasto_o_ing_per_capita!G361-Gasto_o_ing_per_capita!$D361</f>
        <v>-0.12206844962459157</v>
      </c>
      <c r="H361" s="332">
        <f>Gasto_o_ing_per_capita!H361-Gasto_o_ing_per_capita!$D361</f>
        <v>-9.8171127578391637E-2</v>
      </c>
      <c r="I361" s="332">
        <f>Gasto_o_ing_per_capita!I361-Gasto_o_ing_per_capita!$D361</f>
        <v>-0.13448173152566123</v>
      </c>
      <c r="J361" s="332">
        <f>Gasto_o_ing_per_capita!J361-Gasto_o_ing_per_capita!$D361</f>
        <v>3.8824778570371588E-2</v>
      </c>
      <c r="K361" s="332">
        <f>Gasto_o_ing_per_capita!K361-Gasto_o_ing_per_capita!$D361</f>
        <v>-6.9155064646511111E-3</v>
      </c>
      <c r="L361" s="332">
        <f>Gasto_o_ing_per_capita!L361-Gasto_o_ing_per_capita!$D361</f>
        <v>-7.101337230261201E-2</v>
      </c>
      <c r="M361" s="332">
        <f>Gasto_o_ing_per_capita!M361-Gasto_o_ing_per_capita!$D361</f>
        <v>-8.5022502943819522E-2</v>
      </c>
      <c r="N361" s="332">
        <f>Gasto_o_ing_per_capita!N361-Gasto_o_ing_per_capita!$D361</f>
        <v>-0.11264583018875168</v>
      </c>
      <c r="O361" s="332">
        <f>Gasto_o_ing_per_capita!O361-Gasto_o_ing_per_capita!$D361</f>
        <v>-9.2672090918708205E-2</v>
      </c>
      <c r="P361" s="332">
        <f>Gasto_o_ing_per_capita!P361-Gasto_o_ing_per_capita!$D361</f>
        <v>-8.7119666301894438E-2</v>
      </c>
      <c r="Q361" s="332">
        <f>Gasto_o_ing_per_capita!Q361-Gasto_o_ing_per_capita!$D361</f>
        <v>0.60106360506737422</v>
      </c>
      <c r="R361" s="332">
        <f>Gasto_o_ing_per_capita!R361-Gasto_o_ing_per_capita!$D361</f>
        <v>-0.10603703737501746</v>
      </c>
      <c r="S361" s="332">
        <f>Gasto_o_ing_per_capita!S361-Gasto_o_ing_per_capita!$D361</f>
        <v>-8.6680733530283161E-2</v>
      </c>
      <c r="T361" s="332">
        <f>Gasto_o_ing_per_capita!T361-Gasto_o_ing_per_capita!$D361</f>
        <v>-7.239509192042165E-2</v>
      </c>
      <c r="U361" s="332">
        <f>Gasto_o_ing_per_capita!U361-Gasto_o_ing_per_capita!$D361</f>
        <v>-8.0002220566204207E-2</v>
      </c>
      <c r="V361" s="332">
        <f>Gasto_o_ing_per_capita!V361-Gasto_o_ing_per_capita!$D361</f>
        <v>-0.1380295864523316</v>
      </c>
      <c r="W361" s="122"/>
    </row>
    <row r="362" spans="1:23" s="104" customFormat="1">
      <c r="A362" s="351" t="str">
        <f>IF(B362="","",(IF(ISERROR(MATCH(B362,Tot_res!C:C,0)),"Eliminar!!!","")))</f>
        <v/>
      </c>
      <c r="B362" s="119" t="s">
        <v>335</v>
      </c>
      <c r="C362" s="329" t="str">
        <f>VLOOKUP(B362,Tot_res!C:D,2,FALSE)</f>
        <v>Archivos</v>
      </c>
      <c r="D362" s="332">
        <f>Gasto_o_ing_per_capita!D362-Gasto_o_ing_per_capita!$D362</f>
        <v>0</v>
      </c>
      <c r="E362" s="332">
        <f>Gasto_o_ing_per_capita!E362-Gasto_o_ing_per_capita!$D362</f>
        <v>-0.16328615862690959</v>
      </c>
      <c r="F362" s="332">
        <f>Gasto_o_ing_per_capita!F362-Gasto_o_ing_per_capita!$D362</f>
        <v>-0.24587938636523715</v>
      </c>
      <c r="G362" s="332">
        <f>Gasto_o_ing_per_capita!G362-Gasto_o_ing_per_capita!$D362</f>
        <v>-0.28433382816319908</v>
      </c>
      <c r="H362" s="332">
        <f>Gasto_o_ing_per_capita!H362-Gasto_o_ing_per_capita!$D362</f>
        <v>0.28352022747564742</v>
      </c>
      <c r="I362" s="332">
        <f>Gasto_o_ing_per_capita!I362-Gasto_o_ing_per_capita!$D362</f>
        <v>-0.26457877275045982</v>
      </c>
      <c r="J362" s="332">
        <f>Gasto_o_ing_per_capita!J362-Gasto_o_ing_per_capita!$D362</f>
        <v>-0.22987882518249009</v>
      </c>
      <c r="K362" s="332">
        <f>Gasto_o_ing_per_capita!K362-Gasto_o_ing_per_capita!$D362</f>
        <v>0.97877450853318326</v>
      </c>
      <c r="L362" s="332">
        <f>Gasto_o_ing_per_capita!L362-Gasto_o_ing_per_capita!$D362</f>
        <v>-0.14443517812379247</v>
      </c>
      <c r="M362" s="332">
        <f>Gasto_o_ing_per_capita!M362-Gasto_o_ing_per_capita!$D362</f>
        <v>-0.12970993797969821</v>
      </c>
      <c r="N362" s="332">
        <f>Gasto_o_ing_per_capita!N362-Gasto_o_ing_per_capita!$D362</f>
        <v>-0.27024856941580389</v>
      </c>
      <c r="O362" s="332">
        <f>Gasto_o_ing_per_capita!O362-Gasto_o_ing_per_capita!$D362</f>
        <v>-0.26009445991072166</v>
      </c>
      <c r="P362" s="332">
        <f>Gasto_o_ing_per_capita!P362-Gasto_o_ing_per_capita!$D362</f>
        <v>0.19054742831463156</v>
      </c>
      <c r="Q362" s="332">
        <f>Gasto_o_ing_per_capita!Q362-Gasto_o_ing_per_capita!$D362</f>
        <v>0.54770985102216663</v>
      </c>
      <c r="R362" s="332">
        <f>Gasto_o_ing_per_capita!R362-Gasto_o_ing_per_capita!$D362</f>
        <v>-0.29454299223605129</v>
      </c>
      <c r="S362" s="332">
        <f>Gasto_o_ing_per_capita!S362-Gasto_o_ing_per_capita!$D362</f>
        <v>-0.23524619490269216</v>
      </c>
      <c r="T362" s="332">
        <f>Gasto_o_ing_per_capita!T362-Gasto_o_ing_per_capita!$D362</f>
        <v>-0.22127790940263609</v>
      </c>
      <c r="U362" s="332">
        <f>Gasto_o_ing_per_capita!U362-Gasto_o_ing_per_capita!$D362</f>
        <v>-0.25856758491502541</v>
      </c>
      <c r="V362" s="332">
        <f>Gasto_o_ing_per_capita!V362-Gasto_o_ing_per_capita!$D362</f>
        <v>-0.29896069357105237</v>
      </c>
      <c r="W362" s="122"/>
    </row>
    <row r="363" spans="1:23" s="104" customFormat="1">
      <c r="A363" s="351" t="str">
        <f>IF(B363="","",(IF(ISERROR(MATCH(B363,Tot_res!C:C,0)),"Eliminar!!!","")))</f>
        <v/>
      </c>
      <c r="B363" s="119" t="s">
        <v>337</v>
      </c>
      <c r="C363" s="329" t="str">
        <f>VLOOKUP(B363,Tot_res!C:D,2,FALSE)</f>
        <v>Bibliotecas</v>
      </c>
      <c r="D363" s="332">
        <f>Gasto_o_ing_per_capita!D363-Gasto_o_ing_per_capita!$D363</f>
        <v>0</v>
      </c>
      <c r="E363" s="332">
        <f>Gasto_o_ing_per_capita!E363-Gasto_o_ing_per_capita!$D363</f>
        <v>-0.5820826519275244</v>
      </c>
      <c r="F363" s="332">
        <f>Gasto_o_ing_per_capita!F363-Gasto_o_ing_per_capita!$D363</f>
        <v>-0.61766900805715108</v>
      </c>
      <c r="G363" s="332">
        <f>Gasto_o_ing_per_capita!G363-Gasto_o_ing_per_capita!$D363</f>
        <v>-0.59073332633588782</v>
      </c>
      <c r="H363" s="332">
        <f>Gasto_o_ing_per_capita!H363-Gasto_o_ing_per_capita!$D363</f>
        <v>-0.399220303266767</v>
      </c>
      <c r="I363" s="332">
        <f>Gasto_o_ing_per_capita!I363-Gasto_o_ing_per_capita!$D363</f>
        <v>-0.62379556940561964</v>
      </c>
      <c r="J363" s="332">
        <f>Gasto_o_ing_per_capita!J363-Gasto_o_ing_per_capita!$D363</f>
        <v>-0.68134921875943744</v>
      </c>
      <c r="K363" s="332">
        <f>Gasto_o_ing_per_capita!K363-Gasto_o_ing_per_capita!$D363</f>
        <v>1.3009199337019679</v>
      </c>
      <c r="L363" s="332">
        <f>Gasto_o_ing_per_capita!L363-Gasto_o_ing_per_capita!$D363</f>
        <v>-0.5615886636167966</v>
      </c>
      <c r="M363" s="332">
        <f>Gasto_o_ing_per_capita!M363-Gasto_o_ing_per_capita!$D363</f>
        <v>-0.56198183822593339</v>
      </c>
      <c r="N363" s="332">
        <f>Gasto_o_ing_per_capita!N363-Gasto_o_ing_per_capita!$D363</f>
        <v>-0.66557416414677584</v>
      </c>
      <c r="O363" s="332">
        <f>Gasto_o_ing_per_capita!O363-Gasto_o_ing_per_capita!$D363</f>
        <v>-0.29997611222825737</v>
      </c>
      <c r="P363" s="332">
        <f>Gasto_o_ing_per_capita!P363-Gasto_o_ing_per_capita!$D363</f>
        <v>0.21702360956176503</v>
      </c>
      <c r="Q363" s="332">
        <f>Gasto_o_ing_per_capita!Q363-Gasto_o_ing_per_capita!$D363</f>
        <v>2.5386898271478282</v>
      </c>
      <c r="R363" s="332">
        <f>Gasto_o_ing_per_capita!R363-Gasto_o_ing_per_capita!$D363</f>
        <v>-0.59361127431267668</v>
      </c>
      <c r="S363" s="332">
        <f>Gasto_o_ing_per_capita!S363-Gasto_o_ing_per_capita!$D363</f>
        <v>-0.67083932410082514</v>
      </c>
      <c r="T363" s="332">
        <f>Gasto_o_ing_per_capita!T363-Gasto_o_ing_per_capita!$D363</f>
        <v>-0.64975736528671379</v>
      </c>
      <c r="U363" s="332">
        <f>Gasto_o_ing_per_capita!U363-Gasto_o_ing_per_capita!$D363</f>
        <v>0.12864459981470122</v>
      </c>
      <c r="V363" s="332">
        <f>Gasto_o_ing_per_capita!V363-Gasto_o_ing_per_capita!$D363</f>
        <v>6.8884542267954485E-2</v>
      </c>
      <c r="W363" s="122"/>
    </row>
    <row r="364" spans="1:23" s="104" customFormat="1">
      <c r="A364" s="351" t="str">
        <f>IF(B364="","",(IF(ISERROR(MATCH(B364,Tot_res!C:C,0)),"Eliminar!!!","")))</f>
        <v/>
      </c>
      <c r="B364" s="119" t="s">
        <v>338</v>
      </c>
      <c r="C364" s="329" t="str">
        <f>VLOOKUP(B364,Tot_res!C:D,2,FALSE)</f>
        <v>Museos</v>
      </c>
      <c r="D364" s="332">
        <f>Gasto_o_ing_per_capita!D364-Gasto_o_ing_per_capita!$D364</f>
        <v>0</v>
      </c>
      <c r="E364" s="332">
        <f>Gasto_o_ing_per_capita!E364-Gasto_o_ing_per_capita!$D364</f>
        <v>-1.9291395796392727</v>
      </c>
      <c r="F364" s="332">
        <f>Gasto_o_ing_per_capita!F364-Gasto_o_ing_per_capita!$D364</f>
        <v>-1.8825386550397529</v>
      </c>
      <c r="G364" s="332">
        <f>Gasto_o_ing_per_capita!G364-Gasto_o_ing_per_capita!$D364</f>
        <v>-2.0132326402045839</v>
      </c>
      <c r="H364" s="332">
        <f>Gasto_o_ing_per_capita!H364-Gasto_o_ing_per_capita!$D364</f>
        <v>-1.6022487464384882</v>
      </c>
      <c r="I364" s="332">
        <f>Gasto_o_ing_per_capita!I364-Gasto_o_ing_per_capita!$D364</f>
        <v>-2.0478327473752138</v>
      </c>
      <c r="J364" s="332">
        <f>Gasto_o_ing_per_capita!J364-Gasto_o_ing_per_capita!$D364</f>
        <v>4.6506265622831098</v>
      </c>
      <c r="K364" s="332">
        <f>Gasto_o_ing_per_capita!K364-Gasto_o_ing_per_capita!$D364</f>
        <v>-0.50548830258160615</v>
      </c>
      <c r="L364" s="332">
        <f>Gasto_o_ing_per_capita!L364-Gasto_o_ing_per_capita!$D364</f>
        <v>0.26692446558561889</v>
      </c>
      <c r="M364" s="332">
        <f>Gasto_o_ing_per_capita!M364-Gasto_o_ing_per_capita!$D364</f>
        <v>-1.5334568354800211</v>
      </c>
      <c r="N364" s="332">
        <f>Gasto_o_ing_per_capita!N364-Gasto_o_ing_per_capita!$D364</f>
        <v>-0.90858577076959635</v>
      </c>
      <c r="O364" s="332">
        <f>Gasto_o_ing_per_capita!O364-Gasto_o_ing_per_capita!$D364</f>
        <v>0.22645653662063392</v>
      </c>
      <c r="P364" s="332">
        <f>Gasto_o_ing_per_capita!P364-Gasto_o_ing_per_capita!$D364</f>
        <v>-1.9983607605889977</v>
      </c>
      <c r="Q364" s="332">
        <f>Gasto_o_ing_per_capita!Q364-Gasto_o_ing_per_capita!$D364</f>
        <v>8.111800617975236</v>
      </c>
      <c r="R364" s="332">
        <f>Gasto_o_ing_per_capita!R364-Gasto_o_ing_per_capita!$D364</f>
        <v>-0.26172563699602547</v>
      </c>
      <c r="S364" s="332">
        <f>Gasto_o_ing_per_capita!S364-Gasto_o_ing_per_capita!$D364</f>
        <v>-1.9131149452814213</v>
      </c>
      <c r="T364" s="332">
        <f>Gasto_o_ing_per_capita!T364-Gasto_o_ing_per_capita!$D364</f>
        <v>-1.7153113429803379</v>
      </c>
      <c r="U364" s="332">
        <f>Gasto_o_ing_per_capita!U364-Gasto_o_ing_per_capita!$D364</f>
        <v>-1.304434214183974</v>
      </c>
      <c r="V364" s="332">
        <f>Gasto_o_ing_per_capita!V364-Gasto_o_ing_per_capita!$D364</f>
        <v>-2.0721342756014165</v>
      </c>
      <c r="W364" s="122"/>
    </row>
    <row r="365" spans="1:23" s="104" customFormat="1">
      <c r="A365" s="351" t="str">
        <f>IF(B365="","",(IF(ISERROR(MATCH(B365,Tot_res!C:C,0)),"Eliminar!!!","")))</f>
        <v/>
      </c>
      <c r="B365" s="119" t="s">
        <v>340</v>
      </c>
      <c r="C365" s="329" t="str">
        <f>VLOOKUP(B365,Tot_res!C:D,2,FALSE)</f>
        <v>Exposiciones</v>
      </c>
      <c r="D365" s="332">
        <f>Gasto_o_ing_per_capita!D365-Gasto_o_ing_per_capita!$D365</f>
        <v>0</v>
      </c>
      <c r="E365" s="332">
        <f>Gasto_o_ing_per_capita!E365-Gasto_o_ing_per_capita!$D365</f>
        <v>-3.9123972457179162E-2</v>
      </c>
      <c r="F365" s="332">
        <f>Gasto_o_ing_per_capita!F365-Gasto_o_ing_per_capita!$D365</f>
        <v>-2.852281574973126E-2</v>
      </c>
      <c r="G365" s="332">
        <f>Gasto_o_ing_per_capita!G365-Gasto_o_ing_per_capita!$D365</f>
        <v>-3.9123972457179162E-2</v>
      </c>
      <c r="H365" s="332">
        <f>Gasto_o_ing_per_capita!H365-Gasto_o_ing_per_capita!$D365</f>
        <v>-3.9123972457179162E-2</v>
      </c>
      <c r="I365" s="332">
        <f>Gasto_o_ing_per_capita!I365-Gasto_o_ing_per_capita!$D365</f>
        <v>-3.9123972457179162E-2</v>
      </c>
      <c r="J365" s="332">
        <f>Gasto_o_ing_per_capita!J365-Gasto_o_ing_per_capita!$D365</f>
        <v>-3.9123972457179162E-2</v>
      </c>
      <c r="K365" s="332">
        <f>Gasto_o_ing_per_capita!K365-Gasto_o_ing_per_capita!$D365</f>
        <v>8.4624939019443679E-2</v>
      </c>
      <c r="L365" s="332">
        <f>Gasto_o_ing_per_capita!L365-Gasto_o_ing_per_capita!$D365</f>
        <v>3.9866180163531523E-3</v>
      </c>
      <c r="M365" s="332">
        <f>Gasto_o_ing_per_capita!M365-Gasto_o_ing_per_capita!$D365</f>
        <v>6.7302860661063404E-2</v>
      </c>
      <c r="N365" s="332">
        <f>Gasto_o_ing_per_capita!N365-Gasto_o_ing_per_capita!$D365</f>
        <v>-1.7458964102122644E-2</v>
      </c>
      <c r="O365" s="332">
        <f>Gasto_o_ing_per_capita!O365-Gasto_o_ing_per_capita!$D365</f>
        <v>-3.9123972457179162E-2</v>
      </c>
      <c r="P365" s="332">
        <f>Gasto_o_ing_per_capita!P365-Gasto_o_ing_per_capita!$D365</f>
        <v>-3.9123972457179162E-2</v>
      </c>
      <c r="Q365" s="332">
        <f>Gasto_o_ing_per_capita!Q365-Gasto_o_ing_per_capita!$D365</f>
        <v>3.608642342104619E-2</v>
      </c>
      <c r="R365" s="332">
        <f>Gasto_o_ing_per_capita!R365-Gasto_o_ing_per_capita!$D365</f>
        <v>-3.9123972457179162E-2</v>
      </c>
      <c r="S365" s="332">
        <f>Gasto_o_ing_per_capita!S365-Gasto_o_ing_per_capita!$D365</f>
        <v>-3.9123972457179162E-2</v>
      </c>
      <c r="T365" s="332">
        <f>Gasto_o_ing_per_capita!T365-Gasto_o_ing_per_capita!$D365</f>
        <v>-2.8210377643911433E-2</v>
      </c>
      <c r="U365" s="332">
        <f>Gasto_o_ing_per_capita!U365-Gasto_o_ing_per_capita!$D365</f>
        <v>-3.9123972457179162E-2</v>
      </c>
      <c r="V365" s="332">
        <f>Gasto_o_ing_per_capita!V365-Gasto_o_ing_per_capita!$D365</f>
        <v>-3.9123972457179162E-2</v>
      </c>
      <c r="W365" s="125"/>
    </row>
    <row r="366" spans="1:23" s="104" customFormat="1">
      <c r="A366" s="351" t="str">
        <f>IF(B366="","",(IF(ISERROR(MATCH(B366,Tot_res!C:C,0)),"Eliminar!!!","")))</f>
        <v/>
      </c>
      <c r="B366" s="119" t="s">
        <v>341</v>
      </c>
      <c r="C366" s="329" t="str">
        <f>VLOOKUP(B366,Tot_res!C:D,2,FALSE)</f>
        <v>Promoción y cooperación cultural</v>
      </c>
      <c r="D366" s="332">
        <f>Gasto_o_ing_per_capita!D366-Gasto_o_ing_per_capita!$D366</f>
        <v>0</v>
      </c>
      <c r="E366" s="332">
        <f>Gasto_o_ing_per_capita!E366-Gasto_o_ing_per_capita!$D366</f>
        <v>-7.7627499177169962E-2</v>
      </c>
      <c r="F366" s="332">
        <f>Gasto_o_ing_per_capita!F366-Gasto_o_ing_per_capita!$D366</f>
        <v>-3.2277766922618079E-2</v>
      </c>
      <c r="G366" s="332">
        <f>Gasto_o_ing_per_capita!G366-Gasto_o_ing_per_capita!$D366</f>
        <v>6.8321481260181643E-2</v>
      </c>
      <c r="H366" s="332">
        <f>Gasto_o_ing_per_capita!H366-Gasto_o_ing_per_capita!$D366</f>
        <v>-7.7510646223013846E-2</v>
      </c>
      <c r="I366" s="332">
        <f>Gasto_o_ing_per_capita!I366-Gasto_o_ing_per_capita!$D366</f>
        <v>-0.12547816549160212</v>
      </c>
      <c r="J366" s="332">
        <f>Gasto_o_ing_per_capita!J366-Gasto_o_ing_per_capita!$D366</f>
        <v>0.56222162295565359</v>
      </c>
      <c r="K366" s="332">
        <f>Gasto_o_ing_per_capita!K366-Gasto_o_ing_per_capita!$D366</f>
        <v>-3.0254942402898999E-2</v>
      </c>
      <c r="L366" s="332">
        <f>Gasto_o_ing_per_capita!L366-Gasto_o_ing_per_capita!$D366</f>
        <v>-0.12157061971987915</v>
      </c>
      <c r="M366" s="332">
        <f>Gasto_o_ing_per_capita!M366-Gasto_o_ing_per_capita!$D366</f>
        <v>-7.8829066514466167E-2</v>
      </c>
      <c r="N366" s="332">
        <f>Gasto_o_ing_per_capita!N366-Gasto_o_ing_per_capita!$D366</f>
        <v>-0.12236940759188952</v>
      </c>
      <c r="O366" s="332">
        <f>Gasto_o_ing_per_capita!O366-Gasto_o_ing_per_capita!$D366</f>
        <v>-6.5949925079800131E-2</v>
      </c>
      <c r="P366" s="332">
        <f>Gasto_o_ing_per_capita!P366-Gasto_o_ing_per_capita!$D366</f>
        <v>-6.8659005453475613E-2</v>
      </c>
      <c r="Q366" s="332">
        <f>Gasto_o_ing_per_capita!Q366-Gasto_o_ing_per_capita!$D366</f>
        <v>0.16660709252937053</v>
      </c>
      <c r="R366" s="332">
        <f>Gasto_o_ing_per_capita!R366-Gasto_o_ing_per_capita!$D366</f>
        <v>-0.1325166456589239</v>
      </c>
      <c r="S366" s="332">
        <f>Gasto_o_ing_per_capita!S366-Gasto_o_ing_per_capita!$D366</f>
        <v>-3.8935435839728166E-2</v>
      </c>
      <c r="T366" s="332">
        <f>Gasto_o_ing_per_capita!T366-Gasto_o_ing_per_capita!$D366</f>
        <v>0.74789346550293212</v>
      </c>
      <c r="U366" s="332">
        <f>Gasto_o_ing_per_capita!U366-Gasto_o_ing_per_capita!$D366</f>
        <v>-0.14489975258000345</v>
      </c>
      <c r="V366" s="332">
        <f>Gasto_o_ing_per_capita!V366-Gasto_o_ing_per_capita!$D366</f>
        <v>-7.8502971669626109E-2</v>
      </c>
      <c r="W366" s="122"/>
    </row>
    <row r="367" spans="1:23" s="104" customFormat="1">
      <c r="A367" s="351" t="str">
        <f>IF(B367="","",(IF(ISERROR(MATCH(B367,Tot_res!C:C,0)),"Eliminar!!!","")))</f>
        <v/>
      </c>
      <c r="B367" s="119" t="s">
        <v>343</v>
      </c>
      <c r="C367" s="329" t="str">
        <f>VLOOKUP(B367,Tot_res!C:D,2,FALSE)</f>
        <v>Promoción del libro y publicaciones culturales</v>
      </c>
      <c r="D367" s="332">
        <f>Gasto_o_ing_per_capita!D367-Gasto_o_ing_per_capita!$D367</f>
        <v>0</v>
      </c>
      <c r="E367" s="332">
        <f>Gasto_o_ing_per_capita!E367-Gasto_o_ing_per_capita!$D367</f>
        <v>0</v>
      </c>
      <c r="F367" s="332">
        <f>Gasto_o_ing_per_capita!F367-Gasto_o_ing_per_capita!$D367</f>
        <v>0</v>
      </c>
      <c r="G367" s="332">
        <f>Gasto_o_ing_per_capita!G367-Gasto_o_ing_per_capita!$D367</f>
        <v>0</v>
      </c>
      <c r="H367" s="332">
        <f>Gasto_o_ing_per_capita!H367-Gasto_o_ing_per_capita!$D367</f>
        <v>0</v>
      </c>
      <c r="I367" s="332">
        <f>Gasto_o_ing_per_capita!I367-Gasto_o_ing_per_capita!$D367</f>
        <v>0</v>
      </c>
      <c r="J367" s="332">
        <f>Gasto_o_ing_per_capita!J367-Gasto_o_ing_per_capita!$D367</f>
        <v>0</v>
      </c>
      <c r="K367" s="332">
        <f>Gasto_o_ing_per_capita!K367-Gasto_o_ing_per_capita!$D367</f>
        <v>0</v>
      </c>
      <c r="L367" s="332">
        <f>Gasto_o_ing_per_capita!L367-Gasto_o_ing_per_capita!$D367</f>
        <v>0</v>
      </c>
      <c r="M367" s="332">
        <f>Gasto_o_ing_per_capita!M367-Gasto_o_ing_per_capita!$D367</f>
        <v>0</v>
      </c>
      <c r="N367" s="332">
        <f>Gasto_o_ing_per_capita!N367-Gasto_o_ing_per_capita!$D367</f>
        <v>0</v>
      </c>
      <c r="O367" s="332">
        <f>Gasto_o_ing_per_capita!O367-Gasto_o_ing_per_capita!$D367</f>
        <v>0</v>
      </c>
      <c r="P367" s="332">
        <f>Gasto_o_ing_per_capita!P367-Gasto_o_ing_per_capita!$D367</f>
        <v>0</v>
      </c>
      <c r="Q367" s="332">
        <f>Gasto_o_ing_per_capita!Q367-Gasto_o_ing_per_capita!$D367</f>
        <v>0</v>
      </c>
      <c r="R367" s="332">
        <f>Gasto_o_ing_per_capita!R367-Gasto_o_ing_per_capita!$D367</f>
        <v>0</v>
      </c>
      <c r="S367" s="332">
        <f>Gasto_o_ing_per_capita!S367-Gasto_o_ing_per_capita!$D367</f>
        <v>0</v>
      </c>
      <c r="T367" s="332">
        <f>Gasto_o_ing_per_capita!T367-Gasto_o_ing_per_capita!$D367</f>
        <v>0</v>
      </c>
      <c r="U367" s="332">
        <f>Gasto_o_ing_per_capita!U367-Gasto_o_ing_per_capita!$D367</f>
        <v>0</v>
      </c>
      <c r="V367" s="332">
        <f>Gasto_o_ing_per_capita!V367-Gasto_o_ing_per_capita!$D367</f>
        <v>0</v>
      </c>
      <c r="W367" s="126"/>
    </row>
    <row r="368" spans="1:23" s="104" customFormat="1">
      <c r="A368" s="351" t="str">
        <f>IF(B368="","",(IF(ISERROR(MATCH(B368,Tot_res!C:C,0)),"Eliminar!!!","")))</f>
        <v/>
      </c>
      <c r="B368" s="119" t="s">
        <v>345</v>
      </c>
      <c r="C368" s="329" t="str">
        <f>VLOOKUP(B368,Tot_res!C:D,2,FALSE)</f>
        <v>Fomento de las industrias culturales</v>
      </c>
      <c r="D368" s="332">
        <f>Gasto_o_ing_per_capita!D368-Gasto_o_ing_per_capita!$D368</f>
        <v>0</v>
      </c>
      <c r="E368" s="332">
        <f>Gasto_o_ing_per_capita!E368-Gasto_o_ing_per_capita!$D368</f>
        <v>-3.4889561847317827E-2</v>
      </c>
      <c r="F368" s="332">
        <f>Gasto_o_ing_per_capita!F368-Gasto_o_ing_per_capita!$D368</f>
        <v>-2.0173023757377104E-3</v>
      </c>
      <c r="G368" s="332">
        <f>Gasto_o_ing_per_capita!G368-Gasto_o_ing_per_capita!$D368</f>
        <v>-2.3395408551963433E-2</v>
      </c>
      <c r="H368" s="332">
        <f>Gasto_o_ing_per_capita!H368-Gasto_o_ing_per_capita!$D368</f>
        <v>-3.3511711511826664E-2</v>
      </c>
      <c r="I368" s="332">
        <f>Gasto_o_ing_per_capita!I368-Gasto_o_ing_per_capita!$D368</f>
        <v>5.5151157076127472E-3</v>
      </c>
      <c r="J368" s="332">
        <f>Gasto_o_ing_per_capita!J368-Gasto_o_ing_per_capita!$D368</f>
        <v>-5.1267104505871776E-2</v>
      </c>
      <c r="K368" s="332">
        <f>Gasto_o_ing_per_capita!K368-Gasto_o_ing_per_capita!$D368</f>
        <v>-3.1074141605767623E-2</v>
      </c>
      <c r="L368" s="332">
        <f>Gasto_o_ing_per_capita!L368-Gasto_o_ing_per_capita!$D368</f>
        <v>-4.9709666921701853E-2</v>
      </c>
      <c r="M368" s="332">
        <f>Gasto_o_ing_per_capita!M368-Gasto_o_ing_per_capita!$D368</f>
        <v>2.8586635412293504E-3</v>
      </c>
      <c r="N368" s="332">
        <f>Gasto_o_ing_per_capita!N368-Gasto_o_ing_per_capita!$D368</f>
        <v>-1.5441578978389152E-2</v>
      </c>
      <c r="O368" s="332">
        <f>Gasto_o_ing_per_capita!O368-Gasto_o_ing_per_capita!$D368</f>
        <v>-3.2978087019492744E-2</v>
      </c>
      <c r="P368" s="332">
        <f>Gasto_o_ing_per_capita!P368-Gasto_o_ing_per_capita!$D368</f>
        <v>-3.2617658761941441E-2</v>
      </c>
      <c r="Q368" s="332">
        <f>Gasto_o_ing_per_capita!Q368-Gasto_o_ing_per_capita!$D368</f>
        <v>0.13126859917884681</v>
      </c>
      <c r="R368" s="332">
        <f>Gasto_o_ing_per_capita!R368-Gasto_o_ing_per_capita!$D368</f>
        <v>-5.3592185685526796E-2</v>
      </c>
      <c r="S368" s="332">
        <f>Gasto_o_ing_per_capita!S368-Gasto_o_ing_per_capita!$D368</f>
        <v>-1.3949995568359019E-2</v>
      </c>
      <c r="T368" s="332">
        <f>Gasto_o_ing_per_capita!T368-Gasto_o_ing_per_capita!$D368</f>
        <v>2.2434541328104352E-3</v>
      </c>
      <c r="U368" s="332">
        <f>Gasto_o_ing_per_capita!U368-Gasto_o_ing_per_capita!$D368</f>
        <v>-5.0616384440768512E-2</v>
      </c>
      <c r="V368" s="332">
        <f>Gasto_o_ing_per_capita!V368-Gasto_o_ing_per_capita!$D368</f>
        <v>-6.0300440227123657E-2</v>
      </c>
      <c r="W368" s="122"/>
    </row>
    <row r="369" spans="1:23" s="104" customFormat="1">
      <c r="A369" s="351" t="str">
        <f>IF(B369="","",(IF(ISERROR(MATCH(B369,Tot_res!C:C,0)),"Eliminar!!!","")))</f>
        <v/>
      </c>
      <c r="B369" s="119" t="s">
        <v>347</v>
      </c>
      <c r="C369" s="329" t="str">
        <f>VLOOKUP(B369,Tot_res!C:D,2,FALSE)</f>
        <v>Música y danza</v>
      </c>
      <c r="D369" s="332">
        <f>Gasto_o_ing_per_capita!D369-Gasto_o_ing_per_capita!$D369</f>
        <v>0</v>
      </c>
      <c r="E369" s="332">
        <f>Gasto_o_ing_per_capita!E369-Gasto_o_ing_per_capita!$D369</f>
        <v>-1.2189873290153384</v>
      </c>
      <c r="F369" s="332">
        <f>Gasto_o_ing_per_capita!F369-Gasto_o_ing_per_capita!$D369</f>
        <v>-1.2427865132979918</v>
      </c>
      <c r="G369" s="332">
        <f>Gasto_o_ing_per_capita!G369-Gasto_o_ing_per_capita!$D369</f>
        <v>-1.1977697132209317</v>
      </c>
      <c r="H369" s="332">
        <f>Gasto_o_ing_per_capita!H369-Gasto_o_ing_per_capita!$D369</f>
        <v>-1.3273474653431829</v>
      </c>
      <c r="I369" s="332">
        <f>Gasto_o_ing_per_capita!I369-Gasto_o_ing_per_capita!$D369</f>
        <v>-1.3399359499120496</v>
      </c>
      <c r="J369" s="332">
        <f>Gasto_o_ing_per_capita!J369-Gasto_o_ing_per_capita!$D369</f>
        <v>-1.2445243746831038</v>
      </c>
      <c r="K369" s="332">
        <f>Gasto_o_ing_per_capita!K369-Gasto_o_ing_per_capita!$D369</f>
        <v>-1.3515019195111126</v>
      </c>
      <c r="L369" s="332">
        <f>Gasto_o_ing_per_capita!L369-Gasto_o_ing_per_capita!$D369</f>
        <v>-1.3648054532960439</v>
      </c>
      <c r="M369" s="332">
        <f>Gasto_o_ing_per_capita!M369-Gasto_o_ing_per_capita!$D369</f>
        <v>-0.13848523220212772</v>
      </c>
      <c r="N369" s="332">
        <f>Gasto_o_ing_per_capita!N369-Gasto_o_ing_per_capita!$D369</f>
        <v>-1.3154394873438511</v>
      </c>
      <c r="O369" s="332">
        <f>Gasto_o_ing_per_capita!O369-Gasto_o_ing_per_capita!$D369</f>
        <v>-1.4013148563391651</v>
      </c>
      <c r="P369" s="332">
        <f>Gasto_o_ing_per_capita!P369-Gasto_o_ing_per_capita!$D369</f>
        <v>-1.3744882566803693</v>
      </c>
      <c r="Q369" s="332">
        <f>Gasto_o_ing_per_capita!Q369-Gasto_o_ing_per_capita!$D369</f>
        <v>6.6704030405302426</v>
      </c>
      <c r="R369" s="332">
        <f>Gasto_o_ing_per_capita!R369-Gasto_o_ing_per_capita!$D369</f>
        <v>-1.3789481861480581</v>
      </c>
      <c r="S369" s="332">
        <f>Gasto_o_ing_per_capita!S369-Gasto_o_ing_per_capita!$D369</f>
        <v>-1.189795050054141</v>
      </c>
      <c r="T369" s="332">
        <f>Gasto_o_ing_per_capita!T369-Gasto_o_ing_per_capita!$D369</f>
        <v>-1.0417388576001079</v>
      </c>
      <c r="U369" s="332">
        <f>Gasto_o_ing_per_capita!U369-Gasto_o_ing_per_capita!$D369</f>
        <v>-1.3567798459264049</v>
      </c>
      <c r="V369" s="332">
        <f>Gasto_o_ing_per_capita!V369-Gasto_o_ing_per_capita!$D369</f>
        <v>-1.4484959372514277</v>
      </c>
      <c r="W369" s="122"/>
    </row>
    <row r="370" spans="1:23" s="104" customFormat="1">
      <c r="A370" s="351" t="str">
        <f>IF(B370="","",(IF(ISERROR(MATCH(B370,Tot_res!C:C,0)),"Eliminar!!!","")))</f>
        <v/>
      </c>
      <c r="B370" s="119" t="s">
        <v>348</v>
      </c>
      <c r="C370" s="329" t="str">
        <f>VLOOKUP(B370,Tot_res!C:D,2,FALSE)</f>
        <v>Teatro</v>
      </c>
      <c r="D370" s="332">
        <f>Gasto_o_ing_per_capita!D370-Gasto_o_ing_per_capita!$D370</f>
        <v>0</v>
      </c>
      <c r="E370" s="332">
        <f>Gasto_o_ing_per_capita!E370-Gasto_o_ing_per_capita!$D370</f>
        <v>-0.57891539224805089</v>
      </c>
      <c r="F370" s="332">
        <f>Gasto_o_ing_per_capita!F370-Gasto_o_ing_per_capita!$D370</f>
        <v>-0.42926049068669336</v>
      </c>
      <c r="G370" s="332">
        <f>Gasto_o_ing_per_capita!G370-Gasto_o_ing_per_capita!$D370</f>
        <v>-0.55809170153770726</v>
      </c>
      <c r="H370" s="332">
        <f>Gasto_o_ing_per_capita!H370-Gasto_o_ing_per_capita!$D370</f>
        <v>-0.45648787179519251</v>
      </c>
      <c r="I370" s="332">
        <f>Gasto_o_ing_per_capita!I370-Gasto_o_ing_per_capita!$D370</f>
        <v>-0.63176660066032408</v>
      </c>
      <c r="J370" s="332">
        <f>Gasto_o_ing_per_capita!J370-Gasto_o_ing_per_capita!$D370</f>
        <v>-0.56417803402974087</v>
      </c>
      <c r="K370" s="332">
        <f>Gasto_o_ing_per_capita!K370-Gasto_o_ing_per_capita!$D370</f>
        <v>-0.4920551201294302</v>
      </c>
      <c r="L370" s="332">
        <f>Gasto_o_ing_per_capita!L370-Gasto_o_ing_per_capita!$D370</f>
        <v>-0.56565037373889104</v>
      </c>
      <c r="M370" s="332">
        <f>Gasto_o_ing_per_capita!M370-Gasto_o_ing_per_capita!$D370</f>
        <v>-0.34639775032223019</v>
      </c>
      <c r="N370" s="332">
        <f>Gasto_o_ing_per_capita!N370-Gasto_o_ing_per_capita!$D370</f>
        <v>-0.48566151269983432</v>
      </c>
      <c r="O370" s="332">
        <f>Gasto_o_ing_per_capita!O370-Gasto_o_ing_per_capita!$D370</f>
        <v>-0.43580563079331525</v>
      </c>
      <c r="P370" s="332">
        <f>Gasto_o_ing_per_capita!P370-Gasto_o_ing_per_capita!$D370</f>
        <v>-0.56337415550609693</v>
      </c>
      <c r="Q370" s="332">
        <f>Gasto_o_ing_per_capita!Q370-Gasto_o_ing_per_capita!$D370</f>
        <v>3.0779088429668127</v>
      </c>
      <c r="R370" s="332">
        <f>Gasto_o_ing_per_capita!R370-Gasto_o_ing_per_capita!$D370</f>
        <v>-0.53606523207611967</v>
      </c>
      <c r="S370" s="332">
        <f>Gasto_o_ing_per_capita!S370-Gasto_o_ing_per_capita!$D370</f>
        <v>-0.59696876460621651</v>
      </c>
      <c r="T370" s="332">
        <f>Gasto_o_ing_per_capita!T370-Gasto_o_ing_per_capita!$D370</f>
        <v>-0.35252322147501014</v>
      </c>
      <c r="U370" s="332">
        <f>Gasto_o_ing_per_capita!U370-Gasto_o_ing_per_capita!$D370</f>
        <v>-0.50379542618027784</v>
      </c>
      <c r="V370" s="332">
        <f>Gasto_o_ing_per_capita!V370-Gasto_o_ing_per_capita!$D370</f>
        <v>-0.66885690351538774</v>
      </c>
      <c r="W370" s="122"/>
    </row>
    <row r="371" spans="1:23" s="104" customFormat="1">
      <c r="A371" s="351" t="str">
        <f>IF(B371="","",(IF(ISERROR(MATCH(B371,Tot_res!C:C,0)),"Eliminar!!!","")))</f>
        <v/>
      </c>
      <c r="B371" s="119" t="s">
        <v>350</v>
      </c>
      <c r="C371" s="329" t="str">
        <f>VLOOKUP(B371,Tot_res!C:D,2,FALSE)</f>
        <v>Cinematografía</v>
      </c>
      <c r="D371" s="332">
        <f>Gasto_o_ing_per_capita!D371-Gasto_o_ing_per_capita!$D371</f>
        <v>0</v>
      </c>
      <c r="E371" s="332">
        <f>Gasto_o_ing_per_capita!E371-Gasto_o_ing_per_capita!$D371</f>
        <v>-0.128646072329337</v>
      </c>
      <c r="F371" s="332">
        <f>Gasto_o_ing_per_capita!F371-Gasto_o_ing_per_capita!$D371</f>
        <v>-8.1661203785902137E-2</v>
      </c>
      <c r="G371" s="332">
        <f>Gasto_o_ing_per_capita!G371-Gasto_o_ing_per_capita!$D371</f>
        <v>-0.34305996349119416</v>
      </c>
      <c r="H371" s="332">
        <f>Gasto_o_ing_per_capita!H371-Gasto_o_ing_per_capita!$D371</f>
        <v>-8.5388785375492882E-2</v>
      </c>
      <c r="I371" s="332">
        <f>Gasto_o_ing_per_capita!I371-Gasto_o_ing_per_capita!$D371</f>
        <v>-0.33655032091783887</v>
      </c>
      <c r="J371" s="332">
        <f>Gasto_o_ing_per_capita!J371-Gasto_o_ing_per_capita!$D371</f>
        <v>0.11654367797022402</v>
      </c>
      <c r="K371" s="332">
        <f>Gasto_o_ing_per_capita!K371-Gasto_o_ing_per_capita!$D371</f>
        <v>1.9650383663736726E-2</v>
      </c>
      <c r="L371" s="332">
        <f>Gasto_o_ing_per_capita!L371-Gasto_o_ing_per_capita!$D371</f>
        <v>-0.48270021122365825</v>
      </c>
      <c r="M371" s="332">
        <f>Gasto_o_ing_per_capita!M371-Gasto_o_ing_per_capita!$D371</f>
        <v>5.546219764473781E-3</v>
      </c>
      <c r="N371" s="332">
        <f>Gasto_o_ing_per_capita!N371-Gasto_o_ing_per_capita!$D371</f>
        <v>-5.8507299698739468E-2</v>
      </c>
      <c r="O371" s="332">
        <f>Gasto_o_ing_per_capita!O371-Gasto_o_ing_per_capita!$D371</f>
        <v>-0.70706754968364083</v>
      </c>
      <c r="P371" s="332">
        <f>Gasto_o_ing_per_capita!P371-Gasto_o_ing_per_capita!$D371</f>
        <v>-0.51716750615591423</v>
      </c>
      <c r="Q371" s="332">
        <f>Gasto_o_ing_per_capita!Q371-Gasto_o_ing_per_capita!$D371</f>
        <v>0.60360028176038028</v>
      </c>
      <c r="R371" s="332">
        <f>Gasto_o_ing_per_capita!R371-Gasto_o_ing_per_capita!$D371</f>
        <v>-0.23773568652655763</v>
      </c>
      <c r="S371" s="332">
        <f>Gasto_o_ing_per_capita!S371-Gasto_o_ing_per_capita!$D371</f>
        <v>1.0505425484535669</v>
      </c>
      <c r="T371" s="332">
        <f>Gasto_o_ing_per_capita!T371-Gasto_o_ing_per_capita!$D371</f>
        <v>0.72015780887343017</v>
      </c>
      <c r="U371" s="332">
        <f>Gasto_o_ing_per_capita!U371-Gasto_o_ing_per_capita!$D371</f>
        <v>0.5248150498629871</v>
      </c>
      <c r="V371" s="332">
        <f>Gasto_o_ing_per_capita!V371-Gasto_o_ing_per_capita!$D371</f>
        <v>-1.656016685046702</v>
      </c>
      <c r="W371" s="122"/>
    </row>
    <row r="372" spans="1:23" s="104" customFormat="1">
      <c r="A372" s="351" t="str">
        <f>IF(B372="","",(IF(ISERROR(MATCH(B372,Tot_res!C:C,0)),"Eliminar!!!","")))</f>
        <v/>
      </c>
      <c r="B372" s="119" t="s">
        <v>831</v>
      </c>
      <c r="C372" s="329" t="str">
        <f>VLOOKUP(B372,Tot_res!C:D,2,FALSE)</f>
        <v>Fomento y apoyo de las actividades deportivas</v>
      </c>
      <c r="D372" s="332">
        <f>Gasto_o_ing_per_capita!D372-Gasto_o_ing_per_capita!$D372</f>
        <v>0</v>
      </c>
      <c r="E372" s="332">
        <f>Gasto_o_ing_per_capita!E372-Gasto_o_ing_per_capita!$D372</f>
        <v>-0.3466777977973825</v>
      </c>
      <c r="F372" s="332">
        <f>Gasto_o_ing_per_capita!F372-Gasto_o_ing_per_capita!$D372</f>
        <v>0.8757050419518575</v>
      </c>
      <c r="G372" s="332">
        <f>Gasto_o_ing_per_capita!G372-Gasto_o_ing_per_capita!$D372</f>
        <v>0.28082852817346682</v>
      </c>
      <c r="H372" s="332">
        <f>Gasto_o_ing_per_capita!H372-Gasto_o_ing_per_capita!$D372</f>
        <v>0.12440862777068817</v>
      </c>
      <c r="I372" s="332">
        <f>Gasto_o_ing_per_capita!I372-Gasto_o_ing_per_capita!$D372</f>
        <v>-2.2025456970412804E-2</v>
      </c>
      <c r="J372" s="332">
        <f>Gasto_o_ing_per_capita!J372-Gasto_o_ing_per_capita!$D372</f>
        <v>1.033044967791648</v>
      </c>
      <c r="K372" s="332">
        <f>Gasto_o_ing_per_capita!K372-Gasto_o_ing_per_capita!$D372</f>
        <v>-0.11722438732529694</v>
      </c>
      <c r="L372" s="332">
        <f>Gasto_o_ing_per_capita!L372-Gasto_o_ing_per_capita!$D372</f>
        <v>-0.29963789963037923</v>
      </c>
      <c r="M372" s="332">
        <f>Gasto_o_ing_per_capita!M372-Gasto_o_ing_per_capita!$D372</f>
        <v>0.10997611194469181</v>
      </c>
      <c r="N372" s="332">
        <f>Gasto_o_ing_per_capita!N372-Gasto_o_ing_per_capita!$D372</f>
        <v>-0.1168483224836856</v>
      </c>
      <c r="O372" s="332">
        <f>Gasto_o_ing_per_capita!O372-Gasto_o_ing_per_capita!$D372</f>
        <v>-0.18973284871072038</v>
      </c>
      <c r="P372" s="332">
        <f>Gasto_o_ing_per_capita!P372-Gasto_o_ing_per_capita!$D372</f>
        <v>2.7813120416607884E-2</v>
      </c>
      <c r="Q372" s="332">
        <f>Gasto_o_ing_per_capita!Q372-Gasto_o_ing_per_capita!$D372</f>
        <v>-1.2575595857053479E-2</v>
      </c>
      <c r="R372" s="332">
        <f>Gasto_o_ing_per_capita!R372-Gasto_o_ing_per_capita!$D372</f>
        <v>-0.34736571491509216</v>
      </c>
      <c r="S372" s="332">
        <f>Gasto_o_ing_per_capita!S372-Gasto_o_ing_per_capita!$D372</f>
        <v>1.0506165561395067</v>
      </c>
      <c r="T372" s="332">
        <f>Gasto_o_ing_per_capita!T372-Gasto_o_ing_per_capita!$D372</f>
        <v>0.50130018621857708</v>
      </c>
      <c r="U372" s="332">
        <f>Gasto_o_ing_per_capita!U372-Gasto_o_ing_per_capita!$D372</f>
        <v>0.70489101771973184</v>
      </c>
      <c r="V372" s="332">
        <f>Gasto_o_ing_per_capita!V372-Gasto_o_ing_per_capita!$D372</f>
        <v>0.92466737390374343</v>
      </c>
      <c r="W372" s="122"/>
    </row>
    <row r="373" spans="1:23" s="104" customFormat="1">
      <c r="A373" s="351" t="str">
        <f>IF(B373="","",(IF(ISERROR(MATCH(B373,Tot_res!C:C,0)),"Eliminar!!!","")))</f>
        <v/>
      </c>
      <c r="B373" s="119" t="s">
        <v>353</v>
      </c>
      <c r="C373" s="329" t="str">
        <f>VLOOKUP(B373,Tot_res!C:D,2,FALSE)</f>
        <v>Administración del patrimonio histórico-nacional</v>
      </c>
      <c r="D373" s="332">
        <f>Gasto_o_ing_per_capita!D373-Gasto_o_ing_per_capita!$D373</f>
        <v>0</v>
      </c>
      <c r="E373" s="332">
        <f>Gasto_o_ing_per_capita!E373-Gasto_o_ing_per_capita!$D373</f>
        <v>-1.7378491742625584</v>
      </c>
      <c r="F373" s="332">
        <f>Gasto_o_ing_per_capita!F373-Gasto_o_ing_per_capita!$D373</f>
        <v>-1.6548713635581993</v>
      </c>
      <c r="G373" s="332">
        <f>Gasto_o_ing_per_capita!G373-Gasto_o_ing_per_capita!$D373</f>
        <v>-1.7221761463943923</v>
      </c>
      <c r="H373" s="332">
        <f>Gasto_o_ing_per_capita!H373-Gasto_o_ing_per_capita!$D373</f>
        <v>-1.3526512031821585</v>
      </c>
      <c r="I373" s="332">
        <f>Gasto_o_ing_per_capita!I373-Gasto_o_ing_per_capita!$D373</f>
        <v>-1.675034247114402</v>
      </c>
      <c r="J373" s="332">
        <f>Gasto_o_ing_per_capita!J373-Gasto_o_ing_per_capita!$D373</f>
        <v>-1.7110639988392</v>
      </c>
      <c r="K373" s="332">
        <f>Gasto_o_ing_per_capita!K373-Gasto_o_ing_per_capita!$D373</f>
        <v>-0.67359074632894766</v>
      </c>
      <c r="L373" s="332">
        <f>Gasto_o_ing_per_capita!L373-Gasto_o_ing_per_capita!$D373</f>
        <v>-1.7501463335193517</v>
      </c>
      <c r="M373" s="332">
        <f>Gasto_o_ing_per_capita!M373-Gasto_o_ing_per_capita!$D373</f>
        <v>-1.6369894392731423</v>
      </c>
      <c r="N373" s="332">
        <f>Gasto_o_ing_per_capita!N373-Gasto_o_ing_per_capita!$D373</f>
        <v>-1.7219709813978354</v>
      </c>
      <c r="O373" s="332">
        <f>Gasto_o_ing_per_capita!O373-Gasto_o_ing_per_capita!$D373</f>
        <v>-1.4197431171167141</v>
      </c>
      <c r="P373" s="332">
        <f>Gasto_o_ing_per_capita!P373-Gasto_o_ing_per_capita!$D373</f>
        <v>-1.7197201659366068</v>
      </c>
      <c r="Q373" s="332">
        <f>Gasto_o_ing_per_capita!Q373-Gasto_o_ing_per_capita!$D373</f>
        <v>10.08392628257941</v>
      </c>
      <c r="R373" s="332">
        <f>Gasto_o_ing_per_capita!R373-Gasto_o_ing_per_capita!$D373</f>
        <v>-1.7393802678928778</v>
      </c>
      <c r="S373" s="332">
        <f>Gasto_o_ing_per_capita!S373-Gasto_o_ing_per_capita!$D373</f>
        <v>-1.6160066670332014</v>
      </c>
      <c r="T373" s="332">
        <f>Gasto_o_ing_per_capita!T373-Gasto_o_ing_per_capita!$D373</f>
        <v>-1.5988127392533262</v>
      </c>
      <c r="U373" s="332">
        <f>Gasto_o_ing_per_capita!U373-Gasto_o_ing_per_capita!$D373</f>
        <v>-1.664529420238555</v>
      </c>
      <c r="V373" s="332">
        <f>Gasto_o_ing_per_capita!V373-Gasto_o_ing_per_capita!$D373</f>
        <v>-1.7485717882739467</v>
      </c>
      <c r="W373" s="122"/>
    </row>
    <row r="374" spans="1:23" s="104" customFormat="1">
      <c r="A374" s="351" t="str">
        <f>IF(B374="","",(IF(ISERROR(MATCH(B374,Tot_res!C:C,0)),"Eliminar!!!","")))</f>
        <v/>
      </c>
      <c r="B374" s="119" t="s">
        <v>354</v>
      </c>
      <c r="C374" s="329" t="str">
        <f>VLOOKUP(B374,Tot_res!C:D,2,FALSE)</f>
        <v>Conservación y restauración de bienes culturales + AF17/1</v>
      </c>
      <c r="D374" s="332">
        <f>Gasto_o_ing_per_capita!D374-Gasto_o_ing_per_capita!$D374</f>
        <v>0</v>
      </c>
      <c r="E374" s="332">
        <f>Gasto_o_ing_per_capita!E374-Gasto_o_ing_per_capita!$D374</f>
        <v>-0.29649483172418517</v>
      </c>
      <c r="F374" s="332">
        <f>Gasto_o_ing_per_capita!F374-Gasto_o_ing_per_capita!$D374</f>
        <v>0.40506031575494372</v>
      </c>
      <c r="G374" s="332">
        <f>Gasto_o_ing_per_capita!G374-Gasto_o_ing_per_capita!$D374</f>
        <v>-8.4286201537794314E-2</v>
      </c>
      <c r="H374" s="332">
        <f>Gasto_o_ing_per_capita!H374-Gasto_o_ing_per_capita!$D374</f>
        <v>-0.20729623433828159</v>
      </c>
      <c r="I374" s="332">
        <f>Gasto_o_ing_per_capita!I374-Gasto_o_ing_per_capita!$D374</f>
        <v>-1.3071124962505565E-2</v>
      </c>
      <c r="J374" s="332">
        <f>Gasto_o_ing_per_capita!J374-Gasto_o_ing_per_capita!$D374</f>
        <v>0.21256755277797712</v>
      </c>
      <c r="K374" s="332">
        <f>Gasto_o_ing_per_capita!K374-Gasto_o_ing_per_capita!$D374</f>
        <v>0.10403384532946647</v>
      </c>
      <c r="L374" s="332">
        <f>Gasto_o_ing_per_capita!L374-Gasto_o_ing_per_capita!$D374</f>
        <v>1.3200394596981795</v>
      </c>
      <c r="M374" s="332">
        <f>Gasto_o_ing_per_capita!M374-Gasto_o_ing_per_capita!$D374</f>
        <v>-0.24239370012413822</v>
      </c>
      <c r="N374" s="332">
        <f>Gasto_o_ing_per_capita!N374-Gasto_o_ing_per_capita!$D374</f>
        <v>-0.27909753871353243</v>
      </c>
      <c r="O374" s="332">
        <f>Gasto_o_ing_per_capita!O374-Gasto_o_ing_per_capita!$D374</f>
        <v>-0.30654253572185503</v>
      </c>
      <c r="P374" s="332">
        <f>Gasto_o_ing_per_capita!P374-Gasto_o_ing_per_capita!$D374</f>
        <v>1.2681840219407379</v>
      </c>
      <c r="Q374" s="332">
        <f>Gasto_o_ing_per_capita!Q374-Gasto_o_ing_per_capita!$D374</f>
        <v>-3.7470006402292644E-2</v>
      </c>
      <c r="R374" s="332">
        <f>Gasto_o_ing_per_capita!R374-Gasto_o_ing_per_capita!$D374</f>
        <v>-5.2377568766529214E-2</v>
      </c>
      <c r="S374" s="332">
        <f>Gasto_o_ing_per_capita!S374-Gasto_o_ing_per_capita!$D374</f>
        <v>2.3448377922143604E-2</v>
      </c>
      <c r="T374" s="332">
        <f>Gasto_o_ing_per_capita!T374-Gasto_o_ing_per_capita!$D374</f>
        <v>-0.14294270696312883</v>
      </c>
      <c r="U374" s="332">
        <f>Gasto_o_ing_per_capita!U374-Gasto_o_ing_per_capita!$D374</f>
        <v>-0.26302203954263614</v>
      </c>
      <c r="V374" s="332">
        <f>Gasto_o_ing_per_capita!V374-Gasto_o_ing_per_capita!$D374</f>
        <v>-0.22495994822018273</v>
      </c>
      <c r="W374" s="122"/>
    </row>
    <row r="375" spans="1:23" s="104" customFormat="1">
      <c r="A375" s="351" t="str">
        <f>IF(B375="","",(IF(ISERROR(MATCH(B375,Tot_res!C:C,0)),"Eliminar!!!","")))</f>
        <v/>
      </c>
      <c r="B375" s="119" t="s">
        <v>356</v>
      </c>
      <c r="C375" s="329" t="str">
        <f>VLOOKUP(B375,Tot_res!C:D,2,FALSE)</f>
        <v>Protección del patrimonio histórico + AF17/2</v>
      </c>
      <c r="D375" s="332">
        <f>Gasto_o_ing_per_capita!D375-Gasto_o_ing_per_capita!$D375</f>
        <v>0</v>
      </c>
      <c r="E375" s="332">
        <f>Gasto_o_ing_per_capita!E375-Gasto_o_ing_per_capita!$D375</f>
        <v>-8.9403609661371813E-2</v>
      </c>
      <c r="F375" s="332">
        <f>Gasto_o_ing_per_capita!F375-Gasto_o_ing_per_capita!$D375</f>
        <v>-2.3677522561633024E-2</v>
      </c>
      <c r="G375" s="332">
        <f>Gasto_o_ing_per_capita!G375-Gasto_o_ing_per_capita!$D375</f>
        <v>-4.4367965862808473E-2</v>
      </c>
      <c r="H375" s="332">
        <f>Gasto_o_ing_per_capita!H375-Gasto_o_ing_per_capita!$D375</f>
        <v>-9.8337822372964928E-2</v>
      </c>
      <c r="I375" s="332">
        <f>Gasto_o_ing_per_capita!I375-Gasto_o_ing_per_capita!$D375</f>
        <v>-0.10274614494375454</v>
      </c>
      <c r="J375" s="332">
        <f>Gasto_o_ing_per_capita!J375-Gasto_o_ing_per_capita!$D375</f>
        <v>1.4316247105036178E-2</v>
      </c>
      <c r="K375" s="332">
        <f>Gasto_o_ing_per_capita!K375-Gasto_o_ing_per_capita!$D375</f>
        <v>0.33072706789124218</v>
      </c>
      <c r="L375" s="332">
        <f>Gasto_o_ing_per_capita!L375-Gasto_o_ing_per_capita!$D375</f>
        <v>-6.7009495778387801E-2</v>
      </c>
      <c r="M375" s="332">
        <f>Gasto_o_ing_per_capita!M375-Gasto_o_ing_per_capita!$D375</f>
        <v>-8.4239156399730536E-2</v>
      </c>
      <c r="N375" s="332">
        <f>Gasto_o_ing_per_capita!N375-Gasto_o_ing_per_capita!$D375</f>
        <v>-6.9429633116234499E-2</v>
      </c>
      <c r="O375" s="332">
        <f>Gasto_o_ing_per_capita!O375-Gasto_o_ing_per_capita!$D375</f>
        <v>-4.4729505590648366E-2</v>
      </c>
      <c r="P375" s="332">
        <f>Gasto_o_ing_per_capita!P375-Gasto_o_ing_per_capita!$D375</f>
        <v>-6.9204825386414495E-2</v>
      </c>
      <c r="Q375" s="332">
        <f>Gasto_o_ing_per_capita!Q375-Gasto_o_ing_per_capita!$D375</f>
        <v>0.27018213687333403</v>
      </c>
      <c r="R375" s="332">
        <f>Gasto_o_ing_per_capita!R375-Gasto_o_ing_per_capita!$D375</f>
        <v>-2.5602277848647409E-2</v>
      </c>
      <c r="S375" s="332">
        <f>Gasto_o_ing_per_capita!S375-Gasto_o_ing_per_capita!$D375</f>
        <v>5.0921163254334656E-3</v>
      </c>
      <c r="T375" s="332">
        <f>Gasto_o_ing_per_capita!T375-Gasto_o_ing_per_capita!$D375</f>
        <v>6.3150714828245358E-3</v>
      </c>
      <c r="U375" s="332">
        <f>Gasto_o_ing_per_capita!U375-Gasto_o_ing_per_capita!$D375</f>
        <v>-7.0435061125735832E-2</v>
      </c>
      <c r="V375" s="332">
        <f>Gasto_o_ing_per_capita!V375-Gasto_o_ing_per_capita!$D375</f>
        <v>-0.10411758758167108</v>
      </c>
      <c r="W375" s="122"/>
    </row>
    <row r="376" spans="1:23" s="104" customFormat="1">
      <c r="A376" s="351" t="str">
        <f>IF(B376="","",(IF(ISERROR(MATCH(B376,Tot_res!C:C,0)),"Eliminar!!!","")))</f>
        <v/>
      </c>
      <c r="B376" s="119" t="s">
        <v>834</v>
      </c>
      <c r="C376" s="329" t="str">
        <f>VLOOKUP(B376,Tot_res!C:D,2,FALSE)</f>
        <v>Dirección y Servicios Generales de Economía y Hacienda, transferencias a RTVE</v>
      </c>
      <c r="D376" s="332">
        <f>Gasto_o_ing_per_capita!D376-Gasto_o_ing_per_capita!$D376</f>
        <v>0</v>
      </c>
      <c r="E376" s="332">
        <f>Gasto_o_ing_per_capita!E376-Gasto_o_ing_per_capita!$D376</f>
        <v>0</v>
      </c>
      <c r="F376" s="332">
        <f>Gasto_o_ing_per_capita!F376-Gasto_o_ing_per_capita!$D376</f>
        <v>0</v>
      </c>
      <c r="G376" s="332">
        <f>Gasto_o_ing_per_capita!G376-Gasto_o_ing_per_capita!$D376</f>
        <v>0</v>
      </c>
      <c r="H376" s="332">
        <f>Gasto_o_ing_per_capita!H376-Gasto_o_ing_per_capita!$D376</f>
        <v>0</v>
      </c>
      <c r="I376" s="332">
        <f>Gasto_o_ing_per_capita!I376-Gasto_o_ing_per_capita!$D376</f>
        <v>0</v>
      </c>
      <c r="J376" s="332">
        <f>Gasto_o_ing_per_capita!J376-Gasto_o_ing_per_capita!$D376</f>
        <v>0</v>
      </c>
      <c r="K376" s="332">
        <f>Gasto_o_ing_per_capita!K376-Gasto_o_ing_per_capita!$D376</f>
        <v>0</v>
      </c>
      <c r="L376" s="332">
        <f>Gasto_o_ing_per_capita!L376-Gasto_o_ing_per_capita!$D376</f>
        <v>0</v>
      </c>
      <c r="M376" s="332">
        <f>Gasto_o_ing_per_capita!M376-Gasto_o_ing_per_capita!$D376</f>
        <v>0</v>
      </c>
      <c r="N376" s="332">
        <f>Gasto_o_ing_per_capita!N376-Gasto_o_ing_per_capita!$D376</f>
        <v>0</v>
      </c>
      <c r="O376" s="332">
        <f>Gasto_o_ing_per_capita!O376-Gasto_o_ing_per_capita!$D376</f>
        <v>0</v>
      </c>
      <c r="P376" s="332">
        <f>Gasto_o_ing_per_capita!P376-Gasto_o_ing_per_capita!$D376</f>
        <v>0</v>
      </c>
      <c r="Q376" s="332">
        <f>Gasto_o_ing_per_capita!Q376-Gasto_o_ing_per_capita!$D376</f>
        <v>0</v>
      </c>
      <c r="R376" s="332">
        <f>Gasto_o_ing_per_capita!R376-Gasto_o_ing_per_capita!$D376</f>
        <v>0</v>
      </c>
      <c r="S376" s="332">
        <f>Gasto_o_ing_per_capita!S376-Gasto_o_ing_per_capita!$D376</f>
        <v>0</v>
      </c>
      <c r="T376" s="332">
        <f>Gasto_o_ing_per_capita!T376-Gasto_o_ing_per_capita!$D376</f>
        <v>0</v>
      </c>
      <c r="U376" s="332">
        <f>Gasto_o_ing_per_capita!U376-Gasto_o_ing_per_capita!$D376</f>
        <v>0</v>
      </c>
      <c r="V376" s="332">
        <f>Gasto_o_ing_per_capita!V376-Gasto_o_ing_per_capita!$D376</f>
        <v>0</v>
      </c>
      <c r="W376" s="122"/>
    </row>
    <row r="377" spans="1:23" s="104" customFormat="1">
      <c r="A377" s="351" t="str">
        <f>IF(B377="","",(IF(ISERROR(MATCH(B377,Tot_res!C:C,0)),"Eliminar!!!","")))</f>
        <v/>
      </c>
      <c r="B377" s="119" t="s">
        <v>358</v>
      </c>
      <c r="C377" s="329" t="str">
        <f>VLOOKUP(B377,Tot_res!C:D,2,FALSE)</f>
        <v>Normalización lingüística + AF08</v>
      </c>
      <c r="D377" s="332">
        <f>Gasto_o_ing_per_capita!D377-Gasto_o_ing_per_capita!$D377</f>
        <v>0</v>
      </c>
      <c r="E377" s="332">
        <f>Gasto_o_ing_per_capita!E377-Gasto_o_ing_per_capita!$D377</f>
        <v>-3.9624772861608224</v>
      </c>
      <c r="F377" s="332">
        <f>Gasto_o_ing_per_capita!F377-Gasto_o_ing_per_capita!$D377</f>
        <v>-3.9624772861608224</v>
      </c>
      <c r="G377" s="332">
        <f>Gasto_o_ing_per_capita!G377-Gasto_o_ing_per_capita!$D377</f>
        <v>-3.9624772861608224</v>
      </c>
      <c r="H377" s="332">
        <f>Gasto_o_ing_per_capita!H377-Gasto_o_ing_per_capita!$D377</f>
        <v>14.16806852368893</v>
      </c>
      <c r="I377" s="332">
        <f>Gasto_o_ing_per_capita!I377-Gasto_o_ing_per_capita!$D377</f>
        <v>-3.9624772861608224</v>
      </c>
      <c r="J377" s="332">
        <f>Gasto_o_ing_per_capita!J377-Gasto_o_ing_per_capita!$D377</f>
        <v>-3.9624772861608224</v>
      </c>
      <c r="K377" s="332">
        <f>Gasto_o_ing_per_capita!K377-Gasto_o_ing_per_capita!$D377</f>
        <v>-3.9624772861608224</v>
      </c>
      <c r="L377" s="332">
        <f>Gasto_o_ing_per_capita!L377-Gasto_o_ing_per_capita!$D377</f>
        <v>-3.9624772861608224</v>
      </c>
      <c r="M377" s="332">
        <f>Gasto_o_ing_per_capita!M377-Gasto_o_ing_per_capita!$D377</f>
        <v>4.6752839628943441</v>
      </c>
      <c r="N377" s="332">
        <f>Gasto_o_ing_per_capita!N377-Gasto_o_ing_per_capita!$D377</f>
        <v>4.34361169744205</v>
      </c>
      <c r="O377" s="332">
        <f>Gasto_o_ing_per_capita!O377-Gasto_o_ing_per_capita!$D377</f>
        <v>-3.9624772861608224</v>
      </c>
      <c r="P377" s="332">
        <f>Gasto_o_ing_per_capita!P377-Gasto_o_ing_per_capita!$D377</f>
        <v>7.4784979995170211</v>
      </c>
      <c r="Q377" s="332">
        <f>Gasto_o_ing_per_capita!Q377-Gasto_o_ing_per_capita!$D377</f>
        <v>-3.9624772861608224</v>
      </c>
      <c r="R377" s="332">
        <f>Gasto_o_ing_per_capita!R377-Gasto_o_ing_per_capita!$D377</f>
        <v>-3.9624772861608224</v>
      </c>
      <c r="S377" s="332">
        <f>Gasto_o_ing_per_capita!S377-Gasto_o_ing_per_capita!$D377</f>
        <v>5.6847765809898689</v>
      </c>
      <c r="T377" s="332">
        <f>Gasto_o_ing_per_capita!T377-Gasto_o_ing_per_capita!$D377</f>
        <v>5.6847765809898689</v>
      </c>
      <c r="U377" s="332">
        <f>Gasto_o_ing_per_capita!U377-Gasto_o_ing_per_capita!$D377</f>
        <v>-3.9624772861608224</v>
      </c>
      <c r="V377" s="332">
        <f>Gasto_o_ing_per_capita!V377-Gasto_o_ing_per_capita!$D377</f>
        <v>-3.9624772861608224</v>
      </c>
      <c r="W377" s="122"/>
    </row>
    <row r="378" spans="1:23" s="104" customFormat="1">
      <c r="A378" s="351" t="str">
        <f>IF(B378="","",(IF(ISERROR(MATCH(B378,Tot_res!C:C,0)),"Eliminar!!!","")))</f>
        <v/>
      </c>
      <c r="B378" s="119" t="s">
        <v>359</v>
      </c>
      <c r="C378" s="329" t="str">
        <f>VLOOKUP(B378,Tot_res!C:D,2,FALSE)</f>
        <v>Aportación a la Iglesia Católica ligadas a la casilla del IRPF</v>
      </c>
      <c r="D378" s="332">
        <f>Gasto_o_ing_per_capita!D378-Gasto_o_ing_per_capita!$D378</f>
        <v>0</v>
      </c>
      <c r="E378" s="332">
        <f>Gasto_o_ing_per_capita!E378-Gasto_o_ing_per_capita!$D378</f>
        <v>-6.8292437925679295E-2</v>
      </c>
      <c r="F378" s="332">
        <f>Gasto_o_ing_per_capita!F378-Gasto_o_ing_per_capita!$D378</f>
        <v>0.74512177180824857</v>
      </c>
      <c r="G378" s="332">
        <f>Gasto_o_ing_per_capita!G378-Gasto_o_ing_per_capita!$D378</f>
        <v>0.78225157066858131</v>
      </c>
      <c r="H378" s="332">
        <f>Gasto_o_ing_per_capita!H378-Gasto_o_ing_per_capita!$D378</f>
        <v>-0.17932554819562796</v>
      </c>
      <c r="I378" s="332">
        <f>Gasto_o_ing_per_capita!I378-Gasto_o_ing_per_capita!$D378</f>
        <v>-0.79976301993247212</v>
      </c>
      <c r="J378" s="332">
        <f>Gasto_o_ing_per_capita!J378-Gasto_o_ing_per_capita!$D378</f>
        <v>3.7659436101245589</v>
      </c>
      <c r="K378" s="332">
        <f>Gasto_o_ing_per_capita!K378-Gasto_o_ing_per_capita!$D378</f>
        <v>2.1591551466269641</v>
      </c>
      <c r="L378" s="332">
        <f>Gasto_o_ing_per_capita!L378-Gasto_o_ing_per_capita!$D378</f>
        <v>1.1757075366400498</v>
      </c>
      <c r="M378" s="332">
        <f>Gasto_o_ing_per_capita!M378-Gasto_o_ing_per_capita!$D378</f>
        <v>-1.0886586649098771</v>
      </c>
      <c r="N378" s="332">
        <f>Gasto_o_ing_per_capita!N378-Gasto_o_ing_per_capita!$D378</f>
        <v>-0.13437711247965911</v>
      </c>
      <c r="O378" s="332">
        <f>Gasto_o_ing_per_capita!O378-Gasto_o_ing_per_capita!$D378</f>
        <v>2.003486461895303</v>
      </c>
      <c r="P378" s="332">
        <f>Gasto_o_ing_per_capita!P378-Gasto_o_ing_per_capita!$D378</f>
        <v>1.8061937975267872</v>
      </c>
      <c r="Q378" s="332">
        <f>Gasto_o_ing_per_capita!Q378-Gasto_o_ing_per_capita!$D378</f>
        <v>-1.1458567805796456</v>
      </c>
      <c r="R378" s="332">
        <f>Gasto_o_ing_per_capita!R378-Gasto_o_ing_per_capita!$D378</f>
        <v>1.3189553526699829</v>
      </c>
      <c r="S378" s="332">
        <f>Gasto_o_ing_per_capita!S378-Gasto_o_ing_per_capita!$D378</f>
        <v>0.12502031812989856</v>
      </c>
      <c r="T378" s="332">
        <f>Gasto_o_ing_per_capita!T378-Gasto_o_ing_per_capita!$D378</f>
        <v>-0.5776097479296034</v>
      </c>
      <c r="U378" s="332">
        <f>Gasto_o_ing_per_capita!U378-Gasto_o_ing_per_capita!$D378</f>
        <v>-1.4357692493228713</v>
      </c>
      <c r="V378" s="332">
        <f>Gasto_o_ing_per_capita!V378-Gasto_o_ing_per_capita!$D378</f>
        <v>-3.3404251166095751</v>
      </c>
      <c r="W378" s="122"/>
    </row>
    <row r="379" spans="1:23" s="104" customFormat="1">
      <c r="A379" s="351" t="str">
        <f>IF(B379="","",(IF(ISERROR(MATCH(B379,Tot_res!C:C,0)),"Eliminar!!!","")))</f>
        <v/>
      </c>
      <c r="B379" s="119" t="s">
        <v>837</v>
      </c>
      <c r="C379" s="329" t="str">
        <f>VLOOKUP(B379,Tot_res!C:D,2,FALSE)</f>
        <v>Ordenación y fomento de la edificación, actuaciones relacionadas con el 1% cultural</v>
      </c>
      <c r="D379" s="332">
        <f>Gasto_o_ing_per_capita!D379-Gasto_o_ing_per_capita!$D379</f>
        <v>0</v>
      </c>
      <c r="E379" s="332">
        <f>Gasto_o_ing_per_capita!E379-Gasto_o_ing_per_capita!$D379</f>
        <v>0.10540378332471374</v>
      </c>
      <c r="F379" s="332">
        <f>Gasto_o_ing_per_capita!F379-Gasto_o_ing_per_capita!$D379</f>
        <v>-7.3651018220980149E-2</v>
      </c>
      <c r="G379" s="332">
        <f>Gasto_o_ing_per_capita!G379-Gasto_o_ing_per_capita!$D379</f>
        <v>-9.5235177311063804E-2</v>
      </c>
      <c r="H379" s="332">
        <f>Gasto_o_ing_per_capita!H379-Gasto_o_ing_per_capita!$D379</f>
        <v>-9.5235177311063804E-2</v>
      </c>
      <c r="I379" s="332">
        <f>Gasto_o_ing_per_capita!I379-Gasto_o_ing_per_capita!$D379</f>
        <v>-9.5235177311063804E-2</v>
      </c>
      <c r="J379" s="332">
        <f>Gasto_o_ing_per_capita!J379-Gasto_o_ing_per_capita!$D379</f>
        <v>0.22243686347831459</v>
      </c>
      <c r="K379" s="332">
        <f>Gasto_o_ing_per_capita!K379-Gasto_o_ing_per_capita!$D379</f>
        <v>-1.0456547348604767E-2</v>
      </c>
      <c r="L379" s="332">
        <f>Gasto_o_ing_per_capita!L379-Gasto_o_ing_per_capita!$D379</f>
        <v>1.4345038384933756E-3</v>
      </c>
      <c r="M379" s="332">
        <f>Gasto_o_ing_per_capita!M379-Gasto_o_ing_per_capita!$D379</f>
        <v>3.1715692286472211E-2</v>
      </c>
      <c r="N379" s="332">
        <f>Gasto_o_ing_per_capita!N379-Gasto_o_ing_per_capita!$D379</f>
        <v>2.1930334034199389E-2</v>
      </c>
      <c r="O379" s="332">
        <f>Gasto_o_ing_per_capita!O379-Gasto_o_ing_per_capita!$D379</f>
        <v>-9.5235177311063804E-2</v>
      </c>
      <c r="P379" s="332">
        <f>Gasto_o_ing_per_capita!P379-Gasto_o_ing_per_capita!$D379</f>
        <v>1.2746250221421923E-3</v>
      </c>
      <c r="Q379" s="332">
        <f>Gasto_o_ing_per_capita!Q379-Gasto_o_ing_per_capita!$D379</f>
        <v>-9.5235177311063804E-2</v>
      </c>
      <c r="R379" s="332">
        <f>Gasto_o_ing_per_capita!R379-Gasto_o_ing_per_capita!$D379</f>
        <v>-9.5235177311063804E-2</v>
      </c>
      <c r="S379" s="332">
        <f>Gasto_o_ing_per_capita!S379-Gasto_o_ing_per_capita!$D379</f>
        <v>0.20914647333759151</v>
      </c>
      <c r="T379" s="332">
        <f>Gasto_o_ing_per_capita!T379-Gasto_o_ing_per_capita!$D379</f>
        <v>-9.5235177311063804E-2</v>
      </c>
      <c r="U379" s="332">
        <f>Gasto_o_ing_per_capita!U379-Gasto_o_ing_per_capita!$D379</f>
        <v>-9.5235177311063804E-2</v>
      </c>
      <c r="V379" s="332">
        <f>Gasto_o_ing_per_capita!V379-Gasto_o_ing_per_capita!$D379</f>
        <v>0.71787755731328673</v>
      </c>
      <c r="W379" s="122"/>
    </row>
    <row r="380" spans="1:23">
      <c r="A380" s="352"/>
      <c r="B380" s="9"/>
      <c r="D380" s="19"/>
      <c r="E380" s="19"/>
      <c r="F380" s="19"/>
      <c r="G380" s="19"/>
      <c r="H380" s="19"/>
      <c r="I380" s="19"/>
      <c r="J380" s="19"/>
      <c r="K380" s="19"/>
      <c r="L380" s="19"/>
      <c r="M380" s="19"/>
      <c r="N380" s="19"/>
      <c r="O380" s="19"/>
      <c r="P380" s="19"/>
      <c r="Q380" s="19"/>
      <c r="R380" s="19"/>
      <c r="S380" s="19"/>
      <c r="T380" s="19"/>
      <c r="U380" s="19"/>
      <c r="V380" s="19"/>
      <c r="W380" s="2"/>
    </row>
    <row r="381" spans="1:23" s="102" customFormat="1">
      <c r="A381" s="352"/>
      <c r="B381" s="115"/>
      <c r="C381" s="147" t="s">
        <v>68</v>
      </c>
      <c r="D381" s="110">
        <f>Gasto_o_ing_per_capita!D381-Gasto_o_ing_per_capita!$D381</f>
        <v>0</v>
      </c>
      <c r="E381" s="110">
        <f>Gasto_o_ing_per_capita!E381-Gasto_o_ing_per_capita!$D381</f>
        <v>-511.25753912239134</v>
      </c>
      <c r="F381" s="110">
        <f>Gasto_o_ing_per_capita!F381-Gasto_o_ing_per_capita!$D381</f>
        <v>445.35874681866744</v>
      </c>
      <c r="G381" s="110">
        <f>Gasto_o_ing_per_capita!G381-Gasto_o_ing_per_capita!$D381</f>
        <v>1746.0720835407446</v>
      </c>
      <c r="H381" s="110">
        <f>Gasto_o_ing_per_capita!H381-Gasto_o_ing_per_capita!$D381</f>
        <v>-679.47354195163462</v>
      </c>
      <c r="I381" s="110">
        <f>Gasto_o_ing_per_capita!I381-Gasto_o_ing_per_capita!$D381</f>
        <v>-855.13134824193003</v>
      </c>
      <c r="J381" s="110">
        <f>Gasto_o_ing_per_capita!J381-Gasto_o_ing_per_capita!$D381</f>
        <v>544.69741239707309</v>
      </c>
      <c r="K381" s="110">
        <f>Gasto_o_ing_per_capita!K381-Gasto_o_ing_per_capita!$D381</f>
        <v>575.97202895992905</v>
      </c>
      <c r="L381" s="110">
        <f>Gasto_o_ing_per_capita!L381-Gasto_o_ing_per_capita!$D381</f>
        <v>-507.69023192546774</v>
      </c>
      <c r="M381" s="110">
        <f>Gasto_o_ing_per_capita!M381-Gasto_o_ing_per_capita!$D381</f>
        <v>271.98677766792116</v>
      </c>
      <c r="N381" s="110">
        <f>Gasto_o_ing_per_capita!N381-Gasto_o_ing_per_capita!$D381</f>
        <v>-362.72908633828729</v>
      </c>
      <c r="O381" s="110">
        <f>Gasto_o_ing_per_capita!O381-Gasto_o_ing_per_capita!$D381</f>
        <v>-316.07129136940875</v>
      </c>
      <c r="P381" s="110">
        <f>Gasto_o_ing_per_capita!P381-Gasto_o_ing_per_capita!$D381</f>
        <v>478.52337003063985</v>
      </c>
      <c r="Q381" s="110">
        <f>Gasto_o_ing_per_capita!Q381-Gasto_o_ing_per_capita!$D381</f>
        <v>154.11873626364059</v>
      </c>
      <c r="R381" s="110">
        <f>Gasto_o_ing_per_capita!R381-Gasto_o_ing_per_capita!$D381</f>
        <v>-631.66159606949259</v>
      </c>
      <c r="S381" s="110">
        <f>Gasto_o_ing_per_capita!S381-Gasto_o_ing_per_capita!$D381</f>
        <v>300.23520205876957</v>
      </c>
      <c r="T381" s="110">
        <f>Gasto_o_ing_per_capita!T381-Gasto_o_ing_per_capita!$D381</f>
        <v>1113.9339345245617</v>
      </c>
      <c r="U381" s="110">
        <f>Gasto_o_ing_per_capita!U381-Gasto_o_ing_per_capita!$D381</f>
        <v>0.48667805328796021</v>
      </c>
      <c r="V381" s="110">
        <f>Gasto_o_ing_per_capita!V381-Gasto_o_ing_per_capita!$D381</f>
        <v>-1091.7817140933098</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Gasto_o_ing_per_capita!D383-Gasto_o_ing_per_capita!$D383</f>
        <v>0</v>
      </c>
      <c r="E383" s="113">
        <f>Gasto_o_ing_per_capita!E383-Gasto_o_ing_per_capita!$D383</f>
        <v>-509.4921567517149</v>
      </c>
      <c r="F383" s="113">
        <f>Gasto_o_ing_per_capita!F383-Gasto_o_ing_per_capita!$D383</f>
        <v>443.92308246475341</v>
      </c>
      <c r="G383" s="113">
        <f>Gasto_o_ing_per_capita!G383-Gasto_o_ing_per_capita!$D383</f>
        <v>1732.7539048722228</v>
      </c>
      <c r="H383" s="113">
        <f>Gasto_o_ing_per_capita!H383-Gasto_o_ing_per_capita!$D383</f>
        <v>-670.34501557107978</v>
      </c>
      <c r="I383" s="113">
        <f>Gasto_o_ing_per_capita!I383-Gasto_o_ing_per_capita!$D383</f>
        <v>-833.21493235817661</v>
      </c>
      <c r="J383" s="113">
        <f>Gasto_o_ing_per_capita!J383-Gasto_o_ing_per_capita!$D383</f>
        <v>532.21536632026618</v>
      </c>
      <c r="K383" s="113">
        <f>Gasto_o_ing_per_capita!K383-Gasto_o_ing_per_capita!$D383</f>
        <v>556.77736094646752</v>
      </c>
      <c r="L383" s="113">
        <f>Gasto_o_ing_per_capita!L383-Gasto_o_ing_per_capita!$D383</f>
        <v>-508.69727495520601</v>
      </c>
      <c r="M383" s="113">
        <f>Gasto_o_ing_per_capita!M383-Gasto_o_ing_per_capita!$D383</f>
        <v>272.71919731244589</v>
      </c>
      <c r="N383" s="113">
        <f>Gasto_o_ing_per_capita!N383-Gasto_o_ing_per_capita!$D383</f>
        <v>-347.71636952692688</v>
      </c>
      <c r="O383" s="113">
        <f>Gasto_o_ing_per_capita!O383-Gasto_o_ing_per_capita!$D383</f>
        <v>-322.91303432541781</v>
      </c>
      <c r="P383" s="113">
        <f>Gasto_o_ing_per_capita!P383-Gasto_o_ing_per_capita!$D383</f>
        <v>472.05554906016459</v>
      </c>
      <c r="Q383" s="113">
        <f>Gasto_o_ing_per_capita!Q383-Gasto_o_ing_per_capita!$D383</f>
        <v>154.08091281431462</v>
      </c>
      <c r="R383" s="113">
        <f>Gasto_o_ing_per_capita!R383-Gasto_o_ing_per_capita!$D383</f>
        <v>-640.23291694872751</v>
      </c>
      <c r="S383" s="113">
        <f>Gasto_o_ing_per_capita!S383-Gasto_o_ing_per_capita!$D383</f>
        <v>302.10145131279933</v>
      </c>
      <c r="T383" s="113">
        <f>Gasto_o_ing_per_capita!T383-Gasto_o_ing_per_capita!$D383</f>
        <v>1104.289147937352</v>
      </c>
      <c r="U383" s="113">
        <f>Gasto_o_ing_per_capita!U383-Gasto_o_ing_per_capita!$D383</f>
        <v>-14.196626062269388</v>
      </c>
      <c r="V383" s="113">
        <f>Gasto_o_ing_per_capita!V383-Gasto_o_ing_per_capita!$D383</f>
        <v>-1184.72524765758</v>
      </c>
      <c r="W383" s="105"/>
    </row>
    <row r="384" spans="1:23" s="102" customFormat="1">
      <c r="A384" s="351" t="str">
        <f>IF(B384="","",(IF(ISERROR(MATCH(B384,Tot_res!C:C,0)),"Eliminar!!!","")))</f>
        <v/>
      </c>
      <c r="B384" s="115" t="s">
        <v>360</v>
      </c>
      <c r="C384" s="329" t="str">
        <f>VLOOKUP(B384,Tot_res!C:D,2,FALSE)</f>
        <v>Pensiones de clases pasivas</v>
      </c>
      <c r="D384" s="332">
        <f>Gasto_o_ing_per_capita!D384-Gasto_o_ing_per_capita!$D384</f>
        <v>0</v>
      </c>
      <c r="E384" s="332">
        <f>Gasto_o_ing_per_capita!E384-Gasto_o_ing_per_capita!$D384</f>
        <v>27.995203763397626</v>
      </c>
      <c r="F384" s="332">
        <f>Gasto_o_ing_per_capita!F384-Gasto_o_ing_per_capita!$D384</f>
        <v>77.060688005960344</v>
      </c>
      <c r="G384" s="332">
        <f>Gasto_o_ing_per_capita!G384-Gasto_o_ing_per_capita!$D384</f>
        <v>50.141355465835318</v>
      </c>
      <c r="H384" s="332">
        <f>Gasto_o_ing_per_capita!H384-Gasto_o_ing_per_capita!$D384</f>
        <v>-97.254984797358617</v>
      </c>
      <c r="I384" s="332">
        <f>Gasto_o_ing_per_capita!I384-Gasto_o_ing_per_capita!$D384</f>
        <v>-26.693093218492606</v>
      </c>
      <c r="J384" s="332">
        <f>Gasto_o_ing_per_capita!J384-Gasto_o_ing_per_capita!$D384</f>
        <v>-2.6505780331393112</v>
      </c>
      <c r="K384" s="332">
        <f>Gasto_o_ing_per_capita!K384-Gasto_o_ing_per_capita!$D384</f>
        <v>171.78803410465707</v>
      </c>
      <c r="L384" s="332">
        <f>Gasto_o_ing_per_capita!L384-Gasto_o_ing_per_capita!$D384</f>
        <v>-15.475764499002509</v>
      </c>
      <c r="M384" s="332">
        <f>Gasto_o_ing_per_capita!M384-Gasto_o_ing_per_capita!$D384</f>
        <v>-120.58293112519291</v>
      </c>
      <c r="N384" s="332">
        <f>Gasto_o_ing_per_capita!N384-Gasto_o_ing_per_capita!$D384</f>
        <v>-57.799244226311089</v>
      </c>
      <c r="O384" s="332">
        <f>Gasto_o_ing_per_capita!O384-Gasto_o_ing_per_capita!$D384</f>
        <v>86.64361909622454</v>
      </c>
      <c r="P384" s="332">
        <f>Gasto_o_ing_per_capita!P384-Gasto_o_ing_per_capita!$D384</f>
        <v>60.937919788096224</v>
      </c>
      <c r="Q384" s="332">
        <f>Gasto_o_ing_per_capita!Q384-Gasto_o_ing_per_capita!$D384</f>
        <v>81.478999434153366</v>
      </c>
      <c r="R384" s="332">
        <f>Gasto_o_ing_per_capita!R384-Gasto_o_ing_per_capita!$D384</f>
        <v>30.089525897560861</v>
      </c>
      <c r="S384" s="332">
        <f>Gasto_o_ing_per_capita!S384-Gasto_o_ing_per_capita!$D384</f>
        <v>-71.610137653492757</v>
      </c>
      <c r="T384" s="332">
        <f>Gasto_o_ing_per_capita!T384-Gasto_o_ing_per_capita!$D384</f>
        <v>-122.2072960678843</v>
      </c>
      <c r="U384" s="332">
        <f>Gasto_o_ing_per_capita!U384-Gasto_o_ing_per_capita!$D384</f>
        <v>41.342962564404331</v>
      </c>
      <c r="V384" s="332">
        <f>Gasto_o_ing_per_capita!V384-Gasto_o_ing_per_capita!$D384</f>
        <v>259.06370910969679</v>
      </c>
      <c r="W384" s="105"/>
    </row>
    <row r="385" spans="1:23" s="102" customFormat="1">
      <c r="A385" s="351" t="str">
        <f>IF(B385="","",(IF(ISERROR(MATCH(B385,Tot_res!C:C,0)),"Eliminar!!!","")))</f>
        <v/>
      </c>
      <c r="B385" s="115" t="s">
        <v>361</v>
      </c>
      <c r="C385" s="329" t="str">
        <f>VLOOKUP(B385,Tot_res!C:D,2,FALSE)</f>
        <v>Otras pensiones y prestac. de clases pasivas</v>
      </c>
      <c r="D385" s="332">
        <f>Gasto_o_ing_per_capita!D385-Gasto_o_ing_per_capita!$D385</f>
        <v>0</v>
      </c>
      <c r="E385" s="332">
        <f>Gasto_o_ing_per_capita!E385-Gasto_o_ing_per_capita!$D385</f>
        <v>-0.25811051300737159</v>
      </c>
      <c r="F385" s="332">
        <f>Gasto_o_ing_per_capita!F385-Gasto_o_ing_per_capita!$D385</f>
        <v>-0.35434906666913019</v>
      </c>
      <c r="G385" s="332">
        <f>Gasto_o_ing_per_capita!G385-Gasto_o_ing_per_capita!$D385</f>
        <v>-0.32030609722883918</v>
      </c>
      <c r="H385" s="332">
        <f>Gasto_o_ing_per_capita!H385-Gasto_o_ing_per_capita!$D385</f>
        <v>-0.44386209742076632</v>
      </c>
      <c r="I385" s="332">
        <f>Gasto_o_ing_per_capita!I385-Gasto_o_ing_per_capita!$D385</f>
        <v>3.7174302848414871</v>
      </c>
      <c r="J385" s="332">
        <f>Gasto_o_ing_per_capita!J385-Gasto_o_ing_per_capita!$D385</f>
        <v>-0.28310575850200359</v>
      </c>
      <c r="K385" s="332">
        <f>Gasto_o_ing_per_capita!K385-Gasto_o_ing_per_capita!$D385</f>
        <v>-0.30877305747330663</v>
      </c>
      <c r="L385" s="332">
        <f>Gasto_o_ing_per_capita!L385-Gasto_o_ing_per_capita!$D385</f>
        <v>-0.30322615073868608</v>
      </c>
      <c r="M385" s="332">
        <f>Gasto_o_ing_per_capita!M385-Gasto_o_ing_per_capita!$D385</f>
        <v>-0.3744554266774483</v>
      </c>
      <c r="N385" s="332">
        <f>Gasto_o_ing_per_capita!N385-Gasto_o_ing_per_capita!$D385</f>
        <v>-0.35110901241985853</v>
      </c>
      <c r="O385" s="332">
        <f>Gasto_o_ing_per_capita!O385-Gasto_o_ing_per_capita!$D385</f>
        <v>-0.29564319326166588</v>
      </c>
      <c r="P385" s="332">
        <f>Gasto_o_ing_per_capita!P385-Gasto_o_ing_per_capita!$D385</f>
        <v>-0.32904285945559891</v>
      </c>
      <c r="Q385" s="332">
        <f>Gasto_o_ing_per_capita!Q385-Gasto_o_ing_per_capita!$D385</f>
        <v>0.63862639846721625</v>
      </c>
      <c r="R385" s="332">
        <f>Gasto_o_ing_per_capita!R385-Gasto_o_ing_per_capita!$D385</f>
        <v>-0.31895939429324699</v>
      </c>
      <c r="S385" s="332">
        <f>Gasto_o_ing_per_capita!S385-Gasto_o_ing_per_capita!$D385</f>
        <v>-0.49013467419274803</v>
      </c>
      <c r="T385" s="332">
        <f>Gasto_o_ing_per_capita!T385-Gasto_o_ing_per_capita!$D385</f>
        <v>-0.24068733896797967</v>
      </c>
      <c r="U385" s="332">
        <f>Gasto_o_ing_per_capita!U385-Gasto_o_ing_per_capita!$D385</f>
        <v>-0.35481506417769182</v>
      </c>
      <c r="V385" s="332">
        <f>Gasto_o_ing_per_capita!V385-Gasto_o_ing_per_capita!$D385</f>
        <v>1.8084416901855986</v>
      </c>
      <c r="W385" s="105"/>
    </row>
    <row r="386" spans="1:23" s="102" customFormat="1">
      <c r="A386" s="351" t="str">
        <f>IF(B386="","",(IF(ISERROR(MATCH(B386,Tot_res!C:C,0)),"Eliminar!!!","")))</f>
        <v/>
      </c>
      <c r="B386" s="115" t="s">
        <v>362</v>
      </c>
      <c r="C386" s="329" t="str">
        <f>VLOOKUP(B386,Tot_res!C:D,2,FALSE)</f>
        <v>Pensiones no contrib. y prestac. asistenciales</v>
      </c>
      <c r="D386" s="332">
        <f>Gasto_o_ing_per_capita!D386-Gasto_o_ing_per_capita!$D386</f>
        <v>0</v>
      </c>
      <c r="E386" s="332">
        <f>Gasto_o_ing_per_capita!E386-Gasto_o_ing_per_capita!$D386</f>
        <v>0.49488587648273002</v>
      </c>
      <c r="F386" s="332">
        <f>Gasto_o_ing_per_capita!F386-Gasto_o_ing_per_capita!$D386</f>
        <v>-0.23401673055430477</v>
      </c>
      <c r="G386" s="332">
        <f>Gasto_o_ing_per_capita!G386-Gasto_o_ing_per_capita!$D386</f>
        <v>-0.23482430411773861</v>
      </c>
      <c r="H386" s="332">
        <f>Gasto_o_ing_per_capita!H386-Gasto_o_ing_per_capita!$D386</f>
        <v>-0.25118534450547453</v>
      </c>
      <c r="I386" s="332">
        <f>Gasto_o_ing_per_capita!I386-Gasto_o_ing_per_capita!$D386</f>
        <v>1.3883692808938519</v>
      </c>
      <c r="J386" s="332">
        <f>Gasto_o_ing_per_capita!J386-Gasto_o_ing_per_capita!$D386</f>
        <v>-0.15832145173753737</v>
      </c>
      <c r="K386" s="332">
        <f>Gasto_o_ing_per_capita!K386-Gasto_o_ing_per_capita!$D386</f>
        <v>-0.21798019805461061</v>
      </c>
      <c r="L386" s="332">
        <f>Gasto_o_ing_per_capita!L386-Gasto_o_ing_per_capita!$D386</f>
        <v>-0.23623148767835353</v>
      </c>
      <c r="M386" s="332">
        <f>Gasto_o_ing_per_capita!M386-Gasto_o_ing_per_capita!$D386</f>
        <v>-0.25068660367773615</v>
      </c>
      <c r="N386" s="332">
        <f>Gasto_o_ing_per_capita!N386-Gasto_o_ing_per_capita!$D386</f>
        <v>-0.1510987939048187</v>
      </c>
      <c r="O386" s="332">
        <f>Gasto_o_ing_per_capita!O386-Gasto_o_ing_per_capita!$D386</f>
        <v>-0.14274157923396324</v>
      </c>
      <c r="P386" s="332">
        <f>Gasto_o_ing_per_capita!P386-Gasto_o_ing_per_capita!$D386</f>
        <v>-0.24850792313352502</v>
      </c>
      <c r="Q386" s="332">
        <f>Gasto_o_ing_per_capita!Q386-Gasto_o_ing_per_capita!$D386</f>
        <v>-9.4045940982099313E-2</v>
      </c>
      <c r="R386" s="332">
        <f>Gasto_o_ing_per_capita!R386-Gasto_o_ing_per_capita!$D386</f>
        <v>-0.12634810624117424</v>
      </c>
      <c r="S386" s="332">
        <f>Gasto_o_ing_per_capita!S386-Gasto_o_ing_per_capita!$D386</f>
        <v>-0.25392954987683586</v>
      </c>
      <c r="T386" s="332">
        <f>Gasto_o_ing_per_capita!T386-Gasto_o_ing_per_capita!$D386</f>
        <v>-0.2574495680064493</v>
      </c>
      <c r="U386" s="332">
        <f>Gasto_o_ing_per_capita!U386-Gasto_o_ing_per_capita!$D386</f>
        <v>-0.2574495680064493</v>
      </c>
      <c r="V386" s="332">
        <f>Gasto_o_ing_per_capita!V386-Gasto_o_ing_per_capita!$D386</f>
        <v>-0.2574495680064493</v>
      </c>
      <c r="W386" s="114"/>
    </row>
    <row r="387" spans="1:23" s="102" customFormat="1">
      <c r="A387" s="351" t="str">
        <f>IF(B387="","",(IF(ISERROR(MATCH(B387,Tot_res!C:C,0)),"Eliminar!!!","")))</f>
        <v/>
      </c>
      <c r="B387" s="115" t="s">
        <v>363</v>
      </c>
      <c r="C387" s="329" t="str">
        <f>VLOOKUP(B387,Tot_res!C:D,2,FALSE)</f>
        <v>Pensiones de guerra</v>
      </c>
      <c r="D387" s="332">
        <f>Gasto_o_ing_per_capita!D387-Gasto_o_ing_per_capita!$D387</f>
        <v>0</v>
      </c>
      <c r="E387" s="332">
        <f>Gasto_o_ing_per_capita!E387-Gasto_o_ing_per_capita!$D387</f>
        <v>-2.5001648606481228</v>
      </c>
      <c r="F387" s="332">
        <f>Gasto_o_ing_per_capita!F387-Gasto_o_ing_per_capita!$D387</f>
        <v>1.0275539784657779</v>
      </c>
      <c r="G387" s="332">
        <f>Gasto_o_ing_per_capita!G387-Gasto_o_ing_per_capita!$D387</f>
        <v>2.9698632714772071</v>
      </c>
      <c r="H387" s="332">
        <f>Gasto_o_ing_per_capita!H387-Gasto_o_ing_per_capita!$D387</f>
        <v>-3.277887660212417</v>
      </c>
      <c r="I387" s="332">
        <f>Gasto_o_ing_per_capita!I387-Gasto_o_ing_per_capita!$D387</f>
        <v>-4.9139420724632261</v>
      </c>
      <c r="J387" s="332">
        <f>Gasto_o_ing_per_capita!J387-Gasto_o_ing_per_capita!$D387</f>
        <v>1.3790328034276822</v>
      </c>
      <c r="K387" s="332">
        <f>Gasto_o_ing_per_capita!K387-Gasto_o_ing_per_capita!$D387</f>
        <v>-2.7498765075167197</v>
      </c>
      <c r="L387" s="332">
        <f>Gasto_o_ing_per_capita!L387-Gasto_o_ing_per_capita!$D387</f>
        <v>0.18338741158142025</v>
      </c>
      <c r="M387" s="332">
        <f>Gasto_o_ing_per_capita!M387-Gasto_o_ing_per_capita!$D387</f>
        <v>1.8014558469453226</v>
      </c>
      <c r="N387" s="332">
        <f>Gasto_o_ing_per_capita!N387-Gasto_o_ing_per_capita!$D387</f>
        <v>2.3230530941172347</v>
      </c>
      <c r="O387" s="332">
        <f>Gasto_o_ing_per_capita!O387-Gasto_o_ing_per_capita!$D387</f>
        <v>-1.8450248206350599</v>
      </c>
      <c r="P387" s="332">
        <f>Gasto_o_ing_per_capita!P387-Gasto_o_ing_per_capita!$D387</f>
        <v>-4.0529650117758811</v>
      </c>
      <c r="Q387" s="332">
        <f>Gasto_o_ing_per_capita!Q387-Gasto_o_ing_per_capita!$D387</f>
        <v>4.4928362943363584</v>
      </c>
      <c r="R387" s="332">
        <f>Gasto_o_ing_per_capita!R387-Gasto_o_ing_per_capita!$D387</f>
        <v>0.12636413616280784</v>
      </c>
      <c r="S387" s="332">
        <f>Gasto_o_ing_per_capita!S387-Gasto_o_ing_per_capita!$D387</f>
        <v>-3.3132160832488982</v>
      </c>
      <c r="T387" s="332">
        <f>Gasto_o_ing_per_capita!T387-Gasto_o_ing_per_capita!$D387</f>
        <v>-0.50126096371095041</v>
      </c>
      <c r="U387" s="332">
        <f>Gasto_o_ing_per_capita!U387-Gasto_o_ing_per_capita!$D387</f>
        <v>-3.4101946900774989</v>
      </c>
      <c r="V387" s="332">
        <f>Gasto_o_ing_per_capita!V387-Gasto_o_ing_per_capita!$D387</f>
        <v>-4.3972811497041917</v>
      </c>
      <c r="W387" s="105"/>
    </row>
    <row r="388" spans="1:23" s="102" customFormat="1">
      <c r="A388" s="351" t="str">
        <f>IF(B388="","",(IF(ISERROR(MATCH(B388,Tot_res!C:C,0)),"Eliminar!!!","")))</f>
        <v/>
      </c>
      <c r="B388" s="115" t="s">
        <v>364</v>
      </c>
      <c r="C388" s="329" t="str">
        <f>VLOOKUP(B388,Tot_res!C:D,2,FALSE)</f>
        <v>Gestión de pensiones de clases pasivas</v>
      </c>
      <c r="D388" s="332">
        <f>Gasto_o_ing_per_capita!D388-Gasto_o_ing_per_capita!$D388</f>
        <v>0</v>
      </c>
      <c r="E388" s="332">
        <f>Gasto_o_ing_per_capita!E388-Gasto_o_ing_per_capita!$D388</f>
        <v>1.2775858143456664E-2</v>
      </c>
      <c r="F388" s="332">
        <f>Gasto_o_ing_per_capita!F388-Gasto_o_ing_per_capita!$D388</f>
        <v>3.9351745724316545E-2</v>
      </c>
      <c r="G388" s="332">
        <f>Gasto_o_ing_per_capita!G388-Gasto_o_ing_per_capita!$D388</f>
        <v>2.6724694889076223E-2</v>
      </c>
      <c r="H388" s="332">
        <f>Gasto_o_ing_per_capita!H388-Gasto_o_ing_per_capita!$D388</f>
        <v>-5.1118124065701445E-2</v>
      </c>
      <c r="I388" s="332">
        <f>Gasto_o_ing_per_capita!I388-Gasto_o_ing_per_capita!$D388</f>
        <v>-1.4118740273479036E-2</v>
      </c>
      <c r="J388" s="332">
        <f>Gasto_o_ing_per_capita!J388-Gasto_o_ing_per_capita!$D388</f>
        <v>-7.8702131183594481E-4</v>
      </c>
      <c r="K388" s="332">
        <f>Gasto_o_ing_per_capita!K388-Gasto_o_ing_per_capita!$D388</f>
        <v>8.5416998781347009E-2</v>
      </c>
      <c r="L388" s="332">
        <f>Gasto_o_ing_per_capita!L388-Gasto_o_ing_per_capita!$D388</f>
        <v>-7.8950659745641305E-3</v>
      </c>
      <c r="M388" s="332">
        <f>Gasto_o_ing_per_capita!M388-Gasto_o_ing_per_capita!$D388</f>
        <v>-6.0321099466940267E-2</v>
      </c>
      <c r="N388" s="332">
        <f>Gasto_o_ing_per_capita!N388-Gasto_o_ing_per_capita!$D388</f>
        <v>-2.8261825534587351E-2</v>
      </c>
      <c r="O388" s="332">
        <f>Gasto_o_ing_per_capita!O388-Gasto_o_ing_per_capita!$D388</f>
        <v>4.2778491069067559E-2</v>
      </c>
      <c r="P388" s="332">
        <f>Gasto_o_ing_per_capita!P388-Gasto_o_ing_per_capita!$D388</f>
        <v>2.8630675519029702E-2</v>
      </c>
      <c r="Q388" s="332">
        <f>Gasto_o_ing_per_capita!Q388-Gasto_o_ing_per_capita!$D388</f>
        <v>4.3845390405077622E-2</v>
      </c>
      <c r="R388" s="332">
        <f>Gasto_o_ing_per_capita!R388-Gasto_o_ing_per_capita!$D388</f>
        <v>1.5134922082252228E-2</v>
      </c>
      <c r="S388" s="332">
        <f>Gasto_o_ing_per_capita!S388-Gasto_o_ing_per_capita!$D388</f>
        <v>-3.817707191469992E-2</v>
      </c>
      <c r="T388" s="332">
        <f>Gasto_o_ing_per_capita!T388-Gasto_o_ing_per_capita!$D388</f>
        <v>-6.2241413878321938E-2</v>
      </c>
      <c r="U388" s="332">
        <f>Gasto_o_ing_per_capita!U388-Gasto_o_ing_per_capita!$D388</f>
        <v>1.9023337032533366E-2</v>
      </c>
      <c r="V388" s="332">
        <f>Gasto_o_ing_per_capita!V388-Gasto_o_ing_per_capita!$D388</f>
        <v>0.12983697942195221</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Gasto_o_ing_per_capita!D389-Gasto_o_ing_per_capita!$D389</f>
        <v>0</v>
      </c>
      <c r="E389" s="332">
        <f>Gasto_o_ing_per_capita!E389-Gasto_o_ing_per_capita!$D389</f>
        <v>0.26649970362463993</v>
      </c>
      <c r="F389" s="332">
        <f>Gasto_o_ing_per_capita!F389-Gasto_o_ing_per_capita!$D389</f>
        <v>1.0739576823161334</v>
      </c>
      <c r="G389" s="332">
        <f>Gasto_o_ing_per_capita!G389-Gasto_o_ing_per_capita!$D389</f>
        <v>1.7938220485505054</v>
      </c>
      <c r="H389" s="332">
        <f>Gasto_o_ing_per_capita!H389-Gasto_o_ing_per_capita!$D389</f>
        <v>-1.402404862911097</v>
      </c>
      <c r="I389" s="332">
        <f>Gasto_o_ing_per_capita!I389-Gasto_o_ing_per_capita!$D389</f>
        <v>-0.40903546081387443</v>
      </c>
      <c r="J389" s="332">
        <f>Gasto_o_ing_per_capita!J389-Gasto_o_ing_per_capita!$D389</f>
        <v>1.0934688591387518</v>
      </c>
      <c r="K389" s="332">
        <f>Gasto_o_ing_per_capita!K389-Gasto_o_ing_per_capita!$D389</f>
        <v>2.064404448662299</v>
      </c>
      <c r="L389" s="332">
        <f>Gasto_o_ing_per_capita!L389-Gasto_o_ing_per_capita!$D389</f>
        <v>-1.3377902563560555</v>
      </c>
      <c r="M389" s="332">
        <f>Gasto_o_ing_per_capita!M389-Gasto_o_ing_per_capita!$D389</f>
        <v>-1.795759412676424</v>
      </c>
      <c r="N389" s="332">
        <f>Gasto_o_ing_per_capita!N389-Gasto_o_ing_per_capita!$D389</f>
        <v>-0.45245461701574996</v>
      </c>
      <c r="O389" s="332">
        <f>Gasto_o_ing_per_capita!O389-Gasto_o_ing_per_capita!$D389</f>
        <v>-0.18120411517280122</v>
      </c>
      <c r="P389" s="332">
        <f>Gasto_o_ing_per_capita!P389-Gasto_o_ing_per_capita!$D389</f>
        <v>1.0700249499453678</v>
      </c>
      <c r="Q389" s="332">
        <f>Gasto_o_ing_per_capita!Q389-Gasto_o_ing_per_capita!$D389</f>
        <v>1.7126096243535924</v>
      </c>
      <c r="R389" s="332">
        <f>Gasto_o_ing_per_capita!R389-Gasto_o_ing_per_capita!$D389</f>
        <v>-2.1939755407221817E-2</v>
      </c>
      <c r="S389" s="332">
        <f>Gasto_o_ing_per_capita!S389-Gasto_o_ing_per_capita!$D389</f>
        <v>-1.7299184246857431</v>
      </c>
      <c r="T389" s="332">
        <f>Gasto_o_ing_per_capita!T389-Gasto_o_ing_per_capita!$D389</f>
        <v>-1.8346611826501125</v>
      </c>
      <c r="U389" s="332">
        <f>Gasto_o_ing_per_capita!U389-Gasto_o_ing_per_capita!$D389</f>
        <v>-0.25717688327621246</v>
      </c>
      <c r="V389" s="332">
        <f>Gasto_o_ing_per_capita!V389-Gasto_o_ing_per_capita!$D389</f>
        <v>6.3144851278354794</v>
      </c>
      <c r="W389" s="105"/>
    </row>
    <row r="390" spans="1:23" s="102" customFormat="1">
      <c r="A390" s="351" t="str">
        <f>IF(B390="","",(IF(ISERROR(MATCH(B390,Tot_res!C:C,0)),"Eliminar!!!","")))</f>
        <v/>
      </c>
      <c r="B390" s="115" t="s">
        <v>367</v>
      </c>
      <c r="C390" s="329" t="str">
        <f>VLOOKUP(B390,Tot_res!C:D,2,FALSE)</f>
        <v>Prestaciones de garantía salarial</v>
      </c>
      <c r="D390" s="332">
        <f>Gasto_o_ing_per_capita!D390-Gasto_o_ing_per_capita!$D390</f>
        <v>0</v>
      </c>
      <c r="E390" s="332">
        <f>Gasto_o_ing_per_capita!E390-Gasto_o_ing_per_capita!$D390</f>
        <v>-18.775789889988467</v>
      </c>
      <c r="F390" s="332">
        <f>Gasto_o_ing_per_capita!F390-Gasto_o_ing_per_capita!$D390</f>
        <v>2.5446329061315396</v>
      </c>
      <c r="G390" s="332">
        <f>Gasto_o_ing_per_capita!G390-Gasto_o_ing_per_capita!$D390</f>
        <v>3.8805090969737606</v>
      </c>
      <c r="H390" s="332">
        <f>Gasto_o_ing_per_capita!H390-Gasto_o_ing_per_capita!$D390</f>
        <v>1.3263131980125706</v>
      </c>
      <c r="I390" s="332">
        <f>Gasto_o_ing_per_capita!I390-Gasto_o_ing_per_capita!$D390</f>
        <v>-8.9127162757378997</v>
      </c>
      <c r="J390" s="332">
        <f>Gasto_o_ing_per_capita!J390-Gasto_o_ing_per_capita!$D390</f>
        <v>-1.2308639734315676</v>
      </c>
      <c r="K390" s="332">
        <f>Gasto_o_ing_per_capita!K390-Gasto_o_ing_per_capita!$D390</f>
        <v>-12.372616019971332</v>
      </c>
      <c r="L390" s="332">
        <f>Gasto_o_ing_per_capita!L390-Gasto_o_ing_per_capita!$D390</f>
        <v>-16.318241205621185</v>
      </c>
      <c r="M390" s="332">
        <f>Gasto_o_ing_per_capita!M390-Gasto_o_ing_per_capita!$D390</f>
        <v>18.275206096399685</v>
      </c>
      <c r="N390" s="332">
        <f>Gasto_o_ing_per_capita!N390-Gasto_o_ing_per_capita!$D390</f>
        <v>28.743928926067284</v>
      </c>
      <c r="O390" s="332">
        <f>Gasto_o_ing_per_capita!O390-Gasto_o_ing_per_capita!$D390</f>
        <v>-18.018517606155715</v>
      </c>
      <c r="P390" s="332">
        <f>Gasto_o_ing_per_capita!P390-Gasto_o_ing_per_capita!$D390</f>
        <v>0.37023901575494733</v>
      </c>
      <c r="Q390" s="332">
        <f>Gasto_o_ing_per_capita!Q390-Gasto_o_ing_per_capita!$D390</f>
        <v>-0.37347586101239472</v>
      </c>
      <c r="R390" s="332">
        <f>Gasto_o_ing_per_capita!R390-Gasto_o_ing_per_capita!$D390</f>
        <v>7.2986334596990972</v>
      </c>
      <c r="S390" s="332">
        <f>Gasto_o_ing_per_capita!S390-Gasto_o_ing_per_capita!$D390</f>
        <v>-9.0278698421581254</v>
      </c>
      <c r="T390" s="332">
        <f>Gasto_o_ing_per_capita!T390-Gasto_o_ing_per_capita!$D390</f>
        <v>-9.4891253070797887</v>
      </c>
      <c r="U390" s="332">
        <f>Gasto_o_ing_per_capita!U390-Gasto_o_ing_per_capita!$D390</f>
        <v>-10.432663358935365</v>
      </c>
      <c r="V390" s="332">
        <f>Gasto_o_ing_per_capita!V390-Gasto_o_ing_per_capita!$D390</f>
        <v>-45.724705405400584</v>
      </c>
      <c r="W390" s="105"/>
    </row>
    <row r="391" spans="1:23" s="102" customFormat="1">
      <c r="A391" s="351" t="str">
        <f>IF(B391="","",(IF(ISERROR(MATCH(B391,Tot_res!C:C,0)),"Eliminar!!!","")))</f>
        <v/>
      </c>
      <c r="B391" s="119" t="s">
        <v>368</v>
      </c>
      <c r="C391" s="329" t="str">
        <f>VLOOKUP(B391,Tot_res!C:D,2,FALSE)</f>
        <v>Prestaciones económicas por cese de actividad</v>
      </c>
      <c r="D391" s="332">
        <f>Gasto_o_ing_per_capita!D391-Gasto_o_ing_per_capita!$D391</f>
        <v>0</v>
      </c>
      <c r="E391" s="332">
        <f>Gasto_o_ing_per_capita!E391-Gasto_o_ing_per_capita!$D391</f>
        <v>-1.869821676429748E-2</v>
      </c>
      <c r="F391" s="332">
        <f>Gasto_o_ing_per_capita!F391-Gasto_o_ing_per_capita!$D391</f>
        <v>8.5680969581286709E-3</v>
      </c>
      <c r="G391" s="332">
        <f>Gasto_o_ing_per_capita!G391-Gasto_o_ing_per_capita!$D391</f>
        <v>1.4488974111991557E-3</v>
      </c>
      <c r="H391" s="332">
        <f>Gasto_o_ing_per_capita!H391-Gasto_o_ing_per_capita!$D391</f>
        <v>-2.2366275455857763E-2</v>
      </c>
      <c r="I391" s="332">
        <f>Gasto_o_ing_per_capita!I391-Gasto_o_ing_per_capita!$D391</f>
        <v>-3.3414445712175375E-2</v>
      </c>
      <c r="J391" s="332">
        <f>Gasto_o_ing_per_capita!J391-Gasto_o_ing_per_capita!$D391</f>
        <v>1.0976308860320381E-2</v>
      </c>
      <c r="K391" s="332">
        <f>Gasto_o_ing_per_capita!K391-Gasto_o_ing_per_capita!$D391</f>
        <v>-5.4594905872338284E-3</v>
      </c>
      <c r="L391" s="332">
        <f>Gasto_o_ing_per_capita!L391-Gasto_o_ing_per_capita!$D391</f>
        <v>-1.2910450276336777E-2</v>
      </c>
      <c r="M391" s="332">
        <f>Gasto_o_ing_per_capita!M391-Gasto_o_ing_per_capita!$D391</f>
        <v>-1.1246773347821429E-2</v>
      </c>
      <c r="N391" s="332">
        <f>Gasto_o_ing_per_capita!N391-Gasto_o_ing_per_capita!$D391</f>
        <v>-1.1822529828218003E-2</v>
      </c>
      <c r="O391" s="332">
        <f>Gasto_o_ing_per_capita!O391-Gasto_o_ing_per_capita!$D391</f>
        <v>-3.7529828904467946E-2</v>
      </c>
      <c r="P391" s="332">
        <f>Gasto_o_ing_per_capita!P391-Gasto_o_ing_per_capita!$D391</f>
        <v>0.18722676119254245</v>
      </c>
      <c r="Q391" s="332">
        <f>Gasto_o_ing_per_capita!Q391-Gasto_o_ing_per_capita!$D391</f>
        <v>-5.1079148155583273E-3</v>
      </c>
      <c r="R391" s="332">
        <f>Gasto_o_ing_per_capita!R391-Gasto_o_ing_per_capita!$D391</f>
        <v>6.6524516437610967E-3</v>
      </c>
      <c r="S391" s="332">
        <f>Gasto_o_ing_per_capita!S391-Gasto_o_ing_per_capita!$D391</f>
        <v>1.6238431214519386E-3</v>
      </c>
      <c r="T391" s="332">
        <f>Gasto_o_ing_per_capita!T391-Gasto_o_ing_per_capita!$D391</f>
        <v>-1.2181961520895662E-2</v>
      </c>
      <c r="U391" s="332">
        <f>Gasto_o_ing_per_capita!U391-Gasto_o_ing_per_capita!$D391</f>
        <v>1.238687154764502E-3</v>
      </c>
      <c r="V391" s="332">
        <f>Gasto_o_ing_per_capita!V391-Gasto_o_ing_per_capita!$D391</f>
        <v>-4.1431993839803567E-2</v>
      </c>
      <c r="W391" s="105"/>
    </row>
    <row r="392" spans="1:23" s="102" customFormat="1">
      <c r="A392" s="351" t="str">
        <f>IF(B392="","",(IF(ISERROR(MATCH(B392,Tot_res!C:C,0)),"Eliminar!!!","")))</f>
        <v/>
      </c>
      <c r="B392" s="119" t="s">
        <v>844</v>
      </c>
      <c r="C392" s="329" t="str">
        <f>VLOOKUP(B392,Tot_res!C:D,2,FALSE)</f>
        <v>Prestaciones a los desempleados, neto de renta y subsidio agrarios</v>
      </c>
      <c r="D392" s="332">
        <f>Gasto_o_ing_per_capita!D392-Gasto_o_ing_per_capita!$D392</f>
        <v>0</v>
      </c>
      <c r="E392" s="332">
        <f>Gasto_o_ing_per_capita!E392-Gasto_o_ing_per_capita!$D392</f>
        <v>-23.928917506902735</v>
      </c>
      <c r="F392" s="332">
        <f>Gasto_o_ing_per_capita!F392-Gasto_o_ing_per_capita!$D392</f>
        <v>-17.07017199025762</v>
      </c>
      <c r="G392" s="332">
        <f>Gasto_o_ing_per_capita!G392-Gasto_o_ing_per_capita!$D392</f>
        <v>-2.7646628892682656</v>
      </c>
      <c r="H392" s="332">
        <f>Gasto_o_ing_per_capita!H392-Gasto_o_ing_per_capita!$D392</f>
        <v>80.41169874359548</v>
      </c>
      <c r="I392" s="332">
        <f>Gasto_o_ing_per_capita!I392-Gasto_o_ing_per_capita!$D392</f>
        <v>49.565732135656958</v>
      </c>
      <c r="J392" s="332">
        <f>Gasto_o_ing_per_capita!J392-Gasto_o_ing_per_capita!$D392</f>
        <v>-13.437012524185093</v>
      </c>
      <c r="K392" s="332">
        <f>Gasto_o_ing_per_capita!K392-Gasto_o_ing_per_capita!$D392</f>
        <v>-48.060044844558604</v>
      </c>
      <c r="L392" s="332">
        <f>Gasto_o_ing_per_capita!L392-Gasto_o_ing_per_capita!$D392</f>
        <v>20.525351836460572</v>
      </c>
      <c r="M392" s="332">
        <f>Gasto_o_ing_per_capita!M392-Gasto_o_ing_per_capita!$D392</f>
        <v>21.375132721053546</v>
      </c>
      <c r="N392" s="332">
        <f>Gasto_o_ing_per_capita!N392-Gasto_o_ing_per_capita!$D392</f>
        <v>10.769790304967387</v>
      </c>
      <c r="O392" s="332">
        <f>Gasto_o_ing_per_capita!O392-Gasto_o_ing_per_capita!$D392</f>
        <v>0.52169137093608242</v>
      </c>
      <c r="P392" s="332">
        <f>Gasto_o_ing_per_capita!P392-Gasto_o_ing_per_capita!$D392</f>
        <v>-15.738802277396474</v>
      </c>
      <c r="Q392" s="332">
        <f>Gasto_o_ing_per_capita!Q392-Gasto_o_ing_per_capita!$D392</f>
        <v>10.674290712497623</v>
      </c>
      <c r="R392" s="332">
        <f>Gasto_o_ing_per_capita!R392-Gasto_o_ing_per_capita!$D392</f>
        <v>-22.296091739532812</v>
      </c>
      <c r="S392" s="332">
        <f>Gasto_o_ing_per_capita!S392-Gasto_o_ing_per_capita!$D392</f>
        <v>11.078686233822168</v>
      </c>
      <c r="T392" s="332">
        <f>Gasto_o_ing_per_capita!T392-Gasto_o_ing_per_capita!$D392</f>
        <v>-31.645314537158811</v>
      </c>
      <c r="U392" s="332">
        <f>Gasto_o_ing_per_capita!U392-Gasto_o_ing_per_capita!$D392</f>
        <v>-9.2260667116570971</v>
      </c>
      <c r="V392" s="332">
        <f>Gasto_o_ing_per_capita!V392-Gasto_o_ing_per_capita!$D392</f>
        <v>-144.44062836684049</v>
      </c>
      <c r="W392" s="105"/>
    </row>
    <row r="393" spans="1:23" s="102" customFormat="1">
      <c r="A393" s="351" t="str">
        <f>IF(B393="","",(IF(ISERROR(MATCH(B393,Tot_res!C:C,0)),"Eliminar!!!","")))</f>
        <v/>
      </c>
      <c r="B393" s="115" t="s">
        <v>370</v>
      </c>
      <c r="C393" s="329" t="str">
        <f>VLOOKUP(B393,Tot_res!C:D,2,FALSE)</f>
        <v>Becas y ayudas a estudiantes + AF03/1</v>
      </c>
      <c r="D393" s="332">
        <f>Gasto_o_ing_per_capita!D393-Gasto_o_ing_per_capita!$D393</f>
        <v>0</v>
      </c>
      <c r="E393" s="332">
        <f>Gasto_o_ing_per_capita!E393-Gasto_o_ing_per_capita!$D393</f>
        <v>14.311820745364052</v>
      </c>
      <c r="F393" s="332">
        <f>Gasto_o_ing_per_capita!F393-Gasto_o_ing_per_capita!$D393</f>
        <v>-12.325425971526183</v>
      </c>
      <c r="G393" s="332">
        <f>Gasto_o_ing_per_capita!G393-Gasto_o_ing_per_capita!$D393</f>
        <v>-11.676959123568572</v>
      </c>
      <c r="H393" s="332">
        <f>Gasto_o_ing_per_capita!H393-Gasto_o_ing_per_capita!$D393</f>
        <v>-19.17164737373378</v>
      </c>
      <c r="I393" s="332">
        <f>Gasto_o_ing_per_capita!I393-Gasto_o_ing_per_capita!$D393</f>
        <v>4.5057218935517156</v>
      </c>
      <c r="J393" s="332">
        <f>Gasto_o_ing_per_capita!J393-Gasto_o_ing_per_capita!$D393</f>
        <v>-10.928598036903633</v>
      </c>
      <c r="K393" s="332">
        <f>Gasto_o_ing_per_capita!K393-Gasto_o_ing_per_capita!$D393</f>
        <v>3.7577263698036703</v>
      </c>
      <c r="L393" s="332">
        <f>Gasto_o_ing_per_capita!L393-Gasto_o_ing_per_capita!$D393</f>
        <v>-5.7727839450279781</v>
      </c>
      <c r="M393" s="332">
        <f>Gasto_o_ing_per_capita!M393-Gasto_o_ing_per_capita!$D393</f>
        <v>-10.968905131548791</v>
      </c>
      <c r="N393" s="332">
        <f>Gasto_o_ing_per_capita!N393-Gasto_o_ing_per_capita!$D393</f>
        <v>4.3650272829784456</v>
      </c>
      <c r="O393" s="332">
        <f>Gasto_o_ing_per_capita!O393-Gasto_o_ing_per_capita!$D393</f>
        <v>13.163284907194743</v>
      </c>
      <c r="P393" s="332">
        <f>Gasto_o_ing_per_capita!P393-Gasto_o_ing_per_capita!$D393</f>
        <v>2.7807960719589673</v>
      </c>
      <c r="Q393" s="332">
        <f>Gasto_o_ing_per_capita!Q393-Gasto_o_ing_per_capita!$D393</f>
        <v>-6.2483871185572859</v>
      </c>
      <c r="R393" s="332">
        <f>Gasto_o_ing_per_capita!R393-Gasto_o_ing_per_capita!$D393</f>
        <v>10.400168402801981</v>
      </c>
      <c r="S393" s="332">
        <f>Gasto_o_ing_per_capita!S393-Gasto_o_ing_per_capita!$D393</f>
        <v>-5.453736480092175E-4</v>
      </c>
      <c r="T393" s="332">
        <f>Gasto_o_ing_per_capita!T393-Gasto_o_ing_per_capita!$D393</f>
        <v>2.1213009227238899E-4</v>
      </c>
      <c r="U393" s="332">
        <f>Gasto_o_ing_per_capita!U393-Gasto_o_ing_per_capita!$D393</f>
        <v>-15.329917460758686</v>
      </c>
      <c r="V393" s="332">
        <f>Gasto_o_ing_per_capita!V393-Gasto_o_ing_per_capita!$D393</f>
        <v>-14.286116088301476</v>
      </c>
      <c r="W393" s="105"/>
    </row>
    <row r="394" spans="1:23"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Gasto_o_ing_per_capita!D394-Gasto_o_ing_per_capita!$D394</f>
        <v>0</v>
      </c>
      <c r="E394" s="332">
        <f>Gasto_o_ing_per_capita!E394-Gasto_o_ing_per_capita!$D394</f>
        <v>-6.3892427318534518E-3</v>
      </c>
      <c r="F394" s="332">
        <f>Gasto_o_ing_per_capita!F394-Gasto_o_ing_per_capita!$D394</f>
        <v>-6.6640672870839713E-3</v>
      </c>
      <c r="G394" s="332">
        <f>Gasto_o_ing_per_capita!G394-Gasto_o_ing_per_capita!$D394</f>
        <v>-6.3434041415481217E-3</v>
      </c>
      <c r="H394" s="332">
        <f>Gasto_o_ing_per_capita!H394-Gasto_o_ing_per_capita!$D394</f>
        <v>-6.4170793384646417E-3</v>
      </c>
      <c r="I394" s="332">
        <f>Gasto_o_ing_per_capita!I394-Gasto_o_ing_per_capita!$D394</f>
        <v>-6.4765914865355769E-3</v>
      </c>
      <c r="J394" s="332">
        <f>Gasto_o_ing_per_capita!J394-Gasto_o_ing_per_capita!$D394</f>
        <v>-4.164308746505461E-3</v>
      </c>
      <c r="K394" s="332">
        <f>Gasto_o_ing_per_capita!K394-Gasto_o_ing_per_capita!$D394</f>
        <v>2.3240642678601757E-2</v>
      </c>
      <c r="L394" s="332">
        <f>Gasto_o_ing_per_capita!L394-Gasto_o_ing_per_capita!$D394</f>
        <v>8.4442932841275516E-4</v>
      </c>
      <c r="M394" s="332">
        <f>Gasto_o_ing_per_capita!M394-Gasto_o_ing_per_capita!$D394</f>
        <v>-6.7586065529063044E-3</v>
      </c>
      <c r="N394" s="332">
        <f>Gasto_o_ing_per_capita!N394-Gasto_o_ing_per_capita!$D394</f>
        <v>-6.1407404468495057E-3</v>
      </c>
      <c r="O394" s="332">
        <f>Gasto_o_ing_per_capita!O394-Gasto_o_ing_per_capita!$D394</f>
        <v>-4.180435532716192E-3</v>
      </c>
      <c r="P394" s="332">
        <f>Gasto_o_ing_per_capita!P394-Gasto_o_ing_per_capita!$D394</f>
        <v>-6.5035158221014629E-3</v>
      </c>
      <c r="Q394" s="332">
        <f>Gasto_o_ing_per_capita!Q394-Gasto_o_ing_per_capita!$D394</f>
        <v>2.5975668175078574E-2</v>
      </c>
      <c r="R394" s="332">
        <f>Gasto_o_ing_per_capita!R394-Gasto_o_ing_per_capita!$D394</f>
        <v>-6.1608382008415778E-3</v>
      </c>
      <c r="S394" s="332">
        <f>Gasto_o_ing_per_capita!S394-Gasto_o_ing_per_capita!$D394</f>
        <v>-6.3905348884585366E-3</v>
      </c>
      <c r="T394" s="332">
        <f>Gasto_o_ing_per_capita!T394-Gasto_o_ing_per_capita!$D394</f>
        <v>-6.5908591260030814E-3</v>
      </c>
      <c r="U394" s="332">
        <f>Gasto_o_ing_per_capita!U394-Gasto_o_ing_per_capita!$D394</f>
        <v>-6.3045538543465528E-3</v>
      </c>
      <c r="V394" s="332">
        <f>Gasto_o_ing_per_capita!V394-Gasto_o_ing_per_capita!$D394</f>
        <v>-6.8061397593346916E-3</v>
      </c>
      <c r="W394" s="105"/>
    </row>
    <row r="395" spans="1:23" s="102" customFormat="1">
      <c r="A395" s="351" t="str">
        <f>IF(B395="","",(IF(ISERROR(MATCH(B395,Tot_res!C:C,0)),"Eliminar!!!","")))</f>
        <v/>
      </c>
      <c r="B395" s="115" t="s">
        <v>849</v>
      </c>
      <c r="C395" s="329" t="str">
        <f>VLOOKUP(B395,Tot_res!C:D,2,FALSE)</f>
        <v>Pensiones contributivas de la Seguridad Social</v>
      </c>
      <c r="D395" s="332">
        <f>Gasto_o_ing_per_capita!D395-Gasto_o_ing_per_capita!$D395</f>
        <v>0</v>
      </c>
      <c r="E395" s="332">
        <f>Gasto_o_ing_per_capita!E395-Gasto_o_ing_per_capita!$D395</f>
        <v>-471.55039853324388</v>
      </c>
      <c r="F395" s="332">
        <f>Gasto_o_ing_per_capita!F395-Gasto_o_ing_per_capita!$D395</f>
        <v>415.07492778324695</v>
      </c>
      <c r="G395" s="332">
        <f>Gasto_o_ing_per_capita!G395-Gasto_o_ing_per_capita!$D395</f>
        <v>1671.2289997714443</v>
      </c>
      <c r="H395" s="332">
        <f>Gasto_o_ing_per_capita!H395-Gasto_o_ing_per_capita!$D395</f>
        <v>-591.21001301109482</v>
      </c>
      <c r="I395" s="332">
        <f>Gasto_o_ing_per_capita!I395-Gasto_o_ing_per_capita!$D395</f>
        <v>-865.8977100751647</v>
      </c>
      <c r="J395" s="332">
        <f>Gasto_o_ing_per_capita!J395-Gasto_o_ing_per_capita!$D395</f>
        <v>534.07519101395246</v>
      </c>
      <c r="K395" s="332">
        <f>Gasto_o_ing_per_capita!K395-Gasto_o_ing_per_capita!$D395</f>
        <v>472.30209987614444</v>
      </c>
      <c r="L395" s="332">
        <f>Gasto_o_ing_per_capita!L395-Gasto_o_ing_per_capita!$D395</f>
        <v>-448.66399575702053</v>
      </c>
      <c r="M395" s="332">
        <f>Gasto_o_ing_per_capita!M395-Gasto_o_ing_per_capita!$D395</f>
        <v>373.27702543801297</v>
      </c>
      <c r="N395" s="332">
        <f>Gasto_o_ing_per_capita!N395-Gasto_o_ing_per_capita!$D395</f>
        <v>-292.47886935456154</v>
      </c>
      <c r="O395" s="332">
        <f>Gasto_o_ing_per_capita!O395-Gasto_o_ing_per_capita!$D395</f>
        <v>-381.66593691677031</v>
      </c>
      <c r="P395" s="332">
        <f>Gasto_o_ing_per_capita!P395-Gasto_o_ing_per_capita!$D395</f>
        <v>392.92693648913337</v>
      </c>
      <c r="Q395" s="332">
        <f>Gasto_o_ing_per_capita!Q395-Gasto_o_ing_per_capita!$D395</f>
        <v>-17.828964748604903</v>
      </c>
      <c r="R395" s="332">
        <f>Gasto_o_ing_per_capita!R395-Gasto_o_ing_per_capita!$D395</f>
        <v>-671.48612633128164</v>
      </c>
      <c r="S395" s="332">
        <f>Gasto_o_ing_per_capita!S395-Gasto_o_ing_per_capita!$D395</f>
        <v>360.45477390532824</v>
      </c>
      <c r="T395" s="332">
        <f>Gasto_o_ing_per_capita!T395-Gasto_o_ing_per_capita!$D395</f>
        <v>1202.7431697503744</v>
      </c>
      <c r="U395" s="332">
        <f>Gasto_o_ing_per_capita!U395-Gasto_o_ing_per_capita!$D395</f>
        <v>46.595495183704315</v>
      </c>
      <c r="V395" s="332">
        <f>Gasto_o_ing_per_capita!V395-Gasto_o_ing_per_capita!$D395</f>
        <v>-1291.6266404100763</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Gasto_o_ing_per_capita!D396-Gasto_o_ing_per_capita!$D396</f>
        <v>0</v>
      </c>
      <c r="E396" s="332">
        <f>Gasto_o_ing_per_capita!E396-Gasto_o_ing_per_capita!$D396</f>
        <v>-12.570316302746249</v>
      </c>
      <c r="F396" s="332">
        <f>Gasto_o_ing_per_capita!F396-Gasto_o_ing_per_capita!$D396</f>
        <v>-1.5177542088486007</v>
      </c>
      <c r="G396" s="332">
        <f>Gasto_o_ing_per_capita!G396-Gasto_o_ing_per_capita!$D396</f>
        <v>18.268953091526399</v>
      </c>
      <c r="H396" s="332">
        <f>Gasto_o_ing_per_capita!H396-Gasto_o_ing_per_capita!$D396</f>
        <v>-16.419229917455468</v>
      </c>
      <c r="I396" s="332">
        <f>Gasto_o_ing_per_capita!I396-Gasto_o_ing_per_capita!$D396</f>
        <v>-19.915317912427568</v>
      </c>
      <c r="J396" s="332">
        <f>Gasto_o_ing_per_capita!J396-Gasto_o_ing_per_capita!$D396</f>
        <v>5.4191040821210663</v>
      </c>
      <c r="K396" s="332">
        <f>Gasto_o_ing_per_capita!K396-Gasto_o_ing_per_capita!$D396</f>
        <v>-15.883559765710856</v>
      </c>
      <c r="L396" s="332">
        <f>Gasto_o_ing_per_capita!L396-Gasto_o_ing_per_capita!$D396</f>
        <v>-25.386920127557673</v>
      </c>
      <c r="M396" s="332">
        <f>Gasto_o_ing_per_capita!M396-Gasto_o_ing_per_capita!$D396</f>
        <v>7.1843007029647765</v>
      </c>
      <c r="N396" s="332">
        <f>Gasto_o_ing_per_capita!N396-Gasto_o_ing_per_capita!$D396</f>
        <v>-19.274587088379789</v>
      </c>
      <c r="O396" s="332">
        <f>Gasto_o_ing_per_capita!O396-Gasto_o_ing_per_capita!$D396</f>
        <v>-9.3036441583123093</v>
      </c>
      <c r="P396" s="332">
        <f>Gasto_o_ing_per_capita!P396-Gasto_o_ing_per_capita!$D396</f>
        <v>9.3708873430822877</v>
      </c>
      <c r="Q396" s="332">
        <f>Gasto_o_ing_per_capita!Q396-Gasto_o_ing_per_capita!$D396</f>
        <v>12.493506258056343</v>
      </c>
      <c r="R396" s="332">
        <f>Gasto_o_ing_per_capita!R396-Gasto_o_ing_per_capita!$D396</f>
        <v>6.004664847817665</v>
      </c>
      <c r="S396" s="332">
        <f>Gasto_o_ing_per_capita!S396-Gasto_o_ing_per_capita!$D396</f>
        <v>31.435961297090572</v>
      </c>
      <c r="T396" s="332">
        <f>Gasto_o_ing_per_capita!T396-Gasto_o_ing_per_capita!$D396</f>
        <v>75.674535479268016</v>
      </c>
      <c r="U396" s="332">
        <f>Gasto_o_ing_per_capita!U396-Gasto_o_ing_per_capita!$D396</f>
        <v>-24.706135133586216</v>
      </c>
      <c r="V396" s="332">
        <f>Gasto_o_ing_per_capita!V396-Gasto_o_ing_per_capita!$D396</f>
        <v>-20.14012670922861</v>
      </c>
      <c r="W396" s="105"/>
    </row>
    <row r="397" spans="1:23" s="102" customFormat="1">
      <c r="A397" s="351" t="str">
        <f>IF(B397="","",(IF(ISERROR(MATCH(B397,Tot_res!C:C,0)),"Eliminar!!!","")))</f>
        <v/>
      </c>
      <c r="B397" s="115" t="s">
        <v>852</v>
      </c>
      <c r="C397" s="329" t="str">
        <f>VLOOKUP(B397,Tot_res!C:D,2,FALSE)</f>
        <v>Prestaciones económicas contributivas, Mutuas</v>
      </c>
      <c r="D397" s="332">
        <f>Gasto_o_ing_per_capita!D397-Gasto_o_ing_per_capita!$D397</f>
        <v>0</v>
      </c>
      <c r="E397" s="332">
        <f>Gasto_o_ing_per_capita!E397-Gasto_o_ing_per_capita!$D397</f>
        <v>-40.164174042479345</v>
      </c>
      <c r="F397" s="332">
        <f>Gasto_o_ing_per_capita!F397-Gasto_o_ing_per_capita!$D397</f>
        <v>1.1664676329553885</v>
      </c>
      <c r="G397" s="332">
        <f>Gasto_o_ing_per_capita!G397-Gasto_o_ing_per_capita!$D397</f>
        <v>-11.039562292262431</v>
      </c>
      <c r="H397" s="332">
        <f>Gasto_o_ing_per_capita!H397-Gasto_o_ing_per_capita!$D397</f>
        <v>4.6987631368290721</v>
      </c>
      <c r="I397" s="332">
        <f>Gasto_o_ing_per_capita!I397-Gasto_o_ing_per_capita!$D397</f>
        <v>-26.781037556918719</v>
      </c>
      <c r="J397" s="332">
        <f>Gasto_o_ing_per_capita!J397-Gasto_o_ing_per_capita!$D397</f>
        <v>6.8527483695887099</v>
      </c>
      <c r="K397" s="332">
        <f>Gasto_o_ing_per_capita!K397-Gasto_o_ing_per_capita!$D397</f>
        <v>-20.547155998784461</v>
      </c>
      <c r="L397" s="332">
        <f>Gasto_o_ing_per_capita!L397-Gasto_o_ing_per_capita!$D397</f>
        <v>-16.109852289674294</v>
      </c>
      <c r="M397" s="332">
        <f>Gasto_o_ing_per_capita!M397-Gasto_o_ing_per_capita!$D397</f>
        <v>2.5876287195309686</v>
      </c>
      <c r="N397" s="332">
        <f>Gasto_o_ing_per_capita!N397-Gasto_o_ing_per_capita!$D397</f>
        <v>-20.596756966174581</v>
      </c>
      <c r="O397" s="332">
        <f>Gasto_o_ing_per_capita!O397-Gasto_o_ing_per_capita!$D397</f>
        <v>-43.545430589296124</v>
      </c>
      <c r="P397" s="332">
        <f>Gasto_o_ing_per_capita!P397-Gasto_o_ing_per_capita!$D397</f>
        <v>-13.183792205674166</v>
      </c>
      <c r="Q397" s="332">
        <f>Gasto_o_ing_per_capita!Q397-Gasto_o_ing_per_capita!$D397</f>
        <v>97.507560856777275</v>
      </c>
      <c r="R397" s="332">
        <f>Gasto_o_ing_per_capita!R397-Gasto_o_ing_per_capita!$D397</f>
        <v>-12.611229636059321</v>
      </c>
      <c r="S397" s="332">
        <f>Gasto_o_ing_per_capita!S397-Gasto_o_ing_per_capita!$D397</f>
        <v>18.760738326811207</v>
      </c>
      <c r="T397" s="332">
        <f>Gasto_o_ing_per_capita!T397-Gasto_o_ing_per_capita!$D397</f>
        <v>17.845143937257419</v>
      </c>
      <c r="U397" s="332">
        <f>Gasto_o_ing_per_capita!U397-Gasto_o_ing_per_capita!$D397</f>
        <v>-17.391224424575057</v>
      </c>
      <c r="V397" s="332">
        <f>Gasto_o_ing_per_capita!V397-Gasto_o_ing_per_capita!$D397</f>
        <v>-54.881659893338409</v>
      </c>
      <c r="W397" s="105"/>
    </row>
    <row r="398" spans="1:23" s="102" customFormat="1">
      <c r="A398" s="351" t="str">
        <f>IF(B398="","",(IF(ISERROR(MATCH(B398,Tot_res!C:C,0)),"Eliminar!!!","")))</f>
        <v/>
      </c>
      <c r="B398" s="115" t="s">
        <v>854</v>
      </c>
      <c r="C398" s="329" t="str">
        <f>VLOOKUP(B398,Tot_res!C:D,2,FALSE)</f>
        <v>Pensiones no contributivas de la Seg Soc + AF03/3</v>
      </c>
      <c r="D398" s="332">
        <f>Gasto_o_ing_per_capita!D398-Gasto_o_ing_per_capita!$D398</f>
        <v>0</v>
      </c>
      <c r="E398" s="332">
        <f>Gasto_o_ing_per_capita!E398-Gasto_o_ing_per_capita!$D398</f>
        <v>12.755160348463939</v>
      </c>
      <c r="F398" s="332">
        <f>Gasto_o_ing_per_capita!F398-Gasto_o_ing_per_capita!$D398</f>
        <v>-20.21410786349518</v>
      </c>
      <c r="G398" s="332">
        <f>Gasto_o_ing_per_capita!G398-Gasto_o_ing_per_capita!$D398</f>
        <v>-4.7809754934058901</v>
      </c>
      <c r="H398" s="332">
        <f>Gasto_o_ing_per_capita!H398-Gasto_o_ing_per_capita!$D398</f>
        <v>-13.491860360147797</v>
      </c>
      <c r="I398" s="332">
        <f>Gasto_o_ing_per_capita!I398-Gasto_o_ing_per_capita!$D398</f>
        <v>55.876895996872939</v>
      </c>
      <c r="J398" s="332">
        <f>Gasto_o_ing_per_capita!J398-Gasto_o_ing_per_capita!$D398</f>
        <v>8.2141789907113676</v>
      </c>
      <c r="K398" s="332">
        <f>Gasto_o_ing_per_capita!K398-Gasto_o_ing_per_capita!$D398</f>
        <v>-3.4110284335681342</v>
      </c>
      <c r="L398" s="332">
        <f>Gasto_o_ing_per_capita!L398-Gasto_o_ing_per_capita!$D398</f>
        <v>0.13103623015823729</v>
      </c>
      <c r="M398" s="332">
        <f>Gasto_o_ing_per_capita!M398-Gasto_o_ing_per_capita!$D398</f>
        <v>-9.9571222336145837</v>
      </c>
      <c r="N398" s="332">
        <f>Gasto_o_ing_per_capita!N398-Gasto_o_ing_per_capita!$D398</f>
        <v>-2.0158010253446221</v>
      </c>
      <c r="O398" s="332">
        <f>Gasto_o_ing_per_capita!O398-Gasto_o_ing_per_capita!$D398</f>
        <v>17.511152547619467</v>
      </c>
      <c r="P398" s="332">
        <f>Gasto_o_ing_per_capita!P398-Gasto_o_ing_per_capita!$D398</f>
        <v>29.908191256475</v>
      </c>
      <c r="Q398" s="332">
        <f>Gasto_o_ing_per_capita!Q398-Gasto_o_ing_per_capita!$D398</f>
        <v>-20.6700522971231</v>
      </c>
      <c r="R398" s="332">
        <f>Gasto_o_ing_per_capita!R398-Gasto_o_ing_per_capita!$D398</f>
        <v>2.5096834751035075</v>
      </c>
      <c r="S398" s="332">
        <f>Gasto_o_ing_per_capita!S398-Gasto_o_ing_per_capita!$D398</f>
        <v>-28.27595760172812</v>
      </c>
      <c r="T398" s="332">
        <f>Gasto_o_ing_per_capita!T398-Gasto_o_ing_per_capita!$D398</f>
        <v>-23.881551096212288</v>
      </c>
      <c r="U398" s="332">
        <f>Gasto_o_ing_per_capita!U398-Gasto_o_ing_per_capita!$D398</f>
        <v>-19.917913471028569</v>
      </c>
      <c r="V398" s="332">
        <f>Gasto_o_ing_per_capita!V398-Gasto_o_ing_per_capita!$D398</f>
        <v>90.763023329497997</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Gasto_o_ing_per_capita!D399-Gasto_o_ing_per_capita!$D399</f>
        <v>0</v>
      </c>
      <c r="E399" s="332">
        <f>Gasto_o_ing_per_capita!E399-Gasto_o_ing_per_capita!$D399</f>
        <v>4.1840032106206024</v>
      </c>
      <c r="F399" s="332">
        <f>Gasto_o_ing_per_capita!F399-Gasto_o_ing_per_capita!$D399</f>
        <v>-4.2976424102900666</v>
      </c>
      <c r="G399" s="332">
        <f>Gasto_o_ing_per_capita!G399-Gasto_o_ing_per_capita!$D399</f>
        <v>10.605138747562357</v>
      </c>
      <c r="H399" s="332">
        <f>Gasto_o_ing_per_capita!H399-Gasto_o_ing_per_capita!$D399</f>
        <v>-12.296790797897746</v>
      </c>
      <c r="I399" s="332">
        <f>Gasto_o_ing_per_capita!I399-Gasto_o_ing_per_capita!$D399</f>
        <v>6.8071056978346576</v>
      </c>
      <c r="J399" s="332">
        <f>Gasto_o_ing_per_capita!J399-Gasto_o_ing_per_capita!$D399</f>
        <v>3.0931901432146915</v>
      </c>
      <c r="K399" s="332">
        <f>Gasto_o_ing_per_capita!K399-Gasto_o_ing_per_capita!$D399</f>
        <v>6.6641474705627815</v>
      </c>
      <c r="L399" s="332">
        <f>Gasto_o_ing_per_capita!L399-Gasto_o_ing_per_capita!$D399</f>
        <v>-0.47126950747271934</v>
      </c>
      <c r="M399" s="332">
        <f>Gasto_o_ing_per_capita!M399-Gasto_o_ing_per_capita!$D399</f>
        <v>-6.571906657332832</v>
      </c>
      <c r="N399" s="332">
        <f>Gasto_o_ing_per_capita!N399-Gasto_o_ing_per_capita!$D399</f>
        <v>0.34037509639149022</v>
      </c>
      <c r="O399" s="332">
        <f>Gasto_o_ing_per_capita!O399-Gasto_o_ing_per_capita!$D399</f>
        <v>13.868033953942408</v>
      </c>
      <c r="P399" s="332">
        <f>Gasto_o_ing_per_capita!P399-Gasto_o_ing_per_capita!$D399</f>
        <v>5.7383839108996924</v>
      </c>
      <c r="Q399" s="332">
        <f>Gasto_o_ing_per_capita!Q399-Gasto_o_ing_per_capita!$D399</f>
        <v>-8.1709396735456572</v>
      </c>
      <c r="R399" s="332">
        <f>Gasto_o_ing_per_capita!R399-Gasto_o_ing_per_capita!$D399</f>
        <v>11.577938807721665</v>
      </c>
      <c r="S399" s="332">
        <f>Gasto_o_ing_per_capita!S399-Gasto_o_ing_per_capita!$D399</f>
        <v>-4.3190469626344381</v>
      </c>
      <c r="T399" s="332">
        <f>Gasto_o_ing_per_capita!T399-Gasto_o_ing_per_capita!$D399</f>
        <v>-3.0766020696065866</v>
      </c>
      <c r="U399" s="332">
        <f>Gasto_o_ing_per_capita!U399-Gasto_o_ing_per_capita!$D399</f>
        <v>-4.9505792226737952</v>
      </c>
      <c r="V399" s="332">
        <f>Gasto_o_ing_per_capita!V399-Gasto_o_ing_per_capita!$D399</f>
        <v>27.743245167432313</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Gasto_o_ing_per_capita!D400-Gasto_o_ing_per_capita!$D400</f>
        <v>0</v>
      </c>
      <c r="E400" s="332">
        <f>Gasto_o_ing_per_capita!E400-Gasto_o_ing_per_capita!$D400</f>
        <v>0.26045285070224633</v>
      </c>
      <c r="F400" s="332">
        <f>Gasto_o_ing_per_capita!F400-Gasto_o_ing_per_capita!$D400</f>
        <v>1.9470669419243487</v>
      </c>
      <c r="G400" s="332">
        <f>Gasto_o_ing_per_capita!G400-Gasto_o_ing_per_capita!$D400</f>
        <v>4.6607233905471075</v>
      </c>
      <c r="H400" s="332">
        <f>Gasto_o_ing_per_capita!H400-Gasto_o_ing_per_capita!$D400</f>
        <v>-1.482022947917697</v>
      </c>
      <c r="I400" s="332">
        <f>Gasto_o_ing_per_capita!I400-Gasto_o_ing_per_capita!$D400</f>
        <v>-1.4993252983360597</v>
      </c>
      <c r="J400" s="332">
        <f>Gasto_o_ing_per_capita!J400-Gasto_o_ing_per_capita!$D400</f>
        <v>0.77090685721094143</v>
      </c>
      <c r="K400" s="332">
        <f>Gasto_o_ing_per_capita!K400-Gasto_o_ing_per_capita!$D400</f>
        <v>3.648785351403478</v>
      </c>
      <c r="L400" s="332">
        <f>Gasto_o_ing_per_capita!L400-Gasto_o_ing_per_capita!$D400</f>
        <v>0.55898587966732727</v>
      </c>
      <c r="M400" s="332">
        <f>Gasto_o_ing_per_capita!M400-Gasto_o_ing_per_capita!$D400</f>
        <v>-1.2014591423720757</v>
      </c>
      <c r="N400" s="332">
        <f>Gasto_o_ing_per_capita!N400-Gasto_o_ing_per_capita!$D400</f>
        <v>-1.0923980515258283</v>
      </c>
      <c r="O400" s="332">
        <f>Gasto_o_ing_per_capita!O400-Gasto_o_ing_per_capita!$D400</f>
        <v>0.37625855087218962</v>
      </c>
      <c r="P400" s="332">
        <f>Gasto_o_ing_per_capita!P400-Gasto_o_ing_per_capita!$D400</f>
        <v>2.2959265913664622</v>
      </c>
      <c r="Q400" s="332">
        <f>Gasto_o_ing_per_capita!Q400-Gasto_o_ing_per_capita!$D400</f>
        <v>-1.5963642682650052</v>
      </c>
      <c r="R400" s="332">
        <f>Gasto_o_ing_per_capita!R400-Gasto_o_ing_per_capita!$D400</f>
        <v>-1.3948275483042583</v>
      </c>
      <c r="S400" s="332">
        <f>Gasto_o_ing_per_capita!S400-Gasto_o_ing_per_capita!$D400</f>
        <v>-0.5650085209041702</v>
      </c>
      <c r="T400" s="332">
        <f>Gasto_o_ing_per_capita!T400-Gasto_o_ing_per_capita!$D400</f>
        <v>1.2410490061648529</v>
      </c>
      <c r="U400" s="332">
        <f>Gasto_o_ing_per_capita!U400-Gasto_o_ing_per_capita!$D400</f>
        <v>4.0850947080439104</v>
      </c>
      <c r="V400" s="332">
        <f>Gasto_o_ing_per_capita!V400-Gasto_o_ing_per_capita!$D400</f>
        <v>5.2548566628472839</v>
      </c>
      <c r="W400" s="105"/>
    </row>
    <row r="401" spans="1:23">
      <c r="A401" s="352"/>
      <c r="B401" s="9"/>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Gasto_o_ing_per_capita!D402-Gasto_o_ing_per_capita!$D402</f>
        <v>0</v>
      </c>
      <c r="E402" s="113">
        <f>Gasto_o_ing_per_capita!E402-Gasto_o_ing_per_capita!$D402</f>
        <v>5.5743460624218173</v>
      </c>
      <c r="F402" s="113">
        <f>Gasto_o_ing_per_capita!F402-Gasto_o_ing_per_capita!$D402</f>
        <v>-3.2728194179815731</v>
      </c>
      <c r="G402" s="113">
        <f>Gasto_o_ing_per_capita!G402-Gasto_o_ing_per_capita!$D402</f>
        <v>0.64676769341897256</v>
      </c>
      <c r="H402" s="113">
        <f>Gasto_o_ing_per_capita!H402-Gasto_o_ing_per_capita!$D402</f>
        <v>-9.2715714129003537</v>
      </c>
      <c r="I402" s="113">
        <f>Gasto_o_ing_per_capita!I402-Gasto_o_ing_per_capita!$D402</f>
        <v>-14.960750005888812</v>
      </c>
      <c r="J402" s="113">
        <f>Gasto_o_ing_per_capita!J402-Gasto_o_ing_per_capita!$D402</f>
        <v>7.3729741867309002</v>
      </c>
      <c r="K402" s="113">
        <f>Gasto_o_ing_per_capita!K402-Gasto_o_ing_per_capita!$D402</f>
        <v>15.481857793791676</v>
      </c>
      <c r="L402" s="113">
        <f>Gasto_o_ing_per_capita!L402-Gasto_o_ing_per_capita!$D402</f>
        <v>5.982923106120694</v>
      </c>
      <c r="M402" s="113">
        <f>Gasto_o_ing_per_capita!M402-Gasto_o_ing_per_capita!$D402</f>
        <v>-2.3709736363938063</v>
      </c>
      <c r="N402" s="113">
        <f>Gasto_o_ing_per_capita!N402-Gasto_o_ing_per_capita!$D402</f>
        <v>-14.685463572624716</v>
      </c>
      <c r="O402" s="113">
        <f>Gasto_o_ing_per_capita!O402-Gasto_o_ing_per_capita!$D402</f>
        <v>13.207959982033358</v>
      </c>
      <c r="P402" s="113">
        <f>Gasto_o_ing_per_capita!P402-Gasto_o_ing_per_capita!$D402</f>
        <v>0.4082577045908522</v>
      </c>
      <c r="Q402" s="113">
        <f>Gasto_o_ing_per_capita!Q402-Gasto_o_ing_per_capita!$D402</f>
        <v>-2.9141036839093033</v>
      </c>
      <c r="R402" s="113">
        <f>Gasto_o_ing_per_capita!R402-Gasto_o_ing_per_capita!$D402</f>
        <v>15.241172557870733</v>
      </c>
      <c r="S402" s="113">
        <f>Gasto_o_ing_per_capita!S402-Gasto_o_ing_per_capita!$D402</f>
        <v>-4.3147110732779907</v>
      </c>
      <c r="T402" s="113">
        <f>Gasto_o_ing_per_capita!T402-Gasto_o_ing_per_capita!$D402</f>
        <v>-0.61681358399933117</v>
      </c>
      <c r="U402" s="113">
        <f>Gasto_o_ing_per_capita!U402-Gasto_o_ing_per_capita!$D402</f>
        <v>14.265990488743618</v>
      </c>
      <c r="V402" s="113">
        <f>Gasto_o_ing_per_capita!V402-Gasto_o_ing_per_capita!$D402</f>
        <v>87.76180502463869</v>
      </c>
      <c r="W402" s="105"/>
    </row>
    <row r="403" spans="1:23" s="102" customFormat="1">
      <c r="A403" s="351" t="str">
        <f>IF(B403="","",(IF(ISERROR(MATCH(B403,Tot_res!C:C,0)),"Eliminar!!!","")))</f>
        <v/>
      </c>
      <c r="B403" s="119" t="s">
        <v>374</v>
      </c>
      <c r="C403" s="329" t="str">
        <f>VLOOKUP(B403,Tot_res!C:D,2,FALSE)</f>
        <v xml:space="preserve">Acciones en favor de los emigrantes </v>
      </c>
      <c r="D403" s="332">
        <f>Gasto_o_ing_per_capita!D403-Gasto_o_ing_per_capita!$D403</f>
        <v>0</v>
      </c>
      <c r="E403" s="332">
        <f>Gasto_o_ing_per_capita!E403-Gasto_o_ing_per_capita!$D403</f>
        <v>0</v>
      </c>
      <c r="F403" s="332">
        <f>Gasto_o_ing_per_capita!F403-Gasto_o_ing_per_capita!$D403</f>
        <v>0</v>
      </c>
      <c r="G403" s="332">
        <f>Gasto_o_ing_per_capita!G403-Gasto_o_ing_per_capita!$D403</f>
        <v>0</v>
      </c>
      <c r="H403" s="332">
        <f>Gasto_o_ing_per_capita!H403-Gasto_o_ing_per_capita!$D403</f>
        <v>0</v>
      </c>
      <c r="I403" s="332">
        <f>Gasto_o_ing_per_capita!I403-Gasto_o_ing_per_capita!$D403</f>
        <v>0</v>
      </c>
      <c r="J403" s="332">
        <f>Gasto_o_ing_per_capita!J403-Gasto_o_ing_per_capita!$D403</f>
        <v>0</v>
      </c>
      <c r="K403" s="332">
        <f>Gasto_o_ing_per_capita!K403-Gasto_o_ing_per_capita!$D403</f>
        <v>0</v>
      </c>
      <c r="L403" s="332">
        <f>Gasto_o_ing_per_capita!L403-Gasto_o_ing_per_capita!$D403</f>
        <v>0</v>
      </c>
      <c r="M403" s="332">
        <f>Gasto_o_ing_per_capita!M403-Gasto_o_ing_per_capita!$D403</f>
        <v>0</v>
      </c>
      <c r="N403" s="332">
        <f>Gasto_o_ing_per_capita!N403-Gasto_o_ing_per_capita!$D403</f>
        <v>0</v>
      </c>
      <c r="O403" s="332">
        <f>Gasto_o_ing_per_capita!O403-Gasto_o_ing_per_capita!$D403</f>
        <v>0</v>
      </c>
      <c r="P403" s="332">
        <f>Gasto_o_ing_per_capita!P403-Gasto_o_ing_per_capita!$D403</f>
        <v>0</v>
      </c>
      <c r="Q403" s="332">
        <f>Gasto_o_ing_per_capita!Q403-Gasto_o_ing_per_capita!$D403</f>
        <v>0</v>
      </c>
      <c r="R403" s="332">
        <f>Gasto_o_ing_per_capita!R403-Gasto_o_ing_per_capita!$D403</f>
        <v>0</v>
      </c>
      <c r="S403" s="332">
        <f>Gasto_o_ing_per_capita!S403-Gasto_o_ing_per_capita!$D403</f>
        <v>0</v>
      </c>
      <c r="T403" s="332">
        <f>Gasto_o_ing_per_capita!T403-Gasto_o_ing_per_capita!$D403</f>
        <v>0</v>
      </c>
      <c r="U403" s="332">
        <f>Gasto_o_ing_per_capita!U403-Gasto_o_ing_per_capita!$D403</f>
        <v>0</v>
      </c>
      <c r="V403" s="332">
        <f>Gasto_o_ing_per_capita!V403-Gasto_o_ing_per_capita!$D403</f>
        <v>0</v>
      </c>
      <c r="W403" s="105"/>
    </row>
    <row r="404" spans="1:23" s="102" customFormat="1">
      <c r="A404" s="351" t="str">
        <f>IF(B404="","",(IF(ISERROR(MATCH(B404,Tot_res!C:C,0)),"Eliminar!!!","")))</f>
        <v/>
      </c>
      <c r="B404" s="119" t="s">
        <v>375</v>
      </c>
      <c r="C404" s="329" t="str">
        <f>VLOOKUP(B404,Tot_res!C:D,2,FALSE)</f>
        <v>Otros servicios sociales del estado + AF19/1</v>
      </c>
      <c r="D404" s="332">
        <f>Gasto_o_ing_per_capita!D404-Gasto_o_ing_per_capita!$D404</f>
        <v>0</v>
      </c>
      <c r="E404" s="332">
        <f>Gasto_o_ing_per_capita!E404-Gasto_o_ing_per_capita!$D404</f>
        <v>-0.34794425289510933</v>
      </c>
      <c r="F404" s="332">
        <f>Gasto_o_ing_per_capita!F404-Gasto_o_ing_per_capita!$D404</f>
        <v>0.20311094034481059</v>
      </c>
      <c r="G404" s="332">
        <f>Gasto_o_ing_per_capita!G404-Gasto_o_ing_per_capita!$D404</f>
        <v>0.59805319298646964</v>
      </c>
      <c r="H404" s="332">
        <f>Gasto_o_ing_per_capita!H404-Gasto_o_ing_per_capita!$D404</f>
        <v>0.23160305817875049</v>
      </c>
      <c r="I404" s="332">
        <f>Gasto_o_ing_per_capita!I404-Gasto_o_ing_per_capita!$D404</f>
        <v>5.5779705548054892E-2</v>
      </c>
      <c r="J404" s="332">
        <f>Gasto_o_ing_per_capita!J404-Gasto_o_ing_per_capita!$D404</f>
        <v>0.87062327943441264</v>
      </c>
      <c r="K404" s="332">
        <f>Gasto_o_ing_per_capita!K404-Gasto_o_ing_per_capita!$D404</f>
        <v>5.5481459124707477E-2</v>
      </c>
      <c r="L404" s="332">
        <f>Gasto_o_ing_per_capita!L404-Gasto_o_ing_per_capita!$D404</f>
        <v>0.18911652297749004</v>
      </c>
      <c r="M404" s="332">
        <f>Gasto_o_ing_per_capita!M404-Gasto_o_ing_per_capita!$D404</f>
        <v>-0.58364014018403587</v>
      </c>
      <c r="N404" s="332">
        <f>Gasto_o_ing_per_capita!N404-Gasto_o_ing_per_capita!$D404</f>
        <v>-0.42256771079321354</v>
      </c>
      <c r="O404" s="332">
        <f>Gasto_o_ing_per_capita!O404-Gasto_o_ing_per_capita!$D404</f>
        <v>1.0729189151112841</v>
      </c>
      <c r="P404" s="332">
        <f>Gasto_o_ing_per_capita!P404-Gasto_o_ing_per_capita!$D404</f>
        <v>2.159609139730545E-2</v>
      </c>
      <c r="Q404" s="332">
        <f>Gasto_o_ing_per_capita!Q404-Gasto_o_ing_per_capita!$D404</f>
        <v>-0.6026580763709255</v>
      </c>
      <c r="R404" s="332">
        <f>Gasto_o_ing_per_capita!R404-Gasto_o_ing_per_capita!$D404</f>
        <v>0.34922137429139344</v>
      </c>
      <c r="S404" s="332">
        <f>Gasto_o_ing_per_capita!S404-Gasto_o_ing_per_capita!$D404</f>
        <v>0</v>
      </c>
      <c r="T404" s="332">
        <f>Gasto_o_ing_per_capita!T404-Gasto_o_ing_per_capita!$D404</f>
        <v>0</v>
      </c>
      <c r="U404" s="332">
        <f>Gasto_o_ing_per_capita!U404-Gasto_o_ing_per_capita!$D404</f>
        <v>2.9510954871764703</v>
      </c>
      <c r="V404" s="332">
        <f>Gasto_o_ing_per_capita!V404-Gasto_o_ing_per_capita!$D404</f>
        <v>48.938801840653746</v>
      </c>
      <c r="W404" s="105"/>
    </row>
    <row r="405" spans="1:23" s="102" customFormat="1">
      <c r="A405" s="351" t="str">
        <f>IF(B405="","",(IF(ISERROR(MATCH(B405,Tot_res!C:C,0)),"Eliminar!!!","")))</f>
        <v/>
      </c>
      <c r="B405" s="119" t="s">
        <v>376</v>
      </c>
      <c r="C405" s="329" t="str">
        <f>VLOOKUP(B405,Tot_res!C:D,2,FALSE)</f>
        <v>Atención a la infancia y a las familias</v>
      </c>
      <c r="D405" s="332">
        <f>Gasto_o_ing_per_capita!D405-Gasto_o_ing_per_capita!$D405</f>
        <v>0</v>
      </c>
      <c r="E405" s="332">
        <f>Gasto_o_ing_per_capita!E405-Gasto_o_ing_per_capita!$D405</f>
        <v>0</v>
      </c>
      <c r="F405" s="332">
        <f>Gasto_o_ing_per_capita!F405-Gasto_o_ing_per_capita!$D405</f>
        <v>0</v>
      </c>
      <c r="G405" s="332">
        <f>Gasto_o_ing_per_capita!G405-Gasto_o_ing_per_capita!$D405</f>
        <v>0</v>
      </c>
      <c r="H405" s="332">
        <f>Gasto_o_ing_per_capita!H405-Gasto_o_ing_per_capita!$D405</f>
        <v>0</v>
      </c>
      <c r="I405" s="332">
        <f>Gasto_o_ing_per_capita!I405-Gasto_o_ing_per_capita!$D405</f>
        <v>0</v>
      </c>
      <c r="J405" s="332">
        <f>Gasto_o_ing_per_capita!J405-Gasto_o_ing_per_capita!$D405</f>
        <v>0</v>
      </c>
      <c r="K405" s="332">
        <f>Gasto_o_ing_per_capita!K405-Gasto_o_ing_per_capita!$D405</f>
        <v>0</v>
      </c>
      <c r="L405" s="332">
        <f>Gasto_o_ing_per_capita!L405-Gasto_o_ing_per_capita!$D405</f>
        <v>0</v>
      </c>
      <c r="M405" s="332">
        <f>Gasto_o_ing_per_capita!M405-Gasto_o_ing_per_capita!$D405</f>
        <v>0</v>
      </c>
      <c r="N405" s="332">
        <f>Gasto_o_ing_per_capita!N405-Gasto_o_ing_per_capita!$D405</f>
        <v>0</v>
      </c>
      <c r="O405" s="332">
        <f>Gasto_o_ing_per_capita!O405-Gasto_o_ing_per_capita!$D405</f>
        <v>0</v>
      </c>
      <c r="P405" s="332">
        <f>Gasto_o_ing_per_capita!P405-Gasto_o_ing_per_capita!$D405</f>
        <v>0</v>
      </c>
      <c r="Q405" s="332">
        <f>Gasto_o_ing_per_capita!Q405-Gasto_o_ing_per_capita!$D405</f>
        <v>0</v>
      </c>
      <c r="R405" s="332">
        <f>Gasto_o_ing_per_capita!R405-Gasto_o_ing_per_capita!$D405</f>
        <v>0</v>
      </c>
      <c r="S405" s="332">
        <f>Gasto_o_ing_per_capita!S405-Gasto_o_ing_per_capita!$D405</f>
        <v>0</v>
      </c>
      <c r="T405" s="332">
        <f>Gasto_o_ing_per_capita!T405-Gasto_o_ing_per_capita!$D405</f>
        <v>0</v>
      </c>
      <c r="U405" s="332">
        <f>Gasto_o_ing_per_capita!U405-Gasto_o_ing_per_capita!$D405</f>
        <v>0</v>
      </c>
      <c r="V405" s="332">
        <f>Gasto_o_ing_per_capita!V405-Gasto_o_ing_per_capita!$D405</f>
        <v>0</v>
      </c>
      <c r="W405" s="105"/>
    </row>
    <row r="406" spans="1:23" s="102" customFormat="1">
      <c r="A406" s="351" t="str">
        <f>IF(B406="","",(IF(ISERROR(MATCH(B406,Tot_res!C:C,0)),"Eliminar!!!","")))</f>
        <v/>
      </c>
      <c r="B406" s="119" t="s">
        <v>377</v>
      </c>
      <c r="C406" s="329" t="str">
        <f>VLOOKUP(B406,Tot_res!C:D,2,FALSE)</f>
        <v>Acciones en favor de los inmigrantes</v>
      </c>
      <c r="D406" s="332">
        <f>Gasto_o_ing_per_capita!D406-Gasto_o_ing_per_capita!$D406</f>
        <v>0</v>
      </c>
      <c r="E406" s="332">
        <f>Gasto_o_ing_per_capita!E406-Gasto_o_ing_per_capita!$D406</f>
        <v>0.94164226451951327</v>
      </c>
      <c r="F406" s="332">
        <f>Gasto_o_ing_per_capita!F406-Gasto_o_ing_per_capita!$D406</f>
        <v>-0.35432796271071409</v>
      </c>
      <c r="G406" s="332">
        <f>Gasto_o_ing_per_capita!G406-Gasto_o_ing_per_capita!$D406</f>
        <v>-0.95185220353746636</v>
      </c>
      <c r="H406" s="332">
        <f>Gasto_o_ing_per_capita!H406-Gasto_o_ing_per_capita!$D406</f>
        <v>-0.56247482290725292</v>
      </c>
      <c r="I406" s="332">
        <f>Gasto_o_ing_per_capita!I406-Gasto_o_ing_per_capita!$D406</f>
        <v>-0.4744768726389299</v>
      </c>
      <c r="J406" s="332">
        <f>Gasto_o_ing_per_capita!J406-Gasto_o_ing_per_capita!$D406</f>
        <v>-1.0249762530810802</v>
      </c>
      <c r="K406" s="332">
        <f>Gasto_o_ing_per_capita!K406-Gasto_o_ing_per_capita!$D406</f>
        <v>-0.32322300658751257</v>
      </c>
      <c r="L406" s="332">
        <f>Gasto_o_ing_per_capita!L406-Gasto_o_ing_per_capita!$D406</f>
        <v>-0.50824442849827678</v>
      </c>
      <c r="M406" s="332">
        <f>Gasto_o_ing_per_capita!M406-Gasto_o_ing_per_capita!$D406</f>
        <v>-0.20035876871372094</v>
      </c>
      <c r="N406" s="332">
        <f>Gasto_o_ing_per_capita!N406-Gasto_o_ing_per_capita!$D406</f>
        <v>-0.52513291654741745</v>
      </c>
      <c r="O406" s="332">
        <f>Gasto_o_ing_per_capita!O406-Gasto_o_ing_per_capita!$D406</f>
        <v>-1.0237721411148204</v>
      </c>
      <c r="P406" s="332">
        <f>Gasto_o_ing_per_capita!P406-Gasto_o_ing_per_capita!$D406</f>
        <v>-0.975370989993811</v>
      </c>
      <c r="Q406" s="332">
        <f>Gasto_o_ing_per_capita!Q406-Gasto_o_ing_per_capita!$D406</f>
        <v>-1.3852047559768987E-2</v>
      </c>
      <c r="R406" s="332">
        <f>Gasto_o_ing_per_capita!R406-Gasto_o_ing_per_capita!$D406</f>
        <v>2.0272742930035701</v>
      </c>
      <c r="S406" s="332">
        <f>Gasto_o_ing_per_capita!S406-Gasto_o_ing_per_capita!$D406</f>
        <v>-0.7280193534216346</v>
      </c>
      <c r="T406" s="332">
        <f>Gasto_o_ing_per_capita!T406-Gasto_o_ing_per_capita!$D406</f>
        <v>-0.65140021423111394</v>
      </c>
      <c r="U406" s="332">
        <f>Gasto_o_ing_per_capita!U406-Gasto_o_ing_per_capita!$D406</f>
        <v>-0.83729976611291224</v>
      </c>
      <c r="V406" s="332">
        <f>Gasto_o_ing_per_capita!V406-Gasto_o_ing_per_capita!$D406</f>
        <v>28.494319770474249</v>
      </c>
      <c r="W406" s="105"/>
    </row>
    <row r="407" spans="1:23" s="102" customFormat="1">
      <c r="A407" s="351" t="str">
        <f>IF(B407="","",(IF(ISERROR(MATCH(B407,Tot_res!C:C,0)),"Eliminar!!!","")))</f>
        <v/>
      </c>
      <c r="B407" s="119" t="s">
        <v>378</v>
      </c>
      <c r="C407" s="329" t="str">
        <f>VLOOKUP(B407,Tot_res!C:D,2,FALSE)</f>
        <v>Promoción y servicios a la juventud</v>
      </c>
      <c r="D407" s="332">
        <f>Gasto_o_ing_per_capita!D407-Gasto_o_ing_per_capita!$D407</f>
        <v>0</v>
      </c>
      <c r="E407" s="332">
        <f>Gasto_o_ing_per_capita!E407-Gasto_o_ing_per_capita!$D407</f>
        <v>-7.008827548892399E-2</v>
      </c>
      <c r="F407" s="332">
        <f>Gasto_o_ing_per_capita!F407-Gasto_o_ing_per_capita!$D407</f>
        <v>-1.0710792628024546E-2</v>
      </c>
      <c r="G407" s="332">
        <f>Gasto_o_ing_per_capita!G407-Gasto_o_ing_per_capita!$D407</f>
        <v>4.2885925292809102E-2</v>
      </c>
      <c r="H407" s="332">
        <f>Gasto_o_ing_per_capita!H407-Gasto_o_ing_per_capita!$D407</f>
        <v>-0.34358705516310301</v>
      </c>
      <c r="I407" s="332">
        <f>Gasto_o_ing_per_capita!I407-Gasto_o_ing_per_capita!$D407</f>
        <v>5.0215052378057567E-3</v>
      </c>
      <c r="J407" s="332">
        <f>Gasto_o_ing_per_capita!J407-Gasto_o_ing_per_capita!$D407</f>
        <v>3.4980044715255731E-2</v>
      </c>
      <c r="K407" s="332">
        <f>Gasto_o_ing_per_capita!K407-Gasto_o_ing_per_capita!$D407</f>
        <v>8.1659911424722065E-2</v>
      </c>
      <c r="L407" s="332">
        <f>Gasto_o_ing_per_capita!L407-Gasto_o_ing_per_capita!$D407</f>
        <v>-6.1649409215765671E-2</v>
      </c>
      <c r="M407" s="332">
        <f>Gasto_o_ing_per_capita!M407-Gasto_o_ing_per_capita!$D407</f>
        <v>-7.9260669950256879E-2</v>
      </c>
      <c r="N407" s="332">
        <f>Gasto_o_ing_per_capita!N407-Gasto_o_ing_per_capita!$D407</f>
        <v>-4.7430907574875225E-3</v>
      </c>
      <c r="O407" s="332">
        <f>Gasto_o_ing_per_capita!O407-Gasto_o_ing_per_capita!$D407</f>
        <v>-1.1596839701538963E-2</v>
      </c>
      <c r="P407" s="332">
        <f>Gasto_o_ing_per_capita!P407-Gasto_o_ing_per_capita!$D407</f>
        <v>0.12491602274175695</v>
      </c>
      <c r="Q407" s="332">
        <f>Gasto_o_ing_per_capita!Q407-Gasto_o_ing_per_capita!$D407</f>
        <v>0.17786644043688105</v>
      </c>
      <c r="R407" s="332">
        <f>Gasto_o_ing_per_capita!R407-Gasto_o_ing_per_capita!$D407</f>
        <v>0.21381465054488724</v>
      </c>
      <c r="S407" s="332">
        <f>Gasto_o_ing_per_capita!S407-Gasto_o_ing_per_capita!$D407</f>
        <v>3.6795837972639522E-2</v>
      </c>
      <c r="T407" s="332">
        <f>Gasto_o_ing_per_capita!T407-Gasto_o_ing_per_capita!$D407</f>
        <v>-0.17180990702883653</v>
      </c>
      <c r="U407" s="332">
        <f>Gasto_o_ing_per_capita!U407-Gasto_o_ing_per_capita!$D407</f>
        <v>0.15635277694472716</v>
      </c>
      <c r="V407" s="332">
        <f>Gasto_o_ing_per_capita!V407-Gasto_o_ing_per_capita!$D407</f>
        <v>-0.218962556348406</v>
      </c>
      <c r="W407" s="105"/>
    </row>
    <row r="408" spans="1:23" s="102" customFormat="1">
      <c r="A408" s="351" t="str">
        <f>IF(B408="","",(IF(ISERROR(MATCH(B408,Tot_res!C:C,0)),"Eliminar!!!","")))</f>
        <v/>
      </c>
      <c r="B408" s="115" t="s">
        <v>379</v>
      </c>
      <c r="C408" s="329" t="str">
        <f>VLOOKUP(B408,Tot_res!C:D,2,FALSE)</f>
        <v>Igualdad oportunidades entre mujeres y hombres</v>
      </c>
      <c r="D408" s="332">
        <f>Gasto_o_ing_per_capita!D408-Gasto_o_ing_per_capita!$D408</f>
        <v>0</v>
      </c>
      <c r="E408" s="332">
        <f>Gasto_o_ing_per_capita!E408-Gasto_o_ing_per_capita!$D408</f>
        <v>-8.8061725436335725E-2</v>
      </c>
      <c r="F408" s="332">
        <f>Gasto_o_ing_per_capita!F408-Gasto_o_ing_per_capita!$D408</f>
        <v>5.8983427273804012E-2</v>
      </c>
      <c r="G408" s="332">
        <f>Gasto_o_ing_per_capita!G408-Gasto_o_ing_per_capita!$D408</f>
        <v>-0.11078671049218475</v>
      </c>
      <c r="H408" s="332">
        <f>Gasto_o_ing_per_capita!H408-Gasto_o_ing_per_capita!$D408</f>
        <v>-0.26668704931560644</v>
      </c>
      <c r="I408" s="332">
        <f>Gasto_o_ing_per_capita!I408-Gasto_o_ing_per_capita!$D408</f>
        <v>-0.18075936279634408</v>
      </c>
      <c r="J408" s="332">
        <f>Gasto_o_ing_per_capita!J408-Gasto_o_ing_per_capita!$D408</f>
        <v>0.46957832447731218</v>
      </c>
      <c r="K408" s="332">
        <f>Gasto_o_ing_per_capita!K408-Gasto_o_ing_per_capita!$D408</f>
        <v>7.3982598625439877E-2</v>
      </c>
      <c r="L408" s="332">
        <f>Gasto_o_ing_per_capita!L408-Gasto_o_ing_per_capita!$D408</f>
        <v>0.1990628029381023</v>
      </c>
      <c r="M408" s="332">
        <f>Gasto_o_ing_per_capita!M408-Gasto_o_ing_per_capita!$D408</f>
        <v>-8.3828224972836762E-2</v>
      </c>
      <c r="N408" s="332">
        <f>Gasto_o_ing_per_capita!N408-Gasto_o_ing_per_capita!$D408</f>
        <v>-1.4915710486968436E-2</v>
      </c>
      <c r="O408" s="332">
        <f>Gasto_o_ing_per_capita!O408-Gasto_o_ing_per_capita!$D408</f>
        <v>0.20754419118064416</v>
      </c>
      <c r="P408" s="332">
        <f>Gasto_o_ing_per_capita!P408-Gasto_o_ing_per_capita!$D408</f>
        <v>-1.7671718824741667E-2</v>
      </c>
      <c r="Q408" s="332">
        <f>Gasto_o_ing_per_capita!Q408-Gasto_o_ing_per_capita!$D408</f>
        <v>0.19044369551076068</v>
      </c>
      <c r="R408" s="332">
        <f>Gasto_o_ing_per_capita!R408-Gasto_o_ing_per_capita!$D408</f>
        <v>9.7920138233641874E-2</v>
      </c>
      <c r="S408" s="332">
        <f>Gasto_o_ing_per_capita!S408-Gasto_o_ing_per_capita!$D408</f>
        <v>-7.6905890861655168E-2</v>
      </c>
      <c r="T408" s="332">
        <f>Gasto_o_ing_per_capita!T408-Gasto_o_ing_per_capita!$D408</f>
        <v>-0.18304116931844372</v>
      </c>
      <c r="U408" s="332">
        <f>Gasto_o_ing_per_capita!U408-Gasto_o_ing_per_capita!$D408</f>
        <v>-0.21316105914337696</v>
      </c>
      <c r="V408" s="332">
        <f>Gasto_o_ing_per_capita!V408-Gasto_o_ing_per_capita!$D408</f>
        <v>1.4967220623532662</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Gasto_o_ing_per_capita!D409-Gasto_o_ing_per_capita!$D409</f>
        <v>0</v>
      </c>
      <c r="E409" s="332">
        <f>Gasto_o_ing_per_capita!E409-Gasto_o_ing_per_capita!$D409</f>
        <v>-3.0817188586475808E-2</v>
      </c>
      <c r="F409" s="332">
        <f>Gasto_o_ing_per_capita!F409-Gasto_o_ing_per_capita!$D409</f>
        <v>0.2462883013598734</v>
      </c>
      <c r="G409" s="332">
        <f>Gasto_o_ing_per_capita!G409-Gasto_o_ing_per_capita!$D409</f>
        <v>-1.3921608899712556E-2</v>
      </c>
      <c r="H409" s="332">
        <f>Gasto_o_ing_per_capita!H409-Gasto_o_ing_per_capita!$D409</f>
        <v>0.31055428348150077</v>
      </c>
      <c r="I409" s="332">
        <f>Gasto_o_ing_per_capita!I409-Gasto_o_ing_per_capita!$D409</f>
        <v>0.27591453991213816</v>
      </c>
      <c r="J409" s="332">
        <f>Gasto_o_ing_per_capita!J409-Gasto_o_ing_per_capita!$D409</f>
        <v>0.23657550021886137</v>
      </c>
      <c r="K409" s="332">
        <f>Gasto_o_ing_per_capita!K409-Gasto_o_ing_per_capita!$D409</f>
        <v>-8.1778940866992555E-2</v>
      </c>
      <c r="L409" s="332">
        <f>Gasto_o_ing_per_capita!L409-Gasto_o_ing_per_capita!$D409</f>
        <v>-5.8611585574573577E-2</v>
      </c>
      <c r="M409" s="332">
        <f>Gasto_o_ing_per_capita!M409-Gasto_o_ing_per_capita!$D409</f>
        <v>-0.18311217812916342</v>
      </c>
      <c r="N409" s="332">
        <f>Gasto_o_ing_per_capita!N409-Gasto_o_ing_per_capita!$D409</f>
        <v>1.8134126299107045E-2</v>
      </c>
      <c r="O409" s="332">
        <f>Gasto_o_ing_per_capita!O409-Gasto_o_ing_per_capita!$D409</f>
        <v>0.55623781751453905</v>
      </c>
      <c r="P409" s="332">
        <f>Gasto_o_ing_per_capita!P409-Gasto_o_ing_per_capita!$D409</f>
        <v>0.15866730380880306</v>
      </c>
      <c r="Q409" s="332">
        <f>Gasto_o_ing_per_capita!Q409-Gasto_o_ing_per_capita!$D409</f>
        <v>-0.16333992660937247</v>
      </c>
      <c r="R409" s="332">
        <f>Gasto_o_ing_per_capita!R409-Gasto_o_ing_per_capita!$D409</f>
        <v>6.002269571619484E-2</v>
      </c>
      <c r="S409" s="332">
        <f>Gasto_o_ing_per_capita!S409-Gasto_o_ing_per_capita!$D409</f>
        <v>0</v>
      </c>
      <c r="T409" s="332">
        <f>Gasto_o_ing_per_capita!T409-Gasto_o_ing_per_capita!$D409</f>
        <v>0</v>
      </c>
      <c r="U409" s="332">
        <f>Gasto_o_ing_per_capita!U409-Gasto_o_ing_per_capita!$D409</f>
        <v>0.50575436109074068</v>
      </c>
      <c r="V409" s="332">
        <f>Gasto_o_ing_per_capita!V409-Gasto_o_ing_per_capita!$D409</f>
        <v>1.5042228043839039</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Gasto_o_ing_per_capita!D410-Gasto_o_ing_per_capita!$D410</f>
        <v>0</v>
      </c>
      <c r="E410" s="332">
        <f>Gasto_o_ing_per_capita!E410-Gasto_o_ing_per_capita!$D410</f>
        <v>5.1349332291631455</v>
      </c>
      <c r="F410" s="332">
        <f>Gasto_o_ing_per_capita!F410-Gasto_o_ing_per_capita!$D410</f>
        <v>-3.5529428894608408</v>
      </c>
      <c r="G410" s="332">
        <f>Gasto_o_ing_per_capita!G410-Gasto_o_ing_per_capita!$D410</f>
        <v>4.7404727755729681E-2</v>
      </c>
      <c r="H410" s="332">
        <f>Gasto_o_ing_per_capita!H410-Gasto_o_ing_per_capita!$D410</f>
        <v>-8.8980007443456017</v>
      </c>
      <c r="I410" s="332">
        <f>Gasto_o_ing_per_capita!I410-Gasto_o_ing_per_capita!$D410</f>
        <v>-14.645431314564838</v>
      </c>
      <c r="J410" s="332">
        <f>Gasto_o_ing_per_capita!J410-Gasto_o_ing_per_capita!$D410</f>
        <v>5.905011357363783</v>
      </c>
      <c r="K410" s="332">
        <f>Gasto_o_ing_per_capita!K410-Gasto_o_ing_per_capita!$D410</f>
        <v>15.712293306847648</v>
      </c>
      <c r="L410" s="332">
        <f>Gasto_o_ing_per_capita!L410-Gasto_o_ing_per_capita!$D410</f>
        <v>6.4814289517457055</v>
      </c>
      <c r="M410" s="332">
        <f>Gasto_o_ing_per_capita!M410-Gasto_o_ing_per_capita!$D410</f>
        <v>-1.1025987573465201</v>
      </c>
      <c r="N410" s="332">
        <f>Gasto_o_ing_per_capita!N410-Gasto_o_ing_per_capita!$D410</f>
        <v>-13.46235663422962</v>
      </c>
      <c r="O410" s="332">
        <f>Gasto_o_ing_per_capita!O410-Gasto_o_ing_per_capita!$D410</f>
        <v>12.428852372428956</v>
      </c>
      <c r="P410" s="332">
        <f>Gasto_o_ing_per_capita!P410-Gasto_o_ing_per_capita!$D410</f>
        <v>1.0458052893610379</v>
      </c>
      <c r="Q410" s="332">
        <f>Gasto_o_ing_per_capita!Q410-Gasto_o_ing_per_capita!$D410</f>
        <v>-2.3186187465407571</v>
      </c>
      <c r="R410" s="332">
        <f>Gasto_o_ing_per_capita!R410-Gasto_o_ing_per_capita!$D410</f>
        <v>12.161891791742875</v>
      </c>
      <c r="S410" s="332">
        <f>Gasto_o_ing_per_capita!S410-Gasto_o_ing_per_capita!$D410</f>
        <v>-3.5019757726806802</v>
      </c>
      <c r="T410" s="332">
        <f>Gasto_o_ing_per_capita!T410-Gasto_o_ing_per_capita!$D410</f>
        <v>1.7869926314286744E-2</v>
      </c>
      <c r="U410" s="332">
        <f>Gasto_o_ing_per_capita!U410-Gasto_o_ing_per_capita!$D410</f>
        <v>11.877941708702366</v>
      </c>
      <c r="V410" s="332">
        <f>Gasto_o_ing_per_capita!V410-Gasto_o_ing_per_capita!$D410</f>
        <v>4.5139562799640913</v>
      </c>
      <c r="W410" s="105"/>
    </row>
    <row r="411" spans="1:23" s="102" customFormat="1">
      <c r="A411" s="351" t="str">
        <f>IF(B411="","",(IF(ISERROR(MATCH(B411,Tot_res!C:C,0)),"Eliminar!!!","")))</f>
        <v/>
      </c>
      <c r="B411" s="115" t="s">
        <v>867</v>
      </c>
      <c r="C411" s="329" t="str">
        <f>VLOOKUP(B411,Tot_res!C:D,2,FALSE)</f>
        <v>Otros Servicios Sociales, ISM</v>
      </c>
      <c r="D411" s="332">
        <f>Gasto_o_ing_per_capita!D411-Gasto_o_ing_per_capita!$D411</f>
        <v>0</v>
      </c>
      <c r="E411" s="332">
        <f>Gasto_o_ing_per_capita!E411-Gasto_o_ing_per_capita!$D411</f>
        <v>-1.3355601565255623E-2</v>
      </c>
      <c r="F411" s="332">
        <f>Gasto_o_ing_per_capita!F411-Gasto_o_ing_per_capita!$D411</f>
        <v>-1.3759276749750094E-2</v>
      </c>
      <c r="G411" s="332">
        <f>Gasto_o_ing_per_capita!G411-Gasto_o_ing_per_capita!$D411</f>
        <v>-1.1112332139313494E-2</v>
      </c>
      <c r="H411" s="332">
        <f>Gasto_o_ing_per_capita!H411-Gasto_o_ing_per_capita!$D411</f>
        <v>-1.3759276749750094E-2</v>
      </c>
      <c r="I411" s="332">
        <f>Gasto_o_ing_per_capita!I411-Gasto_o_ing_per_capita!$D411</f>
        <v>-1.3759276749750094E-2</v>
      </c>
      <c r="J411" s="332">
        <f>Gasto_o_ing_per_capita!J411-Gasto_o_ing_per_capita!$D411</f>
        <v>-1.2171048348062924E-2</v>
      </c>
      <c r="K411" s="332">
        <f>Gasto_o_ing_per_capita!K411-Gasto_o_ing_per_capita!$D411</f>
        <v>-1.3759276749750094E-2</v>
      </c>
      <c r="L411" s="332">
        <f>Gasto_o_ing_per_capita!L411-Gasto_o_ing_per_capita!$D411</f>
        <v>-1.3759276749750094E-2</v>
      </c>
      <c r="M411" s="332">
        <f>Gasto_o_ing_per_capita!M411-Gasto_o_ing_per_capita!$D411</f>
        <v>-1.3438168678984057E-2</v>
      </c>
      <c r="N411" s="332">
        <f>Gasto_o_ing_per_capita!N411-Gasto_o_ing_per_capita!$D411</f>
        <v>-1.35725748395071E-2</v>
      </c>
      <c r="O411" s="332">
        <f>Gasto_o_ing_per_capita!O411-Gasto_o_ing_per_capita!$D411</f>
        <v>-1.3759276749750094E-2</v>
      </c>
      <c r="P411" s="332">
        <f>Gasto_o_ing_per_capita!P411-Gasto_o_ing_per_capita!$D411</f>
        <v>8.8171505078469756E-4</v>
      </c>
      <c r="Q411" s="332">
        <f>Gasto_o_ing_per_capita!Q411-Gasto_o_ing_per_capita!$D411</f>
        <v>-3.7464192160680688E-3</v>
      </c>
      <c r="R411" s="332">
        <f>Gasto_o_ing_per_capita!R411-Gasto_o_ing_per_capita!$D411</f>
        <v>-1.3759276749750094E-2</v>
      </c>
      <c r="S411" s="332">
        <f>Gasto_o_ing_per_capita!S411-Gasto_o_ing_per_capita!$D411</f>
        <v>-1.3759276749750094E-2</v>
      </c>
      <c r="T411" s="332">
        <f>Gasto_o_ing_per_capita!T411-Gasto_o_ing_per_capita!$D411</f>
        <v>-1.3191524339568272E-2</v>
      </c>
      <c r="U411" s="332">
        <f>Gasto_o_ing_per_capita!U411-Gasto_o_ing_per_capita!$D411</f>
        <v>-1.3759276749750094E-2</v>
      </c>
      <c r="V411" s="332">
        <f>Gasto_o_ing_per_capita!V411-Gasto_o_ing_per_capita!$D411</f>
        <v>3.0874954951512406</v>
      </c>
      <c r="W411" s="105"/>
    </row>
    <row r="412" spans="1:23" s="102" customFormat="1">
      <c r="A412" s="351" t="str">
        <f>IF(B412="","",(IF(ISERROR(MATCH(B412,Tot_res!C:C,0)),"Eliminar!!!","")))</f>
        <v/>
      </c>
      <c r="B412" s="115" t="s">
        <v>868</v>
      </c>
      <c r="C412" s="329" t="str">
        <f>VLOOKUP(B412,Tot_res!C:D,2,FALSE)</f>
        <v>Otros Servicios Sociales, Mutuas</v>
      </c>
      <c r="D412" s="332">
        <f>Gasto_o_ing_per_capita!D412-Gasto_o_ing_per_capita!$D412</f>
        <v>0</v>
      </c>
      <c r="E412" s="332">
        <f>Gasto_o_ing_per_capita!E412-Gasto_o_ing_per_capita!$D412</f>
        <v>-0.12122709357254186</v>
      </c>
      <c r="F412" s="332">
        <f>Gasto_o_ing_per_capita!F412-Gasto_o_ing_per_capita!$D412</f>
        <v>0.43531986868788786</v>
      </c>
      <c r="G412" s="332">
        <f>Gasto_o_ing_per_capita!G412-Gasto_o_ing_per_capita!$D412</f>
        <v>0.10853471443512286</v>
      </c>
      <c r="H412" s="332">
        <f>Gasto_o_ing_per_capita!H412-Gasto_o_ing_per_capita!$D412</f>
        <v>-1.2086555883739636E-2</v>
      </c>
      <c r="I412" s="332">
        <f>Gasto_o_ing_per_capita!I412-Gasto_o_ing_per_capita!$D412</f>
        <v>-0.1101840657932675</v>
      </c>
      <c r="J412" s="332">
        <f>Gasto_o_ing_per_capita!J412-Gasto_o_ing_per_capita!$D412</f>
        <v>-0.20837847200826209</v>
      </c>
      <c r="K412" s="332">
        <f>Gasto_o_ing_per_capita!K412-Gasto_o_ing_per_capita!$D412</f>
        <v>3.3400892058917941E-2</v>
      </c>
      <c r="L412" s="332">
        <f>Gasto_o_ing_per_capita!L412-Gasto_o_ing_per_capita!$D412</f>
        <v>-0.15216872154755723</v>
      </c>
      <c r="M412" s="332">
        <f>Gasto_o_ing_per_capita!M412-Gasto_o_ing_per_capita!$D412</f>
        <v>7.9511978973625941E-2</v>
      </c>
      <c r="N412" s="332">
        <f>Gasto_o_ing_per_capita!N412-Gasto_o_ing_per_capita!$D412</f>
        <v>-2.8058642110218579E-2</v>
      </c>
      <c r="O412" s="332">
        <f>Gasto_o_ing_per_capita!O412-Gasto_o_ing_per_capita!$D412</f>
        <v>-6.4050900152294754E-2</v>
      </c>
      <c r="P412" s="332">
        <f>Gasto_o_ing_per_capita!P412-Gasto_o_ing_per_capita!$D412</f>
        <v>-1.2577994418955796E-2</v>
      </c>
      <c r="Q412" s="332">
        <f>Gasto_o_ing_per_capita!Q412-Gasto_o_ing_per_capita!$D412</f>
        <v>9.9649472141746354E-2</v>
      </c>
      <c r="R412" s="332">
        <f>Gasto_o_ing_per_capita!R412-Gasto_o_ing_per_capita!$D412</f>
        <v>-0.207615669181754</v>
      </c>
      <c r="S412" s="332">
        <f>Gasto_o_ing_per_capita!S412-Gasto_o_ing_per_capita!$D412</f>
        <v>9.2823389457355798E-2</v>
      </c>
      <c r="T412" s="332">
        <f>Gasto_o_ing_per_capita!T412-Gasto_o_ing_per_capita!$D412</f>
        <v>0.11832936418683671</v>
      </c>
      <c r="U412" s="332">
        <f>Gasto_o_ing_per_capita!U412-Gasto_o_ing_per_capita!$D412</f>
        <v>2.4177392761998928E-2</v>
      </c>
      <c r="V412" s="332">
        <f>Gasto_o_ing_per_capita!V412-Gasto_o_ing_per_capita!$D412</f>
        <v>-0.52440766108219927</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Gasto_o_ing_per_capita!D413-Gasto_o_ing_per_capita!$D413</f>
        <v>0</v>
      </c>
      <c r="E413" s="332">
        <f>Gasto_o_ing_per_capita!E413-Gasto_o_ing_per_capita!$D413</f>
        <v>0.1028898936030308</v>
      </c>
      <c r="F413" s="332">
        <f>Gasto_o_ing_per_capita!F413-Gasto_o_ing_per_capita!$D413</f>
        <v>-0.16111102710435671</v>
      </c>
      <c r="G413" s="332">
        <f>Gasto_o_ing_per_capita!G413-Gasto_o_ing_per_capita!$D413</f>
        <v>-4.0486910361305861E-2</v>
      </c>
      <c r="H413" s="332">
        <f>Gasto_o_ing_per_capita!H413-Gasto_o_ing_per_capita!$D413</f>
        <v>-0.15238312842033941</v>
      </c>
      <c r="I413" s="332">
        <f>Gasto_o_ing_per_capita!I413-Gasto_o_ing_per_capita!$D413</f>
        <v>0.25081514295058593</v>
      </c>
      <c r="J413" s="332">
        <f>Gasto_o_ing_per_capita!J413-Gasto_o_ing_per_capita!$D413</f>
        <v>7.899190586292304E-2</v>
      </c>
      <c r="K413" s="332">
        <f>Gasto_o_ing_per_capita!K413-Gasto_o_ing_per_capita!$D413</f>
        <v>6.747085690875565E-2</v>
      </c>
      <c r="L413" s="332">
        <f>Gasto_o_ing_per_capita!L413-Gasto_o_ing_per_capita!$D413</f>
        <v>3.1418257039579012E-2</v>
      </c>
      <c r="M413" s="332">
        <f>Gasto_o_ing_per_capita!M413-Gasto_o_ing_per_capita!$D413</f>
        <v>-8.0578700397647862E-2</v>
      </c>
      <c r="N413" s="332">
        <f>Gasto_o_ing_per_capita!N413-Gasto_o_ing_per_capita!$D413</f>
        <v>-0.10858041216512421</v>
      </c>
      <c r="O413" s="332">
        <f>Gasto_o_ing_per_capita!O413-Gasto_o_ing_per_capita!$D413</f>
        <v>0.17925585051059811</v>
      </c>
      <c r="P413" s="332">
        <f>Gasto_o_ing_per_capita!P413-Gasto_o_ing_per_capita!$D413</f>
        <v>0.1856819924629397</v>
      </c>
      <c r="Q413" s="332">
        <f>Gasto_o_ing_per_capita!Q413-Gasto_o_ing_per_capita!$D413</f>
        <v>-0.15617806870753703</v>
      </c>
      <c r="R413" s="332">
        <f>Gasto_o_ing_per_capita!R413-Gasto_o_ing_per_capita!$D413</f>
        <v>8.2492628955778358E-2</v>
      </c>
      <c r="S413" s="332">
        <f>Gasto_o_ing_per_capita!S413-Gasto_o_ing_per_capita!$D413</f>
        <v>0</v>
      </c>
      <c r="T413" s="332">
        <f>Gasto_o_ing_per_capita!T413-Gasto_o_ing_per_capita!$D413</f>
        <v>0</v>
      </c>
      <c r="U413" s="332">
        <f>Gasto_o_ing_per_capita!U413-Gasto_o_ing_per_capita!$D413</f>
        <v>-6.1441128932391342E-2</v>
      </c>
      <c r="V413" s="332">
        <f>Gasto_o_ing_per_capita!V413-Gasto_o_ing_per_capita!$D413</f>
        <v>0.59332699608302497</v>
      </c>
      <c r="W413" s="111"/>
    </row>
    <row r="414" spans="1:23" s="102" customFormat="1">
      <c r="A414" s="351" t="str">
        <f>IF(B414="","",(IF(ISERROR(MATCH(B414,Tot_res!C:C,0)),"Eliminar!!!","")))</f>
        <v/>
      </c>
      <c r="B414" s="115" t="s">
        <v>872</v>
      </c>
      <c r="C414" s="329" t="str">
        <f>VLOOKUP(B414,Tot_res!C:D,2,FALSE)</f>
        <v>ISM formación y servicios sociales + AF19/5</v>
      </c>
      <c r="D414" s="332">
        <f>Gasto_o_ing_per_capita!D414-Gasto_o_ing_per_capita!$D414</f>
        <v>0</v>
      </c>
      <c r="E414" s="332">
        <f>Gasto_o_ing_per_capita!E414-Gasto_o_ing_per_capita!$D414</f>
        <v>6.6374812680764464E-2</v>
      </c>
      <c r="F414" s="332">
        <f>Gasto_o_ing_per_capita!F414-Gasto_o_ing_per_capita!$D414</f>
        <v>-0.1236700069942674</v>
      </c>
      <c r="G414" s="332">
        <f>Gasto_o_ing_per_capita!G414-Gasto_o_ing_per_capita!$D414</f>
        <v>0.9780488983788328</v>
      </c>
      <c r="H414" s="332">
        <f>Gasto_o_ing_per_capita!H414-Gasto_o_ing_per_capita!$D414</f>
        <v>0.43524987822478495</v>
      </c>
      <c r="I414" s="332">
        <f>Gasto_o_ing_per_capita!I414-Gasto_o_ing_per_capita!$D414</f>
        <v>-0.1236700069942674</v>
      </c>
      <c r="J414" s="332">
        <f>Gasto_o_ing_per_capita!J414-Gasto_o_ing_per_capita!$D414</f>
        <v>1.022739548095752</v>
      </c>
      <c r="K414" s="332">
        <f>Gasto_o_ing_per_capita!K414-Gasto_o_ing_per_capita!$D414</f>
        <v>-0.1236700069942674</v>
      </c>
      <c r="L414" s="332">
        <f>Gasto_o_ing_per_capita!L414-Gasto_o_ing_per_capita!$D414</f>
        <v>-0.1236700069942674</v>
      </c>
      <c r="M414" s="332">
        <f>Gasto_o_ing_per_capita!M414-Gasto_o_ing_per_capita!$D414</f>
        <v>-0.1236700069942674</v>
      </c>
      <c r="N414" s="332">
        <f>Gasto_o_ing_per_capita!N414-Gasto_o_ing_per_capita!$D414</f>
        <v>-0.1236700069942674</v>
      </c>
      <c r="O414" s="332">
        <f>Gasto_o_ing_per_capita!O414-Gasto_o_ing_per_capita!$D414</f>
        <v>-0.1236700069942674</v>
      </c>
      <c r="P414" s="332">
        <f>Gasto_o_ing_per_capita!P414-Gasto_o_ing_per_capita!$D414</f>
        <v>-0.1236700069942674</v>
      </c>
      <c r="Q414" s="332">
        <f>Gasto_o_ing_per_capita!Q414-Gasto_o_ing_per_capita!$D414</f>
        <v>-0.1236700069942674</v>
      </c>
      <c r="R414" s="332">
        <f>Gasto_o_ing_per_capita!R414-Gasto_o_ing_per_capita!$D414</f>
        <v>0.46990993131389208</v>
      </c>
      <c r="S414" s="332">
        <f>Gasto_o_ing_per_capita!S414-Gasto_o_ing_per_capita!$D414</f>
        <v>-0.1236700069942674</v>
      </c>
      <c r="T414" s="332">
        <f>Gasto_o_ing_per_capita!T414-Gasto_o_ing_per_capita!$D414</f>
        <v>0.26642994041750112</v>
      </c>
      <c r="U414" s="332">
        <f>Gasto_o_ing_per_capita!U414-Gasto_o_ing_per_capita!$D414</f>
        <v>-0.1236700069942674</v>
      </c>
      <c r="V414" s="332">
        <f>Gasto_o_ing_per_capita!V414-Gasto_o_ing_per_capita!$D414</f>
        <v>-0.1236700069942674</v>
      </c>
      <c r="W414" s="105"/>
    </row>
    <row r="415" spans="1:23"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c r="W415" s="114"/>
    </row>
    <row r="416" spans="1:23" s="102" customFormat="1" ht="13.5">
      <c r="A416" s="358"/>
      <c r="B416" s="115"/>
      <c r="C416" s="117" t="s">
        <v>382</v>
      </c>
      <c r="D416" s="113">
        <f>Gasto_o_ing_per_capita!D416-Gasto_o_ing_per_capita!$D416</f>
        <v>0</v>
      </c>
      <c r="E416" s="113">
        <f>Gasto_o_ing_per_capita!E416-Gasto_o_ing_per_capita!$D416</f>
        <v>-7.3397284330984789</v>
      </c>
      <c r="F416" s="113">
        <f>Gasto_o_ing_per_capita!F416-Gasto_o_ing_per_capita!$D416</f>
        <v>4.708483771895672</v>
      </c>
      <c r="G416" s="113">
        <f>Gasto_o_ing_per_capita!G416-Gasto_o_ing_per_capita!$D416</f>
        <v>12.67141097510271</v>
      </c>
      <c r="H416" s="113">
        <f>Gasto_o_ing_per_capita!H416-Gasto_o_ing_per_capita!$D416</f>
        <v>0.14304503234556165</v>
      </c>
      <c r="I416" s="113">
        <f>Gasto_o_ing_per_capita!I416-Gasto_o_ing_per_capita!$D416</f>
        <v>-6.9556658778646963</v>
      </c>
      <c r="J416" s="113">
        <f>Gasto_o_ing_per_capita!J416-Gasto_o_ing_per_capita!$D416</f>
        <v>5.1090718900750929</v>
      </c>
      <c r="K416" s="113">
        <f>Gasto_o_ing_per_capita!K416-Gasto_o_ing_per_capita!$D416</f>
        <v>3.7128102196703665</v>
      </c>
      <c r="L416" s="113">
        <f>Gasto_o_ing_per_capita!L416-Gasto_o_ing_per_capita!$D416</f>
        <v>-4.9758800763823388</v>
      </c>
      <c r="M416" s="113">
        <f>Gasto_o_ing_per_capita!M416-Gasto_o_ing_per_capita!$D416</f>
        <v>1.6385539918685126</v>
      </c>
      <c r="N416" s="113">
        <f>Gasto_o_ing_per_capita!N416-Gasto_o_ing_per_capita!$D416</f>
        <v>-0.32725323873530954</v>
      </c>
      <c r="O416" s="113">
        <f>Gasto_o_ing_per_capita!O416-Gasto_o_ing_per_capita!$D416</f>
        <v>-6.3662170260245716</v>
      </c>
      <c r="P416" s="113">
        <f>Gasto_o_ing_per_capita!P416-Gasto_o_ing_per_capita!$D416</f>
        <v>6.0595632658838809</v>
      </c>
      <c r="Q416" s="113">
        <f>Gasto_o_ing_per_capita!Q416-Gasto_o_ing_per_capita!$D416</f>
        <v>2.9519271332355999</v>
      </c>
      <c r="R416" s="113">
        <f>Gasto_o_ing_per_capita!R416-Gasto_o_ing_per_capita!$D416</f>
        <v>-6.6698516786350552</v>
      </c>
      <c r="S416" s="113">
        <f>Gasto_o_ing_per_capita!S416-Gasto_o_ing_per_capita!$D416</f>
        <v>2.4484618192483651</v>
      </c>
      <c r="T416" s="113">
        <f>Gasto_o_ing_per_capita!T416-Gasto_o_ing_per_capita!$D416</f>
        <v>10.261600171208691</v>
      </c>
      <c r="U416" s="113">
        <f>Gasto_o_ing_per_capita!U416-Gasto_o_ing_per_capita!$D416</f>
        <v>0.41731362681412065</v>
      </c>
      <c r="V416" s="113">
        <f>Gasto_o_ing_per_capita!V416-Gasto_o_ing_per_capita!$D416</f>
        <v>5.181728539631564</v>
      </c>
      <c r="W416" s="105"/>
    </row>
    <row r="417" spans="1:23" s="102" customFormat="1">
      <c r="A417" s="351" t="str">
        <f>IF(B417="","",(IF(ISERROR(MATCH(B417,Tot_res!C:C,0)),"Eliminar!!!","")))</f>
        <v/>
      </c>
      <c r="B417" s="119" t="s">
        <v>383</v>
      </c>
      <c r="C417" s="329" t="str">
        <f>VLOOKUP(B417,Tot_res!C:D,2,FALSE)</f>
        <v>Inspección y control de seguridad y protección social</v>
      </c>
      <c r="D417" s="332">
        <f>Gasto_o_ing_per_capita!D417-Gasto_o_ing_per_capita!$D417</f>
        <v>0</v>
      </c>
      <c r="E417" s="332">
        <f>Gasto_o_ing_per_capita!E417-Gasto_o_ing_per_capita!$D417</f>
        <v>0.13140288011119328</v>
      </c>
      <c r="F417" s="332">
        <f>Gasto_o_ing_per_capita!F417-Gasto_o_ing_per_capita!$D417</f>
        <v>1.3271542455627618</v>
      </c>
      <c r="G417" s="332">
        <f>Gasto_o_ing_per_capita!G417-Gasto_o_ing_per_capita!$D417</f>
        <v>0.70900686058256968</v>
      </c>
      <c r="H417" s="332">
        <f>Gasto_o_ing_per_capita!H417-Gasto_o_ing_per_capita!$D417</f>
        <v>2.0576102998253956</v>
      </c>
      <c r="I417" s="332">
        <f>Gasto_o_ing_per_capita!I417-Gasto_o_ing_per_capita!$D417</f>
        <v>0.82855102094085575</v>
      </c>
      <c r="J417" s="332">
        <f>Gasto_o_ing_per_capita!J417-Gasto_o_ing_per_capita!$D417</f>
        <v>0.83981908858760068</v>
      </c>
      <c r="K417" s="332">
        <f>Gasto_o_ing_per_capita!K417-Gasto_o_ing_per_capita!$D417</f>
        <v>1.9085786735288832</v>
      </c>
      <c r="L417" s="332">
        <f>Gasto_o_ing_per_capita!L417-Gasto_o_ing_per_capita!$D417</f>
        <v>0.44679776649145397</v>
      </c>
      <c r="M417" s="332">
        <f>Gasto_o_ing_per_capita!M417-Gasto_o_ing_per_capita!$D417</f>
        <v>-2.5051995033766317</v>
      </c>
      <c r="N417" s="332">
        <f>Gasto_o_ing_per_capita!N417-Gasto_o_ing_per_capita!$D417</f>
        <v>0.19464760535116676</v>
      </c>
      <c r="O417" s="332">
        <f>Gasto_o_ing_per_capita!O417-Gasto_o_ing_per_capita!$D417</f>
        <v>0.50551118721093635</v>
      </c>
      <c r="P417" s="332">
        <f>Gasto_o_ing_per_capita!P417-Gasto_o_ing_per_capita!$D417</f>
        <v>0.50875487568464273</v>
      </c>
      <c r="Q417" s="332">
        <f>Gasto_o_ing_per_capita!Q417-Gasto_o_ing_per_capita!$D417</f>
        <v>0.51438348133600353</v>
      </c>
      <c r="R417" s="332">
        <f>Gasto_o_ing_per_capita!R417-Gasto_o_ing_per_capita!$D417</f>
        <v>-0.40137202622362977</v>
      </c>
      <c r="S417" s="332">
        <f>Gasto_o_ing_per_capita!S417-Gasto_o_ing_per_capita!$D417</f>
        <v>0.25942612284011757</v>
      </c>
      <c r="T417" s="332">
        <f>Gasto_o_ing_per_capita!T417-Gasto_o_ing_per_capita!$D417</f>
        <v>-0.34726962927810456</v>
      </c>
      <c r="U417" s="332">
        <f>Gasto_o_ing_per_capita!U417-Gasto_o_ing_per_capita!$D417</f>
        <v>0.36401830748323372</v>
      </c>
      <c r="V417" s="332">
        <f>Gasto_o_ing_per_capita!V417-Gasto_o_ing_per_capita!$D417</f>
        <v>-0.72823017807170043</v>
      </c>
      <c r="W417" s="105"/>
    </row>
    <row r="418" spans="1:23" s="102" customFormat="1">
      <c r="A418" s="351" t="str">
        <f>IF(B418="","",(IF(ISERROR(MATCH(B418,Tot_res!C:C,0)),"Eliminar!!!","")))</f>
        <v/>
      </c>
      <c r="B418" s="119" t="s">
        <v>384</v>
      </c>
      <c r="C418" s="329" t="str">
        <f>VLOOKUP(B418,Tot_res!C:D,2,FALSE)</f>
        <v>Dirección y servicios generales de seguridad social y protección social</v>
      </c>
      <c r="D418" s="332">
        <f>Gasto_o_ing_per_capita!D418-Gasto_o_ing_per_capita!$D418</f>
        <v>0</v>
      </c>
      <c r="E418" s="332">
        <f>Gasto_o_ing_per_capita!E418-Gasto_o_ing_per_capita!$D418</f>
        <v>-0.18760821232080716</v>
      </c>
      <c r="F418" s="332">
        <f>Gasto_o_ing_per_capita!F418-Gasto_o_ing_per_capita!$D418</f>
        <v>0.13039279862276842</v>
      </c>
      <c r="G418" s="332">
        <f>Gasto_o_ing_per_capita!G418-Gasto_o_ing_per_capita!$D418</f>
        <v>0.66274960542728056</v>
      </c>
      <c r="H418" s="332">
        <f>Gasto_o_ing_per_capita!H418-Gasto_o_ing_per_capita!$D418</f>
        <v>-0.2118534616271095</v>
      </c>
      <c r="I418" s="332">
        <f>Gasto_o_ing_per_capita!I418-Gasto_o_ing_per_capita!$D418</f>
        <v>-0.32822120826901813</v>
      </c>
      <c r="J418" s="332">
        <f>Gasto_o_ing_per_capita!J418-Gasto_o_ing_per_capita!$D418</f>
        <v>0.21891318811611571</v>
      </c>
      <c r="K418" s="332">
        <f>Gasto_o_ing_per_capita!K418-Gasto_o_ing_per_capita!$D418</f>
        <v>0.11114619692883343</v>
      </c>
      <c r="L418" s="332">
        <f>Gasto_o_ing_per_capita!L418-Gasto_o_ing_per_capita!$D418</f>
        <v>-0.23444637852444083</v>
      </c>
      <c r="M418" s="332">
        <f>Gasto_o_ing_per_capita!M418-Gasto_o_ing_per_capita!$D418</f>
        <v>0.1623466882593334</v>
      </c>
      <c r="N418" s="332">
        <f>Gasto_o_ing_per_capita!N418-Gasto_o_ing_per_capita!$D418</f>
        <v>-0.13810110681722021</v>
      </c>
      <c r="O418" s="332">
        <f>Gasto_o_ing_per_capita!O418-Gasto_o_ing_per_capita!$D418</f>
        <v>-0.17155971819758831</v>
      </c>
      <c r="P418" s="332">
        <f>Gasto_o_ing_per_capita!P418-Gasto_o_ing_per_capita!$D418</f>
        <v>0.10549029868749704</v>
      </c>
      <c r="Q418" s="332">
        <f>Gasto_o_ing_per_capita!Q418-Gasto_o_ing_per_capita!$D418</f>
        <v>4.8492995791781013E-2</v>
      </c>
      <c r="R418" s="332">
        <f>Gasto_o_ing_per_capita!R418-Gasto_o_ing_per_capita!$D418</f>
        <v>-0.2734435157459183</v>
      </c>
      <c r="S418" s="332">
        <f>Gasto_o_ing_per_capita!S418-Gasto_o_ing_per_capita!$D418</f>
        <v>0.13872155717052159</v>
      </c>
      <c r="T418" s="332">
        <f>Gasto_o_ing_per_capita!T418-Gasto_o_ing_per_capita!$D418</f>
        <v>0.48055589248736652</v>
      </c>
      <c r="U418" s="332">
        <f>Gasto_o_ing_per_capita!U418-Gasto_o_ing_per_capita!$D418</f>
        <v>-2.9901950357380969E-2</v>
      </c>
      <c r="V418" s="332">
        <f>Gasto_o_ing_per_capita!V418-Gasto_o_ing_per_capita!$D418</f>
        <v>0.20020470892604569</v>
      </c>
      <c r="W418" s="105"/>
    </row>
    <row r="419" spans="1:23" s="102" customFormat="1">
      <c r="A419" s="351" t="str">
        <f>IF(B419="","",(IF(ISERROR(MATCH(B419,Tot_res!C:C,0)),"Eliminar!!!","")))</f>
        <v/>
      </c>
      <c r="B419" s="115" t="s">
        <v>624</v>
      </c>
      <c r="C419" s="329" t="str">
        <f>VLOOKUP(B419,Tot_res!C:D,2,FALSE)</f>
        <v>Gestión de Cotización y Recaudación</v>
      </c>
      <c r="D419" s="332">
        <f>Gasto_o_ing_per_capita!D419-Gasto_o_ing_per_capita!$D419</f>
        <v>0</v>
      </c>
      <c r="E419" s="332">
        <f>Gasto_o_ing_per_capita!E419-Gasto_o_ing_per_capita!$D419</f>
        <v>-1.3414537246989457</v>
      </c>
      <c r="F419" s="332">
        <f>Gasto_o_ing_per_capita!F419-Gasto_o_ing_per_capita!$D419</f>
        <v>0.99478891849095064</v>
      </c>
      <c r="G419" s="332">
        <f>Gasto_o_ing_per_capita!G419-Gasto_o_ing_per_capita!$D419</f>
        <v>3.8124255198621597</v>
      </c>
      <c r="H419" s="332">
        <f>Gasto_o_ing_per_capita!H419-Gasto_o_ing_per_capita!$D419</f>
        <v>-1.2819712768834481</v>
      </c>
      <c r="I419" s="332">
        <f>Gasto_o_ing_per_capita!I419-Gasto_o_ing_per_capita!$D419</f>
        <v>-2.159467447106425</v>
      </c>
      <c r="J419" s="332">
        <f>Gasto_o_ing_per_capita!J419-Gasto_o_ing_per_capita!$D419</f>
        <v>1.2281072131832627</v>
      </c>
      <c r="K419" s="332">
        <f>Gasto_o_ing_per_capita!K419-Gasto_o_ing_per_capita!$D419</f>
        <v>0.90396870141062458</v>
      </c>
      <c r="L419" s="332">
        <f>Gasto_o_ing_per_capita!L419-Gasto_o_ing_per_capita!$D419</f>
        <v>-1.160536131699283</v>
      </c>
      <c r="M419" s="332">
        <f>Gasto_o_ing_per_capita!M419-Gasto_o_ing_per_capita!$D419</f>
        <v>0.97059803383377563</v>
      </c>
      <c r="N419" s="332">
        <f>Gasto_o_ing_per_capita!N419-Gasto_o_ing_per_capita!$D419</f>
        <v>-0.79469643923637889</v>
      </c>
      <c r="O419" s="332">
        <f>Gasto_o_ing_per_capita!O419-Gasto_o_ing_per_capita!$D419</f>
        <v>-1.0830831240815684</v>
      </c>
      <c r="P419" s="332">
        <f>Gasto_o_ing_per_capita!P419-Gasto_o_ing_per_capita!$D419</f>
        <v>0.8312618934266478</v>
      </c>
      <c r="Q419" s="332">
        <f>Gasto_o_ing_per_capita!Q419-Gasto_o_ing_per_capita!$D419</f>
        <v>0.35277372634186932</v>
      </c>
      <c r="R419" s="332">
        <f>Gasto_o_ing_per_capita!R419-Gasto_o_ing_per_capita!$D419</f>
        <v>-1.5945739639970133</v>
      </c>
      <c r="S419" s="332">
        <f>Gasto_o_ing_per_capita!S419-Gasto_o_ing_per_capita!$D419</f>
        <v>1.1145076454447196</v>
      </c>
      <c r="T419" s="332">
        <f>Gasto_o_ing_per_capita!T419-Gasto_o_ing_per_capita!$D419</f>
        <v>3.0523835583542631</v>
      </c>
      <c r="U419" s="332">
        <f>Gasto_o_ing_per_capita!U419-Gasto_o_ing_per_capita!$D419</f>
        <v>5.3174809819189761E-2</v>
      </c>
      <c r="V419" s="332">
        <f>Gasto_o_ing_per_capita!V419-Gasto_o_ing_per_capita!$D419</f>
        <v>-2.6258340208227278</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Gasto_o_ing_per_capita!D420-Gasto_o_ing_per_capita!$D420</f>
        <v>0</v>
      </c>
      <c r="E420" s="332">
        <f>Gasto_o_ing_per_capita!E420-Gasto_o_ing_per_capita!$D420</f>
        <v>-0.28448487105024922</v>
      </c>
      <c r="F420" s="332">
        <f>Gasto_o_ing_per_capita!F420-Gasto_o_ing_per_capita!$D420</f>
        <v>0.21792239327231711</v>
      </c>
      <c r="G420" s="332">
        <f>Gasto_o_ing_per_capita!G420-Gasto_o_ing_per_capita!$D420</f>
        <v>1.1739528988450192</v>
      </c>
      <c r="H420" s="332">
        <f>Gasto_o_ing_per_capita!H420-Gasto_o_ing_per_capita!$D420</f>
        <v>-0.38094097725654263</v>
      </c>
      <c r="I420" s="332">
        <f>Gasto_o_ing_per_capita!I420-Gasto_o_ing_per_capita!$D420</f>
        <v>-0.55320909396034734</v>
      </c>
      <c r="J420" s="332">
        <f>Gasto_o_ing_per_capita!J420-Gasto_o_ing_per_capita!$D420</f>
        <v>0.37868439428116885</v>
      </c>
      <c r="K420" s="332">
        <f>Gasto_o_ing_per_capita!K420-Gasto_o_ing_per_capita!$D420</f>
        <v>0.2215863432944043</v>
      </c>
      <c r="L420" s="332">
        <f>Gasto_o_ing_per_capita!L420-Gasto_o_ing_per_capita!$D420</f>
        <v>-0.3882601462227524</v>
      </c>
      <c r="M420" s="332">
        <f>Gasto_o_ing_per_capita!M420-Gasto_o_ing_per_capita!$D420</f>
        <v>0.26894324019759708</v>
      </c>
      <c r="N420" s="332">
        <f>Gasto_o_ing_per_capita!N420-Gasto_o_ing_per_capita!$D420</f>
        <v>-0.24981921050509115</v>
      </c>
      <c r="O420" s="332">
        <f>Gasto_o_ing_per_capita!O420-Gasto_o_ing_per_capita!$D420</f>
        <v>-0.25398766550228413</v>
      </c>
      <c r="P420" s="332">
        <f>Gasto_o_ing_per_capita!P420-Gasto_o_ing_per_capita!$D420</f>
        <v>0.19506848214384309</v>
      </c>
      <c r="Q420" s="332">
        <f>Gasto_o_ing_per_capita!Q420-Gasto_o_ing_per_capita!$D420</f>
        <v>1.6595014441903366E-2</v>
      </c>
      <c r="R420" s="332">
        <f>Gasto_o_ing_per_capita!R420-Gasto_o_ing_per_capita!$D420</f>
        <v>-0.47626600061317115</v>
      </c>
      <c r="S420" s="332">
        <f>Gasto_o_ing_per_capita!S420-Gasto_o_ing_per_capita!$D420</f>
        <v>0.23509676913181332</v>
      </c>
      <c r="T420" s="332">
        <f>Gasto_o_ing_per_capita!T420-Gasto_o_ing_per_capita!$D420</f>
        <v>0.83745388421903533</v>
      </c>
      <c r="U420" s="332">
        <f>Gasto_o_ing_per_capita!U420-Gasto_o_ing_per_capita!$D420</f>
        <v>-4.1636844958115482E-2</v>
      </c>
      <c r="V420" s="332">
        <f>Gasto_o_ing_per_capita!V420-Gasto_o_ing_per_capita!$D420</f>
        <v>0.39804757999608897</v>
      </c>
      <c r="W420" s="105"/>
    </row>
    <row r="421" spans="1:23" s="102" customFormat="1">
      <c r="A421" s="351" t="str">
        <f>IF(B421="","",(IF(ISERROR(MATCH(B421,Tot_res!C:C,0)),"Eliminar!!!","")))</f>
        <v/>
      </c>
      <c r="B421" s="115" t="s">
        <v>975</v>
      </c>
      <c r="C421" s="329" t="str">
        <f>VLOOKUP(B421,Tot_res!C:D,2,FALSE)</f>
        <v>Gestión del Patrimonio, TGSS</v>
      </c>
      <c r="D421" s="332">
        <f>Gasto_o_ing_per_capita!D421-Gasto_o_ing_per_capita!$D421</f>
        <v>0</v>
      </c>
      <c r="E421" s="332">
        <f>Gasto_o_ing_per_capita!E421-Gasto_o_ing_per_capita!$D421</f>
        <v>-3.358230795593356E-2</v>
      </c>
      <c r="F421" s="332">
        <f>Gasto_o_ing_per_capita!F421-Gasto_o_ing_per_capita!$D421</f>
        <v>2.7674117978454538E-2</v>
      </c>
      <c r="G421" s="332">
        <f>Gasto_o_ing_per_capita!G421-Gasto_o_ing_per_capita!$D421</f>
        <v>0.12250391041506431</v>
      </c>
      <c r="H421" s="332">
        <f>Gasto_o_ing_per_capita!H421-Gasto_o_ing_per_capita!$D421</f>
        <v>-4.6737559309680793E-2</v>
      </c>
      <c r="I421" s="332">
        <f>Gasto_o_ing_per_capita!I421-Gasto_o_ing_per_capita!$D421</f>
        <v>-6.060292765691172E-2</v>
      </c>
      <c r="J421" s="332">
        <f>Gasto_o_ing_per_capita!J421-Gasto_o_ing_per_capita!$D421</f>
        <v>4.0561092958637385E-2</v>
      </c>
      <c r="K421" s="332">
        <f>Gasto_o_ing_per_capita!K421-Gasto_o_ing_per_capita!$D421</f>
        <v>3.4304075391804106E-2</v>
      </c>
      <c r="L421" s="332">
        <f>Gasto_o_ing_per_capita!L421-Gasto_o_ing_per_capita!$D421</f>
        <v>-3.4027508252492566E-2</v>
      </c>
      <c r="M421" s="332">
        <f>Gasto_o_ing_per_capita!M421-Gasto_o_ing_per_capita!$D421</f>
        <v>2.582345678340997E-2</v>
      </c>
      <c r="N421" s="332">
        <f>Gasto_o_ing_per_capita!N421-Gasto_o_ing_per_capita!$D421</f>
        <v>-2.3959593701662618E-2</v>
      </c>
      <c r="O421" s="332">
        <f>Gasto_o_ing_per_capita!O421-Gasto_o_ing_per_capita!$D421</f>
        <v>-2.5311595295440109E-2</v>
      </c>
      <c r="P421" s="332">
        <f>Gasto_o_ing_per_capita!P421-Gasto_o_ing_per_capita!$D421</f>
        <v>3.1809472801127892E-2</v>
      </c>
      <c r="Q421" s="332">
        <f>Gasto_o_ing_per_capita!Q421-Gasto_o_ing_per_capita!$D421</f>
        <v>-3.0291568584071837E-3</v>
      </c>
      <c r="R421" s="332">
        <f>Gasto_o_ing_per_capita!R421-Gasto_o_ing_per_capita!$D421</f>
        <v>-4.6505999278924542E-2</v>
      </c>
      <c r="S421" s="332">
        <f>Gasto_o_ing_per_capita!S421-Gasto_o_ing_per_capita!$D421</f>
        <v>2.3304213932378054E-2</v>
      </c>
      <c r="T421" s="332">
        <f>Gasto_o_ing_per_capita!T421-Gasto_o_ing_per_capita!$D421</f>
        <v>8.7882926477911794E-2</v>
      </c>
      <c r="U421" s="332">
        <f>Gasto_o_ing_per_capita!U421-Gasto_o_ing_per_capita!$D421</f>
        <v>6.4590675323505931E-4</v>
      </c>
      <c r="V421" s="332">
        <f>Gasto_o_ing_per_capita!V421-Gasto_o_ing_per_capita!$D421</f>
        <v>1.7331084522474782E-2</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Gasto_o_ing_per_capita!D422-Gasto_o_ing_per_capita!$D422</f>
        <v>0</v>
      </c>
      <c r="E422" s="332">
        <f>Gasto_o_ing_per_capita!E422-Gasto_o_ing_per_capita!$D422</f>
        <v>-0.89398685044101178</v>
      </c>
      <c r="F422" s="332">
        <f>Gasto_o_ing_per_capita!F422-Gasto_o_ing_per_capita!$D422</f>
        <v>0.73670629197837378</v>
      </c>
      <c r="G422" s="332">
        <f>Gasto_o_ing_per_capita!G422-Gasto_o_ing_per_capita!$D422</f>
        <v>3.2611482564682186</v>
      </c>
      <c r="H422" s="332">
        <f>Gasto_o_ing_per_capita!H422-Gasto_o_ing_per_capita!$D422</f>
        <v>-1.2441897531101365</v>
      </c>
      <c r="I422" s="332">
        <f>Gasto_o_ing_per_capita!I422-Gasto_o_ing_per_capita!$D422</f>
        <v>-1.6132965159690418</v>
      </c>
      <c r="J422" s="332">
        <f>Gasto_o_ing_per_capita!J422-Gasto_o_ing_per_capita!$D422</f>
        <v>1.0797674713756722</v>
      </c>
      <c r="K422" s="332">
        <f>Gasto_o_ing_per_capita!K422-Gasto_o_ing_per_capita!$D422</f>
        <v>0.91320085436211151</v>
      </c>
      <c r="L422" s="332">
        <f>Gasto_o_ing_per_capita!L422-Gasto_o_ing_per_capita!$D422</f>
        <v>-0.90583842453349117</v>
      </c>
      <c r="M422" s="332">
        <f>Gasto_o_ing_per_capita!M422-Gasto_o_ing_per_capita!$D422</f>
        <v>0.68744026847688389</v>
      </c>
      <c r="N422" s="332">
        <f>Gasto_o_ing_per_capita!N422-Gasto_o_ing_per_capita!$D422</f>
        <v>-0.63782280060388441</v>
      </c>
      <c r="O422" s="332">
        <f>Gasto_o_ing_per_capita!O422-Gasto_o_ing_per_capita!$D422</f>
        <v>-0.67381412223068793</v>
      </c>
      <c r="P422" s="332">
        <f>Gasto_o_ing_per_capita!P422-Gasto_o_ing_per_capita!$D422</f>
        <v>0.84679261595077371</v>
      </c>
      <c r="Q422" s="332">
        <f>Gasto_o_ing_per_capita!Q422-Gasto_o_ing_per_capita!$D422</f>
        <v>-8.0638483897313762E-2</v>
      </c>
      <c r="R422" s="332">
        <f>Gasto_o_ing_per_capita!R422-Gasto_o_ing_per_capita!$D422</f>
        <v>-1.2380254471054557</v>
      </c>
      <c r="S422" s="332">
        <f>Gasto_o_ing_per_capita!S422-Gasto_o_ing_per_capita!$D422</f>
        <v>0.62037608739542449</v>
      </c>
      <c r="T422" s="332">
        <f>Gasto_o_ing_per_capita!T422-Gasto_o_ing_per_capita!$D422</f>
        <v>2.3395110530408312</v>
      </c>
      <c r="U422" s="332">
        <f>Gasto_o_ing_per_capita!U422-Gasto_o_ing_per_capita!$D422</f>
        <v>1.7194534239902914E-2</v>
      </c>
      <c r="V422" s="332">
        <f>Gasto_o_ing_per_capita!V422-Gasto_o_ing_per_capita!$D422</f>
        <v>0.46136679132670366</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Gasto_o_ing_per_capita!D423-Gasto_o_ing_per_capita!$D423</f>
        <v>0</v>
      </c>
      <c r="E423" s="332">
        <f>Gasto_o_ing_per_capita!E423-Gasto_o_ing_per_capita!$D423</f>
        <v>-0.22242239142873022</v>
      </c>
      <c r="F423" s="332">
        <f>Gasto_o_ing_per_capita!F423-Gasto_o_ing_per_capita!$D423</f>
        <v>0.87707655843737609</v>
      </c>
      <c r="G423" s="332">
        <f>Gasto_o_ing_per_capita!G423-Gasto_o_ing_per_capita!$D423</f>
        <v>2.1907238091454984</v>
      </c>
      <c r="H423" s="332">
        <f>Gasto_o_ing_per_capita!H423-Gasto_o_ing_per_capita!$D423</f>
        <v>4.9678995522654645E-2</v>
      </c>
      <c r="I423" s="332">
        <f>Gasto_o_ing_per_capita!I423-Gasto_o_ing_per_capita!$D423</f>
        <v>-0.62484699095046992</v>
      </c>
      <c r="J423" s="332">
        <f>Gasto_o_ing_per_capita!J423-Gasto_o_ing_per_capita!$D423</f>
        <v>2.2082017985248541</v>
      </c>
      <c r="K423" s="332">
        <f>Gasto_o_ing_per_capita!K423-Gasto_o_ing_per_capita!$D423</f>
        <v>0.59039263997420122</v>
      </c>
      <c r="L423" s="332">
        <f>Gasto_o_ing_per_capita!L423-Gasto_o_ing_per_capita!$D423</f>
        <v>-0.84885074881858902</v>
      </c>
      <c r="M423" s="332">
        <f>Gasto_o_ing_per_capita!M423-Gasto_o_ing_per_capita!$D423</f>
        <v>-0.54061706941044907</v>
      </c>
      <c r="N423" s="332">
        <f>Gasto_o_ing_per_capita!N423-Gasto_o_ing_per_capita!$D423</f>
        <v>-0.33450255457064859</v>
      </c>
      <c r="O423" s="332">
        <f>Gasto_o_ing_per_capita!O423-Gasto_o_ing_per_capita!$D423</f>
        <v>-0.15837151113493864</v>
      </c>
      <c r="P423" s="332">
        <f>Gasto_o_ing_per_capita!P423-Gasto_o_ing_per_capita!$D423</f>
        <v>3.1716235592072923</v>
      </c>
      <c r="Q423" s="332">
        <f>Gasto_o_ing_per_capita!Q423-Gasto_o_ing_per_capita!$D423</f>
        <v>-1.3704333932377648</v>
      </c>
      <c r="R423" s="332">
        <f>Gasto_o_ing_per_capita!R423-Gasto_o_ing_per_capita!$D423</f>
        <v>-1.087384631470842</v>
      </c>
      <c r="S423" s="332">
        <f>Gasto_o_ing_per_capita!S423-Gasto_o_ing_per_capita!$D423</f>
        <v>-0.71758324265060391</v>
      </c>
      <c r="T423" s="332">
        <f>Gasto_o_ing_per_capita!T423-Gasto_o_ing_per_capita!$D423</f>
        <v>2.3743446314735266</v>
      </c>
      <c r="U423" s="332">
        <f>Gasto_o_ing_per_capita!U423-Gasto_o_ing_per_capita!$D423</f>
        <v>-0.33527120356642381</v>
      </c>
      <c r="V423" s="332">
        <f>Gasto_o_ing_per_capita!V423-Gasto_o_ing_per_capita!$D423</f>
        <v>9.7771298949527097</v>
      </c>
      <c r="W423" s="114"/>
    </row>
    <row r="424" spans="1:23" s="102" customFormat="1">
      <c r="A424" s="351" t="str">
        <f>IF(B424="","",(IF(ISERROR(MATCH(B424,Tot_res!C:C,0)),"Eliminar!!!","")))</f>
        <v/>
      </c>
      <c r="B424" s="115" t="s">
        <v>977</v>
      </c>
      <c r="C424" s="329" t="str">
        <f>VLOOKUP(B424,Tot_res!C:D,2,FALSE)</f>
        <v>Admón. y Servic. Generales, Mutuas</v>
      </c>
      <c r="D424" s="332">
        <f>Gasto_o_ing_per_capita!D424-Gasto_o_ing_per_capita!$D424</f>
        <v>0</v>
      </c>
      <c r="E424" s="332">
        <f>Gasto_o_ing_per_capita!E424-Gasto_o_ing_per_capita!$D424</f>
        <v>-3.8495922512369489</v>
      </c>
      <c r="F424" s="332">
        <f>Gasto_o_ing_per_capita!F424-Gasto_o_ing_per_capita!$D424</f>
        <v>0.53195998678361178</v>
      </c>
      <c r="G424" s="332">
        <f>Gasto_o_ing_per_capita!G424-Gasto_o_ing_per_capita!$D424</f>
        <v>6.4741714702819309E-2</v>
      </c>
      <c r="H424" s="332">
        <f>Gasto_o_ing_per_capita!H424-Gasto_o_ing_per_capita!$D424</f>
        <v>1.9717264405127732</v>
      </c>
      <c r="I424" s="332">
        <f>Gasto_o_ing_per_capita!I424-Gasto_o_ing_per_capita!$D424</f>
        <v>-1.5559573870603582</v>
      </c>
      <c r="J424" s="332">
        <f>Gasto_o_ing_per_capita!J424-Gasto_o_ing_per_capita!$D424</f>
        <v>-0.85977811332350562</v>
      </c>
      <c r="K424" s="332">
        <f>Gasto_o_ing_per_capita!K424-Gasto_o_ing_per_capita!$D424</f>
        <v>-0.89176085065795796</v>
      </c>
      <c r="L424" s="332">
        <f>Gasto_o_ing_per_capita!L424-Gasto_o_ing_per_capita!$D424</f>
        <v>-1.1889181210927884</v>
      </c>
      <c r="M424" s="332">
        <f>Gasto_o_ing_per_capita!M424-Gasto_o_ing_per_capita!$D424</f>
        <v>0.41198546078340215</v>
      </c>
      <c r="N424" s="332">
        <f>Gasto_o_ing_per_capita!N424-Gasto_o_ing_per_capita!$D424</f>
        <v>2.2328739661395147</v>
      </c>
      <c r="O424" s="332">
        <f>Gasto_o_ing_per_capita!O424-Gasto_o_ing_per_capita!$D424</f>
        <v>-3.9181883568972466</v>
      </c>
      <c r="P424" s="332">
        <f>Gasto_o_ing_per_capita!P424-Gasto_o_ing_per_capita!$D424</f>
        <v>0.46865932798914578</v>
      </c>
      <c r="Q424" s="332">
        <f>Gasto_o_ing_per_capita!Q424-Gasto_o_ing_per_capita!$D424</f>
        <v>3.8710197063464129</v>
      </c>
      <c r="R424" s="332">
        <f>Gasto_o_ing_per_capita!R424-Gasto_o_ing_per_capita!$D424</f>
        <v>-0.78397872918442779</v>
      </c>
      <c r="S424" s="332">
        <f>Gasto_o_ing_per_capita!S424-Gasto_o_ing_per_capita!$D424</f>
        <v>0.94710030680654</v>
      </c>
      <c r="T424" s="332">
        <f>Gasto_o_ing_per_capita!T424-Gasto_o_ing_per_capita!$D424</f>
        <v>1.0580613968330184</v>
      </c>
      <c r="U424" s="332">
        <f>Gasto_o_ing_per_capita!U424-Gasto_o_ing_per_capita!$D424</f>
        <v>0.75496102225839046</v>
      </c>
      <c r="V424" s="332">
        <f>Gasto_o_ing_per_capita!V424-Gasto_o_ing_per_capita!$D424</f>
        <v>-2.0948204279840059</v>
      </c>
      <c r="W424" s="105"/>
    </row>
    <row r="425" spans="1:23" s="102" customFormat="1">
      <c r="A425" s="351" t="str">
        <f>IF(B425="","",(IF(ISERROR(MATCH(B425,Tot_res!C:C,0)),"Eliminar!!!","")))</f>
        <v/>
      </c>
      <c r="B425" s="115" t="s">
        <v>387</v>
      </c>
      <c r="C425" s="329" t="str">
        <f>VLOOKUP(B425,Tot_res!C:D,2,FALSE)</f>
        <v xml:space="preserve"> Control Interno y Contabilidad</v>
      </c>
      <c r="D425" s="332">
        <f>Gasto_o_ing_per_capita!D425-Gasto_o_ing_per_capita!$D425</f>
        <v>0</v>
      </c>
      <c r="E425" s="332">
        <f>Gasto_o_ing_per_capita!E425-Gasto_o_ing_per_capita!$D425</f>
        <v>-0.2791558475057061</v>
      </c>
      <c r="F425" s="332">
        <f>Gasto_o_ing_per_capita!F425-Gasto_o_ing_per_capita!$D425</f>
        <v>0.23004350589559208</v>
      </c>
      <c r="G425" s="332">
        <f>Gasto_o_ing_per_capita!G425-Gasto_o_ing_per_capita!$D425</f>
        <v>1.0183243801931166</v>
      </c>
      <c r="H425" s="332">
        <f>Gasto_o_ing_per_capita!H425-Gasto_o_ing_per_capita!$D425</f>
        <v>-0.38851001534982066</v>
      </c>
      <c r="I425" s="332">
        <f>Gasto_o_ing_per_capita!I425-Gasto_o_ing_per_capita!$D425</f>
        <v>-0.50376709229131644</v>
      </c>
      <c r="J425" s="332">
        <f>Gasto_o_ing_per_capita!J425-Gasto_o_ing_per_capita!$D425</f>
        <v>0.33716760311661598</v>
      </c>
      <c r="K425" s="332">
        <f>Gasto_o_ing_per_capita!K425-Gasto_o_ing_per_capita!$D425</f>
        <v>0.28515560191588118</v>
      </c>
      <c r="L425" s="332">
        <f>Gasto_o_ing_per_capita!L425-Gasto_o_ing_per_capita!$D425</f>
        <v>-0.2828566135834516</v>
      </c>
      <c r="M425" s="332">
        <f>Gasto_o_ing_per_capita!M425-Gasto_o_ing_per_capita!$D425</f>
        <v>0.21465972420237178</v>
      </c>
      <c r="N425" s="332">
        <f>Gasto_o_ing_per_capita!N425-Gasto_o_ing_per_capita!$D425</f>
        <v>-0.1991662006809225</v>
      </c>
      <c r="O425" s="332">
        <f>Gasto_o_ing_per_capita!O425-Gasto_o_ing_per_capita!$D425</f>
        <v>-0.21040483118944131</v>
      </c>
      <c r="P425" s="332">
        <f>Gasto_o_ing_per_capita!P425-Gasto_o_ing_per_capita!$D425</f>
        <v>0.26441900152188991</v>
      </c>
      <c r="Q425" s="332">
        <f>Gasto_o_ing_per_capita!Q425-Gasto_o_ing_per_capita!$D425</f>
        <v>-2.5180129106849192E-2</v>
      </c>
      <c r="R425" s="332">
        <f>Gasto_o_ing_per_capita!R425-Gasto_o_ing_per_capita!$D425</f>
        <v>-0.38658515251076175</v>
      </c>
      <c r="S425" s="332">
        <f>Gasto_o_ing_per_capita!S425-Gasto_o_ing_per_capita!$D425</f>
        <v>0.19371829950710251</v>
      </c>
      <c r="T425" s="332">
        <f>Gasto_o_ing_per_capita!T425-Gasto_o_ing_per_capita!$D425</f>
        <v>0.73053444850827964</v>
      </c>
      <c r="U425" s="332">
        <f>Gasto_o_ing_per_capita!U425-Gasto_o_ing_per_capita!$D425</f>
        <v>5.3691559063067107E-3</v>
      </c>
      <c r="V425" s="332">
        <f>Gasto_o_ing_per_capita!V425-Gasto_o_ing_per_capita!$D425</f>
        <v>0.1440661432327095</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Gasto_o_ing_per_capita!D426-Gasto_o_ing_per_capita!$D426</f>
        <v>0</v>
      </c>
      <c r="E426" s="332">
        <f>Gasto_o_ing_per_capita!E426-Gasto_o_ing_per_capita!$D426</f>
        <v>-7.4612397342740736E-3</v>
      </c>
      <c r="F426" s="332">
        <f>Gasto_o_ing_per_capita!F426-Gasto_o_ing_per_capita!$D426</f>
        <v>6.14857171052028E-3</v>
      </c>
      <c r="G426" s="332">
        <f>Gasto_o_ing_per_capita!G426-Gasto_o_ing_per_capita!$D426</f>
        <v>2.7217636298023741E-2</v>
      </c>
      <c r="H426" s="332">
        <f>Gasto_o_ing_per_capita!H426-Gasto_o_ing_per_capita!$D426</f>
        <v>-1.038404314146512E-2</v>
      </c>
      <c r="I426" s="332">
        <f>Gasto_o_ing_per_capita!I426-Gasto_o_ing_per_capita!$D426</f>
        <v>-1.3464618704599595E-2</v>
      </c>
      <c r="J426" s="332">
        <f>Gasto_o_ing_per_capita!J426-Gasto_o_ing_per_capita!$D426</f>
        <v>9.0117700917306254E-3</v>
      </c>
      <c r="K426" s="332">
        <f>Gasto_o_ing_per_capita!K426-Gasto_o_ing_per_capita!$D426</f>
        <v>7.6216003586387984E-3</v>
      </c>
      <c r="L426" s="332">
        <f>Gasto_o_ing_per_capita!L426-Gasto_o_ing_per_capita!$D426</f>
        <v>-7.5601533094445325E-3</v>
      </c>
      <c r="M426" s="332">
        <f>Gasto_o_ing_per_capita!M426-Gasto_o_ing_per_capita!$D426</f>
        <v>5.7373960741922345E-3</v>
      </c>
      <c r="N426" s="332">
        <f>Gasto_o_ing_per_capita!N426-Gasto_o_ing_per_capita!$D426</f>
        <v>-5.3232872731226871E-3</v>
      </c>
      <c r="O426" s="332">
        <f>Gasto_o_ing_per_capita!O426-Gasto_o_ing_per_capita!$D426</f>
        <v>-5.6236718692478649E-3</v>
      </c>
      <c r="P426" s="332">
        <f>Gasto_o_ing_per_capita!P426-Gasto_o_ing_per_capita!$D426</f>
        <v>7.0673553080842014E-3</v>
      </c>
      <c r="Q426" s="332">
        <f>Gasto_o_ing_per_capita!Q426-Gasto_o_ing_per_capita!$D426</f>
        <v>-6.7301108497230117E-4</v>
      </c>
      <c r="R426" s="332">
        <f>Gasto_o_ing_per_capita!R426-Gasto_o_ing_per_capita!$D426</f>
        <v>-1.0332595667854445E-2</v>
      </c>
      <c r="S426" s="332">
        <f>Gasto_o_ing_per_capita!S426-Gasto_o_ing_per_capita!$D426</f>
        <v>5.1776765074170658E-3</v>
      </c>
      <c r="T426" s="332">
        <f>Gasto_o_ing_per_capita!T426-Gasto_o_ing_per_capita!$D426</f>
        <v>1.9525625929632563E-2</v>
      </c>
      <c r="U426" s="332">
        <f>Gasto_o_ing_per_capita!U426-Gasto_o_ing_per_capita!$D426</f>
        <v>1.435060728463694E-4</v>
      </c>
      <c r="V426" s="332">
        <f>Gasto_o_ing_per_capita!V426-Gasto_o_ing_per_capita!$D426</f>
        <v>3.850580390330309E-3</v>
      </c>
      <c r="W426" s="105"/>
    </row>
    <row r="427" spans="1:23" s="102" customFormat="1">
      <c r="A427" s="351" t="str">
        <f>IF(B427="","",(IF(ISERROR(MATCH(B427,Tot_res!C:C,0)),"Eliminar!!!","")))</f>
        <v/>
      </c>
      <c r="B427" s="115" t="s">
        <v>389</v>
      </c>
      <c r="C427" s="329" t="str">
        <f>VLOOKUP(B427,Tot_res!C:D,2,FALSE)</f>
        <v>Autorizaciones iniciales trabajo</v>
      </c>
      <c r="D427" s="332">
        <f>Gasto_o_ing_per_capita!D427-Gasto_o_ing_per_capita!$D427</f>
        <v>0</v>
      </c>
      <c r="E427" s="332">
        <f>Gasto_o_ing_per_capita!E427-Gasto_o_ing_per_capita!$D427</f>
        <v>-7.49493706283791E-2</v>
      </c>
      <c r="F427" s="332">
        <f>Gasto_o_ing_per_capita!F427-Gasto_o_ing_per_capita!$D427</f>
        <v>-7.49493706283791E-2</v>
      </c>
      <c r="G427" s="332">
        <f>Gasto_o_ing_per_capita!G427-Gasto_o_ing_per_capita!$D427</f>
        <v>-7.49493706283791E-2</v>
      </c>
      <c r="H427" s="332">
        <f>Gasto_o_ing_per_capita!H427-Gasto_o_ing_per_capita!$D427</f>
        <v>-7.49493706283791E-2</v>
      </c>
      <c r="I427" s="332">
        <f>Gasto_o_ing_per_capita!I427-Gasto_o_ing_per_capita!$D427</f>
        <v>-7.49493706283791E-2</v>
      </c>
      <c r="J427" s="332">
        <f>Gasto_o_ing_per_capita!J427-Gasto_o_ing_per_capita!$D427</f>
        <v>-7.49493706283791E-2</v>
      </c>
      <c r="K427" s="332">
        <f>Gasto_o_ing_per_capita!K427-Gasto_o_ing_per_capita!$D427</f>
        <v>-7.49493706283791E-2</v>
      </c>
      <c r="L427" s="332">
        <f>Gasto_o_ing_per_capita!L427-Gasto_o_ing_per_capita!$D427</f>
        <v>-7.49493706283791E-2</v>
      </c>
      <c r="M427" s="332">
        <f>Gasto_o_ing_per_capita!M427-Gasto_o_ing_per_capita!$D427</f>
        <v>0.39087524278819841</v>
      </c>
      <c r="N427" s="332">
        <f>Gasto_o_ing_per_capita!N427-Gasto_o_ing_per_capita!$D427</f>
        <v>-7.49493706283791E-2</v>
      </c>
      <c r="O427" s="332">
        <f>Gasto_o_ing_per_capita!O427-Gasto_o_ing_per_capita!$D427</f>
        <v>-7.49493706283791E-2</v>
      </c>
      <c r="P427" s="332">
        <f>Gasto_o_ing_per_capita!P427-Gasto_o_ing_per_capita!$D427</f>
        <v>-7.49493706283791E-2</v>
      </c>
      <c r="Q427" s="332">
        <f>Gasto_o_ing_per_capita!Q427-Gasto_o_ing_per_capita!$D427</f>
        <v>-7.49493706283791E-2</v>
      </c>
      <c r="R427" s="332">
        <f>Gasto_o_ing_per_capita!R427-Gasto_o_ing_per_capita!$D427</f>
        <v>-7.49493706283791E-2</v>
      </c>
      <c r="S427" s="332">
        <f>Gasto_o_ing_per_capita!S427-Gasto_o_ing_per_capita!$D427</f>
        <v>-7.49493706283791E-2</v>
      </c>
      <c r="T427" s="332">
        <f>Gasto_o_ing_per_capita!T427-Gasto_o_ing_per_capita!$D427</f>
        <v>-7.49493706283791E-2</v>
      </c>
      <c r="U427" s="332">
        <f>Gasto_o_ing_per_capita!U427-Gasto_o_ing_per_capita!$D427</f>
        <v>-7.49493706283791E-2</v>
      </c>
      <c r="V427" s="332">
        <f>Gasto_o_ing_per_capita!V427-Gasto_o_ing_per_capita!$D427</f>
        <v>-7.49493706283791E-2</v>
      </c>
      <c r="W427" s="105"/>
    </row>
    <row r="428" spans="1:23" s="102" customFormat="1">
      <c r="A428" s="351" t="str">
        <f>IF(B428="","",(IF(ISERROR(MATCH(B428,Tot_res!C:C,0)),"Eliminar!!!","")))</f>
        <v/>
      </c>
      <c r="B428" s="115" t="s">
        <v>390</v>
      </c>
      <c r="C428" s="329" t="str">
        <f>VLOOKUP(B428,Tot_res!C:D,2,FALSE)</f>
        <v xml:space="preserve"> Inspección de trabajo</v>
      </c>
      <c r="D428" s="332">
        <f>Gasto_o_ing_per_capita!D428-Gasto_o_ing_per_capita!$D428</f>
        <v>0</v>
      </c>
      <c r="E428" s="332">
        <f>Gasto_o_ing_per_capita!E428-Gasto_o_ing_per_capita!$D428</f>
        <v>-0.29643424620868214</v>
      </c>
      <c r="F428" s="332">
        <f>Gasto_o_ing_per_capita!F428-Gasto_o_ing_per_capita!$D428</f>
        <v>-0.29643424620868214</v>
      </c>
      <c r="G428" s="332">
        <f>Gasto_o_ing_per_capita!G428-Gasto_o_ing_per_capita!$D428</f>
        <v>-0.29643424620868214</v>
      </c>
      <c r="H428" s="332">
        <f>Gasto_o_ing_per_capita!H428-Gasto_o_ing_per_capita!$D428</f>
        <v>-0.29643424620868214</v>
      </c>
      <c r="I428" s="332">
        <f>Gasto_o_ing_per_capita!I428-Gasto_o_ing_per_capita!$D428</f>
        <v>-0.29643424620868214</v>
      </c>
      <c r="J428" s="332">
        <f>Gasto_o_ing_per_capita!J428-Gasto_o_ing_per_capita!$D428</f>
        <v>-0.29643424620868214</v>
      </c>
      <c r="K428" s="332">
        <f>Gasto_o_ing_per_capita!K428-Gasto_o_ing_per_capita!$D428</f>
        <v>-0.29643424620868214</v>
      </c>
      <c r="L428" s="332">
        <f>Gasto_o_ing_per_capita!L428-Gasto_o_ing_per_capita!$D428</f>
        <v>-0.29643424620868214</v>
      </c>
      <c r="M428" s="332">
        <f>Gasto_o_ing_per_capita!M428-Gasto_o_ing_per_capita!$D428</f>
        <v>1.5459610532564261</v>
      </c>
      <c r="N428" s="332">
        <f>Gasto_o_ing_per_capita!N428-Gasto_o_ing_per_capita!$D428</f>
        <v>-0.29643424620868214</v>
      </c>
      <c r="O428" s="332">
        <f>Gasto_o_ing_per_capita!O428-Gasto_o_ing_per_capita!$D428</f>
        <v>-0.29643424620868214</v>
      </c>
      <c r="P428" s="332">
        <f>Gasto_o_ing_per_capita!P428-Gasto_o_ing_per_capita!$D428</f>
        <v>-0.29643424620868214</v>
      </c>
      <c r="Q428" s="332">
        <f>Gasto_o_ing_per_capita!Q428-Gasto_o_ing_per_capita!$D428</f>
        <v>-0.29643424620868214</v>
      </c>
      <c r="R428" s="332">
        <f>Gasto_o_ing_per_capita!R428-Gasto_o_ing_per_capita!$D428</f>
        <v>-0.29643424620868214</v>
      </c>
      <c r="S428" s="332">
        <f>Gasto_o_ing_per_capita!S428-Gasto_o_ing_per_capita!$D428</f>
        <v>-0.29643424620868214</v>
      </c>
      <c r="T428" s="332">
        <f>Gasto_o_ing_per_capita!T428-Gasto_o_ing_per_capita!$D428</f>
        <v>-0.29643424620868214</v>
      </c>
      <c r="U428" s="332">
        <f>Gasto_o_ing_per_capita!U428-Gasto_o_ing_per_capita!$D428</f>
        <v>-0.29643424620868214</v>
      </c>
      <c r="V428" s="332">
        <f>Gasto_o_ing_per_capita!V428-Gasto_o_ing_per_capita!$D428</f>
        <v>-0.29643424620868214</v>
      </c>
      <c r="W428" s="105"/>
    </row>
    <row r="429" spans="1:23">
      <c r="A429" s="352"/>
      <c r="B429" s="14"/>
      <c r="D429" s="19"/>
      <c r="E429" s="19"/>
      <c r="F429" s="19"/>
      <c r="G429" s="19"/>
      <c r="H429" s="19"/>
      <c r="I429" s="19"/>
      <c r="J429" s="19"/>
      <c r="K429" s="19"/>
      <c r="L429" s="19"/>
      <c r="M429" s="19"/>
      <c r="N429" s="19"/>
      <c r="O429" s="19"/>
      <c r="P429" s="19"/>
      <c r="Q429" s="19"/>
      <c r="R429" s="19"/>
      <c r="S429" s="19"/>
      <c r="T429" s="19"/>
      <c r="U429" s="19"/>
      <c r="V429" s="19"/>
      <c r="W429" s="2"/>
    </row>
    <row r="430" spans="1:23">
      <c r="A430" s="352"/>
      <c r="B430" s="9"/>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Gasto_o_ing_per_capita!D431-Gasto_o_ing_per_capita!$D431</f>
        <v>0</v>
      </c>
      <c r="E431" s="110">
        <f>Gasto_o_ing_per_capita!E431-Gasto_o_ing_per_capita!$D431</f>
        <v>152.08926376909699</v>
      </c>
      <c r="F431" s="110">
        <f>Gasto_o_ing_per_capita!F431-Gasto_o_ing_per_capita!$D431</f>
        <v>257.59572354267414</v>
      </c>
      <c r="G431" s="110">
        <f>Gasto_o_ing_per_capita!G431-Gasto_o_ing_per_capita!$D431</f>
        <v>-39.420126219479982</v>
      </c>
      <c r="H431" s="110">
        <f>Gasto_o_ing_per_capita!H431-Gasto_o_ing_per_capita!$D431</f>
        <v>-145.17923576328599</v>
      </c>
      <c r="I431" s="110">
        <f>Gasto_o_ing_per_capita!I431-Gasto_o_ing_per_capita!$D431</f>
        <v>-66.815278064180802</v>
      </c>
      <c r="J431" s="110">
        <f>Gasto_o_ing_per_capita!J431-Gasto_o_ing_per_capita!$D431</f>
        <v>-3.9519542953986502</v>
      </c>
      <c r="K431" s="110">
        <f>Gasto_o_ing_per_capita!K431-Gasto_o_ing_per_capita!$D431</f>
        <v>252.50124352439343</v>
      </c>
      <c r="L431" s="110">
        <f>Gasto_o_ing_per_capita!L431-Gasto_o_ing_per_capita!$D431</f>
        <v>142.55178203498491</v>
      </c>
      <c r="M431" s="110">
        <f>Gasto_o_ing_per_capita!M431-Gasto_o_ing_per_capita!$D431</f>
        <v>-106.9811946161046</v>
      </c>
      <c r="N431" s="110">
        <f>Gasto_o_ing_per_capita!N431-Gasto_o_ing_per_capita!$D431</f>
        <v>-125.94716574453875</v>
      </c>
      <c r="O431" s="110">
        <f>Gasto_o_ing_per_capita!O431-Gasto_o_ing_per_capita!$D431</f>
        <v>471.40380833912184</v>
      </c>
      <c r="P431" s="110">
        <f>Gasto_o_ing_per_capita!P431-Gasto_o_ing_per_capita!$D431</f>
        <v>-25.296787656098445</v>
      </c>
      <c r="Q431" s="110">
        <f>Gasto_o_ing_per_capita!Q431-Gasto_o_ing_per_capita!$D431</f>
        <v>-159.58000168042454</v>
      </c>
      <c r="R431" s="110">
        <f>Gasto_o_ing_per_capita!R431-Gasto_o_ing_per_capita!$D431</f>
        <v>-77.234564058873104</v>
      </c>
      <c r="S431" s="110">
        <f>Gasto_o_ing_per_capita!S431-Gasto_o_ing_per_capita!$D431</f>
        <v>74.966817533914821</v>
      </c>
      <c r="T431" s="110">
        <f>Gasto_o_ing_per_capita!T431-Gasto_o_ing_per_capita!$D431</f>
        <v>-68.154718379918961</v>
      </c>
      <c r="U431" s="110">
        <f>Gasto_o_ing_per_capita!U431-Gasto_o_ing_per_capita!$D431</f>
        <v>-14.567492649521455</v>
      </c>
      <c r="V431" s="110">
        <f>Gasto_o_ing_per_capita!V431-Gasto_o_ing_per_capita!$D431</f>
        <v>221.048395268739</v>
      </c>
      <c r="W431" s="105"/>
    </row>
    <row r="432" spans="1:23"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c r="W432" s="114"/>
    </row>
    <row r="433" spans="1:23" s="102" customFormat="1" ht="13.5">
      <c r="A433" s="352"/>
      <c r="B433" s="115"/>
      <c r="C433" s="128" t="s">
        <v>82</v>
      </c>
      <c r="D433" s="113">
        <f>Gasto_o_ing_per_capita!D433-Gasto_o_ing_per_capita!$D433</f>
        <v>0</v>
      </c>
      <c r="E433" s="113">
        <f>Gasto_o_ing_per_capita!E433-Gasto_o_ing_per_capita!$D433</f>
        <v>13.919067102306101</v>
      </c>
      <c r="F433" s="113">
        <f>Gasto_o_ing_per_capita!F433-Gasto_o_ing_per_capita!$D433</f>
        <v>-12.172049123888996</v>
      </c>
      <c r="G433" s="113">
        <f>Gasto_o_ing_per_capita!G433-Gasto_o_ing_per_capita!$D433</f>
        <v>3.9747456808177617</v>
      </c>
      <c r="H433" s="113">
        <f>Gasto_o_ing_per_capita!H433-Gasto_o_ing_per_capita!$D433</f>
        <v>-19.461277410247462</v>
      </c>
      <c r="I433" s="113">
        <f>Gasto_o_ing_per_capita!I433-Gasto_o_ing_per_capita!$D433</f>
        <v>-8.1116689955253918</v>
      </c>
      <c r="J433" s="113">
        <f>Gasto_o_ing_per_capita!J433-Gasto_o_ing_per_capita!$D433</f>
        <v>-7.3413962461211355</v>
      </c>
      <c r="K433" s="113">
        <f>Gasto_o_ing_per_capita!K433-Gasto_o_ing_per_capita!$D433</f>
        <v>-10.154623028120625</v>
      </c>
      <c r="L433" s="113">
        <f>Gasto_o_ing_per_capita!L433-Gasto_o_ing_per_capita!$D433</f>
        <v>-11.514387726217251</v>
      </c>
      <c r="M433" s="113">
        <f>Gasto_o_ing_per_capita!M433-Gasto_o_ing_per_capita!$D433</f>
        <v>-13.912643048289581</v>
      </c>
      <c r="N433" s="113">
        <f>Gasto_o_ing_per_capita!N433-Gasto_o_ing_per_capita!$D433</f>
        <v>-12.489325503112312</v>
      </c>
      <c r="O433" s="113">
        <f>Gasto_o_ing_per_capita!O433-Gasto_o_ing_per_capita!$D433</f>
        <v>39.960423088499581</v>
      </c>
      <c r="P433" s="113">
        <f>Gasto_o_ing_per_capita!P433-Gasto_o_ing_per_capita!$D433</f>
        <v>3.2398096877086289</v>
      </c>
      <c r="Q433" s="113">
        <f>Gasto_o_ing_per_capita!Q433-Gasto_o_ing_per_capita!$D433</f>
        <v>1.6470055319824723</v>
      </c>
      <c r="R433" s="113">
        <f>Gasto_o_ing_per_capita!R433-Gasto_o_ing_per_capita!$D433</f>
        <v>-9.2767243264281092</v>
      </c>
      <c r="S433" s="113">
        <f>Gasto_o_ing_per_capita!S433-Gasto_o_ing_per_capita!$D433</f>
        <v>3.9380643705319471</v>
      </c>
      <c r="T433" s="113">
        <f>Gasto_o_ing_per_capita!T433-Gasto_o_ing_per_capita!$D433</f>
        <v>16.550182617154277</v>
      </c>
      <c r="U433" s="113">
        <f>Gasto_o_ing_per_capita!U433-Gasto_o_ing_per_capita!$D433</f>
        <v>-17.751898430183175</v>
      </c>
      <c r="V433" s="113">
        <f>Gasto_o_ing_per_capita!V433-Gasto_o_ing_per_capita!$D433</f>
        <v>418.09363113452042</v>
      </c>
      <c r="W433" s="105"/>
    </row>
    <row r="434" spans="1:23" s="102" customFormat="1">
      <c r="A434" s="351" t="str">
        <f>IF(B434="","",(IF(ISERROR(MATCH(B434,Tot_res!C:C,0)),"Eliminar!!!","")))</f>
        <v/>
      </c>
      <c r="B434" s="119" t="s">
        <v>391</v>
      </c>
      <c r="C434" s="329" t="str">
        <f>VLOOKUP(B434,Tot_res!C:D,2,FALSE)</f>
        <v>Fomento de la inserción y estabilidad laboral+ AF20/1</v>
      </c>
      <c r="D434" s="332">
        <f>Gasto_o_ing_per_capita!D434-Gasto_o_ing_per_capita!$D434</f>
        <v>0</v>
      </c>
      <c r="E434" s="332">
        <f>Gasto_o_ing_per_capita!E434-Gasto_o_ing_per_capita!$D434</f>
        <v>13.889729991897326</v>
      </c>
      <c r="F434" s="332">
        <f>Gasto_o_ing_per_capita!F434-Gasto_o_ing_per_capita!$D434</f>
        <v>-11.352748682586792</v>
      </c>
      <c r="G434" s="332">
        <f>Gasto_o_ing_per_capita!G434-Gasto_o_ing_per_capita!$D434</f>
        <v>2.6076511316475433</v>
      </c>
      <c r="H434" s="332">
        <f>Gasto_o_ing_per_capita!H434-Gasto_o_ing_per_capita!$D434</f>
        <v>-19.653016367387586</v>
      </c>
      <c r="I434" s="332">
        <f>Gasto_o_ing_per_capita!I434-Gasto_o_ing_per_capita!$D434</f>
        <v>-8.4050411393533011</v>
      </c>
      <c r="J434" s="332">
        <f>Gasto_o_ing_per_capita!J434-Gasto_o_ing_per_capita!$D434</f>
        <v>-8.0991709410603505</v>
      </c>
      <c r="K434" s="332">
        <f>Gasto_o_ing_per_capita!K434-Gasto_o_ing_per_capita!$D434</f>
        <v>-8.973637753999995</v>
      </c>
      <c r="L434" s="332">
        <f>Gasto_o_ing_per_capita!L434-Gasto_o_ing_per_capita!$D434</f>
        <v>-9.3903068700818011</v>
      </c>
      <c r="M434" s="332">
        <f>Gasto_o_ing_per_capita!M434-Gasto_o_ing_per_capita!$D434</f>
        <v>-13.39131363981474</v>
      </c>
      <c r="N434" s="332">
        <f>Gasto_o_ing_per_capita!N434-Gasto_o_ing_per_capita!$D434</f>
        <v>-11.351414974677084</v>
      </c>
      <c r="O434" s="332">
        <f>Gasto_o_ing_per_capita!O434-Gasto_o_ing_per_capita!$D434</f>
        <v>41.355749087694463</v>
      </c>
      <c r="P434" s="332">
        <f>Gasto_o_ing_per_capita!P434-Gasto_o_ing_per_capita!$D434</f>
        <v>-2.7963568205639717</v>
      </c>
      <c r="Q434" s="332">
        <f>Gasto_o_ing_per_capita!Q434-Gasto_o_ing_per_capita!$D434</f>
        <v>1.6564205933112959</v>
      </c>
      <c r="R434" s="332">
        <f>Gasto_o_ing_per_capita!R434-Gasto_o_ing_per_capita!$D434</f>
        <v>-8.173116843744026</v>
      </c>
      <c r="S434" s="332">
        <f>Gasto_o_ing_per_capita!S434-Gasto_o_ing_per_capita!$D434</f>
        <v>4.8188286345294102</v>
      </c>
      <c r="T434" s="332">
        <f>Gasto_o_ing_per_capita!T434-Gasto_o_ing_per_capita!$D434</f>
        <v>15.271846379832738</v>
      </c>
      <c r="U434" s="332">
        <f>Gasto_o_ing_per_capita!U434-Gasto_o_ing_per_capita!$D434</f>
        <v>-17.176429575033836</v>
      </c>
      <c r="V434" s="332">
        <f>Gasto_o_ing_per_capita!V434-Gasto_o_ing_per_capita!$D434</f>
        <v>420.09447241740332</v>
      </c>
      <c r="W434" s="105"/>
    </row>
    <row r="435" spans="1:23" s="102" customFormat="1">
      <c r="A435" s="351" t="str">
        <f>IF(B435="","",(IF(ISERROR(MATCH(B435,Tot_res!C:C,0)),"Eliminar!!!","")))</f>
        <v/>
      </c>
      <c r="B435" s="119" t="s">
        <v>392</v>
      </c>
      <c r="C435" s="329" t="str">
        <f>VLOOKUP(B435,Tot_res!C:D,2,FALSE)</f>
        <v>Desarrollo de la economía social y del Fondo Social Europeo + AF18</v>
      </c>
      <c r="D435" s="332">
        <f>Gasto_o_ing_per_capita!D435-Gasto_o_ing_per_capita!$D435</f>
        <v>0</v>
      </c>
      <c r="E435" s="332">
        <f>Gasto_o_ing_per_capita!E435-Gasto_o_ing_per_capita!$D435</f>
        <v>9.6151614548827258E-2</v>
      </c>
      <c r="F435" s="332">
        <f>Gasto_o_ing_per_capita!F435-Gasto_o_ing_per_capita!$D435</f>
        <v>-0.10457396340371705</v>
      </c>
      <c r="G435" s="332">
        <f>Gasto_o_ing_per_capita!G435-Gasto_o_ing_per_capita!$D435</f>
        <v>0.11477488045693174</v>
      </c>
      <c r="H435" s="332">
        <f>Gasto_o_ing_per_capita!H435-Gasto_o_ing_per_capita!$D435</f>
        <v>-0.24364429591379794</v>
      </c>
      <c r="I435" s="332">
        <f>Gasto_o_ing_per_capita!I435-Gasto_o_ing_per_capita!$D435</f>
        <v>3.0254500614656621E-2</v>
      </c>
      <c r="J435" s="332">
        <f>Gasto_o_ing_per_capita!J435-Gasto_o_ing_per_capita!$D435</f>
        <v>-1.3528759936954349E-2</v>
      </c>
      <c r="K435" s="332">
        <f>Gasto_o_ing_per_capita!K435-Gasto_o_ing_per_capita!$D435</f>
        <v>-3.4653932730457915E-2</v>
      </c>
      <c r="L435" s="332">
        <f>Gasto_o_ing_per_capita!L435-Gasto_o_ing_per_capita!$D435</f>
        <v>1.8365808252550075E-2</v>
      </c>
      <c r="M435" s="332">
        <f>Gasto_o_ing_per_capita!M435-Gasto_o_ing_per_capita!$D435</f>
        <v>-0.12718028710801821</v>
      </c>
      <c r="N435" s="332">
        <f>Gasto_o_ing_per_capita!N435-Gasto_o_ing_per_capita!$D435</f>
        <v>1.0778163400828933E-2</v>
      </c>
      <c r="O435" s="332">
        <f>Gasto_o_ing_per_capita!O435-Gasto_o_ing_per_capita!$D435</f>
        <v>0.2812559619536773</v>
      </c>
      <c r="P435" s="332">
        <f>Gasto_o_ing_per_capita!P435-Gasto_o_ing_per_capita!$D435</f>
        <v>9.656384524054118E-2</v>
      </c>
      <c r="Q435" s="332">
        <f>Gasto_o_ing_per_capita!Q435-Gasto_o_ing_per_capita!$D435</f>
        <v>-8.1160553380361322E-2</v>
      </c>
      <c r="R435" s="332">
        <f>Gasto_o_ing_per_capita!R435-Gasto_o_ing_per_capita!$D435</f>
        <v>1.4068964939601858E-2</v>
      </c>
      <c r="S435" s="332">
        <f>Gasto_o_ing_per_capita!S435-Gasto_o_ing_per_capita!$D435</f>
        <v>0.13752803996669682</v>
      </c>
      <c r="T435" s="332">
        <f>Gasto_o_ing_per_capita!T435-Gasto_o_ing_per_capita!$D435</f>
        <v>0.1672982849602731</v>
      </c>
      <c r="U435" s="332">
        <f>Gasto_o_ing_per_capita!U435-Gasto_o_ing_per_capita!$D435</f>
        <v>-0.14007954806990208</v>
      </c>
      <c r="V435" s="332">
        <f>Gasto_o_ing_per_capita!V435-Gasto_o_ing_per_capita!$D435</f>
        <v>-0.63623080884941507</v>
      </c>
      <c r="W435" s="105"/>
    </row>
    <row r="436" spans="1:23" s="102" customFormat="1">
      <c r="A436" s="351" t="str">
        <f>IF(B436="","",(IF(ISERROR(MATCH(B436,Tot_res!C:C,0)),"Eliminar!!!","")))</f>
        <v/>
      </c>
      <c r="B436" s="115" t="s">
        <v>393</v>
      </c>
      <c r="C436" s="329" t="str">
        <f>VLOOKUP(B436,Tot_res!C:D,2,FALSE)</f>
        <v>Regulación y protección de la propiedad industrial</v>
      </c>
      <c r="D436" s="332">
        <f>Gasto_o_ing_per_capita!D436-Gasto_o_ing_per_capita!$D436</f>
        <v>0</v>
      </c>
      <c r="E436" s="332">
        <f>Gasto_o_ing_per_capita!E436-Gasto_o_ing_per_capita!$D436</f>
        <v>-0.20871810806414293</v>
      </c>
      <c r="F436" s="332">
        <f>Gasto_o_ing_per_capita!F436-Gasto_o_ing_per_capita!$D436</f>
        <v>7.4224313676277021E-2</v>
      </c>
      <c r="G436" s="332">
        <f>Gasto_o_ing_per_capita!G436-Gasto_o_ing_per_capita!$D436</f>
        <v>-0.1074673594355029</v>
      </c>
      <c r="H436" s="332">
        <f>Gasto_o_ing_per_capita!H436-Gasto_o_ing_per_capita!$D436</f>
        <v>4.0639902767397262E-2</v>
      </c>
      <c r="I436" s="332">
        <f>Gasto_o_ing_per_capita!I436-Gasto_o_ing_per_capita!$D436</f>
        <v>-0.12667207304502459</v>
      </c>
      <c r="J436" s="332">
        <f>Gasto_o_ing_per_capita!J436-Gasto_o_ing_per_capita!$D436</f>
        <v>-7.746971890998966E-2</v>
      </c>
      <c r="K436" s="332">
        <f>Gasto_o_ing_per_capita!K436-Gasto_o_ing_per_capita!$D436</f>
        <v>-5.8482137973116521E-2</v>
      </c>
      <c r="L436" s="332">
        <f>Gasto_o_ing_per_capita!L436-Gasto_o_ing_per_capita!$D436</f>
        <v>-0.18297388188208685</v>
      </c>
      <c r="M436" s="332">
        <f>Gasto_o_ing_per_capita!M436-Gasto_o_ing_per_capita!$D436</f>
        <v>0.12249720907685546</v>
      </c>
      <c r="N436" s="332">
        <f>Gasto_o_ing_per_capita!N436-Gasto_o_ing_per_capita!$D436</f>
        <v>-0.10691350917527576</v>
      </c>
      <c r="O436" s="332">
        <f>Gasto_o_ing_per_capita!O436-Gasto_o_ing_per_capita!$D436</f>
        <v>-0.2536568354674168</v>
      </c>
      <c r="P436" s="332">
        <f>Gasto_o_ing_per_capita!P436-Gasto_o_ing_per_capita!$D436</f>
        <v>-0.10083735218043322</v>
      </c>
      <c r="Q436" s="332">
        <f>Gasto_o_ing_per_capita!Q436-Gasto_o_ing_per_capita!$D436</f>
        <v>0.36394642423110624</v>
      </c>
      <c r="R436" s="332">
        <f>Gasto_o_ing_per_capita!R436-Gasto_o_ing_per_capita!$D436</f>
        <v>-0.15391050192488476</v>
      </c>
      <c r="S436" s="332">
        <f>Gasto_o_ing_per_capita!S436-Gasto_o_ing_per_capita!$D436</f>
        <v>0.19342838598698542</v>
      </c>
      <c r="T436" s="332">
        <f>Gasto_o_ing_per_capita!T436-Gasto_o_ing_per_capita!$D436</f>
        <v>0.22766264788718804</v>
      </c>
      <c r="U436" s="332">
        <f>Gasto_o_ing_per_capita!U436-Gasto_o_ing_per_capita!$D436</f>
        <v>4.8152043574269165E-2</v>
      </c>
      <c r="V436" s="332">
        <f>Gasto_o_ing_per_capita!V436-Gasto_o_ing_per_capita!$D436</f>
        <v>-0.17872334056878814</v>
      </c>
      <c r="W436" s="105"/>
    </row>
    <row r="437" spans="1:23" s="102" customFormat="1">
      <c r="A437" s="351" t="str">
        <f>IF(B437="","",(IF(ISERROR(MATCH(B437,Tot_res!C:C,0)),"Eliminar!!!","")))</f>
        <v/>
      </c>
      <c r="B437" s="115" t="s">
        <v>394</v>
      </c>
      <c r="C437" s="329" t="str">
        <f>VLOOKUP(B437,Tot_res!C:D,2,FALSE)</f>
        <v>Apoyo a la pequeña y mediana empresa</v>
      </c>
      <c r="D437" s="332">
        <f>Gasto_o_ing_per_capita!D437-Gasto_o_ing_per_capita!$D437</f>
        <v>0</v>
      </c>
      <c r="E437" s="332">
        <f>Gasto_o_ing_per_capita!E437-Gasto_o_ing_per_capita!$D437</f>
        <v>-0.18255108631260564</v>
      </c>
      <c r="F437" s="332">
        <f>Gasto_o_ing_per_capita!F437-Gasto_o_ing_per_capita!$D437</f>
        <v>5.1557113042160818E-2</v>
      </c>
      <c r="G437" s="332">
        <f>Gasto_o_ing_per_capita!G437-Gasto_o_ing_per_capita!$D437</f>
        <v>-0.16366920135858587</v>
      </c>
      <c r="H437" s="332">
        <f>Gasto_o_ing_per_capita!H437-Gasto_o_ing_per_capita!$D437</f>
        <v>-7.9946150602441479E-2</v>
      </c>
      <c r="I437" s="332">
        <f>Gasto_o_ing_per_capita!I437-Gasto_o_ing_per_capita!$D437</f>
        <v>-3.7863633830321763E-3</v>
      </c>
      <c r="J437" s="332">
        <f>Gasto_o_ing_per_capita!J437-Gasto_o_ing_per_capita!$D437</f>
        <v>-1.0913595685001942E-2</v>
      </c>
      <c r="K437" s="332">
        <f>Gasto_o_ing_per_capita!K437-Gasto_o_ing_per_capita!$D437</f>
        <v>-0.1574002961777129</v>
      </c>
      <c r="L437" s="332">
        <f>Gasto_o_ing_per_capita!L437-Gasto_o_ing_per_capita!$D437</f>
        <v>-0.22540454567527213</v>
      </c>
      <c r="M437" s="332">
        <f>Gasto_o_ing_per_capita!M437-Gasto_o_ing_per_capita!$D437</f>
        <v>0.11253511651592918</v>
      </c>
      <c r="N437" s="332">
        <f>Gasto_o_ing_per_capita!N437-Gasto_o_ing_per_capita!$D437</f>
        <v>-9.8643515464265974E-2</v>
      </c>
      <c r="O437" s="332">
        <f>Gasto_o_ing_per_capita!O437-Gasto_o_ing_per_capita!$D437</f>
        <v>-0.19696443305184452</v>
      </c>
      <c r="P437" s="332">
        <f>Gasto_o_ing_per_capita!P437-Gasto_o_ing_per_capita!$D437</f>
        <v>-0.14338848415772931</v>
      </c>
      <c r="Q437" s="332">
        <f>Gasto_o_ing_per_capita!Q437-Gasto_o_ing_per_capita!$D437</f>
        <v>0.38386308325594909</v>
      </c>
      <c r="R437" s="332">
        <f>Gasto_o_ing_per_capita!R437-Gasto_o_ing_per_capita!$D437</f>
        <v>-3.2064355325652993E-2</v>
      </c>
      <c r="S437" s="332">
        <f>Gasto_o_ing_per_capita!S437-Gasto_o_ing_per_capita!$D437</f>
        <v>0.16791335053915635</v>
      </c>
      <c r="T437" s="332">
        <f>Gasto_o_ing_per_capita!T437-Gasto_o_ing_per_capita!$D437</f>
        <v>0.12976387213544083</v>
      </c>
      <c r="U437" s="332">
        <f>Gasto_o_ing_per_capita!U437-Gasto_o_ing_per_capita!$D437</f>
        <v>0.19611248698851935</v>
      </c>
      <c r="V437" s="332">
        <f>Gasto_o_ing_per_capita!V437-Gasto_o_ing_per_capita!$D437</f>
        <v>-0.16028207221375135</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Gasto_o_ing_per_capita!D438-Gasto_o_ing_per_capita!$D438</f>
        <v>0</v>
      </c>
      <c r="E438" s="332">
        <f>Gasto_o_ing_per_capita!E438-Gasto_o_ing_per_capita!$D438</f>
        <v>-0.31338795558639232</v>
      </c>
      <c r="F438" s="332">
        <f>Gasto_o_ing_per_capita!F438-Gasto_o_ing_per_capita!$D438</f>
        <v>-0.17510460791142735</v>
      </c>
      <c r="G438" s="332">
        <f>Gasto_o_ing_per_capita!G438-Gasto_o_ing_per_capita!$D438</f>
        <v>0.80770730701162075</v>
      </c>
      <c r="H438" s="332">
        <f>Gasto_o_ing_per_capita!H438-Gasto_o_ing_per_capita!$D438</f>
        <v>-0.16781572119227683</v>
      </c>
      <c r="I438" s="332">
        <f>Gasto_o_ing_per_capita!I438-Gasto_o_ing_per_capita!$D438</f>
        <v>-0.2675695065280711</v>
      </c>
      <c r="J438" s="332">
        <f>Gasto_o_ing_per_capita!J438-Gasto_o_ing_per_capita!$D438</f>
        <v>0.94780720294296983</v>
      </c>
      <c r="K438" s="332">
        <f>Gasto_o_ing_per_capita!K438-Gasto_o_ing_per_capita!$D438</f>
        <v>3.2914216757476966E-3</v>
      </c>
      <c r="L438" s="332">
        <f>Gasto_o_ing_per_capita!L438-Gasto_o_ing_per_capita!$D438</f>
        <v>-0.31091714495183281</v>
      </c>
      <c r="M438" s="332">
        <f>Gasto_o_ing_per_capita!M438-Gasto_o_ing_per_capita!$D438</f>
        <v>-5.4116980140392235E-2</v>
      </c>
      <c r="N438" s="332">
        <f>Gasto_o_ing_per_capita!N438-Gasto_o_ing_per_capita!$D438</f>
        <v>-0.20849447708966229</v>
      </c>
      <c r="O438" s="332">
        <f>Gasto_o_ing_per_capita!O438-Gasto_o_ing_per_capita!$D438</f>
        <v>-0.3331182674713139</v>
      </c>
      <c r="P438" s="332">
        <f>Gasto_o_ing_per_capita!P438-Gasto_o_ing_per_capita!$D438</f>
        <v>0.55161271655886712</v>
      </c>
      <c r="Q438" s="332">
        <f>Gasto_o_ing_per_capita!Q438-Gasto_o_ing_per_capita!$D438</f>
        <v>0.46914930908388208</v>
      </c>
      <c r="R438" s="332">
        <f>Gasto_o_ing_per_capita!R438-Gasto_o_ing_per_capita!$D438</f>
        <v>-0.24209712631408964</v>
      </c>
      <c r="S438" s="332">
        <f>Gasto_o_ing_per_capita!S438-Gasto_o_ing_per_capita!$D438</f>
        <v>-0.14176101211262604</v>
      </c>
      <c r="T438" s="332">
        <f>Gasto_o_ing_per_capita!T438-Gasto_o_ing_per_capita!$D438</f>
        <v>0.30614214301359111</v>
      </c>
      <c r="U438" s="332">
        <f>Gasto_o_ing_per_capita!U438-Gasto_o_ing_per_capita!$D438</f>
        <v>-0.19480499214336122</v>
      </c>
      <c r="V438" s="332">
        <f>Gasto_o_ing_per_capita!V438-Gasto_o_ing_per_capita!$D438</f>
        <v>-0.28163919569294837</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Gasto_o_ing_per_capita!D439-Gasto_o_ing_per_capita!$D439</f>
        <v>0</v>
      </c>
      <c r="E439" s="332">
        <f>Gasto_o_ing_per_capita!E439-Gasto_o_ing_per_capita!$D439</f>
        <v>-9.9565411589654484E-2</v>
      </c>
      <c r="F439" s="332">
        <f>Gasto_o_ing_per_capita!F439-Gasto_o_ing_per_capita!$D439</f>
        <v>4.5203646989937785E-2</v>
      </c>
      <c r="G439" s="332">
        <f>Gasto_o_ing_per_capita!G439-Gasto_o_ing_per_capita!$D439</f>
        <v>-4.7759904768571115E-2</v>
      </c>
      <c r="H439" s="332">
        <f>Gasto_o_ing_per_capita!H439-Gasto_o_ing_per_capita!$D439</f>
        <v>2.8019996972658778E-2</v>
      </c>
      <c r="I439" s="332">
        <f>Gasto_o_ing_per_capita!I439-Gasto_o_ing_per_capita!$D439</f>
        <v>-5.7586102948537998E-2</v>
      </c>
      <c r="J439" s="332">
        <f>Gasto_o_ing_per_capita!J439-Gasto_o_ing_per_capita!$D439</f>
        <v>-3.2411445701264086E-2</v>
      </c>
      <c r="K439" s="332">
        <f>Gasto_o_ing_per_capita!K439-Gasto_o_ing_per_capita!$D439</f>
        <v>-2.269634465693654E-2</v>
      </c>
      <c r="L439" s="332">
        <f>Gasto_o_ing_per_capita!L439-Gasto_o_ing_per_capita!$D439</f>
        <v>-8.6393235550051628E-2</v>
      </c>
      <c r="M439" s="332">
        <f>Gasto_o_ing_per_capita!M439-Gasto_o_ing_per_capita!$D439</f>
        <v>6.9902741523256706E-2</v>
      </c>
      <c r="N439" s="332">
        <f>Gasto_o_ing_per_capita!N439-Gasto_o_ing_per_capita!$D439</f>
        <v>-4.7476524212647642E-2</v>
      </c>
      <c r="O439" s="332">
        <f>Gasto_o_ing_per_capita!O439-Gasto_o_ing_per_capita!$D439</f>
        <v>-0.12255856058413578</v>
      </c>
      <c r="P439" s="332">
        <f>Gasto_o_ing_per_capita!P439-Gasto_o_ing_per_capita!$D439</f>
        <v>-4.4367624802957251E-2</v>
      </c>
      <c r="Q439" s="332">
        <f>Gasto_o_ing_per_capita!Q439-Gasto_o_ing_per_capita!$D439</f>
        <v>0.14218061415709798</v>
      </c>
      <c r="R439" s="332">
        <f>Gasto_o_ing_per_capita!R439-Gasto_o_ing_per_capita!$D439</f>
        <v>-7.1522796081610163E-2</v>
      </c>
      <c r="S439" s="332">
        <f>Gasto_o_ing_per_capita!S439-Gasto_o_ing_per_capita!$D439</f>
        <v>9.8884827951084775E-2</v>
      </c>
      <c r="T439" s="332">
        <f>Gasto_o_ing_per_capita!T439-Gasto_o_ing_per_capita!$D439</f>
        <v>0.12263363936894084</v>
      </c>
      <c r="U439" s="332">
        <f>Gasto_o_ing_per_capita!U439-Gasto_o_ing_per_capita!$D439</f>
        <v>3.1863625460174627E-2</v>
      </c>
      <c r="V439" s="332">
        <f>Gasto_o_ing_per_capita!V439-Gasto_o_ing_per_capita!$D439</f>
        <v>-8.4218422524154624E-2</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Gasto_o_ing_per_capita!D440-Gasto_o_ing_per_capita!$D440</f>
        <v>0</v>
      </c>
      <c r="E440" s="332">
        <f>Gasto_o_ing_per_capita!E440-Gasto_o_ing_per_capita!$D440</f>
        <v>9.3158738543128561E-2</v>
      </c>
      <c r="F440" s="332">
        <f>Gasto_o_ing_per_capita!F440-Gasto_o_ing_per_capita!$D440</f>
        <v>-0.25539830919238132</v>
      </c>
      <c r="G440" s="332">
        <f>Gasto_o_ing_per_capita!G440-Gasto_o_ing_per_capita!$D440</f>
        <v>-6.131372159141868E-2</v>
      </c>
      <c r="H440" s="332">
        <f>Gasto_o_ing_per_capita!H440-Gasto_o_ing_per_capita!$D440</f>
        <v>-2.0573553611953177E-2</v>
      </c>
      <c r="I440" s="332">
        <f>Gasto_o_ing_per_capita!I440-Gasto_o_ing_per_capita!$D440</f>
        <v>0.60904493198354159</v>
      </c>
      <c r="J440" s="332">
        <f>Gasto_o_ing_per_capita!J440-Gasto_o_ing_per_capita!$D440</f>
        <v>7.0434025291565838E-2</v>
      </c>
      <c r="K440" s="332">
        <f>Gasto_o_ing_per_capita!K440-Gasto_o_ing_per_capita!$D440</f>
        <v>-0.25539830919238132</v>
      </c>
      <c r="L440" s="332">
        <f>Gasto_o_ing_per_capita!L440-Gasto_o_ing_per_capita!$D440</f>
        <v>-0.25539830919238132</v>
      </c>
      <c r="M440" s="332">
        <f>Gasto_o_ing_per_capita!M440-Gasto_o_ing_per_capita!$D440</f>
        <v>-0.21224910920318948</v>
      </c>
      <c r="N440" s="332">
        <f>Gasto_o_ing_per_capita!N440-Gasto_o_ing_per_capita!$D440</f>
        <v>-9.0910355007331189E-2</v>
      </c>
      <c r="O440" s="332">
        <f>Gasto_o_ing_per_capita!O440-Gasto_o_ing_per_capita!$D440</f>
        <v>-0.25539830919238132</v>
      </c>
      <c r="P440" s="332">
        <f>Gasto_o_ing_per_capita!P440-Gasto_o_ing_per_capita!$D440</f>
        <v>1.2923898860002487</v>
      </c>
      <c r="Q440" s="332">
        <f>Gasto_o_ing_per_capita!Q440-Gasto_o_ing_per_capita!$D440</f>
        <v>-0.20603439154010961</v>
      </c>
      <c r="R440" s="332">
        <f>Gasto_o_ing_per_capita!R440-Gasto_o_ing_per_capita!$D440</f>
        <v>-9.1074477355414102E-2</v>
      </c>
      <c r="S440" s="332">
        <f>Gasto_o_ing_per_capita!S440-Gasto_o_ing_per_capita!$D440</f>
        <v>-0.25539830919238132</v>
      </c>
      <c r="T440" s="332">
        <f>Gasto_o_ing_per_capita!T440-Gasto_o_ing_per_capita!$D440</f>
        <v>-4.3415031913870999E-2</v>
      </c>
      <c r="U440" s="332">
        <f>Gasto_o_ing_per_capita!U440-Gasto_o_ing_per_capita!$D440</f>
        <v>-0.25539830919238132</v>
      </c>
      <c r="V440" s="332">
        <f>Gasto_o_ing_per_capita!V440-Gasto_o_ing_per_capita!$D440</f>
        <v>0.42161210410244226</v>
      </c>
      <c r="W440" s="105"/>
    </row>
    <row r="441" spans="1:23" s="102" customFormat="1">
      <c r="A441" s="351" t="str">
        <f>IF(B441="","",(IF(ISERROR(MATCH(B441,Tot_res!C:C,0)),"Eliminar!!!","")))</f>
        <v/>
      </c>
      <c r="B441" s="115" t="s">
        <v>882</v>
      </c>
      <c r="C441" s="329" t="str">
        <f>VLOOKUP(B441,Tot_res!C:D,2,FALSE)</f>
        <v>ISM, formación  + AF20/2</v>
      </c>
      <c r="D441" s="332">
        <f>Gasto_o_ing_per_capita!D441-Gasto_o_ing_per_capita!$D441</f>
        <v>0</v>
      </c>
      <c r="E441" s="332">
        <f>Gasto_o_ing_per_capita!E441-Gasto_o_ing_per_capita!$D441</f>
        <v>0.61122493766851771</v>
      </c>
      <c r="F441" s="332">
        <f>Gasto_o_ing_per_capita!F441-Gasto_o_ing_per_capita!$D441</f>
        <v>-0.8141046443829183</v>
      </c>
      <c r="G441" s="332">
        <f>Gasto_o_ing_per_capita!G441-Gasto_o_ing_per_capita!$D441</f>
        <v>1.092077451609208</v>
      </c>
      <c r="H441" s="332">
        <f>Gasto_o_ing_per_capita!H441-Gasto_o_ing_per_capita!$D441</f>
        <v>0.33507401907214884</v>
      </c>
      <c r="I441" s="332">
        <f>Gasto_o_ing_per_capita!I441-Gasto_o_ing_per_capita!$D441</f>
        <v>-0.11730885834147475</v>
      </c>
      <c r="J441" s="332">
        <f>Gasto_o_ing_per_capita!J441-Gasto_o_ing_per_capita!$D441</f>
        <v>-0.51775007412555296</v>
      </c>
      <c r="K441" s="332">
        <f>Gasto_o_ing_per_capita!K441-Gasto_o_ing_per_capita!$D441</f>
        <v>-0.8141046443829183</v>
      </c>
      <c r="L441" s="332">
        <f>Gasto_o_ing_per_capita!L441-Gasto_o_ing_per_capita!$D441</f>
        <v>-0.8141046443829183</v>
      </c>
      <c r="M441" s="332">
        <f>Gasto_o_ing_per_capita!M441-Gasto_o_ing_per_capita!$D441</f>
        <v>-0.51593324065869473</v>
      </c>
      <c r="N441" s="332">
        <f>Gasto_o_ing_per_capita!N441-Gasto_o_ing_per_capita!$D441</f>
        <v>-0.32899540813343464</v>
      </c>
      <c r="O441" s="332">
        <f>Gasto_o_ing_per_capita!O441-Gasto_o_ing_per_capita!$D441</f>
        <v>-0.8141046443829183</v>
      </c>
      <c r="P441" s="332">
        <f>Gasto_o_ing_per_capita!P441-Gasto_o_ing_per_capita!$D441</f>
        <v>4.20875199779156</v>
      </c>
      <c r="Q441" s="332">
        <f>Gasto_o_ing_per_capita!Q441-Gasto_o_ing_per_capita!$D441</f>
        <v>-0.8141046443829183</v>
      </c>
      <c r="R441" s="332">
        <f>Gasto_o_ing_per_capita!R441-Gasto_o_ing_per_capita!$D441</f>
        <v>-0.74198827263249412</v>
      </c>
      <c r="S441" s="332">
        <f>Gasto_o_ing_per_capita!S441-Gasto_o_ing_per_capita!$D441</f>
        <v>-0.8141046443829183</v>
      </c>
      <c r="T441" s="332">
        <f>Gasto_o_ing_per_capita!T441-Gasto_o_ing_per_capita!$D441</f>
        <v>0.36825068186996579</v>
      </c>
      <c r="U441" s="332">
        <f>Gasto_o_ing_per_capita!U441-Gasto_o_ing_per_capita!$D441</f>
        <v>-0.8141046443829183</v>
      </c>
      <c r="V441" s="332">
        <f>Gasto_o_ing_per_capita!V441-Gasto_o_ing_per_capita!$D441</f>
        <v>-0.8141046443829183</v>
      </c>
      <c r="W441" s="105"/>
    </row>
    <row r="442" spans="1:23" s="102" customFormat="1">
      <c r="A442" s="351" t="str">
        <f>IF(B442="","",(IF(ISERROR(MATCH(B442,Tot_res!C:C,0)),"Eliminar!!!","")))</f>
        <v/>
      </c>
      <c r="B442" s="115" t="s">
        <v>396</v>
      </c>
      <c r="C442" s="329" t="str">
        <f>VLOOKUP(B442,Tot_res!C:D,2,FALSE)</f>
        <v>Gestión de la formación continua + AF20/3</v>
      </c>
      <c r="D442" s="332">
        <f>Gasto_o_ing_per_capita!D442-Gasto_o_ing_per_capita!$D442</f>
        <v>0</v>
      </c>
      <c r="E442" s="332">
        <f>Gasto_o_ing_per_capita!E442-Gasto_o_ing_per_capita!$D442</f>
        <v>3.3024381201103459E-2</v>
      </c>
      <c r="F442" s="332">
        <f>Gasto_o_ing_per_capita!F442-Gasto_o_ing_per_capita!$D442</f>
        <v>0.35889600987986409</v>
      </c>
      <c r="G442" s="332">
        <f>Gasto_o_ing_per_capita!G442-Gasto_o_ing_per_capita!$D442</f>
        <v>-0.26725490275344638</v>
      </c>
      <c r="H442" s="332">
        <f>Gasto_o_ing_per_capita!H442-Gasto_o_ing_per_capita!$D442</f>
        <v>0.2999847596484348</v>
      </c>
      <c r="I442" s="332">
        <f>Gasto_o_ing_per_capita!I442-Gasto_o_ing_per_capita!$D442</f>
        <v>0.22699561547588143</v>
      </c>
      <c r="J442" s="332">
        <f>Gasto_o_ing_per_capita!J442-Gasto_o_ing_per_capita!$D442</f>
        <v>0.39160706106344206</v>
      </c>
      <c r="K442" s="332">
        <f>Gasto_o_ing_per_capita!K442-Gasto_o_ing_per_capita!$D442</f>
        <v>0.15845896931713538</v>
      </c>
      <c r="L442" s="332">
        <f>Gasto_o_ing_per_capita!L442-Gasto_o_ing_per_capita!$D442</f>
        <v>-0.26725490275344638</v>
      </c>
      <c r="M442" s="332">
        <f>Gasto_o_ing_per_capita!M442-Gasto_o_ing_per_capita!$D442</f>
        <v>8.3215141519431046E-2</v>
      </c>
      <c r="N442" s="332">
        <f>Gasto_o_ing_per_capita!N442-Gasto_o_ing_per_capita!$D442</f>
        <v>-0.26725490275344638</v>
      </c>
      <c r="O442" s="332">
        <f>Gasto_o_ing_per_capita!O442-Gasto_o_ing_per_capita!$D442</f>
        <v>0.29921908900140787</v>
      </c>
      <c r="P442" s="332">
        <f>Gasto_o_ing_per_capita!P442-Gasto_o_ing_per_capita!$D442</f>
        <v>0.17544152382251066</v>
      </c>
      <c r="Q442" s="332">
        <f>Gasto_o_ing_per_capita!Q442-Gasto_o_ing_per_capita!$D442</f>
        <v>-0.26725490275344638</v>
      </c>
      <c r="R442" s="332">
        <f>Gasto_o_ing_per_capita!R442-Gasto_o_ing_per_capita!$D442</f>
        <v>0.21498108201045862</v>
      </c>
      <c r="S442" s="332">
        <f>Gasto_o_ing_per_capita!S442-Gasto_o_ing_per_capita!$D442</f>
        <v>-0.26725490275344638</v>
      </c>
      <c r="T442" s="332">
        <f>Gasto_o_ing_per_capita!T442-Gasto_o_ing_per_capita!$D442</f>
        <v>0</v>
      </c>
      <c r="U442" s="332">
        <f>Gasto_o_ing_per_capita!U442-Gasto_o_ing_per_capita!$D442</f>
        <v>0.55279048261627839</v>
      </c>
      <c r="V442" s="332">
        <f>Gasto_o_ing_per_capita!V442-Gasto_o_ing_per_capita!$D442</f>
        <v>-0.26725490275344638</v>
      </c>
      <c r="W442" s="105"/>
    </row>
    <row r="443" spans="1:23" s="102" customFormat="1">
      <c r="A443" s="352"/>
      <c r="B443" s="115"/>
      <c r="C443" s="132"/>
      <c r="D443" s="116"/>
      <c r="E443" s="116"/>
      <c r="F443" s="116"/>
      <c r="G443" s="116"/>
      <c r="H443" s="116"/>
      <c r="I443" s="116"/>
      <c r="J443" s="116"/>
      <c r="K443" s="116"/>
      <c r="L443" s="116"/>
      <c r="M443" s="116"/>
      <c r="N443" s="116"/>
      <c r="O443" s="116"/>
      <c r="P443" s="116"/>
      <c r="Q443" s="116"/>
      <c r="R443" s="116"/>
      <c r="S443" s="116"/>
      <c r="T443" s="116"/>
      <c r="U443" s="116"/>
      <c r="V443" s="116"/>
      <c r="W443" s="105"/>
    </row>
    <row r="444" spans="1:23" s="102" customFormat="1" ht="13.5">
      <c r="A444" s="352"/>
      <c r="B444" s="115"/>
      <c r="C444" s="128" t="s">
        <v>75</v>
      </c>
      <c r="D444" s="113">
        <f>Gasto_o_ing_per_capita!D444-Gasto_o_ing_per_capita!$D444</f>
        <v>0</v>
      </c>
      <c r="E444" s="113">
        <f>Gasto_o_ing_per_capita!E444-Gasto_o_ing_per_capita!$D444</f>
        <v>155.28497694991091</v>
      </c>
      <c r="F444" s="113">
        <f>Gasto_o_ing_per_capita!F444-Gasto_o_ing_per_capita!$D444</f>
        <v>250.30898456270864</v>
      </c>
      <c r="G444" s="113">
        <f>Gasto_o_ing_per_capita!G444-Gasto_o_ing_per_capita!$D444</f>
        <v>-87.139293521624168</v>
      </c>
      <c r="H444" s="113">
        <f>Gasto_o_ing_per_capita!H444-Gasto_o_ing_per_capita!$D444</f>
        <v>-123.17282389244434</v>
      </c>
      <c r="I444" s="113">
        <f>Gasto_o_ing_per_capita!I444-Gasto_o_ing_per_capita!$D444</f>
        <v>-41.468918587009938</v>
      </c>
      <c r="J444" s="113">
        <f>Gasto_o_ing_per_capita!J444-Gasto_o_ing_per_capita!$D444</f>
        <v>-13.729797261941911</v>
      </c>
      <c r="K444" s="113">
        <f>Gasto_o_ing_per_capita!K444-Gasto_o_ing_per_capita!$D444</f>
        <v>270.59585406589827</v>
      </c>
      <c r="L444" s="113">
        <f>Gasto_o_ing_per_capita!L444-Gasto_o_ing_per_capita!$D444</f>
        <v>164.57832350961115</v>
      </c>
      <c r="M444" s="113">
        <f>Gasto_o_ing_per_capita!M444-Gasto_o_ing_per_capita!$D444</f>
        <v>-103.12493092783239</v>
      </c>
      <c r="N444" s="113">
        <f>Gasto_o_ing_per_capita!N444-Gasto_o_ing_per_capita!$D444</f>
        <v>-107.04590597482168</v>
      </c>
      <c r="O444" s="113">
        <f>Gasto_o_ing_per_capita!O444-Gasto_o_ing_per_capita!$D444</f>
        <v>458.13623945123186</v>
      </c>
      <c r="P444" s="113">
        <f>Gasto_o_ing_per_capita!P444-Gasto_o_ing_per_capita!$D444</f>
        <v>-55.511182062871754</v>
      </c>
      <c r="Q444" s="113">
        <f>Gasto_o_ing_per_capita!Q444-Gasto_o_ing_per_capita!$D444</f>
        <v>-150.27597117908189</v>
      </c>
      <c r="R444" s="113">
        <f>Gasto_o_ing_per_capita!R444-Gasto_o_ing_per_capita!$D444</f>
        <v>-70.909881003093844</v>
      </c>
      <c r="S444" s="113">
        <f>Gasto_o_ing_per_capita!S444-Gasto_o_ing_per_capita!$D444</f>
        <v>39.633542752050715</v>
      </c>
      <c r="T444" s="113">
        <f>Gasto_o_ing_per_capita!T444-Gasto_o_ing_per_capita!$D444</f>
        <v>-134.35164157085597</v>
      </c>
      <c r="U444" s="113">
        <f>Gasto_o_ing_per_capita!U444-Gasto_o_ing_per_capita!$D444</f>
        <v>6.0161245719939132</v>
      </c>
      <c r="V444" s="113">
        <f>Gasto_o_ing_per_capita!V444-Gasto_o_ing_per_capita!$D444</f>
        <v>-152.63017895554762</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Gasto_o_ing_per_capita!D445-Gasto_o_ing_per_capita!$D445</f>
        <v>0</v>
      </c>
      <c r="E445" s="332">
        <f>Gasto_o_ing_per_capita!E445-Gasto_o_ing_per_capita!$D445</f>
        <v>0.12669050958385064</v>
      </c>
      <c r="F445" s="332">
        <f>Gasto_o_ing_per_capita!F445-Gasto_o_ing_per_capita!$D445</f>
        <v>1.0625507193544559</v>
      </c>
      <c r="G445" s="332">
        <f>Gasto_o_ing_per_capita!G445-Gasto_o_ing_per_capita!$D445</f>
        <v>-0.15673426728434037</v>
      </c>
      <c r="H445" s="332">
        <f>Gasto_o_ing_per_capita!H445-Gasto_o_ing_per_capita!$D445</f>
        <v>-0.11361148247728742</v>
      </c>
      <c r="I445" s="332">
        <f>Gasto_o_ing_per_capita!I445-Gasto_o_ing_per_capita!$D445</f>
        <v>-0.32602905992266779</v>
      </c>
      <c r="J445" s="332">
        <f>Gasto_o_ing_per_capita!J445-Gasto_o_ing_per_capita!$D445</f>
        <v>0.33419683921319709</v>
      </c>
      <c r="K445" s="332">
        <f>Gasto_o_ing_per_capita!K445-Gasto_o_ing_per_capita!$D445</f>
        <v>0.35296410023060232</v>
      </c>
      <c r="L445" s="332">
        <f>Gasto_o_ing_per_capita!L445-Gasto_o_ing_per_capita!$D445</f>
        <v>0.55001249150103471</v>
      </c>
      <c r="M445" s="332">
        <f>Gasto_o_ing_per_capita!M445-Gasto_o_ing_per_capita!$D445</f>
        <v>-0.25995634764417347</v>
      </c>
      <c r="N445" s="332">
        <f>Gasto_o_ing_per_capita!N445-Gasto_o_ing_per_capita!$D445</f>
        <v>-8.6957313108364298E-2</v>
      </c>
      <c r="O445" s="332">
        <f>Gasto_o_ing_per_capita!O445-Gasto_o_ing_per_capita!$D445</f>
        <v>0.67266978486353546</v>
      </c>
      <c r="P445" s="332">
        <f>Gasto_o_ing_per_capita!P445-Gasto_o_ing_per_capita!$D445</f>
        <v>-8.4716656482318742E-3</v>
      </c>
      <c r="Q445" s="332">
        <f>Gasto_o_ing_per_capita!Q445-Gasto_o_ing_per_capita!$D445</f>
        <v>-0.44585596146427925</v>
      </c>
      <c r="R445" s="332">
        <f>Gasto_o_ing_per_capita!R445-Gasto_o_ing_per_capita!$D445</f>
        <v>0.50169428451510134</v>
      </c>
      <c r="S445" s="332">
        <f>Gasto_o_ing_per_capita!S445-Gasto_o_ing_per_capita!$D445</f>
        <v>0</v>
      </c>
      <c r="T445" s="332">
        <f>Gasto_o_ing_per_capita!T445-Gasto_o_ing_per_capita!$D445</f>
        <v>0</v>
      </c>
      <c r="U445" s="332">
        <f>Gasto_o_ing_per_capita!U445-Gasto_o_ing_per_capita!$D445</f>
        <v>0.63521753153697169</v>
      </c>
      <c r="V445" s="332">
        <f>Gasto_o_ing_per_capita!V445-Gasto_o_ing_per_capita!$D445</f>
        <v>-0.55261039423869174</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Gasto_o_ing_per_capita!D446-Gasto_o_ing_per_capita!$D446</f>
        <v>0</v>
      </c>
      <c r="E446" s="332">
        <f>Gasto_o_ing_per_capita!E446-Gasto_o_ing_per_capita!$D446</f>
        <v>-0.16586086159882685</v>
      </c>
      <c r="F446" s="332">
        <f>Gasto_o_ing_per_capita!F446-Gasto_o_ing_per_capita!$D446</f>
        <v>2.2406817754517592</v>
      </c>
      <c r="G446" s="332">
        <f>Gasto_o_ing_per_capita!G446-Gasto_o_ing_per_capita!$D446</f>
        <v>9.65932329205903E-2</v>
      </c>
      <c r="H446" s="332">
        <f>Gasto_o_ing_per_capita!H446-Gasto_o_ing_per_capita!$D446</f>
        <v>-0.55049536355565143</v>
      </c>
      <c r="I446" s="332">
        <f>Gasto_o_ing_per_capita!I446-Gasto_o_ing_per_capita!$D446</f>
        <v>-0.69787330033436112</v>
      </c>
      <c r="J446" s="332">
        <f>Gasto_o_ing_per_capita!J446-Gasto_o_ing_per_capita!$D446</f>
        <v>0.75673108015495072</v>
      </c>
      <c r="K446" s="332">
        <f>Gasto_o_ing_per_capita!K446-Gasto_o_ing_per_capita!$D446</f>
        <v>1.3945038451218033</v>
      </c>
      <c r="L446" s="332">
        <f>Gasto_o_ing_per_capita!L446-Gasto_o_ing_per_capita!$D446</f>
        <v>0.14395891797810845</v>
      </c>
      <c r="M446" s="332">
        <f>Gasto_o_ing_per_capita!M446-Gasto_o_ing_per_capita!$D446</f>
        <v>-0.19699483113429661</v>
      </c>
      <c r="N446" s="332">
        <f>Gasto_o_ing_per_capita!N446-Gasto_o_ing_per_capita!$D446</f>
        <v>-0.3227488419480089</v>
      </c>
      <c r="O446" s="332">
        <f>Gasto_o_ing_per_capita!O446-Gasto_o_ing_per_capita!$D446</f>
        <v>1.6692820515955018</v>
      </c>
      <c r="P446" s="332">
        <f>Gasto_o_ing_per_capita!P446-Gasto_o_ing_per_capita!$D446</f>
        <v>0.69920046069609221</v>
      </c>
      <c r="Q446" s="332">
        <f>Gasto_o_ing_per_capita!Q446-Gasto_o_ing_per_capita!$D446</f>
        <v>-0.71968233112173496</v>
      </c>
      <c r="R446" s="332">
        <f>Gasto_o_ing_per_capita!R446-Gasto_o_ing_per_capita!$D446</f>
        <v>4.1676545815390487E-2</v>
      </c>
      <c r="S446" s="332">
        <f>Gasto_o_ing_per_capita!S446-Gasto_o_ing_per_capita!$D446</f>
        <v>0</v>
      </c>
      <c r="T446" s="332">
        <f>Gasto_o_ing_per_capita!T446-Gasto_o_ing_per_capita!$D446</f>
        <v>0</v>
      </c>
      <c r="U446" s="332">
        <f>Gasto_o_ing_per_capita!U446-Gasto_o_ing_per_capita!$D446</f>
        <v>-0.31678277893514373</v>
      </c>
      <c r="V446" s="332">
        <f>Gasto_o_ing_per_capita!V446-Gasto_o_ing_per_capita!$D446</f>
        <v>1.3183775382532941</v>
      </c>
      <c r="W446" s="105"/>
    </row>
    <row r="447" spans="1:23" s="102" customFormat="1">
      <c r="A447" s="351" t="str">
        <f>IF(B447="","",(IF(ISERROR(MATCH(B447,Tot_res!C:C,0)),"Eliminar!!!","")))</f>
        <v/>
      </c>
      <c r="B447" s="115" t="s">
        <v>397</v>
      </c>
      <c r="C447" s="329" t="str">
        <f>VLOOKUP(B447,Tot_res!C:D,2,FALSE)</f>
        <v>Regulación de los mercados agrarios</v>
      </c>
      <c r="D447" s="332">
        <f>Gasto_o_ing_per_capita!D447-Gasto_o_ing_per_capita!$D447</f>
        <v>0</v>
      </c>
      <c r="E447" s="332">
        <f>Gasto_o_ing_per_capita!E447-Gasto_o_ing_per_capita!$D447</f>
        <v>142.09149126570497</v>
      </c>
      <c r="F447" s="332">
        <f>Gasto_o_ing_per_capita!F447-Gasto_o_ing_per_capita!$D447</f>
        <v>210.14827898372681</v>
      </c>
      <c r="G447" s="332">
        <f>Gasto_o_ing_per_capita!G447-Gasto_o_ing_per_capita!$D447</f>
        <v>-90.084507558804248</v>
      </c>
      <c r="H447" s="332">
        <f>Gasto_o_ing_per_capita!H447-Gasto_o_ing_per_capita!$D447</f>
        <v>-100.12512082428881</v>
      </c>
      <c r="I447" s="332">
        <f>Gasto_o_ing_per_capita!I447-Gasto_o_ing_per_capita!$D447</f>
        <v>-27.472135757775519</v>
      </c>
      <c r="J447" s="332">
        <f>Gasto_o_ing_per_capita!J447-Gasto_o_ing_per_capita!$D447</f>
        <v>-55.072681973308789</v>
      </c>
      <c r="K447" s="332">
        <f>Gasto_o_ing_per_capita!K447-Gasto_o_ing_per_capita!$D447</f>
        <v>247.95011758517751</v>
      </c>
      <c r="L447" s="332">
        <f>Gasto_o_ing_per_capita!L447-Gasto_o_ing_per_capita!$D447</f>
        <v>106.22157100758012</v>
      </c>
      <c r="M447" s="332">
        <f>Gasto_o_ing_per_capita!M447-Gasto_o_ing_per_capita!$D447</f>
        <v>-82.438362990740615</v>
      </c>
      <c r="N447" s="332">
        <f>Gasto_o_ing_per_capita!N447-Gasto_o_ing_per_capita!$D447</f>
        <v>-92.146964836778849</v>
      </c>
      <c r="O447" s="332">
        <f>Gasto_o_ing_per_capita!O447-Gasto_o_ing_per_capita!$D447</f>
        <v>345.02214318728596</v>
      </c>
      <c r="P447" s="332">
        <f>Gasto_o_ing_per_capita!P447-Gasto_o_ing_per_capita!$D447</f>
        <v>-76.307595324536436</v>
      </c>
      <c r="Q447" s="332">
        <f>Gasto_o_ing_per_capita!Q447-Gasto_o_ing_per_capita!$D447</f>
        <v>-118.86494387181943</v>
      </c>
      <c r="R447" s="332">
        <f>Gasto_o_ing_per_capita!R447-Gasto_o_ing_per_capita!$D447</f>
        <v>-60.388404215650482</v>
      </c>
      <c r="S447" s="332">
        <f>Gasto_o_ing_per_capita!S447-Gasto_o_ing_per_capita!$D447</f>
        <v>43.789448174284857</v>
      </c>
      <c r="T447" s="332">
        <f>Gasto_o_ing_per_capita!T447-Gasto_o_ing_per_capita!$D447</f>
        <v>-112.00792549763946</v>
      </c>
      <c r="U447" s="332">
        <f>Gasto_o_ing_per_capita!U447-Gasto_o_ing_per_capita!$D447</f>
        <v>-25.303824932401653</v>
      </c>
      <c r="V447" s="332">
        <f>Gasto_o_ing_per_capita!V447-Gasto_o_ing_per_capita!$D447</f>
        <v>-122.82311586259688</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Gasto_o_ing_per_capita!D448-Gasto_o_ing_per_capita!$D448</f>
        <v>0</v>
      </c>
      <c r="E448" s="332">
        <f>Gasto_o_ing_per_capita!E448-Gasto_o_ing_per_capita!$D448</f>
        <v>-0.16753424016964691</v>
      </c>
      <c r="F448" s="332">
        <f>Gasto_o_ing_per_capita!F448-Gasto_o_ing_per_capita!$D448</f>
        <v>-3.4903000719974708E-2</v>
      </c>
      <c r="G448" s="332">
        <f>Gasto_o_ing_per_capita!G448-Gasto_o_ing_per_capita!$D448</f>
        <v>-0.18901118618895735</v>
      </c>
      <c r="H448" s="332">
        <f>Gasto_o_ing_per_capita!H448-Gasto_o_ing_per_capita!$D448</f>
        <v>-0.38259616680368086</v>
      </c>
      <c r="I448" s="332">
        <f>Gasto_o_ing_per_capita!I448-Gasto_o_ing_per_capita!$D448</f>
        <v>-0.33107631990283004</v>
      </c>
      <c r="J448" s="332">
        <f>Gasto_o_ing_per_capita!J448-Gasto_o_ing_per_capita!$D448</f>
        <v>0.4578871863948859</v>
      </c>
      <c r="K448" s="332">
        <f>Gasto_o_ing_per_capita!K448-Gasto_o_ing_per_capita!$D448</f>
        <v>0.27973136505736684</v>
      </c>
      <c r="L448" s="332">
        <f>Gasto_o_ing_per_capita!L448-Gasto_o_ing_per_capita!$D448</f>
        <v>5.3779609107561299E-2</v>
      </c>
      <c r="M448" s="332">
        <f>Gasto_o_ing_per_capita!M448-Gasto_o_ing_per_capita!$D448</f>
        <v>0.2319286891314748</v>
      </c>
      <c r="N448" s="332">
        <f>Gasto_o_ing_per_capita!N448-Gasto_o_ing_per_capita!$D448</f>
        <v>-0.13156748799280593</v>
      </c>
      <c r="O448" s="332">
        <f>Gasto_o_ing_per_capita!O448-Gasto_o_ing_per_capita!$D448</f>
        <v>0.21739344816873107</v>
      </c>
      <c r="P448" s="332">
        <f>Gasto_o_ing_per_capita!P448-Gasto_o_ing_per_capita!$D448</f>
        <v>0.29046721493963834</v>
      </c>
      <c r="Q448" s="332">
        <f>Gasto_o_ing_per_capita!Q448-Gasto_o_ing_per_capita!$D448</f>
        <v>-8.3067458774076619E-2</v>
      </c>
      <c r="R448" s="332">
        <f>Gasto_o_ing_per_capita!R448-Gasto_o_ing_per_capita!$D448</f>
        <v>1.5651883978091752E-2</v>
      </c>
      <c r="S448" s="332">
        <f>Gasto_o_ing_per_capita!S448-Gasto_o_ing_per_capita!$D448</f>
        <v>0</v>
      </c>
      <c r="T448" s="332">
        <f>Gasto_o_ing_per_capita!T448-Gasto_o_ing_per_capita!$D448</f>
        <v>0</v>
      </c>
      <c r="U448" s="332">
        <f>Gasto_o_ing_per_capita!U448-Gasto_o_ing_per_capita!$D448</f>
        <v>0.53296372813414494</v>
      </c>
      <c r="V448" s="332">
        <f>Gasto_o_ing_per_capita!V448-Gasto_o_ing_per_capita!$D448</f>
        <v>-0.47215177079816584</v>
      </c>
      <c r="W448" s="105"/>
    </row>
    <row r="449" spans="1:24" s="102" customFormat="1">
      <c r="A449" s="351" t="str">
        <f>IF(B449="","",(IF(ISERROR(MATCH(B449,Tot_res!C:C,0)),"Eliminar!!!","")))</f>
        <v/>
      </c>
      <c r="B449" s="115" t="s">
        <v>399</v>
      </c>
      <c r="C449" s="329" t="str">
        <f>VLOOKUP(B449,Tot_res!C:D,2,FALSE)</f>
        <v>Desarrollo del medio rural  + AF22/4</v>
      </c>
      <c r="D449" s="332">
        <f>Gasto_o_ing_per_capita!D449-Gasto_o_ing_per_capita!$D449</f>
        <v>0</v>
      </c>
      <c r="E449" s="332">
        <f>Gasto_o_ing_per_capita!E449-Gasto_o_ing_per_capita!$D449</f>
        <v>10.366676832402725</v>
      </c>
      <c r="F449" s="332">
        <f>Gasto_o_ing_per_capita!F449-Gasto_o_ing_per_capita!$D449</f>
        <v>30.723992290215151</v>
      </c>
      <c r="G449" s="332">
        <f>Gasto_o_ing_per_capita!G449-Gasto_o_ing_per_capita!$D449</f>
        <v>5.4327975179171091</v>
      </c>
      <c r="H449" s="332">
        <f>Gasto_o_ing_per_capita!H449-Gasto_o_ing_per_capita!$D449</f>
        <v>-17.666546554462499</v>
      </c>
      <c r="I449" s="332">
        <f>Gasto_o_ing_per_capita!I449-Gasto_o_ing_per_capita!$D449</f>
        <v>-10.180190539115276</v>
      </c>
      <c r="J449" s="332">
        <f>Gasto_o_ing_per_capita!J449-Gasto_o_ing_per_capita!$D449</f>
        <v>40.912805065187051</v>
      </c>
      <c r="K449" s="332">
        <f>Gasto_o_ing_per_capita!K449-Gasto_o_ing_per_capita!$D449</f>
        <v>17.626575486887702</v>
      </c>
      <c r="L449" s="332">
        <f>Gasto_o_ing_per_capita!L449-Gasto_o_ing_per_capita!$D449</f>
        <v>53.524721571998704</v>
      </c>
      <c r="M449" s="332">
        <f>Gasto_o_ing_per_capita!M449-Gasto_o_ing_per_capita!$D449</f>
        <v>-17.409214357342634</v>
      </c>
      <c r="N449" s="332">
        <f>Gasto_o_ing_per_capita!N449-Gasto_o_ing_per_capita!$D449</f>
        <v>-12.906938622243873</v>
      </c>
      <c r="O449" s="332">
        <f>Gasto_o_ing_per_capita!O449-Gasto_o_ing_per_capita!$D449</f>
        <v>105.72278134118847</v>
      </c>
      <c r="P449" s="332">
        <f>Gasto_o_ing_per_capita!P449-Gasto_o_ing_per_capita!$D449</f>
        <v>10.134227918392476</v>
      </c>
      <c r="Q449" s="332">
        <f>Gasto_o_ing_per_capita!Q449-Gasto_o_ing_per_capita!$D449</f>
        <v>-24.484481402363024</v>
      </c>
      <c r="R449" s="332">
        <f>Gasto_o_ing_per_capita!R449-Gasto_o_ing_per_capita!$D449</f>
        <v>-12.488875333121916</v>
      </c>
      <c r="S449" s="332">
        <f>Gasto_o_ing_per_capita!S449-Gasto_o_ing_per_capita!$D449</f>
        <v>-6.7545175848196912</v>
      </c>
      <c r="T449" s="332">
        <f>Gasto_o_ing_per_capita!T449-Gasto_o_ing_per_capita!$D449</f>
        <v>-19.410669354765442</v>
      </c>
      <c r="U449" s="332">
        <f>Gasto_o_ing_per_capita!U449-Gasto_o_ing_per_capita!$D449</f>
        <v>24.18351077004094</v>
      </c>
      <c r="V449" s="332">
        <f>Gasto_o_ing_per_capita!V449-Gasto_o_ing_per_capita!$D449</f>
        <v>-24.82061211996345</v>
      </c>
      <c r="W449" s="105"/>
    </row>
    <row r="450" spans="1:24" s="102" customFormat="1">
      <c r="A450" s="351" t="str">
        <f>IF(B450="","",(IF(ISERROR(MATCH(B450,Tot_res!C:C,0)),"Eliminar!!!","")))</f>
        <v/>
      </c>
      <c r="B450" s="115" t="s">
        <v>401</v>
      </c>
      <c r="C450" s="329" t="str">
        <f>VLOOKUP(B450,Tot_res!C:D,2,FALSE)</f>
        <v>Protección de los recursos pesqueros y desarrollo sostenible</v>
      </c>
      <c r="D450" s="332">
        <f>Gasto_o_ing_per_capita!D450-Gasto_o_ing_per_capita!$D450</f>
        <v>0</v>
      </c>
      <c r="E450" s="332">
        <f>Gasto_o_ing_per_capita!E450-Gasto_o_ing_per_capita!$D450</f>
        <v>-2.7224436207476777E-2</v>
      </c>
      <c r="F450" s="332">
        <f>Gasto_o_ing_per_capita!F450-Gasto_o_ing_per_capita!$D450</f>
        <v>-0.3371889068264024</v>
      </c>
      <c r="G450" s="332">
        <f>Gasto_o_ing_per_capita!G450-Gasto_o_ing_per_capita!$D450</f>
        <v>0.17415980815383503</v>
      </c>
      <c r="H450" s="332">
        <f>Gasto_o_ing_per_capita!H450-Gasto_o_ing_per_capita!$D450</f>
        <v>-6.408498183467537E-2</v>
      </c>
      <c r="I450" s="332">
        <f>Gasto_o_ing_per_capita!I450-Gasto_o_ing_per_capita!$D450</f>
        <v>2.2561801352543598E-3</v>
      </c>
      <c r="J450" s="332">
        <f>Gasto_o_ing_per_capita!J450-Gasto_o_ing_per_capita!$D450</f>
        <v>0.44812910818758678</v>
      </c>
      <c r="K450" s="332">
        <f>Gasto_o_ing_per_capita!K450-Gasto_o_ing_per_capita!$D450</f>
        <v>-0.33649010432842114</v>
      </c>
      <c r="L450" s="332">
        <f>Gasto_o_ing_per_capita!L450-Gasto_o_ing_per_capita!$D450</f>
        <v>-0.33746720585051548</v>
      </c>
      <c r="M450" s="332">
        <f>Gasto_o_ing_per_capita!M450-Gasto_o_ing_per_capita!$D450</f>
        <v>-0.16909825398402109</v>
      </c>
      <c r="N450" s="332">
        <f>Gasto_o_ing_per_capita!N450-Gasto_o_ing_per_capita!$D450</f>
        <v>-0.1377282393670928</v>
      </c>
      <c r="O450" s="332">
        <f>Gasto_o_ing_per_capita!O450-Gasto_o_ing_per_capita!$D450</f>
        <v>-0.3361404388336392</v>
      </c>
      <c r="P450" s="332">
        <f>Gasto_o_ing_per_capita!P450-Gasto_o_ing_per_capita!$D450</f>
        <v>2.2840040202543834</v>
      </c>
      <c r="Q450" s="332">
        <f>Gasto_o_ing_per_capita!Q450-Gasto_o_ing_per_capita!$D450</f>
        <v>-0.32025390485457256</v>
      </c>
      <c r="R450" s="332">
        <f>Gasto_o_ing_per_capita!R450-Gasto_o_ing_per_capita!$D450</f>
        <v>-0.14767529087005773</v>
      </c>
      <c r="S450" s="332">
        <f>Gasto_o_ing_per_capita!S450-Gasto_o_ing_per_capita!$D450</f>
        <v>-0.33716464243709399</v>
      </c>
      <c r="T450" s="332">
        <f>Gasto_o_ing_per_capita!T450-Gasto_o_ing_per_capita!$D450</f>
        <v>0.23803210978872669</v>
      </c>
      <c r="U450" s="332">
        <f>Gasto_o_ing_per_capita!U450-Gasto_o_ing_per_capita!$D450</f>
        <v>-0.33795939349385407</v>
      </c>
      <c r="V450" s="332">
        <f>Gasto_o_ing_per_capita!V450-Gasto_o_ing_per_capita!$D450</f>
        <v>-0.13089218530078423</v>
      </c>
      <c r="W450" s="105"/>
    </row>
    <row r="451" spans="1:24" s="102" customFormat="1">
      <c r="A451" s="351" t="str">
        <f>IF(B451="","",(IF(ISERROR(MATCH(B451,Tot_res!C:C,0)),"Eliminar!!!","")))</f>
        <v/>
      </c>
      <c r="B451" s="115" t="s">
        <v>402</v>
      </c>
      <c r="C451" s="329" t="str">
        <f>VLOOKUP(B451,Tot_res!C:D,2,FALSE)</f>
        <v>Mejora de estructuras y mercados pesqueros</v>
      </c>
      <c r="D451" s="332">
        <f>Gasto_o_ing_per_capita!D451-Gasto_o_ing_per_capita!$D451</f>
        <v>0</v>
      </c>
      <c r="E451" s="332">
        <f>Gasto_o_ing_per_capita!E451-Gasto_o_ing_per_capita!$D451</f>
        <v>-8.9854266681985206E-2</v>
      </c>
      <c r="F451" s="332">
        <f>Gasto_o_ing_per_capita!F451-Gasto_o_ing_per_capita!$D451</f>
        <v>-0.38029136606988889</v>
      </c>
      <c r="G451" s="332">
        <f>Gasto_o_ing_per_capita!G451-Gasto_o_ing_per_capita!$D451</f>
        <v>7.3527652201081428E-2</v>
      </c>
      <c r="H451" s="332">
        <f>Gasto_o_ing_per_capita!H451-Gasto_o_ing_per_capita!$D451</f>
        <v>-0.1631782275766675</v>
      </c>
      <c r="I451" s="332">
        <f>Gasto_o_ing_per_capita!I451-Gasto_o_ing_per_capita!$D451</f>
        <v>-0.10787828227249141</v>
      </c>
      <c r="J451" s="332">
        <f>Gasto_o_ing_per_capita!J451-Gasto_o_ing_per_capita!$D451</f>
        <v>0.44113302729292986</v>
      </c>
      <c r="K451" s="332">
        <f>Gasto_o_ing_per_capita!K451-Gasto_o_ing_per_capita!$D451</f>
        <v>-0.38764493611976897</v>
      </c>
      <c r="L451" s="332">
        <f>Gasto_o_ing_per_capita!L451-Gasto_o_ing_per_capita!$D451</f>
        <v>-0.41138295049011847</v>
      </c>
      <c r="M451" s="332">
        <f>Gasto_o_ing_per_capita!M451-Gasto_o_ing_per_capita!$D451</f>
        <v>-0.25037909453438356</v>
      </c>
      <c r="N451" s="332">
        <f>Gasto_o_ing_per_capita!N451-Gasto_o_ing_per_capita!$D451</f>
        <v>-0.23502902561167643</v>
      </c>
      <c r="O451" s="332">
        <f>Gasto_o_ing_per_capita!O451-Gasto_o_ing_per_capita!$D451</f>
        <v>-0.41329866635615098</v>
      </c>
      <c r="P451" s="332">
        <f>Gasto_o_ing_per_capita!P451-Gasto_o_ing_per_capita!$D451</f>
        <v>3.6414895002692598</v>
      </c>
      <c r="Q451" s="332">
        <f>Gasto_o_ing_per_capita!Q451-Gasto_o_ing_per_capita!$D451</f>
        <v>-0.41437831314165458</v>
      </c>
      <c r="R451" s="332">
        <f>Gasto_o_ing_per_capita!R451-Gasto_o_ing_per_capita!$D451</f>
        <v>-0.16178094753653294</v>
      </c>
      <c r="S451" s="332">
        <f>Gasto_o_ing_per_capita!S451-Gasto_o_ing_per_capita!$D451</f>
        <v>-0.38944407195223313</v>
      </c>
      <c r="T451" s="332">
        <f>Gasto_o_ing_per_capita!T451-Gasto_o_ing_per_capita!$D451</f>
        <v>-1.5432159849353422E-3</v>
      </c>
      <c r="U451" s="332">
        <f>Gasto_o_ing_per_capita!U451-Gasto_o_ing_per_capita!$D451</f>
        <v>-0.39687434541633682</v>
      </c>
      <c r="V451" s="332">
        <f>Gasto_o_ing_per_capita!V451-Gasto_o_ing_per_capita!$D451</f>
        <v>-0.25230611555876714</v>
      </c>
      <c r="W451" s="105"/>
    </row>
    <row r="452" spans="1:24" s="102" customFormat="1">
      <c r="A452" s="351" t="str">
        <f>IF(B452="","",(IF(ISERROR(MATCH(B452,Tot_res!C:C,0)),"Eliminar!!!","")))</f>
        <v/>
      </c>
      <c r="B452" s="115" t="s">
        <v>404</v>
      </c>
      <c r="C452" s="329" t="str">
        <f>VLOOKUP(B452,Tot_res!C:D,2,FALSE)</f>
        <v>Previsión de riesgos en las producciones agrarias y pesqueras</v>
      </c>
      <c r="D452" s="332">
        <f>Gasto_o_ing_per_capita!D452-Gasto_o_ing_per_capita!$D452</f>
        <v>0</v>
      </c>
      <c r="E452" s="332">
        <f>Gasto_o_ing_per_capita!E452-Gasto_o_ing_per_capita!$D452</f>
        <v>2.4045791439221249</v>
      </c>
      <c r="F452" s="332">
        <f>Gasto_o_ing_per_capita!F452-Gasto_o_ing_per_capita!$D452</f>
        <v>5.68334106175781</v>
      </c>
      <c r="G452" s="332">
        <f>Gasto_o_ing_per_capita!G452-Gasto_o_ing_per_capita!$D452</f>
        <v>-2.0674881014521476</v>
      </c>
      <c r="H452" s="332">
        <f>Gasto_o_ing_per_capita!H452-Gasto_o_ing_per_capita!$D452</f>
        <v>-3.5154490294160414</v>
      </c>
      <c r="I452" s="332">
        <f>Gasto_o_ing_per_capita!I452-Gasto_o_ing_per_capita!$D452</f>
        <v>-2.1567684207465763</v>
      </c>
      <c r="J452" s="332">
        <f>Gasto_o_ing_per_capita!J452-Gasto_o_ing_per_capita!$D452</f>
        <v>-1.9420375293411762</v>
      </c>
      <c r="K452" s="332">
        <f>Gasto_o_ing_per_capita!K452-Gasto_o_ing_per_capita!$D452</f>
        <v>2.4161124649686805</v>
      </c>
      <c r="L452" s="332">
        <f>Gasto_o_ing_per_capita!L452-Gasto_o_ing_per_capita!$D452</f>
        <v>4.0424703932038124</v>
      </c>
      <c r="M452" s="332">
        <f>Gasto_o_ing_per_capita!M452-Gasto_o_ing_per_capita!$D452</f>
        <v>-2.1374256524528437</v>
      </c>
      <c r="N452" s="332">
        <f>Gasto_o_ing_per_capita!N452-Gasto_o_ing_per_capita!$D452</f>
        <v>-0.56370654917421348</v>
      </c>
      <c r="O452" s="332">
        <f>Gasto_o_ing_per_capita!O452-Gasto_o_ing_per_capita!$D452</f>
        <v>3.380451519582949</v>
      </c>
      <c r="P452" s="332">
        <f>Gasto_o_ing_per_capita!P452-Gasto_o_ing_per_capita!$D452</f>
        <v>4.0221801014909211</v>
      </c>
      <c r="Q452" s="332">
        <f>Gasto_o_ing_per_capita!Q452-Gasto_o_ing_per_capita!$D452</f>
        <v>-4.2213589696267775</v>
      </c>
      <c r="R452" s="332">
        <f>Gasto_o_ing_per_capita!R452-Gasto_o_ing_per_capita!$D452</f>
        <v>2.0584940855450515</v>
      </c>
      <c r="S452" s="332">
        <f>Gasto_o_ing_per_capita!S452-Gasto_o_ing_per_capita!$D452</f>
        <v>3.1348152187652571</v>
      </c>
      <c r="T452" s="332">
        <f>Gasto_o_ing_per_capita!T452-Gasto_o_ing_per_capita!$D452</f>
        <v>-2.5240895842557753</v>
      </c>
      <c r="U452" s="332">
        <f>Gasto_o_ing_per_capita!U452-Gasto_o_ing_per_capita!$D452</f>
        <v>6.9909716012849366</v>
      </c>
      <c r="V452" s="332">
        <f>Gasto_o_ing_per_capita!V452-Gasto_o_ing_per_capita!$D452</f>
        <v>-4.16360910181508</v>
      </c>
      <c r="W452" s="111"/>
    </row>
    <row r="453" spans="1:24" s="102" customFormat="1">
      <c r="A453" s="351" t="str">
        <f>IF(B453="","",(IF(ISERROR(MATCH(B453,Tot_res!C:C,0)),"Eliminar!!!","")))</f>
        <v/>
      </c>
      <c r="B453" s="115" t="s">
        <v>887</v>
      </c>
      <c r="C453" s="329" t="str">
        <f>VLOOKUP(B453,Tot_res!C:D,2,FALSE)</f>
        <v>Direc. y serv. grales. de agric., aliment. y medio amb., Medio Rural y Marino</v>
      </c>
      <c r="D453" s="332">
        <f>Gasto_o_ing_per_capita!D453-Gasto_o_ing_per_capita!$D453</f>
        <v>0</v>
      </c>
      <c r="E453" s="332">
        <f>Gasto_o_ing_per_capita!E453-Gasto_o_ing_per_capita!$D453</f>
        <v>0.74601300295531492</v>
      </c>
      <c r="F453" s="332">
        <f>Gasto_o_ing_per_capita!F453-Gasto_o_ing_per_capita!$D453</f>
        <v>1.2025230058188765</v>
      </c>
      <c r="G453" s="332">
        <f>Gasto_o_ing_per_capita!G453-Gasto_o_ing_per_capita!$D453</f>
        <v>-0.41863061908712695</v>
      </c>
      <c r="H453" s="332">
        <f>Gasto_o_ing_per_capita!H453-Gasto_o_ing_per_capita!$D453</f>
        <v>-0.59174126202902666</v>
      </c>
      <c r="I453" s="332">
        <f>Gasto_o_ing_per_capita!I453-Gasto_o_ing_per_capita!$D453</f>
        <v>-0.19922308707547209</v>
      </c>
      <c r="J453" s="332">
        <f>Gasto_o_ing_per_capita!J453-Gasto_o_ing_per_capita!$D453</f>
        <v>-6.5960065722603156E-2</v>
      </c>
      <c r="K453" s="332">
        <f>Gasto_o_ing_per_capita!K453-Gasto_o_ing_per_capita!$D453</f>
        <v>1.2999842589027393</v>
      </c>
      <c r="L453" s="332">
        <f>Gasto_o_ing_per_capita!L453-Gasto_o_ing_per_capita!$D453</f>
        <v>0.79065967458242725</v>
      </c>
      <c r="M453" s="332">
        <f>Gasto_o_ing_per_capita!M453-Gasto_o_ing_per_capita!$D453</f>
        <v>-0.49542808913090952</v>
      </c>
      <c r="N453" s="332">
        <f>Gasto_o_ing_per_capita!N453-Gasto_o_ing_per_capita!$D453</f>
        <v>-0.51426505859680227</v>
      </c>
      <c r="O453" s="332">
        <f>Gasto_o_ing_per_capita!O453-Gasto_o_ing_per_capita!$D453</f>
        <v>2.2009572237365411</v>
      </c>
      <c r="P453" s="332">
        <f>Gasto_o_ing_per_capita!P453-Gasto_o_ing_per_capita!$D453</f>
        <v>-0.26668428872987615</v>
      </c>
      <c r="Q453" s="332">
        <f>Gasto_o_ing_per_capita!Q453-Gasto_o_ing_per_capita!$D453</f>
        <v>-0.72194896591635538</v>
      </c>
      <c r="R453" s="332">
        <f>Gasto_o_ing_per_capita!R453-Gasto_o_ing_per_capita!$D453</f>
        <v>-0.34066201576850252</v>
      </c>
      <c r="S453" s="332">
        <f>Gasto_o_ing_per_capita!S453-Gasto_o_ing_per_capita!$D453</f>
        <v>0.19040565820963096</v>
      </c>
      <c r="T453" s="332">
        <f>Gasto_o_ing_per_capita!T453-Gasto_o_ing_per_capita!$D453</f>
        <v>-0.64544602799909112</v>
      </c>
      <c r="U453" s="332">
        <f>Gasto_o_ing_per_capita!U453-Gasto_o_ing_per_capita!$D453</f>
        <v>2.8902391243900594E-2</v>
      </c>
      <c r="V453" s="332">
        <f>Gasto_o_ing_per_capita!V453-Gasto_o_ing_per_capita!$D453</f>
        <v>-0.73325894352911869</v>
      </c>
      <c r="W453" s="111"/>
    </row>
    <row r="454" spans="1:24" s="102" customFormat="1">
      <c r="A454" s="352"/>
      <c r="B454" s="115"/>
      <c r="C454" s="129"/>
      <c r="D454" s="110"/>
      <c r="E454" s="110"/>
      <c r="F454" s="110"/>
      <c r="G454" s="110"/>
      <c r="H454" s="110"/>
      <c r="I454" s="110"/>
      <c r="J454" s="110"/>
      <c r="K454" s="110"/>
      <c r="L454" s="110"/>
      <c r="M454" s="110"/>
      <c r="N454" s="110"/>
      <c r="O454" s="110"/>
      <c r="P454" s="110"/>
      <c r="Q454" s="110"/>
      <c r="R454" s="110"/>
      <c r="S454" s="110"/>
      <c r="T454" s="110"/>
      <c r="U454" s="110"/>
      <c r="V454" s="110"/>
      <c r="W454" s="105"/>
    </row>
    <row r="455" spans="1:24" s="102" customFormat="1" ht="13.5">
      <c r="A455" s="352"/>
      <c r="B455" s="115"/>
      <c r="C455" s="128" t="s">
        <v>113</v>
      </c>
      <c r="D455" s="113">
        <f>Gasto_o_ing_per_capita!D455-Gasto_o_ing_per_capita!$D455</f>
        <v>0</v>
      </c>
      <c r="E455" s="113">
        <f>Gasto_o_ing_per_capita!E455-Gasto_o_ing_per_capita!$D455</f>
        <v>-17.114780283120105</v>
      </c>
      <c r="F455" s="113">
        <f>Gasto_o_ing_per_capita!F455-Gasto_o_ing_per_capita!$D455</f>
        <v>19.458788103854459</v>
      </c>
      <c r="G455" s="113">
        <f>Gasto_o_ing_per_capita!G455-Gasto_o_ing_per_capita!$D455</f>
        <v>43.744421621326381</v>
      </c>
      <c r="H455" s="113">
        <f>Gasto_o_ing_per_capita!H455-Gasto_o_ing_per_capita!$D455</f>
        <v>-2.545134460594241</v>
      </c>
      <c r="I455" s="113">
        <f>Gasto_o_ing_per_capita!I455-Gasto_o_ing_per_capita!$D455</f>
        <v>-17.234690481645465</v>
      </c>
      <c r="J455" s="113">
        <f>Gasto_o_ing_per_capita!J455-Gasto_o_ing_per_capita!$D455</f>
        <v>17.119239212664368</v>
      </c>
      <c r="K455" s="113">
        <f>Gasto_o_ing_per_capita!K455-Gasto_o_ing_per_capita!$D455</f>
        <v>-7.9399875133842386</v>
      </c>
      <c r="L455" s="113">
        <f>Gasto_o_ing_per_capita!L455-Gasto_o_ing_per_capita!$D455</f>
        <v>-10.51215374840902</v>
      </c>
      <c r="M455" s="113">
        <f>Gasto_o_ing_per_capita!M455-Gasto_o_ing_per_capita!$D455</f>
        <v>10.05637936001736</v>
      </c>
      <c r="N455" s="113">
        <f>Gasto_o_ing_per_capita!N455-Gasto_o_ing_per_capita!$D455</f>
        <v>-6.4119342666047601</v>
      </c>
      <c r="O455" s="113">
        <f>Gasto_o_ing_per_capita!O455-Gasto_o_ing_per_capita!$D455</f>
        <v>-26.692854200609553</v>
      </c>
      <c r="P455" s="113">
        <f>Gasto_o_ing_per_capita!P455-Gasto_o_ing_per_capita!$D455</f>
        <v>26.974584719064623</v>
      </c>
      <c r="Q455" s="113">
        <f>Gasto_o_ing_per_capita!Q455-Gasto_o_ing_per_capita!$D455</f>
        <v>-10.951036033325153</v>
      </c>
      <c r="R455" s="113">
        <f>Gasto_o_ing_per_capita!R455-Gasto_o_ing_per_capita!$D455</f>
        <v>2.9520412706488202</v>
      </c>
      <c r="S455" s="113">
        <f>Gasto_o_ing_per_capita!S455-Gasto_o_ing_per_capita!$D455</f>
        <v>31.395210411332101</v>
      </c>
      <c r="T455" s="113">
        <f>Gasto_o_ing_per_capita!T455-Gasto_o_ing_per_capita!$D455</f>
        <v>49.646740573782651</v>
      </c>
      <c r="U455" s="113">
        <f>Gasto_o_ing_per_capita!U455-Gasto_o_ing_per_capita!$D455</f>
        <v>-2.8317187913322215</v>
      </c>
      <c r="V455" s="113">
        <f>Gasto_o_ing_per_capita!V455-Gasto_o_ing_per_capita!$D455</f>
        <v>-44.415056910233695</v>
      </c>
      <c r="W455" s="105"/>
    </row>
    <row r="456" spans="1:24" s="102" customFormat="1">
      <c r="A456" s="351" t="str">
        <f>IF(B456="","",(IF(ISERROR(MATCH(B456,Tot_res!C:C,0)),"Eliminar!!!","")))</f>
        <v/>
      </c>
      <c r="B456" s="115" t="s">
        <v>406</v>
      </c>
      <c r="C456" s="329" t="str">
        <f>VLOOKUP(B456,Tot_res!C:D,2,FALSE)</f>
        <v>Dirección y servicios generales de industria y energía</v>
      </c>
      <c r="D456" s="332">
        <f>Gasto_o_ing_per_capita!D456-Gasto_o_ing_per_capita!$D456</f>
        <v>0</v>
      </c>
      <c r="E456" s="332">
        <f>Gasto_o_ing_per_capita!E456-Gasto_o_ing_per_capita!$D456</f>
        <v>-0.69262642878092673</v>
      </c>
      <c r="F456" s="332">
        <f>Gasto_o_ing_per_capita!F456-Gasto_o_ing_per_capita!$D456</f>
        <v>-4.3945488611979888E-2</v>
      </c>
      <c r="G456" s="332">
        <f>Gasto_o_ing_per_capita!G456-Gasto_o_ing_per_capita!$D456</f>
        <v>-0.1830311918401486</v>
      </c>
      <c r="H456" s="332">
        <f>Gasto_o_ing_per_capita!H456-Gasto_o_ing_per_capita!$D456</f>
        <v>-0.63026418690493413</v>
      </c>
      <c r="I456" s="332">
        <f>Gasto_o_ing_per_capita!I456-Gasto_o_ing_per_capita!$D456</f>
        <v>1.1452303936700932</v>
      </c>
      <c r="J456" s="332">
        <f>Gasto_o_ing_per_capita!J456-Gasto_o_ing_per_capita!$D456</f>
        <v>-0.21572728828345666</v>
      </c>
      <c r="K456" s="332">
        <f>Gasto_o_ing_per_capita!K456-Gasto_o_ing_per_capita!$D456</f>
        <v>-0.34403682672188862</v>
      </c>
      <c r="L456" s="332">
        <f>Gasto_o_ing_per_capita!L456-Gasto_o_ing_per_capita!$D456</f>
        <v>-0.45348425542470305</v>
      </c>
      <c r="M456" s="332">
        <f>Gasto_o_ing_per_capita!M456-Gasto_o_ing_per_capita!$D456</f>
        <v>-9.7147457456316699E-2</v>
      </c>
      <c r="N456" s="332">
        <f>Gasto_o_ing_per_capita!N456-Gasto_o_ing_per_capita!$D456</f>
        <v>-0.45679425728646261</v>
      </c>
      <c r="O456" s="332">
        <f>Gasto_o_ing_per_capita!O456-Gasto_o_ing_per_capita!$D456</f>
        <v>-0.71774832456283011</v>
      </c>
      <c r="P456" s="332">
        <f>Gasto_o_ing_per_capita!P456-Gasto_o_ing_per_capita!$D456</f>
        <v>-2.1095600997700803E-2</v>
      </c>
      <c r="Q456" s="332">
        <f>Gasto_o_ing_per_capita!Q456-Gasto_o_ing_per_capita!$D456</f>
        <v>1.3346856529608226</v>
      </c>
      <c r="R456" s="332">
        <f>Gasto_o_ing_per_capita!R456-Gasto_o_ing_per_capita!$D456</f>
        <v>-0.42423356127583189</v>
      </c>
      <c r="S456" s="332">
        <f>Gasto_o_ing_per_capita!S456-Gasto_o_ing_per_capita!$D456</f>
        <v>0.57759314634497061</v>
      </c>
      <c r="T456" s="332">
        <f>Gasto_o_ing_per_capita!T456-Gasto_o_ing_per_capita!$D456</f>
        <v>0.86154755663366789</v>
      </c>
      <c r="U456" s="332">
        <f>Gasto_o_ing_per_capita!U456-Gasto_o_ing_per_capita!$D456</f>
        <v>0.14906707375157602</v>
      </c>
      <c r="V456" s="332">
        <f>Gasto_o_ing_per_capita!V456-Gasto_o_ing_per_capita!$D456</f>
        <v>-0.89447974844246714</v>
      </c>
      <c r="W456" s="111"/>
    </row>
    <row r="457" spans="1:24" s="102" customFormat="1">
      <c r="A457" s="351" t="str">
        <f>IF(B457="","",(IF(ISERROR(MATCH(B457,Tot_res!C:C,0)),"Eliminar!!!","")))</f>
        <v/>
      </c>
      <c r="B457" s="115" t="s">
        <v>407</v>
      </c>
      <c r="C457" s="329" t="str">
        <f>VLOOKUP(B457,Tot_res!C:D,2,FALSE)</f>
        <v>Calidad y seguridad industrial</v>
      </c>
      <c r="D457" s="332">
        <f>Gasto_o_ing_per_capita!D457-Gasto_o_ing_per_capita!$D457</f>
        <v>0</v>
      </c>
      <c r="E457" s="332">
        <f>Gasto_o_ing_per_capita!E457-Gasto_o_ing_per_capita!$D457</f>
        <v>-1.662532671063828E-2</v>
      </c>
      <c r="F457" s="332">
        <f>Gasto_o_ing_per_capita!F457-Gasto_o_ing_per_capita!$D457</f>
        <v>1.9894913286977331E-2</v>
      </c>
      <c r="G457" s="332">
        <f>Gasto_o_ing_per_capita!G457-Gasto_o_ing_per_capita!$D457</f>
        <v>2.9155800680771976E-3</v>
      </c>
      <c r="H457" s="332">
        <f>Gasto_o_ing_per_capita!H457-Gasto_o_ing_per_capita!$D457</f>
        <v>-1.9491899330698496E-2</v>
      </c>
      <c r="I457" s="332">
        <f>Gasto_o_ing_per_capita!I457-Gasto_o_ing_per_capita!$D457</f>
        <v>-2.1735955631509776E-2</v>
      </c>
      <c r="J457" s="332">
        <f>Gasto_o_ing_per_capita!J457-Gasto_o_ing_per_capita!$D457</f>
        <v>6.2317918705786512E-3</v>
      </c>
      <c r="K457" s="332">
        <f>Gasto_o_ing_per_capita!K457-Gasto_o_ing_per_capita!$D457</f>
        <v>6.7534201449928194E-3</v>
      </c>
      <c r="L457" s="332">
        <f>Gasto_o_ing_per_capita!L457-Gasto_o_ing_per_capita!$D457</f>
        <v>-8.2431088768447625E-4</v>
      </c>
      <c r="M457" s="332">
        <f>Gasto_o_ing_per_capita!M457-Gasto_o_ing_per_capita!$D457</f>
        <v>1.455045301538363E-2</v>
      </c>
      <c r="N457" s="332">
        <f>Gasto_o_ing_per_capita!N457-Gasto_o_ing_per_capita!$D457</f>
        <v>-2.2221299174732256E-3</v>
      </c>
      <c r="O457" s="332">
        <f>Gasto_o_ing_per_capita!O457-Gasto_o_ing_per_capita!$D457</f>
        <v>-1.5656863991344624E-2</v>
      </c>
      <c r="P457" s="332">
        <f>Gasto_o_ing_per_capita!P457-Gasto_o_ing_per_capita!$D457</f>
        <v>-2.5506853877427238E-4</v>
      </c>
      <c r="Q457" s="332">
        <f>Gasto_o_ing_per_capita!Q457-Gasto_o_ing_per_capita!$D457</f>
        <v>-6.0473891545930192E-3</v>
      </c>
      <c r="R457" s="332">
        <f>Gasto_o_ing_per_capita!R457-Gasto_o_ing_per_capita!$D457</f>
        <v>-4.5416228311031398E-3</v>
      </c>
      <c r="S457" s="332">
        <f>Gasto_o_ing_per_capita!S457-Gasto_o_ing_per_capita!$D457</f>
        <v>4.8793438895758851E-2</v>
      </c>
      <c r="T457" s="332">
        <f>Gasto_o_ing_per_capita!T457-Gasto_o_ing_per_capita!$D457</f>
        <v>4.0194841892176744E-2</v>
      </c>
      <c r="U457" s="332">
        <f>Gasto_o_ing_per_capita!U457-Gasto_o_ing_per_capita!$D457</f>
        <v>2.9140972975370855E-2</v>
      </c>
      <c r="V457" s="332">
        <f>Gasto_o_ing_per_capita!V457-Gasto_o_ing_per_capita!$D457</f>
        <v>-2.6262105835587114E-2</v>
      </c>
      <c r="W457" s="105"/>
    </row>
    <row r="458" spans="1:24" s="102" customFormat="1">
      <c r="A458" s="351" t="str">
        <f>IF(B458="","",(IF(ISERROR(MATCH(B458,Tot_res!C:C,0)),"Eliminar!!!","")))</f>
        <v/>
      </c>
      <c r="B458" s="115" t="s">
        <v>408</v>
      </c>
      <c r="C458" s="329" t="str">
        <f>VLOOKUP(B458,Tot_res!C:D,2,FALSE)</f>
        <v>Desarrollo industrial</v>
      </c>
      <c r="D458" s="332">
        <f>Gasto_o_ing_per_capita!D458-Gasto_o_ing_per_capita!$D458</f>
        <v>0</v>
      </c>
      <c r="E458" s="332">
        <f>Gasto_o_ing_per_capita!E458-Gasto_o_ing_per_capita!$D458</f>
        <v>-0.16719165718257334</v>
      </c>
      <c r="F458" s="332">
        <f>Gasto_o_ing_per_capita!F458-Gasto_o_ing_per_capita!$D458</f>
        <v>0.20007206955066392</v>
      </c>
      <c r="G458" s="332">
        <f>Gasto_o_ing_per_capita!G458-Gasto_o_ing_per_capita!$D458</f>
        <v>2.9320365952170246E-2</v>
      </c>
      <c r="H458" s="332">
        <f>Gasto_o_ing_per_capita!H458-Gasto_o_ing_per_capita!$D458</f>
        <v>-0.19601918250725661</v>
      </c>
      <c r="I458" s="332">
        <f>Gasto_o_ing_per_capita!I458-Gasto_o_ing_per_capita!$D458</f>
        <v>-0.21858640769769794</v>
      </c>
      <c r="J458" s="332">
        <f>Gasto_o_ing_per_capita!J458-Gasto_o_ing_per_capita!$D458</f>
        <v>6.266966226848536E-2</v>
      </c>
      <c r="K458" s="332">
        <f>Gasto_o_ing_per_capita!K458-Gasto_o_ing_per_capita!$D458</f>
        <v>6.7915387489439094E-2</v>
      </c>
      <c r="L458" s="332">
        <f>Gasto_o_ing_per_capita!L458-Gasto_o_ing_per_capita!$D458</f>
        <v>-8.2896357914831742E-3</v>
      </c>
      <c r="M458" s="332">
        <f>Gasto_o_ing_per_capita!M458-Gasto_o_ing_per_capita!$D458</f>
        <v>0.14632580729030131</v>
      </c>
      <c r="N458" s="332">
        <f>Gasto_o_ing_per_capita!N458-Gasto_o_ing_per_capita!$D458</f>
        <v>-2.234672375728991E-2</v>
      </c>
      <c r="O458" s="332">
        <f>Gasto_o_ing_per_capita!O458-Gasto_o_ing_per_capita!$D458</f>
        <v>-0.15745236665454795</v>
      </c>
      <c r="P458" s="332">
        <f>Gasto_o_ing_per_capita!P458-Gasto_o_ing_per_capita!$D458</f>
        <v>-2.5650823250000787E-3</v>
      </c>
      <c r="Q458" s="332">
        <f>Gasto_o_ing_per_capita!Q458-Gasto_o_ing_per_capita!$D458</f>
        <v>-6.0815226791143817E-2</v>
      </c>
      <c r="R458" s="332">
        <f>Gasto_o_ing_per_capita!R458-Gasto_o_ing_per_capita!$D458</f>
        <v>-4.5672572975331061E-2</v>
      </c>
      <c r="S458" s="332">
        <f>Gasto_o_ing_per_capita!S458-Gasto_o_ing_per_capita!$D458</f>
        <v>0.49068845687095375</v>
      </c>
      <c r="T458" s="332">
        <f>Gasto_o_ing_per_capita!T458-Gasto_o_ing_per_capita!$D458</f>
        <v>0.40421715272785419</v>
      </c>
      <c r="U458" s="332">
        <f>Gasto_o_ing_per_capita!U458-Gasto_o_ing_per_capita!$D458</f>
        <v>0.29305454554148613</v>
      </c>
      <c r="V458" s="332">
        <f>Gasto_o_ing_per_capita!V458-Gasto_o_ing_per_capita!$D458</f>
        <v>-0.26410338107499165</v>
      </c>
      <c r="W458" s="105"/>
    </row>
    <row r="459" spans="1:24" s="102" customFormat="1">
      <c r="A459" s="351" t="str">
        <f>IF(B459="","",(IF(ISERROR(MATCH(B459,Tot_res!C:C,0)),"Eliminar!!!","")))</f>
        <v/>
      </c>
      <c r="B459" s="115" t="s">
        <v>409</v>
      </c>
      <c r="C459" s="329" t="str">
        <f>VLOOKUP(B459,Tot_res!C:D,2,FALSE)</f>
        <v>Reconversión y reindustrialización</v>
      </c>
      <c r="D459" s="332">
        <f>Gasto_o_ing_per_capita!D459-Gasto_o_ing_per_capita!$D459</f>
        <v>0</v>
      </c>
      <c r="E459" s="332">
        <f>Gasto_o_ing_per_capita!E459-Gasto_o_ing_per_capita!$D459</f>
        <v>-1.3330652619989427</v>
      </c>
      <c r="F459" s="332">
        <f>Gasto_o_ing_per_capita!F459-Gasto_o_ing_per_capita!$D459</f>
        <v>-2.6529096057769648</v>
      </c>
      <c r="G459" s="332">
        <f>Gasto_o_ing_per_capita!G459-Gasto_o_ing_per_capita!$D459</f>
        <v>3.4804718098948344</v>
      </c>
      <c r="H459" s="332">
        <f>Gasto_o_ing_per_capita!H459-Gasto_o_ing_per_capita!$D459</f>
        <v>0.71703454821112889</v>
      </c>
      <c r="I459" s="332">
        <f>Gasto_o_ing_per_capita!I459-Gasto_o_ing_per_capita!$D459</f>
        <v>-0.90035566950872581</v>
      </c>
      <c r="J459" s="332">
        <f>Gasto_o_ing_per_capita!J459-Gasto_o_ing_per_capita!$D459</f>
        <v>-0.99439240691068553</v>
      </c>
      <c r="K459" s="332">
        <f>Gasto_o_ing_per_capita!K459-Gasto_o_ing_per_capita!$D459</f>
        <v>-2.6284287973255145</v>
      </c>
      <c r="L459" s="332">
        <f>Gasto_o_ing_per_capita!L459-Gasto_o_ing_per_capita!$D459</f>
        <v>-2.5581702395579335</v>
      </c>
      <c r="M459" s="332">
        <f>Gasto_o_ing_per_capita!M459-Gasto_o_ing_per_capita!$D459</f>
        <v>-1.5635598603777254</v>
      </c>
      <c r="N459" s="332">
        <f>Gasto_o_ing_per_capita!N459-Gasto_o_ing_per_capita!$D459</f>
        <v>-2.23540492544153</v>
      </c>
      <c r="O459" s="332">
        <f>Gasto_o_ing_per_capita!O459-Gasto_o_ing_per_capita!$D459</f>
        <v>-2.6064947630628725</v>
      </c>
      <c r="P459" s="332">
        <f>Gasto_o_ing_per_capita!P459-Gasto_o_ing_per_capita!$D459</f>
        <v>11.107939491441424</v>
      </c>
      <c r="Q459" s="332">
        <f>Gasto_o_ing_per_capita!Q459-Gasto_o_ing_per_capita!$D459</f>
        <v>-2.4968875572558762</v>
      </c>
      <c r="R459" s="332">
        <f>Gasto_o_ing_per_capita!R459-Gasto_o_ing_per_capita!$D459</f>
        <v>0.54418569180552323</v>
      </c>
      <c r="S459" s="332">
        <f>Gasto_o_ing_per_capita!S459-Gasto_o_ing_per_capita!$D459</f>
        <v>-2.66769709570828</v>
      </c>
      <c r="T459" s="332">
        <f>Gasto_o_ing_per_capita!T459-Gasto_o_ing_per_capita!$D459</f>
        <v>17.405575615967987</v>
      </c>
      <c r="U459" s="332">
        <f>Gasto_o_ing_per_capita!U459-Gasto_o_ing_per_capita!$D459</f>
        <v>-2.6022191281278007</v>
      </c>
      <c r="V459" s="332">
        <f>Gasto_o_ing_per_capita!V459-Gasto_o_ing_per_capita!$D459</f>
        <v>-2.4336433300089655</v>
      </c>
      <c r="W459" s="111"/>
    </row>
    <row r="460" spans="1:24"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Gasto_o_ing_per_capita!D460-Gasto_o_ing_per_capita!$D460</f>
        <v>0</v>
      </c>
      <c r="E460" s="332">
        <f>Gasto_o_ing_per_capita!E460-Gasto_o_ing_per_capita!$D460</f>
        <v>9.8266833123011599E-2</v>
      </c>
      <c r="F460" s="332">
        <f>Gasto_o_ing_per_capita!F460-Gasto_o_ing_per_capita!$D460</f>
        <v>-4.7631497064262063E-2</v>
      </c>
      <c r="G460" s="332">
        <f>Gasto_o_ing_per_capita!G460-Gasto_o_ing_per_capita!$D460</f>
        <v>0.27160707159653485</v>
      </c>
      <c r="H460" s="332">
        <f>Gasto_o_ing_per_capita!H460-Gasto_o_ing_per_capita!$D460</f>
        <v>-5.8023001117513705E-2</v>
      </c>
      <c r="I460" s="332">
        <f>Gasto_o_ing_per_capita!I460-Gasto_o_ing_per_capita!$D460</f>
        <v>-5.8023001117513705E-2</v>
      </c>
      <c r="J460" s="332">
        <f>Gasto_o_ing_per_capita!J460-Gasto_o_ing_per_capita!$D460</f>
        <v>-5.0954284142777861E-2</v>
      </c>
      <c r="K460" s="332">
        <f>Gasto_o_ing_per_capita!K460-Gasto_o_ing_per_capita!$D460</f>
        <v>-3.591032466267996E-2</v>
      </c>
      <c r="L460" s="332">
        <f>Gasto_o_ing_per_capita!L460-Gasto_o_ing_per_capita!$D460</f>
        <v>3.2527805012976203E-2</v>
      </c>
      <c r="M460" s="332">
        <f>Gasto_o_ing_per_capita!M460-Gasto_o_ing_per_capita!$D460</f>
        <v>-5.1991087851370146E-2</v>
      </c>
      <c r="N460" s="332">
        <f>Gasto_o_ing_per_capita!N460-Gasto_o_ing_per_capita!$D460</f>
        <v>5.2466458586143565E-2</v>
      </c>
      <c r="O460" s="332">
        <f>Gasto_o_ing_per_capita!O460-Gasto_o_ing_per_capita!$D460</f>
        <v>-5.8023001117513705E-2</v>
      </c>
      <c r="P460" s="332">
        <f>Gasto_o_ing_per_capita!P460-Gasto_o_ing_per_capita!$D460</f>
        <v>-1.582328741264017E-2</v>
      </c>
      <c r="Q460" s="332">
        <f>Gasto_o_ing_per_capita!Q460-Gasto_o_ing_per_capita!$D460</f>
        <v>-5.5794126697689093E-2</v>
      </c>
      <c r="R460" s="332">
        <f>Gasto_o_ing_per_capita!R460-Gasto_o_ing_per_capita!$D460</f>
        <v>-3.7576389371303698E-2</v>
      </c>
      <c r="S460" s="332">
        <f>Gasto_o_ing_per_capita!S460-Gasto_o_ing_per_capita!$D460</f>
        <v>-5.8023001117513705E-2</v>
      </c>
      <c r="T460" s="332">
        <f>Gasto_o_ing_per_capita!T460-Gasto_o_ing_per_capita!$D460</f>
        <v>-4.3752747377279265E-2</v>
      </c>
      <c r="U460" s="332">
        <f>Gasto_o_ing_per_capita!U460-Gasto_o_ing_per_capita!$D460</f>
        <v>-5.8023001117513705E-2</v>
      </c>
      <c r="V460" s="332">
        <f>Gasto_o_ing_per_capita!V460-Gasto_o_ing_per_capita!$D460</f>
        <v>-5.8023001117513705E-2</v>
      </c>
      <c r="W460" s="105"/>
    </row>
    <row r="461" spans="1:24" s="102" customFormat="1">
      <c r="A461" s="351" t="str">
        <f>IF(B461="","",(IF(ISERROR(MATCH(B461,Tot_res!C:C,0)),"Eliminar!!!","")))</f>
        <v/>
      </c>
      <c r="B461" s="115" t="s">
        <v>410</v>
      </c>
      <c r="C461" s="329" t="str">
        <f>VLOOKUP(B461,Tot_res!C:D,2,FALSE)</f>
        <v>Seguridad nuclear y protección radiológica</v>
      </c>
      <c r="D461" s="332">
        <f>Gasto_o_ing_per_capita!D461-Gasto_o_ing_per_capita!$D461</f>
        <v>0</v>
      </c>
      <c r="E461" s="332">
        <f>Gasto_o_ing_per_capita!E461-Gasto_o_ing_per_capita!$D461</f>
        <v>0</v>
      </c>
      <c r="F461" s="332">
        <f>Gasto_o_ing_per_capita!F461-Gasto_o_ing_per_capita!$D461</f>
        <v>0</v>
      </c>
      <c r="G461" s="332">
        <f>Gasto_o_ing_per_capita!G461-Gasto_o_ing_per_capita!$D461</f>
        <v>0</v>
      </c>
      <c r="H461" s="332">
        <f>Gasto_o_ing_per_capita!H461-Gasto_o_ing_per_capita!$D461</f>
        <v>0</v>
      </c>
      <c r="I461" s="332">
        <f>Gasto_o_ing_per_capita!I461-Gasto_o_ing_per_capita!$D461</f>
        <v>0</v>
      </c>
      <c r="J461" s="332">
        <f>Gasto_o_ing_per_capita!J461-Gasto_o_ing_per_capita!$D461</f>
        <v>0</v>
      </c>
      <c r="K461" s="332">
        <f>Gasto_o_ing_per_capita!K461-Gasto_o_ing_per_capita!$D461</f>
        <v>0</v>
      </c>
      <c r="L461" s="332">
        <f>Gasto_o_ing_per_capita!L461-Gasto_o_ing_per_capita!$D461</f>
        <v>0</v>
      </c>
      <c r="M461" s="332">
        <f>Gasto_o_ing_per_capita!M461-Gasto_o_ing_per_capita!$D461</f>
        <v>0</v>
      </c>
      <c r="N461" s="332">
        <f>Gasto_o_ing_per_capita!N461-Gasto_o_ing_per_capita!$D461</f>
        <v>0</v>
      </c>
      <c r="O461" s="332">
        <f>Gasto_o_ing_per_capita!O461-Gasto_o_ing_per_capita!$D461</f>
        <v>0</v>
      </c>
      <c r="P461" s="332">
        <f>Gasto_o_ing_per_capita!P461-Gasto_o_ing_per_capita!$D461</f>
        <v>0</v>
      </c>
      <c r="Q461" s="332">
        <f>Gasto_o_ing_per_capita!Q461-Gasto_o_ing_per_capita!$D461</f>
        <v>0</v>
      </c>
      <c r="R461" s="332">
        <f>Gasto_o_ing_per_capita!R461-Gasto_o_ing_per_capita!$D461</f>
        <v>0</v>
      </c>
      <c r="S461" s="332">
        <f>Gasto_o_ing_per_capita!S461-Gasto_o_ing_per_capita!$D461</f>
        <v>0</v>
      </c>
      <c r="T461" s="332">
        <f>Gasto_o_ing_per_capita!T461-Gasto_o_ing_per_capita!$D461</f>
        <v>0</v>
      </c>
      <c r="U461" s="332">
        <f>Gasto_o_ing_per_capita!U461-Gasto_o_ing_per_capita!$D461</f>
        <v>0</v>
      </c>
      <c r="V461" s="332">
        <f>Gasto_o_ing_per_capita!V461-Gasto_o_ing_per_capita!$D461</f>
        <v>0</v>
      </c>
      <c r="W461" s="105"/>
    </row>
    <row r="462" spans="1:24"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Gasto_o_ing_per_capita!D462-Gasto_o_ing_per_capita!$D462</f>
        <v>0</v>
      </c>
      <c r="E462" s="332">
        <f>Gasto_o_ing_per_capita!E462-Gasto_o_ing_per_capita!$D462</f>
        <v>-0.83050946778695067</v>
      </c>
      <c r="F462" s="332">
        <f>Gasto_o_ing_per_capita!F462-Gasto_o_ing_per_capita!$D462</f>
        <v>0.43241985449519227</v>
      </c>
      <c r="G462" s="332">
        <f>Gasto_o_ing_per_capita!G462-Gasto_o_ing_per_capita!$D462</f>
        <v>1.0088515323809339</v>
      </c>
      <c r="H462" s="332">
        <f>Gasto_o_ing_per_capita!H462-Gasto_o_ing_per_capita!$D462</f>
        <v>1.811395170802772</v>
      </c>
      <c r="I462" s="332">
        <f>Gasto_o_ing_per_capita!I462-Gasto_o_ing_per_capita!$D462</f>
        <v>-0.46286746595405859</v>
      </c>
      <c r="J462" s="332">
        <f>Gasto_o_ing_per_capita!J462-Gasto_o_ing_per_capita!$D462</f>
        <v>1.5062840809654414</v>
      </c>
      <c r="K462" s="332">
        <f>Gasto_o_ing_per_capita!K462-Gasto_o_ing_per_capita!$D462</f>
        <v>-0.50453898502638062</v>
      </c>
      <c r="L462" s="332">
        <f>Gasto_o_ing_per_capita!L462-Gasto_o_ing_per_capita!$D462</f>
        <v>-2.3398173926877854</v>
      </c>
      <c r="M462" s="332">
        <f>Gasto_o_ing_per_capita!M462-Gasto_o_ing_per_capita!$D462</f>
        <v>-0.18704079492705183</v>
      </c>
      <c r="N462" s="332">
        <f>Gasto_o_ing_per_capita!N462-Gasto_o_ing_per_capita!$D462</f>
        <v>0.31875770824911331</v>
      </c>
      <c r="O462" s="332">
        <f>Gasto_o_ing_per_capita!O462-Gasto_o_ing_per_capita!$D462</f>
        <v>-0.80505596208971042</v>
      </c>
      <c r="P462" s="332">
        <f>Gasto_o_ing_per_capita!P462-Gasto_o_ing_per_capita!$D462</f>
        <v>0.58351742975715304</v>
      </c>
      <c r="Q462" s="332">
        <f>Gasto_o_ing_per_capita!Q462-Gasto_o_ing_per_capita!$D462</f>
        <v>0.56596761228167836</v>
      </c>
      <c r="R462" s="332">
        <f>Gasto_o_ing_per_capita!R462-Gasto_o_ing_per_capita!$D462</f>
        <v>0.74097029639708722</v>
      </c>
      <c r="S462" s="332">
        <f>Gasto_o_ing_per_capita!S462-Gasto_o_ing_per_capita!$D462</f>
        <v>4.4654452368030313</v>
      </c>
      <c r="T462" s="332">
        <f>Gasto_o_ing_per_capita!T462-Gasto_o_ing_per_capita!$D462</f>
        <v>0.43085014125753673</v>
      </c>
      <c r="U462" s="332">
        <f>Gasto_o_ing_per_capita!U462-Gasto_o_ing_per_capita!$D462</f>
        <v>1.9236705551666287</v>
      </c>
      <c r="V462" s="332">
        <f>Gasto_o_ing_per_capita!V462-Gasto_o_ing_per_capita!$D462</f>
        <v>-3.128113736446247</v>
      </c>
      <c r="W462" s="105"/>
      <c r="X462" s="105"/>
    </row>
    <row r="463" spans="1:24" s="102" customFormat="1">
      <c r="A463" s="351" t="str">
        <f>IF(B463="","",(IF(ISERROR(MATCH(B463,Tot_res!C:C,0)),"Eliminar!!!","")))</f>
        <v/>
      </c>
      <c r="B463" s="115" t="s">
        <v>411</v>
      </c>
      <c r="C463" s="329" t="str">
        <f>VLOOKUP(B463,Tot_res!C:D,2,FALSE)</f>
        <v>Promoción comercial e internacionalización de la empresa</v>
      </c>
      <c r="D463" s="332">
        <f>Gasto_o_ing_per_capita!D463-Gasto_o_ing_per_capita!$D463</f>
        <v>0</v>
      </c>
      <c r="E463" s="332">
        <f>Gasto_o_ing_per_capita!E463-Gasto_o_ing_per_capita!$D463</f>
        <v>-1.3506642083957048</v>
      </c>
      <c r="F463" s="332">
        <f>Gasto_o_ing_per_capita!F463-Gasto_o_ing_per_capita!$D463</f>
        <v>1.3705942253790742</v>
      </c>
      <c r="G463" s="332">
        <f>Gasto_o_ing_per_capita!G463-Gasto_o_ing_per_capita!$D463</f>
        <v>-1.0313394804664848</v>
      </c>
      <c r="H463" s="332">
        <f>Gasto_o_ing_per_capita!H463-Gasto_o_ing_per_capita!$D463</f>
        <v>-2.9690113316979585</v>
      </c>
      <c r="I463" s="332">
        <f>Gasto_o_ing_per_capita!I463-Gasto_o_ing_per_capita!$D463</f>
        <v>-2.7604884847248612</v>
      </c>
      <c r="J463" s="332">
        <f>Gasto_o_ing_per_capita!J463-Gasto_o_ing_per_capita!$D463</f>
        <v>-0.54237754282719575</v>
      </c>
      <c r="K463" s="332">
        <f>Gasto_o_ing_per_capita!K463-Gasto_o_ing_per_capita!$D463</f>
        <v>9.3196014716165898E-3</v>
      </c>
      <c r="L463" s="332">
        <f>Gasto_o_ing_per_capita!L463-Gasto_o_ing_per_capita!$D463</f>
        <v>-1.7406711637824013</v>
      </c>
      <c r="M463" s="332">
        <f>Gasto_o_ing_per_capita!M463-Gasto_o_ing_per_capita!$D463</f>
        <v>2.0117691757337974</v>
      </c>
      <c r="N463" s="332">
        <f>Gasto_o_ing_per_capita!N463-Gasto_o_ing_per_capita!$D463</f>
        <v>-7.8931138181502991E-2</v>
      </c>
      <c r="O463" s="332">
        <f>Gasto_o_ing_per_capita!O463-Gasto_o_ing_per_capita!$D463</f>
        <v>-2.4910672062593955</v>
      </c>
      <c r="P463" s="332">
        <f>Gasto_o_ing_per_capita!P463-Gasto_o_ing_per_capita!$D463</f>
        <v>0.95446769086249272</v>
      </c>
      <c r="Q463" s="332">
        <f>Gasto_o_ing_per_capita!Q463-Gasto_o_ing_per_capita!$D463</f>
        <v>-0.5676047374929265</v>
      </c>
      <c r="R463" s="332">
        <f>Gasto_o_ing_per_capita!R463-Gasto_o_ing_per_capita!$D463</f>
        <v>1.3828191697200909</v>
      </c>
      <c r="S463" s="332">
        <f>Gasto_o_ing_per_capita!S463-Gasto_o_ing_per_capita!$D463</f>
        <v>5.257402216923853</v>
      </c>
      <c r="T463" s="332">
        <f>Gasto_o_ing_per_capita!T463-Gasto_o_ing_per_capita!$D463</f>
        <v>3.5739093586355013</v>
      </c>
      <c r="U463" s="332">
        <f>Gasto_o_ing_per_capita!U463-Gasto_o_ing_per_capita!$D463</f>
        <v>3.404497857799571E-2</v>
      </c>
      <c r="V463" s="332">
        <f>Gasto_o_ing_per_capita!V463-Gasto_o_ing_per_capita!$D463</f>
        <v>-3.3940827770241189</v>
      </c>
    </row>
    <row r="464" spans="1:24" s="102" customFormat="1">
      <c r="A464" s="351" t="str">
        <f>IF(B464="","",(IF(ISERROR(MATCH(B464,Tot_res!C:C,0)),"Eliminar!!!","")))</f>
        <v/>
      </c>
      <c r="B464" s="115" t="s">
        <v>413</v>
      </c>
      <c r="C464" s="329" t="str">
        <f>VLOOKUP(B464,Tot_res!C:D,2,FALSE)</f>
        <v>Ordenación del comercio exterior</v>
      </c>
      <c r="D464" s="332">
        <f>Gasto_o_ing_per_capita!D464-Gasto_o_ing_per_capita!$D464</f>
        <v>0</v>
      </c>
      <c r="E464" s="332">
        <f>Gasto_o_ing_per_capita!E464-Gasto_o_ing_per_capita!$D464</f>
        <v>-6.700415294940705E-2</v>
      </c>
      <c r="F464" s="332">
        <f>Gasto_o_ing_per_capita!F464-Gasto_o_ing_per_capita!$D464</f>
        <v>4.9473839652768248E-2</v>
      </c>
      <c r="G464" s="332">
        <f>Gasto_o_ing_per_capita!G464-Gasto_o_ing_per_capita!$D464</f>
        <v>-6.7256688795999983E-2</v>
      </c>
      <c r="H464" s="332">
        <f>Gasto_o_ing_per_capita!H464-Gasto_o_ing_per_capita!$D464</f>
        <v>-0.14791952446002019</v>
      </c>
      <c r="I464" s="332">
        <f>Gasto_o_ing_per_capita!I464-Gasto_o_ing_per_capita!$D464</f>
        <v>-0.13637444833182877</v>
      </c>
      <c r="J464" s="332">
        <f>Gasto_o_ing_per_capita!J464-Gasto_o_ing_per_capita!$D464</f>
        <v>-5.4407707311385584E-2</v>
      </c>
      <c r="K464" s="332">
        <f>Gasto_o_ing_per_capita!K464-Gasto_o_ing_per_capita!$D464</f>
        <v>-1.1210599938661719E-2</v>
      </c>
      <c r="L464" s="332">
        <f>Gasto_o_ing_per_capita!L464-Gasto_o_ing_per_capita!$D464</f>
        <v>-9.0228043522305595E-2</v>
      </c>
      <c r="M464" s="332">
        <f>Gasto_o_ing_per_capita!M464-Gasto_o_ing_per_capita!$D464</f>
        <v>0.11765651044092756</v>
      </c>
      <c r="N464" s="332">
        <f>Gasto_o_ing_per_capita!N464-Gasto_o_ing_per_capita!$D464</f>
        <v>-2.4158079831263446E-2</v>
      </c>
      <c r="O464" s="332">
        <f>Gasto_o_ing_per_capita!O464-Gasto_o_ing_per_capita!$D464</f>
        <v>-0.14243713018475274</v>
      </c>
      <c r="P464" s="332">
        <f>Gasto_o_ing_per_capita!P464-Gasto_o_ing_per_capita!$D464</f>
        <v>1.8769287749924896E-2</v>
      </c>
      <c r="Q464" s="332">
        <f>Gasto_o_ing_per_capita!Q464-Gasto_o_ing_per_capita!$D464</f>
        <v>2.2341283125004802E-2</v>
      </c>
      <c r="R464" s="332">
        <f>Gasto_o_ing_per_capita!R464-Gasto_o_ing_per_capita!$D464</f>
        <v>7.7356064879427144E-2</v>
      </c>
      <c r="S464" s="332">
        <f>Gasto_o_ing_per_capita!S464-Gasto_o_ing_per_capita!$D464</f>
        <v>0.15100042700434435</v>
      </c>
      <c r="T464" s="332">
        <f>Gasto_o_ing_per_capita!T464-Gasto_o_ing_per_capita!$D464</f>
        <v>0.12899056967353861</v>
      </c>
      <c r="U464" s="332">
        <f>Gasto_o_ing_per_capita!U464-Gasto_o_ing_per_capita!$D464</f>
        <v>-3.1892622865224429E-2</v>
      </c>
      <c r="V464" s="332">
        <f>Gasto_o_ing_per_capita!V464-Gasto_o_ing_per_capita!$D464</f>
        <v>-0.11852524375805304</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Gasto_o_ing_per_capita!D465-Gasto_o_ing_per_capita!$D465</f>
        <v>0</v>
      </c>
      <c r="E465" s="332">
        <f>Gasto_o_ing_per_capita!E465-Gasto_o_ing_per_capita!$D465</f>
        <v>-3.0384729383116482E-2</v>
      </c>
      <c r="F465" s="332">
        <f>Gasto_o_ing_per_capita!F465-Gasto_o_ing_per_capita!$D465</f>
        <v>-3.9342511510858102E-3</v>
      </c>
      <c r="G465" s="332">
        <f>Gasto_o_ing_per_capita!G465-Gasto_o_ing_per_capita!$D465</f>
        <v>-1.9972374351095057E-2</v>
      </c>
      <c r="H465" s="332">
        <f>Gasto_o_ing_per_capita!H465-Gasto_o_ing_per_capita!$D465</f>
        <v>7.0029122020799056E-2</v>
      </c>
      <c r="I465" s="332">
        <f>Gasto_o_ing_per_capita!I465-Gasto_o_ing_per_capita!$D465</f>
        <v>2.4451432502949899E-2</v>
      </c>
      <c r="J465" s="332">
        <f>Gasto_o_ing_per_capita!J465-Gasto_o_ing_per_capita!$D465</f>
        <v>-1.8946360545479962E-2</v>
      </c>
      <c r="K465" s="332">
        <f>Gasto_o_ing_per_capita!K465-Gasto_o_ing_per_capita!$D465</f>
        <v>-2.1511171291281772E-2</v>
      </c>
      <c r="L465" s="332">
        <f>Gasto_o_ing_per_capita!L465-Gasto_o_ing_per_capita!$D465</f>
        <v>-3.9432677149295992E-2</v>
      </c>
      <c r="M465" s="332">
        <f>Gasto_o_ing_per_capita!M465-Gasto_o_ing_per_capita!$D465</f>
        <v>2.8077319377228543E-2</v>
      </c>
      <c r="N465" s="332">
        <f>Gasto_o_ing_per_capita!N465-Gasto_o_ing_per_capita!$D465</f>
        <v>-1.0566733409705667E-2</v>
      </c>
      <c r="O465" s="332">
        <f>Gasto_o_ing_per_capita!O465-Gasto_o_ing_per_capita!$D465</f>
        <v>-5.4337105623714653E-2</v>
      </c>
      <c r="P465" s="332">
        <f>Gasto_o_ing_per_capita!P465-Gasto_o_ing_per_capita!$D465</f>
        <v>-1.4923786849177237E-2</v>
      </c>
      <c r="Q465" s="332">
        <f>Gasto_o_ing_per_capita!Q465-Gasto_o_ing_per_capita!$D465</f>
        <v>3.976523321857342E-2</v>
      </c>
      <c r="R465" s="332">
        <f>Gasto_o_ing_per_capita!R465-Gasto_o_ing_per_capita!$D465</f>
        <v>-1.9246713699680382E-2</v>
      </c>
      <c r="S465" s="332">
        <f>Gasto_o_ing_per_capita!S465-Gasto_o_ing_per_capita!$D465</f>
        <v>-2.1100872317225267E-3</v>
      </c>
      <c r="T465" s="332">
        <f>Gasto_o_ing_per_capita!T465-Gasto_o_ing_per_capita!$D465</f>
        <v>1.2069535539268081E-2</v>
      </c>
      <c r="U465" s="332">
        <f>Gasto_o_ing_per_capita!U465-Gasto_o_ing_per_capita!$D465</f>
        <v>-1.541279818319008E-2</v>
      </c>
      <c r="V465" s="332">
        <f>Gasto_o_ing_per_capita!V465-Gasto_o_ing_per_capita!$D465</f>
        <v>-4.1400895185060585E-2</v>
      </c>
    </row>
    <row r="466" spans="1:22" s="102" customFormat="1">
      <c r="A466" s="351" t="str">
        <f>IF(B466="","",(IF(ISERROR(MATCH(B466,Tot_res!C:C,0)),"Eliminar!!!","")))</f>
        <v/>
      </c>
      <c r="B466" s="115" t="s">
        <v>416</v>
      </c>
      <c r="C466" s="329" t="str">
        <f>VLOOKUP(B466,Tot_res!C:D,2,FALSE)</f>
        <v>Coordinación y promoción del turismo + AF24</v>
      </c>
      <c r="D466" s="332">
        <f>Gasto_o_ing_per_capita!D466-Gasto_o_ing_per_capita!$D466</f>
        <v>0</v>
      </c>
      <c r="E466" s="332">
        <f>Gasto_o_ing_per_capita!E466-Gasto_o_ing_per_capita!$D466</f>
        <v>-0.41244696725336194</v>
      </c>
      <c r="F466" s="332">
        <f>Gasto_o_ing_per_capita!F466-Gasto_o_ing_per_capita!$D466</f>
        <v>-0.84475446250536712</v>
      </c>
      <c r="G466" s="332">
        <f>Gasto_o_ing_per_capita!G466-Gasto_o_ing_per_capita!$D466</f>
        <v>-0.80894918993632492</v>
      </c>
      <c r="H466" s="332">
        <f>Gasto_o_ing_per_capita!H466-Gasto_o_ing_per_capita!$D466</f>
        <v>6.393826066112835</v>
      </c>
      <c r="I466" s="332">
        <f>Gasto_o_ing_per_capita!I466-Gasto_o_ing_per_capita!$D466</f>
        <v>3.5450722894667601</v>
      </c>
      <c r="J466" s="332">
        <f>Gasto_o_ing_per_capita!J466-Gasto_o_ing_per_capita!$D466</f>
        <v>-0.82457324735267179</v>
      </c>
      <c r="K466" s="332">
        <f>Gasto_o_ing_per_capita!K466-Gasto_o_ing_per_capita!$D466</f>
        <v>-0.96890122568582371</v>
      </c>
      <c r="L466" s="332">
        <f>Gasto_o_ing_per_capita!L466-Gasto_o_ing_per_capita!$D466</f>
        <v>-1.1247858389830629</v>
      </c>
      <c r="M466" s="332">
        <f>Gasto_o_ing_per_capita!M466-Gasto_o_ing_per_capita!$D466</f>
        <v>0.63410146675354517</v>
      </c>
      <c r="N466" s="332">
        <f>Gasto_o_ing_per_capita!N466-Gasto_o_ing_per_capita!$D466</f>
        <v>-0.41513204476282639</v>
      </c>
      <c r="O466" s="332">
        <f>Gasto_o_ing_per_capita!O466-Gasto_o_ing_per_capita!$D466</f>
        <v>-1.1329179482815319</v>
      </c>
      <c r="P466" s="332">
        <f>Gasto_o_ing_per_capita!P466-Gasto_o_ing_per_capita!$D466</f>
        <v>-2.5056116722611765E-2</v>
      </c>
      <c r="Q466" s="332">
        <f>Gasto_o_ing_per_capita!Q466-Gasto_o_ing_per_capita!$D466</f>
        <v>-0.29432349300748673</v>
      </c>
      <c r="R466" s="332">
        <f>Gasto_o_ing_per_capita!R466-Gasto_o_ing_per_capita!$D466</f>
        <v>-0.88556979942392622</v>
      </c>
      <c r="S466" s="332">
        <f>Gasto_o_ing_per_capita!S466-Gasto_o_ing_per_capita!$D466</f>
        <v>-0.63268210612703646</v>
      </c>
      <c r="T466" s="332">
        <f>Gasto_o_ing_per_capita!T466-Gasto_o_ing_per_capita!$D466</f>
        <v>-0.56892577792017396</v>
      </c>
      <c r="U466" s="332">
        <f>Gasto_o_ing_per_capita!U466-Gasto_o_ing_per_capita!$D466</f>
        <v>-1.0596350464185951</v>
      </c>
      <c r="V466" s="332">
        <f>Gasto_o_ing_per_capita!V466-Gasto_o_ing_per_capita!$D466</f>
        <v>-0.33022349671932449</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Gasto_o_ing_per_capita!D467-Gasto_o_ing_per_capita!$D467</f>
        <v>0</v>
      </c>
      <c r="E467" s="332">
        <f>Gasto_o_ing_per_capita!E467-Gasto_o_ing_per_capita!$D467</f>
        <v>-1.5670132197223885</v>
      </c>
      <c r="F467" s="332">
        <f>Gasto_o_ing_per_capita!F467-Gasto_o_ing_per_capita!$D467</f>
        <v>1.8751867357875907</v>
      </c>
      <c r="G467" s="332">
        <f>Gasto_o_ing_per_capita!G467-Gasto_o_ing_per_capita!$D467</f>
        <v>0.27480678060375041</v>
      </c>
      <c r="H467" s="332">
        <f>Gasto_o_ing_per_capita!H467-Gasto_o_ing_per_capita!$D467</f>
        <v>-1.8372008237984196</v>
      </c>
      <c r="I467" s="332">
        <f>Gasto_o_ing_per_capita!I467-Gasto_o_ing_per_capita!$D467</f>
        <v>-2.0487134124155486</v>
      </c>
      <c r="J467" s="332">
        <f>Gasto_o_ing_per_capita!J467-Gasto_o_ing_per_capita!$D467</f>
        <v>0.58737493787154094</v>
      </c>
      <c r="K467" s="332">
        <f>Gasto_o_ing_per_capita!K467-Gasto_o_ing_per_capita!$D467</f>
        <v>0.63654079283575982</v>
      </c>
      <c r="L467" s="332">
        <f>Gasto_o_ing_per_capita!L467-Gasto_o_ing_per_capita!$D467</f>
        <v>-7.7695078156638342E-2</v>
      </c>
      <c r="M467" s="332">
        <f>Gasto_o_ing_per_capita!M467-Gasto_o_ing_per_capita!$D467</f>
        <v>1.3714468668736459</v>
      </c>
      <c r="N467" s="332">
        <f>Gasto_o_ing_per_capita!N467-Gasto_o_ing_per_capita!$D467</f>
        <v>-0.20944592652083305</v>
      </c>
      <c r="O467" s="332">
        <f>Gasto_o_ing_per_capita!O467-Gasto_o_ing_per_capita!$D467</f>
        <v>-1.4757311709329133</v>
      </c>
      <c r="P467" s="332">
        <f>Gasto_o_ing_per_capita!P467-Gasto_o_ing_per_capita!$D467</f>
        <v>-2.404137850348631E-2</v>
      </c>
      <c r="Q467" s="332">
        <f>Gasto_o_ing_per_capita!Q467-Gasto_o_ing_per_capita!$D467</f>
        <v>-0.56999413695667789</v>
      </c>
      <c r="R467" s="332">
        <f>Gasto_o_ing_per_capita!R467-Gasto_o_ing_per_capita!$D467</f>
        <v>-0.42806876154666851</v>
      </c>
      <c r="S467" s="332">
        <f>Gasto_o_ing_per_capita!S467-Gasto_o_ing_per_capita!$D467</f>
        <v>4.5990051874556617</v>
      </c>
      <c r="T467" s="332">
        <f>Gasto_o_ing_per_capita!T467-Gasto_o_ing_per_capita!$D467</f>
        <v>3.7885480210977485</v>
      </c>
      <c r="U467" s="332">
        <f>Gasto_o_ing_per_capita!U467-Gasto_o_ing_per_capita!$D467</f>
        <v>2.7466702268629173</v>
      </c>
      <c r="V467" s="332">
        <f>Gasto_o_ing_per_capita!V467-Gasto_o_ing_per_capita!$D467</f>
        <v>-2.4753238079694579</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Gasto_o_ing_per_capita!D468-Gasto_o_ing_per_capita!$D468</f>
        <v>0</v>
      </c>
      <c r="E468" s="332">
        <f>Gasto_o_ing_per_capita!E468-Gasto_o_ing_per_capita!$D468</f>
        <v>-0.50598707116253827</v>
      </c>
      <c r="F468" s="332">
        <f>Gasto_o_ing_per_capita!F468-Gasto_o_ing_per_capita!$D468</f>
        <v>0.47090298040430734</v>
      </c>
      <c r="G468" s="332">
        <f>Gasto_o_ing_per_capita!G468-Gasto_o_ing_per_capita!$D468</f>
        <v>-0.47109411252279143</v>
      </c>
      <c r="H468" s="332">
        <f>Gasto_o_ing_per_capita!H468-Gasto_o_ing_per_capita!$D468</f>
        <v>-0.73732428747339429</v>
      </c>
      <c r="I468" s="332">
        <f>Gasto_o_ing_per_capita!I468-Gasto_o_ing_per_capita!$D468</f>
        <v>-0.7346765423972621</v>
      </c>
      <c r="J468" s="332">
        <f>Gasto_o_ing_per_capita!J468-Gasto_o_ing_per_capita!$D468</f>
        <v>0.5722500208267306</v>
      </c>
      <c r="K468" s="332">
        <f>Gasto_o_ing_per_capita!K468-Gasto_o_ing_per_capita!$D468</f>
        <v>-0.57924659332455952</v>
      </c>
      <c r="L468" s="332">
        <f>Gasto_o_ing_per_capita!L468-Gasto_o_ing_per_capita!$D468</f>
        <v>-0.49979596217120065</v>
      </c>
      <c r="M468" s="332">
        <f>Gasto_o_ing_per_capita!M468-Gasto_o_ing_per_capita!$D468</f>
        <v>0.5579712627629575</v>
      </c>
      <c r="N468" s="332">
        <f>Gasto_o_ing_per_capita!N468-Gasto_o_ing_per_capita!$D468</f>
        <v>-0.36555298147388765</v>
      </c>
      <c r="O468" s="332">
        <f>Gasto_o_ing_per_capita!O468-Gasto_o_ing_per_capita!$D468</f>
        <v>-0.74155006222424413</v>
      </c>
      <c r="P468" s="332">
        <f>Gasto_o_ing_per_capita!P468-Gasto_o_ing_per_capita!$D468</f>
        <v>-0.52749173738084398</v>
      </c>
      <c r="Q468" s="332">
        <f>Gasto_o_ing_per_capita!Q468-Gasto_o_ing_per_capita!$D468</f>
        <v>0.90213084776349317</v>
      </c>
      <c r="R468" s="332">
        <f>Gasto_o_ing_per_capita!R468-Gasto_o_ing_per_capita!$D468</f>
        <v>-0.6613896751776005</v>
      </c>
      <c r="S468" s="332">
        <f>Gasto_o_ing_per_capita!S468-Gasto_o_ing_per_capita!$D468</f>
        <v>0.38118252526696261</v>
      </c>
      <c r="T468" s="332">
        <f>Gasto_o_ing_per_capita!T468-Gasto_o_ing_per_capita!$D468</f>
        <v>1.6766685949754008</v>
      </c>
      <c r="U468" s="332">
        <f>Gasto_o_ing_per_capita!U468-Gasto_o_ing_per_capita!$D468</f>
        <v>-0.37298564164765896</v>
      </c>
      <c r="V468" s="332">
        <f>Gasto_o_ing_per_capita!V468-Gasto_o_ing_per_capita!$D468</f>
        <v>-0.75372834310204861</v>
      </c>
    </row>
    <row r="469" spans="1:22" s="102" customFormat="1">
      <c r="A469" s="351" t="str">
        <f>IF(B469="","",(IF(ISERROR(MATCH(B469,Tot_res!C:C,0)),"Eliminar!!!","")))</f>
        <v/>
      </c>
      <c r="B469" s="115" t="s">
        <v>419</v>
      </c>
      <c r="C469" s="329" t="str">
        <f>VLOOKUP(B469,Tot_res!C:D,2,FALSE)</f>
        <v>Innovación tecnológica de las telecomunicaciones</v>
      </c>
      <c r="D469" s="332">
        <f>Gasto_o_ing_per_capita!D469-Gasto_o_ing_per_capita!$D469</f>
        <v>0</v>
      </c>
      <c r="E469" s="332">
        <f>Gasto_o_ing_per_capita!E469-Gasto_o_ing_per_capita!$D469</f>
        <v>-0.36976314268932714</v>
      </c>
      <c r="F469" s="332">
        <f>Gasto_o_ing_per_capita!F469-Gasto_o_ing_per_capita!$D469</f>
        <v>-0.29679494720225208</v>
      </c>
      <c r="G469" s="332">
        <f>Gasto_o_ing_per_capita!G469-Gasto_o_ing_per_capita!$D469</f>
        <v>-0.53644162952584762</v>
      </c>
      <c r="H469" s="332">
        <f>Gasto_o_ing_per_capita!H469-Gasto_o_ing_per_capita!$D469</f>
        <v>-0.44221851020608799</v>
      </c>
      <c r="I469" s="332">
        <f>Gasto_o_ing_per_capita!I469-Gasto_o_ing_per_capita!$D469</f>
        <v>-0.30780107201918261</v>
      </c>
      <c r="J469" s="332">
        <f>Gasto_o_ing_per_capita!J469-Gasto_o_ing_per_capita!$D469</f>
        <v>-0.47219815814578558</v>
      </c>
      <c r="K469" s="332">
        <f>Gasto_o_ing_per_capita!K469-Gasto_o_ing_per_capita!$D469</f>
        <v>-0.39467975013441786</v>
      </c>
      <c r="L469" s="332">
        <f>Gasto_o_ing_per_capita!L469-Gasto_o_ing_per_capita!$D469</f>
        <v>-0.40125415924117902</v>
      </c>
      <c r="M469" s="332">
        <f>Gasto_o_ing_per_capita!M469-Gasto_o_ing_per_capita!$D469</f>
        <v>0.85560911062796663</v>
      </c>
      <c r="N469" s="332">
        <f>Gasto_o_ing_per_capita!N469-Gasto_o_ing_per_capita!$D469</f>
        <v>-0.25100801605793643</v>
      </c>
      <c r="O469" s="332">
        <f>Gasto_o_ing_per_capita!O469-Gasto_o_ing_per_capita!$D469</f>
        <v>-0.49641733281076106</v>
      </c>
      <c r="P469" s="332">
        <f>Gasto_o_ing_per_capita!P469-Gasto_o_ing_per_capita!$D469</f>
        <v>-0.44751013431307146</v>
      </c>
      <c r="Q469" s="332">
        <f>Gasto_o_ing_per_capita!Q469-Gasto_o_ing_per_capita!$D469</f>
        <v>0.56673339752659713</v>
      </c>
      <c r="R469" s="332">
        <f>Gasto_o_ing_per_capita!R469-Gasto_o_ing_per_capita!$D469</f>
        <v>-0.37019549029289051</v>
      </c>
      <c r="S469" s="332">
        <f>Gasto_o_ing_per_capita!S469-Gasto_o_ing_per_capita!$D469</f>
        <v>0.22270319212828427</v>
      </c>
      <c r="T469" s="332">
        <f>Gasto_o_ing_per_capita!T469-Gasto_o_ing_per_capita!$D469</f>
        <v>0.41280352796599473</v>
      </c>
      <c r="U469" s="332">
        <f>Gasto_o_ing_per_capita!U469-Gasto_o_ing_per_capita!$D469</f>
        <v>-0.55072554906888849</v>
      </c>
      <c r="V469" s="332">
        <f>Gasto_o_ing_per_capita!V469-Gasto_o_ing_per_capita!$D469</f>
        <v>-0.57643442644584475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Gasto_o_ing_per_capita!D470-Gasto_o_ing_per_capita!$D470</f>
        <v>0</v>
      </c>
      <c r="E470" s="332">
        <f>Gasto_o_ing_per_capita!E470-Gasto_o_ing_per_capita!$D470</f>
        <v>0</v>
      </c>
      <c r="F470" s="332">
        <f>Gasto_o_ing_per_capita!F470-Gasto_o_ing_per_capita!$D470</f>
        <v>0</v>
      </c>
      <c r="G470" s="332">
        <f>Gasto_o_ing_per_capita!G470-Gasto_o_ing_per_capita!$D470</f>
        <v>0</v>
      </c>
      <c r="H470" s="332">
        <f>Gasto_o_ing_per_capita!H470-Gasto_o_ing_per_capita!$D470</f>
        <v>0</v>
      </c>
      <c r="I470" s="332">
        <f>Gasto_o_ing_per_capita!I470-Gasto_o_ing_per_capita!$D470</f>
        <v>0</v>
      </c>
      <c r="J470" s="332">
        <f>Gasto_o_ing_per_capita!J470-Gasto_o_ing_per_capita!$D470</f>
        <v>0</v>
      </c>
      <c r="K470" s="332">
        <f>Gasto_o_ing_per_capita!K470-Gasto_o_ing_per_capita!$D470</f>
        <v>0</v>
      </c>
      <c r="L470" s="332">
        <f>Gasto_o_ing_per_capita!L470-Gasto_o_ing_per_capita!$D470</f>
        <v>0</v>
      </c>
      <c r="M470" s="332">
        <f>Gasto_o_ing_per_capita!M470-Gasto_o_ing_per_capita!$D470</f>
        <v>0</v>
      </c>
      <c r="N470" s="332">
        <f>Gasto_o_ing_per_capita!N470-Gasto_o_ing_per_capita!$D470</f>
        <v>0</v>
      </c>
      <c r="O470" s="332">
        <f>Gasto_o_ing_per_capita!O470-Gasto_o_ing_per_capita!$D470</f>
        <v>0</v>
      </c>
      <c r="P470" s="332">
        <f>Gasto_o_ing_per_capita!P470-Gasto_o_ing_per_capita!$D470</f>
        <v>0</v>
      </c>
      <c r="Q470" s="332">
        <f>Gasto_o_ing_per_capita!Q470-Gasto_o_ing_per_capita!$D470</f>
        <v>0</v>
      </c>
      <c r="R470" s="332">
        <f>Gasto_o_ing_per_capita!R470-Gasto_o_ing_per_capita!$D470</f>
        <v>0</v>
      </c>
      <c r="S470" s="332">
        <f>Gasto_o_ing_per_capita!S470-Gasto_o_ing_per_capita!$D470</f>
        <v>0</v>
      </c>
      <c r="T470" s="332">
        <f>Gasto_o_ing_per_capita!T470-Gasto_o_ing_per_capita!$D470</f>
        <v>0</v>
      </c>
      <c r="U470" s="332">
        <f>Gasto_o_ing_per_capita!U470-Gasto_o_ing_per_capita!$D470</f>
        <v>0</v>
      </c>
      <c r="V470" s="332">
        <f>Gasto_o_ing_per_capita!V470-Gasto_o_ing_per_capita!$D470</f>
        <v>0</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Gasto_o_ing_per_capita!D471-Gasto_o_ing_per_capita!$D471</f>
        <v>0</v>
      </c>
      <c r="E471" s="332">
        <f>Gasto_o_ing_per_capita!E471-Gasto_o_ing_per_capita!$D471</f>
        <v>-9.8404194873433966</v>
      </c>
      <c r="F471" s="332">
        <f>Gasto_o_ing_per_capita!F471-Gasto_o_ing_per_capita!$D471</f>
        <v>18.912149734045066</v>
      </c>
      <c r="G471" s="332">
        <f>Gasto_o_ing_per_capita!G471-Gasto_o_ing_per_capita!$D471</f>
        <v>41.779368874254821</v>
      </c>
      <c r="H471" s="332">
        <f>Gasto_o_ing_per_capita!H471-Gasto_o_ing_per_capita!$D471</f>
        <v>-4.5918595783230813</v>
      </c>
      <c r="I471" s="332">
        <f>Gasto_o_ing_per_capita!I471-Gasto_o_ing_per_capita!$D471</f>
        <v>-14.184997087957754</v>
      </c>
      <c r="J471" s="332">
        <f>Gasto_o_ing_per_capita!J471-Gasto_o_ing_per_capita!$D471</f>
        <v>17.54098015320691</v>
      </c>
      <c r="K471" s="332">
        <f>Gasto_o_ing_per_capita!K471-Gasto_o_ing_per_capita!$D471</f>
        <v>-3.1734493368052128</v>
      </c>
      <c r="L471" s="332">
        <f>Gasto_o_ing_per_capita!L471-Gasto_o_ing_per_capita!$D471</f>
        <v>-1.2158039569167087</v>
      </c>
      <c r="M471" s="332">
        <f>Gasto_o_ing_per_capita!M471-Gasto_o_ing_per_capita!$D471</f>
        <v>6.1930014578454262</v>
      </c>
      <c r="N471" s="332">
        <f>Gasto_o_ing_per_capita!N471-Gasto_o_ing_per_capita!$D471</f>
        <v>-2.7313625701054747</v>
      </c>
      <c r="O471" s="332">
        <f>Gasto_o_ing_per_capita!O471-Gasto_o_ing_per_capita!$D471</f>
        <v>-15.810824198953618</v>
      </c>
      <c r="P471" s="332">
        <f>Gasto_o_ing_per_capita!P471-Gasto_o_ing_per_capita!$D471</f>
        <v>15.397107742992041</v>
      </c>
      <c r="Q471" s="332">
        <f>Gasto_o_ing_per_capita!Q471-Gasto_o_ing_per_capita!$D471</f>
        <v>-10.318348774977778</v>
      </c>
      <c r="R471" s="332">
        <f>Gasto_o_ing_per_capita!R471-Gasto_o_ing_per_capita!$D471</f>
        <v>3.068595706292399</v>
      </c>
      <c r="S471" s="332">
        <f>Gasto_o_ing_per_capita!S471-Gasto_o_ing_per_capita!$D471</f>
        <v>18.474775812603248</v>
      </c>
      <c r="T471" s="332">
        <f>Gasto_o_ing_per_capita!T471-Gasto_o_ing_per_capita!$D471</f>
        <v>21.496090305180878</v>
      </c>
      <c r="U471" s="332">
        <f>Gasto_o_ing_per_capita!U471-Gasto_o_ing_per_capita!$D471</f>
        <v>-3.325225814041687</v>
      </c>
      <c r="V471" s="332">
        <f>Gasto_o_ing_per_capita!V471-Gasto_o_ing_per_capita!$D471</f>
        <v>-29.809491368690715</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Gasto_o_ing_per_capita!D472-Gasto_o_ing_per_capita!$D472</f>
        <v>0</v>
      </c>
      <c r="E472" s="332">
        <f>Gasto_o_ing_per_capita!E472-Gasto_o_ing_per_capita!$D472</f>
        <v>-2.7755498303145443E-2</v>
      </c>
      <c r="F472" s="332">
        <f>Gasto_o_ing_per_capita!F472-Gasto_o_ing_per_capita!$D472</f>
        <v>1.6858387046187057E-2</v>
      </c>
      <c r="G472" s="332">
        <f>Gasto_o_ing_per_capita!G472-Gasto_o_ing_per_capita!$D472</f>
        <v>1.4482960002446837E-2</v>
      </c>
      <c r="H472" s="332">
        <f>Gasto_o_ing_per_capita!H472-Gasto_o_ing_per_capita!$D472</f>
        <v>9.3188699922240908E-2</v>
      </c>
      <c r="I472" s="332">
        <f>Gasto_o_ing_per_capita!I472-Gasto_o_ing_per_capita!$D472</f>
        <v>-0.11291732376016864</v>
      </c>
      <c r="J472" s="332">
        <f>Gasto_o_ing_per_capita!J472-Gasto_o_ing_per_capita!$D472</f>
        <v>1.6496675475870137E-2</v>
      </c>
      <c r="K472" s="332">
        <f>Gasto_o_ing_per_capita!K472-Gasto_o_ing_per_capita!$D472</f>
        <v>1.4141885659296194E-3</v>
      </c>
      <c r="L472" s="332">
        <f>Gasto_o_ing_per_capita!L472-Gasto_o_ing_per_capita!$D472</f>
        <v>6.3485893555672857E-3</v>
      </c>
      <c r="M472" s="332">
        <f>Gasto_o_ing_per_capita!M472-Gasto_o_ing_per_capita!$D472</f>
        <v>2.4585390365167825E-2</v>
      </c>
      <c r="N472" s="332">
        <f>Gasto_o_ing_per_capita!N472-Gasto_o_ing_per_capita!$D472</f>
        <v>2.0239141299485341E-2</v>
      </c>
      <c r="O472" s="332">
        <f>Gasto_o_ing_per_capita!O472-Gasto_o_ing_per_capita!$D472</f>
        <v>1.4597923634524612E-2</v>
      </c>
      <c r="P472" s="332">
        <f>Gasto_o_ing_per_capita!P472-Gasto_o_ing_per_capita!$D472</f>
        <v>-9.7658687724756221E-3</v>
      </c>
      <c r="Q472" s="332">
        <f>Gasto_o_ing_per_capita!Q472-Gasto_o_ing_per_capita!$D472</f>
        <v>-1.2334680693537631E-2</v>
      </c>
      <c r="R472" s="332">
        <f>Gasto_o_ing_per_capita!R472-Gasto_o_ing_per_capita!$D472</f>
        <v>1.4916713277722121E-2</v>
      </c>
      <c r="S472" s="332">
        <f>Gasto_o_ing_per_capita!S472-Gasto_o_ing_per_capita!$D472</f>
        <v>8.3246648686083141E-2</v>
      </c>
      <c r="T472" s="332">
        <f>Gasto_o_ing_per_capita!T472-Gasto_o_ing_per_capita!$D472</f>
        <v>2.2521233089959097E-2</v>
      </c>
      <c r="U472" s="332">
        <f>Gasto_o_ing_per_capita!U472-Gasto_o_ing_per_capita!$D472</f>
        <v>6.8116780056330373E-3</v>
      </c>
      <c r="V472" s="332">
        <f>Gasto_o_ing_per_capita!V472-Gasto_o_ing_per_capita!$D472</f>
        <v>-0.10842246131883891</v>
      </c>
    </row>
    <row r="473" spans="1:22" s="102" customFormat="1">
      <c r="A473" s="351" t="str">
        <f>IF(B473="","",(IF(ISERROR(MATCH(B473,Tot_res!C:C,0)),"Eliminar!!!","")))</f>
        <v/>
      </c>
      <c r="B473" s="115" t="s">
        <v>423</v>
      </c>
      <c r="C473" s="329" t="str">
        <f>VLOOKUP(B473,Tot_res!C:D,2,FALSE)</f>
        <v>Publicaciones</v>
      </c>
      <c r="D473" s="332">
        <f>Gasto_o_ing_per_capita!D473-Gasto_o_ing_per_capita!$D473</f>
        <v>0</v>
      </c>
      <c r="E473" s="332">
        <f>Gasto_o_ing_per_capita!E473-Gasto_o_ing_per_capita!$D473</f>
        <v>-1.5904965806890943E-3</v>
      </c>
      <c r="F473" s="332">
        <f>Gasto_o_ing_per_capita!F473-Gasto_o_ing_per_capita!$D473</f>
        <v>1.2056165185506543E-3</v>
      </c>
      <c r="G473" s="332">
        <f>Gasto_o_ing_per_capita!G473-Gasto_o_ing_per_capita!$D473</f>
        <v>6.8131401151082412E-4</v>
      </c>
      <c r="H473" s="332">
        <f>Gasto_o_ing_per_capita!H473-Gasto_o_ing_per_capita!$D473</f>
        <v>-1.2757418446648957E-3</v>
      </c>
      <c r="I473" s="332">
        <f>Gasto_o_ing_per_capita!I473-Gasto_o_ing_per_capita!$D473</f>
        <v>-1.9077257691697143E-3</v>
      </c>
      <c r="J473" s="332">
        <f>Gasto_o_ing_per_capita!J473-Gasto_o_ing_per_capita!$D473</f>
        <v>5.2888569825272191E-4</v>
      </c>
      <c r="K473" s="332">
        <f>Gasto_o_ing_per_capita!K473-Gasto_o_ing_per_capita!$D473</f>
        <v>-1.7292975553132549E-5</v>
      </c>
      <c r="L473" s="332">
        <f>Gasto_o_ing_per_capita!L473-Gasto_o_ing_per_capita!$D473</f>
        <v>-7.7742850518318363E-4</v>
      </c>
      <c r="M473" s="332">
        <f>Gasto_o_ing_per_capita!M473-Gasto_o_ing_per_capita!$D473</f>
        <v>1.0237395434677743E-3</v>
      </c>
      <c r="N473" s="332">
        <f>Gasto_o_ing_per_capita!N473-Gasto_o_ing_per_capita!$D473</f>
        <v>-4.720479933172767E-4</v>
      </c>
      <c r="O473" s="332">
        <f>Gasto_o_ing_per_capita!O473-Gasto_o_ing_per_capita!$D473</f>
        <v>-1.7386874943290317E-3</v>
      </c>
      <c r="P473" s="332">
        <f>Gasto_o_ing_per_capita!P473-Gasto_o_ing_per_capita!$D473</f>
        <v>1.3111380773548403E-3</v>
      </c>
      <c r="Q473" s="332">
        <f>Gasto_o_ing_per_capita!Q473-Gasto_o_ing_per_capita!$D473</f>
        <v>-5.0993717360478833E-4</v>
      </c>
      <c r="R473" s="332">
        <f>Gasto_o_ing_per_capita!R473-Gasto_o_ing_per_capita!$D473</f>
        <v>-3.0778512908296533E-4</v>
      </c>
      <c r="S473" s="332">
        <f>Gasto_o_ing_per_capita!S473-Gasto_o_ing_per_capita!$D473</f>
        <v>3.8864125334973614E-3</v>
      </c>
      <c r="T473" s="332">
        <f>Gasto_o_ing_per_capita!T473-Gasto_o_ing_per_capita!$D473</f>
        <v>5.4326444426137793E-3</v>
      </c>
      <c r="U473" s="332">
        <f>Gasto_o_ing_per_capita!U473-Gasto_o_ing_per_capita!$D473</f>
        <v>1.9407792567196413E-3</v>
      </c>
      <c r="V473" s="332">
        <f>Gasto_o_ing_per_capita!V473-Gasto_o_ing_per_capita!$D473</f>
        <v>-2.7987870944540293E-3</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Gasto_o_ing_per_capita!D475-Gasto_o_ing_per_capita!$D475</f>
        <v>0</v>
      </c>
      <c r="E475" s="110">
        <f>Gasto_o_ing_per_capita!E475-Gasto_o_ing_per_capita!$D475</f>
        <v>-706.55645803078369</v>
      </c>
      <c r="F475" s="110">
        <f>Gasto_o_ing_per_capita!F475-Gasto_o_ing_per_capita!$D475</f>
        <v>1084.0462407850737</v>
      </c>
      <c r="G475" s="110">
        <f>Gasto_o_ing_per_capita!G475-Gasto_o_ing_per_capita!$D475</f>
        <v>1884.0960901958697</v>
      </c>
      <c r="H475" s="110">
        <f>Gasto_o_ing_per_capita!H475-Gasto_o_ing_per_capita!$D475</f>
        <v>-566.97713188697344</v>
      </c>
      <c r="I475" s="110">
        <f>Gasto_o_ing_per_capita!I475-Gasto_o_ing_per_capita!$D475</f>
        <v>-235.661241639119</v>
      </c>
      <c r="J475" s="110">
        <f>Gasto_o_ing_per_capita!J475-Gasto_o_ing_per_capita!$D475</f>
        <v>935.96549991539359</v>
      </c>
      <c r="K475" s="110">
        <f>Gasto_o_ing_per_capita!K475-Gasto_o_ing_per_capita!$D475</f>
        <v>1242.5381836996439</v>
      </c>
      <c r="L475" s="110">
        <f>Gasto_o_ing_per_capita!L475-Gasto_o_ing_per_capita!$D475</f>
        <v>-561.02407361450696</v>
      </c>
      <c r="M475" s="110">
        <f>Gasto_o_ing_per_capita!M475-Gasto_o_ing_per_capita!$D475</f>
        <v>39.26518908617345</v>
      </c>
      <c r="N475" s="110">
        <f>Gasto_o_ing_per_capita!N475-Gasto_o_ing_per_capita!$D475</f>
        <v>-1061.5745127782566</v>
      </c>
      <c r="O475" s="110">
        <f>Gasto_o_ing_per_capita!O475-Gasto_o_ing_per_capita!$D475</f>
        <v>516.95990050563705</v>
      </c>
      <c r="P475" s="110">
        <f>Gasto_o_ing_per_capita!P475-Gasto_o_ing_per_capita!$D475</f>
        <v>577.93395235769822</v>
      </c>
      <c r="Q475" s="110">
        <f>Gasto_o_ing_per_capita!Q475-Gasto_o_ing_per_capita!$D475</f>
        <v>-353.62842589502361</v>
      </c>
      <c r="R475" s="110">
        <f>Gasto_o_ing_per_capita!R475-Gasto_o_ing_per_capita!$D475</f>
        <v>-1217.0070346891835</v>
      </c>
      <c r="S475" s="110">
        <f>Gasto_o_ing_per_capita!S475-Gasto_o_ing_per_capita!$D475</f>
        <v>1250.7285217133503</v>
      </c>
      <c r="T475" s="110">
        <f>Gasto_o_ing_per_capita!T475-Gasto_o_ing_per_capita!$D475</f>
        <v>3147.5184217634414</v>
      </c>
      <c r="U475" s="110">
        <f>Gasto_o_ing_per_capita!U475-Gasto_o_ing_per_capita!$D475</f>
        <v>274.21186186792147</v>
      </c>
      <c r="V475" s="110">
        <f>Gasto_o_ing_per_capita!V475-Gasto_o_ing_per_capita!$D475</f>
        <v>1768.14746404984</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Gasto_o_ing_per_capita!D477-Gasto_o_ing_per_capita!$D477</f>
        <v>0</v>
      </c>
      <c r="E477" s="110">
        <f>Gasto_o_ing_per_capita!E477-Gasto_o_ing_per_capita!$D477</f>
        <v>-15.748975637667172</v>
      </c>
      <c r="F477" s="110">
        <f>Gasto_o_ing_per_capita!F477-Gasto_o_ing_per_capita!$D477</f>
        <v>107.87109101376961</v>
      </c>
      <c r="G477" s="110">
        <f>Gasto_o_ing_per_capita!G477-Gasto_o_ing_per_capita!$D477</f>
        <v>260.33831146230796</v>
      </c>
      <c r="H477" s="110">
        <f>Gasto_o_ing_per_capita!H477-Gasto_o_ing_per_capita!$D477</f>
        <v>-139.6379462322783</v>
      </c>
      <c r="I477" s="110">
        <f>Gasto_o_ing_per_capita!I477-Gasto_o_ing_per_capita!$D477</f>
        <v>70.330017165682762</v>
      </c>
      <c r="J477" s="110">
        <f>Gasto_o_ing_per_capita!J477-Gasto_o_ing_per_capita!$D477</f>
        <v>132.78666390965066</v>
      </c>
      <c r="K477" s="110">
        <f>Gasto_o_ing_per_capita!K477-Gasto_o_ing_per_capita!$D477</f>
        <v>159.22098187643303</v>
      </c>
      <c r="L477" s="110">
        <f>Gasto_o_ing_per_capita!L477-Gasto_o_ing_per_capita!$D477</f>
        <v>-16.042909288861665</v>
      </c>
      <c r="M477" s="110">
        <f>Gasto_o_ing_per_capita!M477-Gasto_o_ing_per_capita!$D477</f>
        <v>-19.046647216486917</v>
      </c>
      <c r="N477" s="110">
        <f>Gasto_o_ing_per_capita!N477-Gasto_o_ing_per_capita!$D477</f>
        <v>-74.047454243334414</v>
      </c>
      <c r="O477" s="110">
        <f>Gasto_o_ing_per_capita!O477-Gasto_o_ing_per_capita!$D477</f>
        <v>113.09217369799899</v>
      </c>
      <c r="P477" s="110">
        <f>Gasto_o_ing_per_capita!P477-Gasto_o_ing_per_capita!$D477</f>
        <v>128.66560316935045</v>
      </c>
      <c r="Q477" s="110">
        <f>Gasto_o_ing_per_capita!Q477-Gasto_o_ing_per_capita!$D477</f>
        <v>-86.314354587265939</v>
      </c>
      <c r="R477" s="110">
        <f>Gasto_o_ing_per_capita!R477-Gasto_o_ing_per_capita!$D477</f>
        <v>-76.058079271656766</v>
      </c>
      <c r="S477" s="110">
        <f>Gasto_o_ing_per_capita!S477-Gasto_o_ing_per_capita!$D477</f>
        <v>-154.44443455394116</v>
      </c>
      <c r="T477" s="110">
        <f>Gasto_o_ing_per_capita!T477-Gasto_o_ing_per_capita!$D477</f>
        <v>-13.057302074840095</v>
      </c>
      <c r="U477" s="110">
        <f>Gasto_o_ing_per_capita!U477-Gasto_o_ing_per_capita!$D477</f>
        <v>69.167252166143385</v>
      </c>
      <c r="V477" s="110">
        <f>Gasto_o_ing_per_capita!V477-Gasto_o_ing_per_capita!$D477</f>
        <v>533.41765625931544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Gasto_o_ing_per_capita!D478-Gasto_o_ing_per_capita!$D478</f>
        <v>0</v>
      </c>
      <c r="E478" s="332">
        <f>Gasto_o_ing_per_capita!E478-Gasto_o_ing_per_capita!$D478</f>
        <v>-15.706589627495418</v>
      </c>
      <c r="F478" s="332">
        <f>Gasto_o_ing_per_capita!F478-Gasto_o_ing_per_capita!$D478</f>
        <v>107.58077212153648</v>
      </c>
      <c r="G478" s="332">
        <f>Gasto_o_ing_per_capita!G478-Gasto_o_ing_per_capita!$D478</f>
        <v>259.63764987189234</v>
      </c>
      <c r="H478" s="332">
        <f>Gasto_o_ing_per_capita!H478-Gasto_o_ing_per_capita!$D478</f>
        <v>-139.26213160499606</v>
      </c>
      <c r="I478" s="332">
        <f>Gasto_o_ing_per_capita!I478-Gasto_o_ing_per_capita!$D478</f>
        <v>70.140734453490154</v>
      </c>
      <c r="J478" s="332">
        <f>Gasto_o_ing_per_capita!J478-Gasto_o_ing_per_capita!$D478</f>
        <v>132.42928848304405</v>
      </c>
      <c r="K478" s="332">
        <f>Gasto_o_ing_per_capita!K478-Gasto_o_ing_per_capita!$D478</f>
        <v>158.79246244046362</v>
      </c>
      <c r="L478" s="332">
        <f>Gasto_o_ing_per_capita!L478-Gasto_o_ing_per_capita!$D478</f>
        <v>-15.999732200272092</v>
      </c>
      <c r="M478" s="332">
        <f>Gasto_o_ing_per_capita!M478-Gasto_o_ing_per_capita!$D478</f>
        <v>-18.995386016950533</v>
      </c>
      <c r="N478" s="332">
        <f>Gasto_o_ing_per_capita!N478-Gasto_o_ing_per_capita!$D478</f>
        <v>-73.848166605779511</v>
      </c>
      <c r="O478" s="332">
        <f>Gasto_o_ing_per_capita!O478-Gasto_o_ing_per_capita!$D478</f>
        <v>112.78780304336249</v>
      </c>
      <c r="P478" s="332">
        <f>Gasto_o_ing_per_capita!P478-Gasto_o_ing_per_capita!$D478</f>
        <v>128.31931896076799</v>
      </c>
      <c r="Q478" s="332">
        <f>Gasto_o_ing_per_capita!Q478-Gasto_o_ing_per_capita!$D478</f>
        <v>-86.082052423895675</v>
      </c>
      <c r="R478" s="332">
        <f>Gasto_o_ing_per_capita!R478-Gasto_o_ing_per_capita!$D478</f>
        <v>-75.85338033784592</v>
      </c>
      <c r="S478" s="332">
        <f>Gasto_o_ing_per_capita!S478-Gasto_o_ing_per_capita!$D478</f>
        <v>-154.02877047999982</v>
      </c>
      <c r="T478" s="332">
        <f>Gasto_o_ing_per_capita!T478-Gasto_o_ing_per_capita!$D478</f>
        <v>-13.022160301096051</v>
      </c>
      <c r="U478" s="332">
        <f>Gasto_o_ing_per_capita!U478-Gasto_o_ing_per_capita!$D478</f>
        <v>68.981098861871033</v>
      </c>
      <c r="V478" s="332">
        <f>Gasto_o_ing_per_capita!V478-Gasto_o_ing_per_capita!$D478</f>
        <v>531.98204249470632</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Gasto_o_ing_per_capita!D479-Gasto_o_ing_per_capita!$D479</f>
        <v>0</v>
      </c>
      <c r="E479" s="332">
        <f>Gasto_o_ing_per_capita!E479-Gasto_o_ing_per_capita!$D479</f>
        <v>-4.2386010171624022E-2</v>
      </c>
      <c r="F479" s="332">
        <f>Gasto_o_ing_per_capita!F479-Gasto_o_ing_per_capita!$D479</f>
        <v>0.29031889223311591</v>
      </c>
      <c r="G479" s="332">
        <f>Gasto_o_ing_per_capita!G479-Gasto_o_ing_per_capita!$D479</f>
        <v>0.7006615904156317</v>
      </c>
      <c r="H479" s="332">
        <f>Gasto_o_ing_per_capita!H479-Gasto_o_ing_per_capita!$D479</f>
        <v>-0.37581462728218362</v>
      </c>
      <c r="I479" s="332">
        <f>Gasto_o_ing_per_capita!I479-Gasto_o_ing_per_capita!$D479</f>
        <v>0.18928271219274784</v>
      </c>
      <c r="J479" s="332">
        <f>Gasto_o_ing_per_capita!J479-Gasto_o_ing_per_capita!$D479</f>
        <v>0.35737542660674437</v>
      </c>
      <c r="K479" s="332">
        <f>Gasto_o_ing_per_capita!K479-Gasto_o_ing_per_capita!$D479</f>
        <v>0.42851943596949971</v>
      </c>
      <c r="L479" s="332">
        <f>Gasto_o_ing_per_capita!L479-Gasto_o_ing_per_capita!$D479</f>
        <v>-4.3177088589417156E-2</v>
      </c>
      <c r="M479" s="332">
        <f>Gasto_o_ing_per_capita!M479-Gasto_o_ing_per_capita!$D479</f>
        <v>-5.1261199536208446E-2</v>
      </c>
      <c r="N479" s="332">
        <f>Gasto_o_ing_per_capita!N479-Gasto_o_ing_per_capita!$D479</f>
        <v>-0.19928763755493151</v>
      </c>
      <c r="O479" s="332">
        <f>Gasto_o_ing_per_capita!O479-Gasto_o_ing_per_capita!$D479</f>
        <v>0.30437065463672042</v>
      </c>
      <c r="P479" s="332">
        <f>Gasto_o_ing_per_capita!P479-Gasto_o_ing_per_capita!$D479</f>
        <v>0.34628420858247688</v>
      </c>
      <c r="Q479" s="332">
        <f>Gasto_o_ing_per_capita!Q479-Gasto_o_ing_per_capita!$D479</f>
        <v>-0.23230216337009724</v>
      </c>
      <c r="R479" s="332">
        <f>Gasto_o_ing_per_capita!R479-Gasto_o_ing_per_capita!$D479</f>
        <v>-0.20469893381079474</v>
      </c>
      <c r="S479" s="332">
        <f>Gasto_o_ing_per_capita!S479-Gasto_o_ing_per_capita!$D479</f>
        <v>-0.41566407394124316</v>
      </c>
      <c r="T479" s="332">
        <f>Gasto_o_ing_per_capita!T479-Gasto_o_ing_per_capita!$D479</f>
        <v>-3.5141773743966542E-2</v>
      </c>
      <c r="U479" s="332">
        <f>Gasto_o_ing_per_capita!U479-Gasto_o_ing_per_capita!$D479</f>
        <v>0.18615330427241261</v>
      </c>
      <c r="V479" s="332">
        <f>Gasto_o_ing_per_capita!V479-Gasto_o_ing_per_capita!$D479</f>
        <v>1.4356137646092928</v>
      </c>
    </row>
    <row r="480" spans="1:22">
      <c r="A480" s="352"/>
      <c r="D480" s="19"/>
      <c r="E480" s="19"/>
      <c r="F480" s="19"/>
      <c r="G480" s="19"/>
      <c r="H480" s="19"/>
      <c r="I480" s="19"/>
      <c r="J480" s="19"/>
      <c r="K480" s="19"/>
      <c r="L480" s="19"/>
      <c r="M480" s="19"/>
      <c r="N480" s="19"/>
      <c r="O480" s="19"/>
      <c r="P480" s="19"/>
      <c r="Q480" s="19"/>
      <c r="R480" s="19"/>
      <c r="S480" s="19"/>
      <c r="T480" s="19"/>
      <c r="U480" s="19"/>
      <c r="V480" s="19"/>
    </row>
    <row r="481" spans="1:22" s="102" customFormat="1">
      <c r="A481" s="352"/>
      <c r="C481" s="103" t="s">
        <v>7</v>
      </c>
      <c r="D481" s="110">
        <f>Gasto_o_ing_per_capita!D481-Gasto_o_ing_per_capita!$D481</f>
        <v>0</v>
      </c>
      <c r="E481" s="110">
        <f>Gasto_o_ing_per_capita!E481-Gasto_o_ing_per_capita!$D481</f>
        <v>-722.30543366845177</v>
      </c>
      <c r="F481" s="110">
        <f>Gasto_o_ing_per_capita!F481-Gasto_o_ing_per_capita!$D481</f>
        <v>1191.9173317988425</v>
      </c>
      <c r="G481" s="110">
        <f>Gasto_o_ing_per_capita!G481-Gasto_o_ing_per_capita!$D481</f>
        <v>2144.4344016581763</v>
      </c>
      <c r="H481" s="110">
        <f>Gasto_o_ing_per_capita!H481-Gasto_o_ing_per_capita!$D481</f>
        <v>-706.61507811925276</v>
      </c>
      <c r="I481" s="110">
        <f>Gasto_o_ing_per_capita!I481-Gasto_o_ing_per_capita!$D481</f>
        <v>-165.33122447343703</v>
      </c>
      <c r="J481" s="110">
        <f>Gasto_o_ing_per_capita!J481-Gasto_o_ing_per_capita!$D481</f>
        <v>1068.7521638250437</v>
      </c>
      <c r="K481" s="110">
        <f>Gasto_o_ing_per_capita!K481-Gasto_o_ing_per_capita!$D481</f>
        <v>1401.7591655760771</v>
      </c>
      <c r="L481" s="110">
        <f>Gasto_o_ing_per_capita!L481-Gasto_o_ing_per_capita!$D481</f>
        <v>-577.06698290336863</v>
      </c>
      <c r="M481" s="110">
        <f>Gasto_o_ing_per_capita!M481-Gasto_o_ing_per_capita!$D481</f>
        <v>20.218541869686305</v>
      </c>
      <c r="N481" s="110">
        <f>Gasto_o_ing_per_capita!N481-Gasto_o_ing_per_capita!$D481</f>
        <v>-1135.6219670215914</v>
      </c>
      <c r="O481" s="110">
        <f>Gasto_o_ing_per_capita!O481-Gasto_o_ing_per_capita!$D481</f>
        <v>630.05207420363695</v>
      </c>
      <c r="P481" s="110">
        <f>Gasto_o_ing_per_capita!P481-Gasto_o_ing_per_capita!$D481</f>
        <v>706.59955552704741</v>
      </c>
      <c r="Q481" s="110">
        <f>Gasto_o_ing_per_capita!Q481-Gasto_o_ing_per_capita!$D481</f>
        <v>-439.94278048228989</v>
      </c>
      <c r="R481" s="110">
        <f>Gasto_o_ing_per_capita!R481-Gasto_o_ing_per_capita!$D481</f>
        <v>-1293.0651139608417</v>
      </c>
      <c r="S481" s="110">
        <f>Gasto_o_ing_per_capita!S481-Gasto_o_ing_per_capita!$D481</f>
        <v>1096.284087159409</v>
      </c>
      <c r="T481" s="110">
        <f>Gasto_o_ing_per_capita!T481-Gasto_o_ing_per_capita!$D481</f>
        <v>3134.4611196885999</v>
      </c>
      <c r="U481" s="110">
        <f>Gasto_o_ing_per_capita!U481-Gasto_o_ing_per_capita!$D481</f>
        <v>343.37911403406542</v>
      </c>
      <c r="V481" s="110">
        <f>Gasto_o_ing_per_capita!V481-Gasto_o_ing_per_capita!$D481</f>
        <v>2301.5651203091547</v>
      </c>
    </row>
    <row r="482" spans="1:22" s="102" customFormat="1">
      <c r="A482" s="352"/>
      <c r="C482" s="103" t="s">
        <v>80</v>
      </c>
      <c r="D482" s="110">
        <f>Gasto_o_ing_per_capita!D482-Gasto_o_ing_per_capita!$D482</f>
        <v>0</v>
      </c>
      <c r="E482" s="110">
        <f>Gasto_o_ing_per_capita!E482-Gasto_o_ing_per_capita!$D482</f>
        <v>-760.31254764034838</v>
      </c>
      <c r="F482" s="110">
        <f>Gasto_o_ing_per_capita!F482-Gasto_o_ing_per_capita!$D482</f>
        <v>1128.9331482026228</v>
      </c>
      <c r="G482" s="110">
        <f>Gasto_o_ing_per_capita!G482-Gasto_o_ing_per_capita!$D482</f>
        <v>2086.3866961197145</v>
      </c>
      <c r="H482" s="110">
        <f>Gasto_o_ing_per_capita!H482-Gasto_o_ing_per_capita!$D482</f>
        <v>-852.37584313985826</v>
      </c>
      <c r="I482" s="110">
        <f>Gasto_o_ing_per_capita!I482-Gasto_o_ing_per_capita!$D482</f>
        <v>-179.74616268744285</v>
      </c>
      <c r="J482" s="110">
        <f>Gasto_o_ing_per_capita!J482-Gasto_o_ing_per_capita!$D482</f>
        <v>1036.249836098732</v>
      </c>
      <c r="K482" s="110">
        <f>Gasto_o_ing_per_capita!K482-Gasto_o_ing_per_capita!$D482</f>
        <v>1371.0633363671623</v>
      </c>
      <c r="L482" s="110">
        <f>Gasto_o_ing_per_capita!L482-Gasto_o_ing_per_capita!$D482</f>
        <v>-553.3747970684326</v>
      </c>
      <c r="M482" s="110">
        <f>Gasto_o_ing_per_capita!M482-Gasto_o_ing_per_capita!$D482</f>
        <v>-62.705933654766341</v>
      </c>
      <c r="N482" s="110">
        <f>Gasto_o_ing_per_capita!N482-Gasto_o_ing_per_capita!$D482</f>
        <v>-1209.9764013231688</v>
      </c>
      <c r="O482" s="110">
        <f>Gasto_o_ing_per_capita!O482-Gasto_o_ing_per_capita!$D482</f>
        <v>513.7102770660058</v>
      </c>
      <c r="P482" s="110">
        <f>Gasto_o_ing_per_capita!P482-Gasto_o_ing_per_capita!$D482</f>
        <v>645.80309601618683</v>
      </c>
      <c r="Q482" s="110">
        <f>Gasto_o_ing_per_capita!Q482-Gasto_o_ing_per_capita!$D482</f>
        <v>-332.01836137197824</v>
      </c>
      <c r="R482" s="110">
        <f>Gasto_o_ing_per_capita!R482-Gasto_o_ing_per_capita!$D482</f>
        <v>-1376.7066545583621</v>
      </c>
      <c r="S482" s="110">
        <f>Gasto_o_ing_per_capita!S482-Gasto_o_ing_per_capita!$D482</f>
        <v>1809.0196228321111</v>
      </c>
      <c r="T482" s="110">
        <f>Gasto_o_ing_per_capita!T482-Gasto_o_ing_per_capita!$D482</f>
        <v>3574.5733140059347</v>
      </c>
      <c r="U482" s="110">
        <f>Gasto_o_ing_per_capita!U482-Gasto_o_ing_per_capita!$D482</f>
        <v>315.23427252616239</v>
      </c>
      <c r="V482" s="110">
        <f>Gasto_o_ing_per_capita!V482-Gasto_o_ing_per_capita!$D482</f>
        <v>2335.5209101898035</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1" t="s">
        <v>85</v>
      </c>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-Gasto_o_ing_per_capita!D492+Gasto_o_ing_per_capita!$D492</f>
        <v>0</v>
      </c>
      <c r="E492" s="110">
        <f>-Gasto_o_ing_per_capita!E492+Gasto_o_ing_per_capita!$D492</f>
        <v>991.39165142334969</v>
      </c>
      <c r="F492" s="110">
        <f>-Gasto_o_ing_per_capita!F492+Gasto_o_ing_per_capita!$D492</f>
        <v>-190.60666420413418</v>
      </c>
      <c r="G492" s="110">
        <f>-Gasto_o_ing_per_capita!G492+Gasto_o_ing_per_capita!$D492</f>
        <v>-81.048151556161429</v>
      </c>
      <c r="H492" s="110">
        <f>-Gasto_o_ing_per_capita!H492+Gasto_o_ing_per_capita!$D492</f>
        <v>-113.54332190290552</v>
      </c>
      <c r="I492" s="110">
        <f>-Gasto_o_ing_per_capita!I492+Gasto_o_ing_per_capita!$D492</f>
        <v>994.97052541840321</v>
      </c>
      <c r="J492" s="110">
        <f>-Gasto_o_ing_per_capita!J492+Gasto_o_ing_per_capita!$D492</f>
        <v>-26.931094806518558</v>
      </c>
      <c r="K492" s="110">
        <f>-Gasto_o_ing_per_capita!K492+Gasto_o_ing_per_capita!$D492</f>
        <v>273.57550684293028</v>
      </c>
      <c r="L492" s="110">
        <f>-Gasto_o_ing_per_capita!L492+Gasto_o_ing_per_capita!$D492</f>
        <v>924.57524770951613</v>
      </c>
      <c r="M492" s="110">
        <f>-Gasto_o_ing_per_capita!M492+Gasto_o_ing_per_capita!$D492</f>
        <v>-663.0957765603589</v>
      </c>
      <c r="N492" s="110">
        <f>-Gasto_o_ing_per_capita!N492+Gasto_o_ing_per_capita!$D492</f>
        <v>514.48648506977952</v>
      </c>
      <c r="O492" s="110">
        <f>-Gasto_o_ing_per_capita!O492+Gasto_o_ing_per_capita!$D492</f>
        <v>1253.779479908264</v>
      </c>
      <c r="P492" s="110">
        <f>-Gasto_o_ing_per_capita!P492+Gasto_o_ing_per_capita!$D492</f>
        <v>391.47314501949813</v>
      </c>
      <c r="Q492" s="110">
        <f>-Gasto_o_ing_per_capita!Q492+Gasto_o_ing_per_capita!$D492</f>
        <v>-1752.2290210043275</v>
      </c>
      <c r="R492" s="110">
        <f>-Gasto_o_ing_per_capita!R492+Gasto_o_ing_per_capita!$D492</f>
        <v>909.15437662689692</v>
      </c>
      <c r="S492" s="110">
        <f>-Gasto_o_ing_per_capita!S492+Gasto_o_ing_per_capita!$D492</f>
        <v>-748.1616940432823</v>
      </c>
      <c r="T492" s="110">
        <f>-Gasto_o_ing_per_capita!T492+Gasto_o_ing_per_capita!$D492</f>
        <v>-1058.7235545302483</v>
      </c>
      <c r="U492" s="110">
        <f>-Gasto_o_ing_per_capita!U492+Gasto_o_ing_per_capita!$D492</f>
        <v>18.039233081498423</v>
      </c>
      <c r="V492" s="110">
        <f>-Gasto_o_ing_per_capita!V492+Gasto_o_ing_per_capita!$D492</f>
        <v>1084.5452868716998</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0">
        <f>-Gasto_o_ing_per_capita!D494+Gasto_o_ing_per_capita!$D494</f>
        <v>0</v>
      </c>
      <c r="E494" s="110">
        <f>-Gasto_o_ing_per_capita!E494+Gasto_o_ing_per_capita!$D494</f>
        <v>796.52478106977287</v>
      </c>
      <c r="F494" s="110">
        <f>-Gasto_o_ing_per_capita!F494+Gasto_o_ing_per_capita!$D494</f>
        <v>-167.1116623959997</v>
      </c>
      <c r="G494" s="110">
        <f>-Gasto_o_ing_per_capita!G494+Gasto_o_ing_per_capita!$D494</f>
        <v>-103.03585393373396</v>
      </c>
      <c r="H494" s="110">
        <f>-Gasto_o_ing_per_capita!H494+Gasto_o_ing_per_capita!$D494</f>
        <v>15.470857239749421</v>
      </c>
      <c r="I494" s="110">
        <f>-Gasto_o_ing_per_capita!I494+Gasto_o_ing_per_capita!$D494</f>
        <v>653.54416123250485</v>
      </c>
      <c r="J494" s="110">
        <f>-Gasto_o_ing_per_capita!J494+Gasto_o_ing_per_capita!$D494</f>
        <v>-22.705836502893817</v>
      </c>
      <c r="K494" s="110">
        <f>-Gasto_o_ing_per_capita!K494+Gasto_o_ing_per_capita!$D494</f>
        <v>178.07786533141234</v>
      </c>
      <c r="L494" s="110">
        <f>-Gasto_o_ing_per_capita!L494+Gasto_o_ing_per_capita!$D494</f>
        <v>704.74100394357902</v>
      </c>
      <c r="M494" s="110">
        <f>-Gasto_o_ing_per_capita!M494+Gasto_o_ing_per_capita!$D494</f>
        <v>-484.74743413124907</v>
      </c>
      <c r="N494" s="110">
        <f>-Gasto_o_ing_per_capita!N494+Gasto_o_ing_per_capita!$D494</f>
        <v>423.82036403517941</v>
      </c>
      <c r="O494" s="110">
        <f>-Gasto_o_ing_per_capita!O494+Gasto_o_ing_per_capita!$D494</f>
        <v>904.73102822949272</v>
      </c>
      <c r="P494" s="110">
        <f>-Gasto_o_ing_per_capita!P494+Gasto_o_ing_per_capita!$D494</f>
        <v>315.80250812714462</v>
      </c>
      <c r="Q494" s="110">
        <f>-Gasto_o_ing_per_capita!Q494+Gasto_o_ing_per_capita!$D494</f>
        <v>-1381.4212280696024</v>
      </c>
      <c r="R494" s="110">
        <f>-Gasto_o_ing_per_capita!R494+Gasto_o_ing_per_capita!$D494</f>
        <v>724.19708915646629</v>
      </c>
      <c r="S494" s="110">
        <f>-Gasto_o_ing_per_capita!S494+Gasto_o_ing_per_capita!$D494</f>
        <v>-594.64919565415994</v>
      </c>
      <c r="T494" s="110">
        <f>-Gasto_o_ing_per_capita!T494+Gasto_o_ing_per_capita!$D494</f>
        <v>-857.48389870125311</v>
      </c>
      <c r="U494" s="110">
        <f>-Gasto_o_ing_per_capita!U494+Gasto_o_ing_per_capita!$D494</f>
        <v>-19.618506224830071</v>
      </c>
      <c r="V494" s="110">
        <f>-Gasto_o_ing_per_capita!V494+Gasto_o_ing_per_capita!$D494</f>
        <v>796.5631951298235</v>
      </c>
    </row>
    <row r="495" spans="1:22" s="102" customFormat="1">
      <c r="A495" s="351" t="str">
        <f>IF(B495="","",(IF(ISERROR(MATCH(B495,Tot_res!C:C,0)),"Eliminar!!!","")))</f>
        <v/>
      </c>
      <c r="B495" s="102" t="s">
        <v>427</v>
      </c>
      <c r="C495" s="329" t="str">
        <f>VLOOKUP(B495,Tot_res!C:D,2,FALSE)</f>
        <v>IRPF, ingresos homogeneizados</v>
      </c>
      <c r="D495" s="332">
        <f>-Gasto_o_ing_per_capita!D495+Gasto_o_ing_per_capita!$D495</f>
        <v>0</v>
      </c>
      <c r="E495" s="332">
        <f>-Gasto_o_ing_per_capita!E495+Gasto_o_ing_per_capita!$D495</f>
        <v>654.74808474670613</v>
      </c>
      <c r="F495" s="332">
        <f>-Gasto_o_ing_per_capita!F495+Gasto_o_ing_per_capita!$D495</f>
        <v>-112.76035354061946</v>
      </c>
      <c r="G495" s="332">
        <f>-Gasto_o_ing_per_capita!G495+Gasto_o_ing_per_capita!$D495</f>
        <v>-90.557307988669663</v>
      </c>
      <c r="H495" s="332">
        <f>-Gasto_o_ing_per_capita!H495+Gasto_o_ing_per_capita!$D495</f>
        <v>18.810827190878626</v>
      </c>
      <c r="I495" s="332">
        <f>-Gasto_o_ing_per_capita!I495+Gasto_o_ing_per_capita!$D495</f>
        <v>533.35557859713276</v>
      </c>
      <c r="J495" s="332">
        <f>-Gasto_o_ing_per_capita!J495+Gasto_o_ing_per_capita!$D495</f>
        <v>33.286351321689835</v>
      </c>
      <c r="K495" s="332">
        <f>-Gasto_o_ing_per_capita!K495+Gasto_o_ing_per_capita!$D495</f>
        <v>152.44945231456654</v>
      </c>
      <c r="L495" s="332">
        <f>-Gasto_o_ing_per_capita!L495+Gasto_o_ing_per_capita!$D495</f>
        <v>569.96661650955411</v>
      </c>
      <c r="M495" s="332">
        <f>-Gasto_o_ing_per_capita!M495+Gasto_o_ing_per_capita!$D495</f>
        <v>-404.85947185357645</v>
      </c>
      <c r="N495" s="332">
        <f>-Gasto_o_ing_per_capita!N495+Gasto_o_ing_per_capita!$D495</f>
        <v>370.7402855854175</v>
      </c>
      <c r="O495" s="332">
        <f>-Gasto_o_ing_per_capita!O495+Gasto_o_ing_per_capita!$D495</f>
        <v>736.04699348508734</v>
      </c>
      <c r="P495" s="332">
        <f>-Gasto_o_ing_per_capita!P495+Gasto_o_ing_per_capita!$D495</f>
        <v>295.21022586385743</v>
      </c>
      <c r="Q495" s="332">
        <f>-Gasto_o_ing_per_capita!Q495+Gasto_o_ing_per_capita!$D495</f>
        <v>-1177.1746595468476</v>
      </c>
      <c r="R495" s="332">
        <f>-Gasto_o_ing_per_capita!R495+Gasto_o_ing_per_capita!$D495</f>
        <v>598.26471811678311</v>
      </c>
      <c r="S495" s="332">
        <f>-Gasto_o_ing_per_capita!S495+Gasto_o_ing_per_capita!$D495</f>
        <v>-481.24935352624061</v>
      </c>
      <c r="T495" s="332">
        <f>-Gasto_o_ing_per_capita!T495+Gasto_o_ing_per_capita!$D495</f>
        <v>-688.61208948201556</v>
      </c>
      <c r="U495" s="332">
        <f>-Gasto_o_ing_per_capita!U495+Gasto_o_ing_per_capita!$D495</f>
        <v>18.403998009747511</v>
      </c>
      <c r="V495" s="332">
        <f>-Gasto_o_ing_per_capita!V495+Gasto_o_ing_per_capita!$D495</f>
        <v>705.7620252305893</v>
      </c>
    </row>
    <row r="496" spans="1:22" s="102" customFormat="1">
      <c r="A496" s="351" t="str">
        <f>IF(B496="","",(IF(ISERROR(MATCH(B496,Tot_res!C:C,0)),"Eliminar!!!","")))</f>
        <v/>
      </c>
      <c r="B496" s="102" t="s">
        <v>428</v>
      </c>
      <c r="C496" s="329" t="str">
        <f>VLOOKUP(B496,Tot_res!C:D,2,FALSE)</f>
        <v>Impuesto sobre sociedades, ingresos homogéneos</v>
      </c>
      <c r="D496" s="332">
        <f>-Gasto_o_ing_per_capita!D496+Gasto_o_ing_per_capita!$D496</f>
        <v>0</v>
      </c>
      <c r="E496" s="332">
        <f>-Gasto_o_ing_per_capita!E496+Gasto_o_ing_per_capita!$D496</f>
        <v>123.14445965508173</v>
      </c>
      <c r="F496" s="332">
        <f>-Gasto_o_ing_per_capita!F496+Gasto_o_ing_per_capita!$D496</f>
        <v>-35.533425953944231</v>
      </c>
      <c r="G496" s="332">
        <f>-Gasto_o_ing_per_capita!G496+Gasto_o_ing_per_capita!$D496</f>
        <v>12.261546683970494</v>
      </c>
      <c r="H496" s="332">
        <f>-Gasto_o_ing_per_capita!H496+Gasto_o_ing_per_capita!$D496</f>
        <v>-11.891907769132786</v>
      </c>
      <c r="I496" s="332">
        <f>-Gasto_o_ing_per_capita!I496+Gasto_o_ing_per_capita!$D496</f>
        <v>95.955447355278181</v>
      </c>
      <c r="J496" s="332">
        <f>-Gasto_o_ing_per_capita!J496+Gasto_o_ing_per_capita!$D496</f>
        <v>-35.277972808387517</v>
      </c>
      <c r="K496" s="332">
        <f>-Gasto_o_ing_per_capita!K496+Gasto_o_ing_per_capita!$D496</f>
        <v>40.195395849863871</v>
      </c>
      <c r="L496" s="332">
        <f>-Gasto_o_ing_per_capita!L496+Gasto_o_ing_per_capita!$D496</f>
        <v>121.07100585557555</v>
      </c>
      <c r="M496" s="332">
        <f>-Gasto_o_ing_per_capita!M496+Gasto_o_ing_per_capita!$D496</f>
        <v>-74.239458906811876</v>
      </c>
      <c r="N496" s="332">
        <f>-Gasto_o_ing_per_capita!N496+Gasto_o_ing_per_capita!$D496</f>
        <v>46.875706377776964</v>
      </c>
      <c r="O496" s="332">
        <f>-Gasto_o_ing_per_capita!O496+Gasto_o_ing_per_capita!$D496</f>
        <v>157.85921423913521</v>
      </c>
      <c r="P496" s="332">
        <f>-Gasto_o_ing_per_capita!P496+Gasto_o_ing_per_capita!$D496</f>
        <v>35.267318220148866</v>
      </c>
      <c r="Q496" s="332">
        <f>-Gasto_o_ing_per_capita!Q496+Gasto_o_ing_per_capita!$D496</f>
        <v>-192.42979660193851</v>
      </c>
      <c r="R496" s="332">
        <f>-Gasto_o_ing_per_capita!R496+Gasto_o_ing_per_capita!$D496</f>
        <v>103.52719251469</v>
      </c>
      <c r="S496" s="332">
        <f>-Gasto_o_ing_per_capita!S496+Gasto_o_ing_per_capita!$D496</f>
        <v>-100.16175541564371</v>
      </c>
      <c r="T496" s="332">
        <f>-Gasto_o_ing_per_capita!T496+Gasto_o_ing_per_capita!$D496</f>
        <v>-144.17032348307009</v>
      </c>
      <c r="U496" s="332">
        <f>-Gasto_o_ing_per_capita!U496+Gasto_o_ing_per_capita!$D496</f>
        <v>-27.155157058926989</v>
      </c>
      <c r="V496" s="332">
        <f>-Gasto_o_ing_per_capita!V496+Gasto_o_ing_per_capita!$D496</f>
        <v>71.959779061703273</v>
      </c>
    </row>
    <row r="497" spans="1:22" s="102" customFormat="1">
      <c r="A497" s="351" t="str">
        <f>IF(B497="","",(IF(ISERROR(MATCH(B497,Tot_res!C:C,0)),"Eliminar!!!","")))</f>
        <v/>
      </c>
      <c r="B497" s="102" t="s">
        <v>429</v>
      </c>
      <c r="C497" s="329" t="str">
        <f>VLOOKUP(B497,Tot_res!C:D,2,FALSE)</f>
        <v>Impuesto sobre la renta de no residentes</v>
      </c>
      <c r="D497" s="332">
        <f>-Gasto_o_ing_per_capita!D497+Gasto_o_ing_per_capita!$D497</f>
        <v>0</v>
      </c>
      <c r="E497" s="332">
        <f>-Gasto_o_ing_per_capita!E497+Gasto_o_ing_per_capita!$D497</f>
        <v>0</v>
      </c>
      <c r="F497" s="332">
        <f>-Gasto_o_ing_per_capita!F497+Gasto_o_ing_per_capita!$D497</f>
        <v>0</v>
      </c>
      <c r="G497" s="332">
        <f>-Gasto_o_ing_per_capita!G497+Gasto_o_ing_per_capita!$D497</f>
        <v>0</v>
      </c>
      <c r="H497" s="332">
        <f>-Gasto_o_ing_per_capita!H497+Gasto_o_ing_per_capita!$D497</f>
        <v>0</v>
      </c>
      <c r="I497" s="332">
        <f>-Gasto_o_ing_per_capita!I497+Gasto_o_ing_per_capita!$D497</f>
        <v>0</v>
      </c>
      <c r="J497" s="332">
        <f>-Gasto_o_ing_per_capita!J497+Gasto_o_ing_per_capita!$D497</f>
        <v>0</v>
      </c>
      <c r="K497" s="332">
        <f>-Gasto_o_ing_per_capita!K497+Gasto_o_ing_per_capita!$D497</f>
        <v>0</v>
      </c>
      <c r="L497" s="332">
        <f>-Gasto_o_ing_per_capita!L497+Gasto_o_ing_per_capita!$D497</f>
        <v>0</v>
      </c>
      <c r="M497" s="332">
        <f>-Gasto_o_ing_per_capita!M497+Gasto_o_ing_per_capita!$D497</f>
        <v>0</v>
      </c>
      <c r="N497" s="332">
        <f>-Gasto_o_ing_per_capita!N497+Gasto_o_ing_per_capita!$D497</f>
        <v>0</v>
      </c>
      <c r="O497" s="332">
        <f>-Gasto_o_ing_per_capita!O497+Gasto_o_ing_per_capita!$D497</f>
        <v>0</v>
      </c>
      <c r="P497" s="332">
        <f>-Gasto_o_ing_per_capita!P497+Gasto_o_ing_per_capita!$D497</f>
        <v>0</v>
      </c>
      <c r="Q497" s="332">
        <f>-Gasto_o_ing_per_capita!Q497+Gasto_o_ing_per_capita!$D497</f>
        <v>0</v>
      </c>
      <c r="R497" s="332">
        <f>-Gasto_o_ing_per_capita!R497+Gasto_o_ing_per_capita!$D497</f>
        <v>0</v>
      </c>
      <c r="S497" s="332">
        <f>-Gasto_o_ing_per_capita!S497+Gasto_o_ing_per_capita!$D497</f>
        <v>0</v>
      </c>
      <c r="T497" s="332">
        <f>-Gasto_o_ing_per_capita!T497+Gasto_o_ing_per_capita!$D497</f>
        <v>0</v>
      </c>
      <c r="U497" s="332">
        <f>-Gasto_o_ing_per_capita!U497+Gasto_o_ing_per_capita!$D497</f>
        <v>0</v>
      </c>
      <c r="V497" s="332">
        <f>-Gasto_o_ing_per_capita!V497+Gasto_o_ing_per_capita!$D497</f>
        <v>0</v>
      </c>
    </row>
    <row r="498" spans="1:22" s="102" customFormat="1">
      <c r="A498" s="351" t="str">
        <f>IF(B498="","",(IF(ISERROR(MATCH(B498,Tot_res!C:C,0)),"Eliminar!!!","")))</f>
        <v/>
      </c>
      <c r="B498" s="102" t="s">
        <v>431</v>
      </c>
      <c r="C498" s="329" t="str">
        <f>VLOOKUP(B498,Tot_res!C:D,2,FALSE)</f>
        <v>Impuesto sobre sucesiones y donaciones, ing. homog.</v>
      </c>
      <c r="D498" s="332">
        <f>-Gasto_o_ing_per_capita!D498+Gasto_o_ing_per_capita!$D498</f>
        <v>0</v>
      </c>
      <c r="E498" s="332">
        <f>-Gasto_o_ing_per_capita!E498+Gasto_o_ing_per_capita!$D498</f>
        <v>13.614123208536405</v>
      </c>
      <c r="F498" s="332">
        <f>-Gasto_o_ing_per_capita!F498+Gasto_o_ing_per_capita!$D498</f>
        <v>-19.213697109125398</v>
      </c>
      <c r="G498" s="332">
        <f>-Gasto_o_ing_per_capita!G498+Gasto_o_ing_per_capita!$D498</f>
        <v>-24.805081080398189</v>
      </c>
      <c r="H498" s="332">
        <f>-Gasto_o_ing_per_capita!H498+Gasto_o_ing_per_capita!$D498</f>
        <v>9.9352548239093181</v>
      </c>
      <c r="I498" s="332">
        <f>-Gasto_o_ing_per_capita!I498+Gasto_o_ing_per_capita!$D498</f>
        <v>18.614095867717865</v>
      </c>
      <c r="J498" s="332">
        <f>-Gasto_o_ing_per_capita!J498+Gasto_o_ing_per_capita!$D498</f>
        <v>-19.775570991041967</v>
      </c>
      <c r="K498" s="332">
        <f>-Gasto_o_ing_per_capita!K498+Gasto_o_ing_per_capita!$D498</f>
        <v>-16.236422337707303</v>
      </c>
      <c r="L498" s="332">
        <f>-Gasto_o_ing_per_capita!L498+Gasto_o_ing_per_capita!$D498</f>
        <v>7.9663238302608903</v>
      </c>
      <c r="M498" s="332">
        <f>-Gasto_o_ing_per_capita!M498+Gasto_o_ing_per_capita!$D498</f>
        <v>-2.5586754454115237</v>
      </c>
      <c r="N498" s="332">
        <f>-Gasto_o_ing_per_capita!N498+Gasto_o_ing_per_capita!$D498</f>
        <v>4.3870215153122771</v>
      </c>
      <c r="O498" s="332">
        <f>-Gasto_o_ing_per_capita!O498+Gasto_o_ing_per_capita!$D498</f>
        <v>4.2491486168203565</v>
      </c>
      <c r="P498" s="332">
        <f>-Gasto_o_ing_per_capita!P498+Gasto_o_ing_per_capita!$D498</f>
        <v>-16.495054999917137</v>
      </c>
      <c r="Q498" s="332">
        <f>-Gasto_o_ing_per_capita!Q498+Gasto_o_ing_per_capita!$D498</f>
        <v>-1.6059940157734758</v>
      </c>
      <c r="R498" s="332">
        <f>-Gasto_o_ing_per_capita!R498+Gasto_o_ing_per_capita!$D498</f>
        <v>17.053135879144556</v>
      </c>
      <c r="S498" s="332">
        <f>-Gasto_o_ing_per_capita!S498+Gasto_o_ing_per_capita!$D498</f>
        <v>-11.680109584481649</v>
      </c>
      <c r="T498" s="332">
        <f>-Gasto_o_ing_per_capita!T498+Gasto_o_ing_per_capita!$D498</f>
        <v>-20.690819288330751</v>
      </c>
      <c r="U498" s="332">
        <f>-Gasto_o_ing_per_capita!U498+Gasto_o_ing_per_capita!$D498</f>
        <v>-11.501593722313338</v>
      </c>
      <c r="V498" s="332">
        <f>-Gasto_o_ing_per_capita!V498+Gasto_o_ing_per_capita!$D498</f>
        <v>13.027774193212693</v>
      </c>
    </row>
    <row r="499" spans="1:22" s="102" customFormat="1">
      <c r="A499" s="351" t="str">
        <f>IF(B499="","",(IF(ISERROR(MATCH(B499,Tot_res!C:C,0)),"Eliminar!!!","")))</f>
        <v/>
      </c>
      <c r="B499" s="102" t="s">
        <v>650</v>
      </c>
      <c r="C499" s="329" t="str">
        <f>VLOOKUP(B499,Tot_res!C:D,2,FALSE)</f>
        <v>Impuesto sobre el patrimonio, recaudación real</v>
      </c>
      <c r="D499" s="332">
        <f>-Gasto_o_ing_per_capita!D499+Gasto_o_ing_per_capita!$D499</f>
        <v>0</v>
      </c>
      <c r="E499" s="332">
        <f>-Gasto_o_ing_per_capita!E499+Gasto_o_ing_per_capita!$D499</f>
        <v>0</v>
      </c>
      <c r="F499" s="332">
        <f>-Gasto_o_ing_per_capita!F499+Gasto_o_ing_per_capita!$D499</f>
        <v>0</v>
      </c>
      <c r="G499" s="332">
        <f>-Gasto_o_ing_per_capita!G499+Gasto_o_ing_per_capita!$D499</f>
        <v>0</v>
      </c>
      <c r="H499" s="332">
        <f>-Gasto_o_ing_per_capita!H499+Gasto_o_ing_per_capita!$D499</f>
        <v>0</v>
      </c>
      <c r="I499" s="332">
        <f>-Gasto_o_ing_per_capita!I499+Gasto_o_ing_per_capita!$D499</f>
        <v>0</v>
      </c>
      <c r="J499" s="332">
        <f>-Gasto_o_ing_per_capita!J499+Gasto_o_ing_per_capita!$D499</f>
        <v>0</v>
      </c>
      <c r="K499" s="332">
        <f>-Gasto_o_ing_per_capita!K499+Gasto_o_ing_per_capita!$D499</f>
        <v>0</v>
      </c>
      <c r="L499" s="332">
        <f>-Gasto_o_ing_per_capita!L499+Gasto_o_ing_per_capita!$D499</f>
        <v>0</v>
      </c>
      <c r="M499" s="332">
        <f>-Gasto_o_ing_per_capita!M499+Gasto_o_ing_per_capita!$D499</f>
        <v>0</v>
      </c>
      <c r="N499" s="332">
        <f>-Gasto_o_ing_per_capita!N499+Gasto_o_ing_per_capita!$D499</f>
        <v>0</v>
      </c>
      <c r="O499" s="332">
        <f>-Gasto_o_ing_per_capita!O499+Gasto_o_ing_per_capita!$D499</f>
        <v>0</v>
      </c>
      <c r="P499" s="332">
        <f>-Gasto_o_ing_per_capita!P499+Gasto_o_ing_per_capita!$D499</f>
        <v>0</v>
      </c>
      <c r="Q499" s="332">
        <f>-Gasto_o_ing_per_capita!Q499+Gasto_o_ing_per_capita!$D499</f>
        <v>0</v>
      </c>
      <c r="R499" s="332">
        <f>-Gasto_o_ing_per_capita!R499+Gasto_o_ing_per_capita!$D499</f>
        <v>0</v>
      </c>
      <c r="S499" s="332">
        <f>-Gasto_o_ing_per_capita!S499+Gasto_o_ing_per_capita!$D499</f>
        <v>0</v>
      </c>
      <c r="T499" s="332">
        <f>-Gasto_o_ing_per_capita!T499+Gasto_o_ing_per_capita!$D499</f>
        <v>0</v>
      </c>
      <c r="U499" s="332">
        <f>-Gasto_o_ing_per_capita!U499+Gasto_o_ing_per_capita!$D499</f>
        <v>0</v>
      </c>
      <c r="V499" s="332">
        <f>-Gasto_o_ing_per_capita!V499+Gasto_o_ing_per_capita!$D499</f>
        <v>0</v>
      </c>
    </row>
    <row r="500" spans="1:22" s="102" customFormat="1">
      <c r="A500" s="351" t="str">
        <f>IF(B500="","",(IF(ISERROR(MATCH(B500,Tot_res!C:C,0)),"Eliminar!!!","")))</f>
        <v/>
      </c>
      <c r="B500" s="102" t="s">
        <v>1223</v>
      </c>
      <c r="C500" s="329" t="str">
        <f>VLOOKUP(B500,Tot_res!C:D,2,FALSE)</f>
        <v>Impuestos mediombientales. Ingresos homogeneizados</v>
      </c>
      <c r="D500" s="332">
        <f>-Gasto_o_ing_per_capita!D500+Gasto_o_ing_per_capita!$D500</f>
        <v>0</v>
      </c>
      <c r="E500" s="332">
        <f>-Gasto_o_ing_per_capita!E500+Gasto_o_ing_per_capita!$D500</f>
        <v>3.0449316038297667</v>
      </c>
      <c r="F500" s="332">
        <f>-Gasto_o_ing_per_capita!F500+Gasto_o_ing_per_capita!$D500</f>
        <v>-8.2960544690280358E-4</v>
      </c>
      <c r="G500" s="332">
        <f>-Gasto_o_ing_per_capita!G500+Gasto_o_ing_per_capita!$D500</f>
        <v>-0.50291641054515424</v>
      </c>
      <c r="H500" s="332">
        <f>-Gasto_o_ing_per_capita!H500+Gasto_o_ing_per_capita!$D500</f>
        <v>-2.0847393035572352</v>
      </c>
      <c r="I500" s="332">
        <f>-Gasto_o_ing_per_capita!I500+Gasto_o_ing_per_capita!$D500</f>
        <v>3.8193076609600283</v>
      </c>
      <c r="J500" s="332">
        <f>-Gasto_o_ing_per_capita!J500+Gasto_o_ing_per_capita!$D500</f>
        <v>-0.8891367513086621</v>
      </c>
      <c r="K500" s="332">
        <f>-Gasto_o_ing_per_capita!K500+Gasto_o_ing_per_capita!$D500</f>
        <v>1.2090692771164129</v>
      </c>
      <c r="L500" s="332">
        <f>-Gasto_o_ing_per_capita!L500+Gasto_o_ing_per_capita!$D500</f>
        <v>3.8493308498443461</v>
      </c>
      <c r="M500" s="332">
        <f>-Gasto_o_ing_per_capita!M500+Gasto_o_ing_per_capita!$D500</f>
        <v>-2.9600389438450989</v>
      </c>
      <c r="N500" s="332">
        <f>-Gasto_o_ing_per_capita!N500+Gasto_o_ing_per_capita!$D500</f>
        <v>0.91936166527459307</v>
      </c>
      <c r="O500" s="332">
        <f>-Gasto_o_ing_per_capita!O500+Gasto_o_ing_per_capita!$D500</f>
        <v>4.7990025357925248</v>
      </c>
      <c r="P500" s="332">
        <f>-Gasto_o_ing_per_capita!P500+Gasto_o_ing_per_capita!$D500</f>
        <v>1.2172857504750638</v>
      </c>
      <c r="Q500" s="332">
        <f>-Gasto_o_ing_per_capita!Q500+Gasto_o_ing_per_capita!$D500</f>
        <v>-4.6569067609548114</v>
      </c>
      <c r="R500" s="332">
        <f>-Gasto_o_ing_per_capita!R500+Gasto_o_ing_per_capita!$D500</f>
        <v>3.622666154991478</v>
      </c>
      <c r="S500" s="332">
        <f>-Gasto_o_ing_per_capita!S500+Gasto_o_ing_per_capita!$D500</f>
        <v>-1.8868245001198147</v>
      </c>
      <c r="T500" s="332">
        <f>-Gasto_o_ing_per_capita!T500+Gasto_o_ing_per_capita!$D500</f>
        <v>-3.2397866448050721</v>
      </c>
      <c r="U500" s="332">
        <f>-Gasto_o_ing_per_capita!U500+Gasto_o_ing_per_capita!$D500</f>
        <v>0.36662308183592529</v>
      </c>
      <c r="V500" s="332">
        <f>-Gasto_o_ing_per_capita!V500+Gasto_o_ing_per_capita!$D500</f>
        <v>4.2393016199596296</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-Gasto_o_ing_per_capita!D501+Gasto_o_ing_per_capita!$D501</f>
        <v>0</v>
      </c>
      <c r="E501" s="332">
        <f>-Gasto_o_ing_per_capita!E501+Gasto_o_ing_per_capita!$D501</f>
        <v>1.9731818556186043</v>
      </c>
      <c r="F501" s="332">
        <f>-Gasto_o_ing_per_capita!F501+Gasto_o_ing_per_capita!$D501</f>
        <v>0.39664381313571395</v>
      </c>
      <c r="G501" s="332">
        <f>-Gasto_o_ing_per_capita!G501+Gasto_o_ing_per_capita!$D501</f>
        <v>0.56790486190900991</v>
      </c>
      <c r="H501" s="332">
        <f>-Gasto_o_ing_per_capita!H501+Gasto_o_ing_per_capita!$D501</f>
        <v>0.70142229765180808</v>
      </c>
      <c r="I501" s="332">
        <f>-Gasto_o_ing_per_capita!I501+Gasto_o_ing_per_capita!$D501</f>
        <v>1.7997317514157811</v>
      </c>
      <c r="J501" s="332">
        <f>-Gasto_o_ing_per_capita!J501+Gasto_o_ing_per_capita!$D501</f>
        <v>-4.9507273845110333E-2</v>
      </c>
      <c r="K501" s="332">
        <f>-Gasto_o_ing_per_capita!K501+Gasto_o_ing_per_capita!$D501</f>
        <v>0.46037022757292423</v>
      </c>
      <c r="L501" s="332">
        <f>-Gasto_o_ing_per_capita!L501+Gasto_o_ing_per_capita!$D501</f>
        <v>1.8877268983438529</v>
      </c>
      <c r="M501" s="332">
        <f>-Gasto_o_ing_per_capita!M501+Gasto_o_ing_per_capita!$D501</f>
        <v>-0.12978898160398344</v>
      </c>
      <c r="N501" s="332">
        <f>-Gasto_o_ing_per_capita!N501+Gasto_o_ing_per_capita!$D501</f>
        <v>0.8979888913984353</v>
      </c>
      <c r="O501" s="332">
        <f>-Gasto_o_ing_per_capita!O501+Gasto_o_ing_per_capita!$D501</f>
        <v>1.7766693526571409</v>
      </c>
      <c r="P501" s="332">
        <f>-Gasto_o_ing_per_capita!P501+Gasto_o_ing_per_capita!$D501</f>
        <v>0.60273329258015051</v>
      </c>
      <c r="Q501" s="332">
        <f>-Gasto_o_ing_per_capita!Q501+Gasto_o_ing_per_capita!$D501</f>
        <v>-5.5538711440885216</v>
      </c>
      <c r="R501" s="332">
        <f>-Gasto_o_ing_per_capita!R501+Gasto_o_ing_per_capita!$D501</f>
        <v>1.7293764908570104</v>
      </c>
      <c r="S501" s="332">
        <f>-Gasto_o_ing_per_capita!S501+Gasto_o_ing_per_capita!$D501</f>
        <v>0.32884737232633343</v>
      </c>
      <c r="T501" s="332">
        <f>-Gasto_o_ing_per_capita!T501+Gasto_o_ing_per_capita!$D501</f>
        <v>-0.77087980303233206</v>
      </c>
      <c r="U501" s="332">
        <f>-Gasto_o_ing_per_capita!U501+Gasto_o_ing_per_capita!$D501</f>
        <v>0.26762346482657318</v>
      </c>
      <c r="V501" s="332">
        <f>-Gasto_o_ing_per_capita!V501+Gasto_o_ing_per_capita!$D501</f>
        <v>1.5743150243581945</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0">
        <f>-Gasto_o_ing_per_capita!D503+Gasto_o_ing_per_capita!$D503</f>
        <v>0</v>
      </c>
      <c r="E503" s="110">
        <f>-Gasto_o_ing_per_capita!E503+Gasto_o_ing_per_capita!$D503</f>
        <v>194.86687035357704</v>
      </c>
      <c r="F503" s="110">
        <f>-Gasto_o_ing_per_capita!F503+Gasto_o_ing_per_capita!$D503</f>
        <v>-23.49500180813402</v>
      </c>
      <c r="G503" s="110">
        <f>-Gasto_o_ing_per_capita!G503+Gasto_o_ing_per_capita!$D503</f>
        <v>21.987702377572077</v>
      </c>
      <c r="H503" s="110">
        <f>-Gasto_o_ing_per_capita!H503+Gasto_o_ing_per_capita!$D503</f>
        <v>-129.01417914265539</v>
      </c>
      <c r="I503" s="110">
        <f>-Gasto_o_ing_per_capita!I503+Gasto_o_ing_per_capita!$D503</f>
        <v>341.42636418589882</v>
      </c>
      <c r="J503" s="110">
        <f>-Gasto_o_ing_per_capita!J503+Gasto_o_ing_per_capita!$D503</f>
        <v>-4.2252583036247415</v>
      </c>
      <c r="K503" s="110">
        <f>-Gasto_o_ing_per_capita!K503+Gasto_o_ing_per_capita!$D503</f>
        <v>95.497641511519078</v>
      </c>
      <c r="L503" s="110">
        <f>-Gasto_o_ing_per_capita!L503+Gasto_o_ing_per_capita!$D503</f>
        <v>219.83424376593757</v>
      </c>
      <c r="M503" s="110">
        <f>-Gasto_o_ing_per_capita!M503+Gasto_o_ing_per_capita!$D503</f>
        <v>-178.34834242910983</v>
      </c>
      <c r="N503" s="110">
        <f>-Gasto_o_ing_per_capita!N503+Gasto_o_ing_per_capita!$D503</f>
        <v>90.666121034600337</v>
      </c>
      <c r="O503" s="110">
        <f>-Gasto_o_ing_per_capita!O503+Gasto_o_ing_per_capita!$D503</f>
        <v>349.04845167877124</v>
      </c>
      <c r="P503" s="110">
        <f>-Gasto_o_ing_per_capita!P503+Gasto_o_ing_per_capita!$D503</f>
        <v>75.670636892354423</v>
      </c>
      <c r="Q503" s="110">
        <f>-Gasto_o_ing_per_capita!Q503+Gasto_o_ing_per_capita!$D503</f>
        <v>-370.80779293472506</v>
      </c>
      <c r="R503" s="110">
        <f>-Gasto_o_ing_per_capita!R503+Gasto_o_ing_per_capita!$D503</f>
        <v>184.95728747043199</v>
      </c>
      <c r="S503" s="110">
        <f>-Gasto_o_ing_per_capita!S503+Gasto_o_ing_per_capita!$D503</f>
        <v>-153.51249838912236</v>
      </c>
      <c r="T503" s="110">
        <f>-Gasto_o_ing_per_capita!T503+Gasto_o_ing_per_capita!$D503</f>
        <v>-201.23965582899382</v>
      </c>
      <c r="U503" s="110">
        <f>-Gasto_o_ing_per_capita!U503+Gasto_o_ing_per_capita!$D503</f>
        <v>37.657739306329404</v>
      </c>
      <c r="V503" s="110">
        <f>-Gasto_o_ing_per_capita!V503+Gasto_o_ing_per_capita!$D503</f>
        <v>287.98209174187764</v>
      </c>
    </row>
    <row r="504" spans="1:22" s="102" customFormat="1">
      <c r="A504" s="351" t="str">
        <f>IF(B504="","",(IF(ISERROR(MATCH(B504,Tot_res!C:C,0)),"Eliminar!!!","")))</f>
        <v/>
      </c>
      <c r="B504" s="102" t="s">
        <v>432</v>
      </c>
      <c r="C504" s="329" t="str">
        <f>VLOOKUP(B504,Tot_res!C:D,2,FALSE)</f>
        <v>IVA</v>
      </c>
      <c r="D504" s="332">
        <f>-Gasto_o_ing_per_capita!D504+Gasto_o_ing_per_capita!$D504</f>
        <v>0</v>
      </c>
      <c r="E504" s="332">
        <f>-Gasto_o_ing_per_capita!E504+Gasto_o_ing_per_capita!$D504</f>
        <v>115.37512521596136</v>
      </c>
      <c r="F504" s="332">
        <f>-Gasto_o_ing_per_capita!F504+Gasto_o_ing_per_capita!$D504</f>
        <v>-77.200030344030893</v>
      </c>
      <c r="G504" s="332">
        <f>-Gasto_o_ing_per_capita!G504+Gasto_o_ing_per_capita!$D504</f>
        <v>-51.442338833086296</v>
      </c>
      <c r="H504" s="332">
        <f>-Gasto_o_ing_per_capita!H504+Gasto_o_ing_per_capita!$D504</f>
        <v>-115.93260061365072</v>
      </c>
      <c r="I504" s="332">
        <f>-Gasto_o_ing_per_capita!I504+Gasto_o_ing_per_capita!$D504</f>
        <v>1226.5794877091814</v>
      </c>
      <c r="J504" s="332">
        <f>-Gasto_o_ing_per_capita!J504+Gasto_o_ing_per_capita!$D504</f>
        <v>-89.062336394514205</v>
      </c>
      <c r="K504" s="332">
        <f>-Gasto_o_ing_per_capita!K504+Gasto_o_ing_per_capita!$D504</f>
        <v>4.1690915156550545E-2</v>
      </c>
      <c r="L504" s="332">
        <f>-Gasto_o_ing_per_capita!L504+Gasto_o_ing_per_capita!$D504</f>
        <v>119.76420339067022</v>
      </c>
      <c r="M504" s="332">
        <f>-Gasto_o_ing_per_capita!M504+Gasto_o_ing_per_capita!$D504</f>
        <v>-218.71519283794964</v>
      </c>
      <c r="N504" s="332">
        <f>-Gasto_o_ing_per_capita!N504+Gasto_o_ing_per_capita!$D504</f>
        <v>24.279430199669605</v>
      </c>
      <c r="O504" s="332">
        <f>-Gasto_o_ing_per_capita!O504+Gasto_o_ing_per_capita!$D504</f>
        <v>202.82939775825139</v>
      </c>
      <c r="P504" s="332">
        <f>-Gasto_o_ing_per_capita!P504+Gasto_o_ing_per_capita!$D504</f>
        <v>-6.7849884360127817</v>
      </c>
      <c r="Q504" s="332">
        <f>-Gasto_o_ing_per_capita!Q504+Gasto_o_ing_per_capita!$D504</f>
        <v>-288.35794587846794</v>
      </c>
      <c r="R504" s="332">
        <f>-Gasto_o_ing_per_capita!R504+Gasto_o_ing_per_capita!$D504</f>
        <v>116.81191391417906</v>
      </c>
      <c r="S504" s="332">
        <f>-Gasto_o_ing_per_capita!S504+Gasto_o_ing_per_capita!$D504</f>
        <v>-227.63211095405654</v>
      </c>
      <c r="T504" s="332">
        <f>-Gasto_o_ing_per_capita!T504+Gasto_o_ing_per_capita!$D504</f>
        <v>-230.13135479793277</v>
      </c>
      <c r="U504" s="332">
        <f>-Gasto_o_ing_per_capita!U504+Gasto_o_ing_per_capita!$D504</f>
        <v>-38.480027526119102</v>
      </c>
      <c r="V504" s="332">
        <f>-Gasto_o_ing_per_capita!V504+Gasto_o_ing_per_capita!$D504</f>
        <v>1226.2584860327543</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-Gasto_o_ing_per_capita!D505+Gasto_o_ing_per_capita!$D505</f>
        <v>0</v>
      </c>
      <c r="E505" s="332">
        <f>-Gasto_o_ing_per_capita!E505+Gasto_o_ing_per_capita!$D505</f>
        <v>-22.259350019953388</v>
      </c>
      <c r="F505" s="332">
        <f>-Gasto_o_ing_per_capita!F505+Gasto_o_ing_per_capita!$D505</f>
        <v>-20.252723655566911</v>
      </c>
      <c r="G505" s="332">
        <f>-Gasto_o_ing_per_capita!G505+Gasto_o_ing_per_capita!$D505</f>
        <v>-11.146315402866264</v>
      </c>
      <c r="H505" s="332">
        <f>-Gasto_o_ing_per_capita!H505+Gasto_o_ing_per_capita!$D505</f>
        <v>-52.639922546402204</v>
      </c>
      <c r="I505" s="332">
        <f>-Gasto_o_ing_per_capita!I505+Gasto_o_ing_per_capita!$D505</f>
        <v>330.78399497669494</v>
      </c>
      <c r="J505" s="332">
        <f>-Gasto_o_ing_per_capita!J505+Gasto_o_ing_per_capita!$D505</f>
        <v>12.011266593936739</v>
      </c>
      <c r="K505" s="332">
        <f>-Gasto_o_ing_per_capita!K505+Gasto_o_ing_per_capita!$D505</f>
        <v>12.486729475670813</v>
      </c>
      <c r="L505" s="332">
        <f>-Gasto_o_ing_per_capita!L505+Gasto_o_ing_per_capita!$D505</f>
        <v>-9.0312530566795317</v>
      </c>
      <c r="M505" s="332">
        <f>-Gasto_o_ing_per_capita!M505+Gasto_o_ing_per_capita!$D505</f>
        <v>-7.4767351257905261</v>
      </c>
      <c r="N505" s="332">
        <f>-Gasto_o_ing_per_capita!N505+Gasto_o_ing_per_capita!$D505</f>
        <v>-8.5722240958540965</v>
      </c>
      <c r="O505" s="332">
        <f>-Gasto_o_ing_per_capita!O505+Gasto_o_ing_per_capita!$D505</f>
        <v>22.248843541350141</v>
      </c>
      <c r="P505" s="332">
        <f>-Gasto_o_ing_per_capita!P505+Gasto_o_ing_per_capita!$D505</f>
        <v>-22.069013528133155</v>
      </c>
      <c r="Q505" s="332">
        <f>-Gasto_o_ing_per_capita!Q505+Gasto_o_ing_per_capita!$D505</f>
        <v>-43.077999445089972</v>
      </c>
      <c r="R505" s="332">
        <f>-Gasto_o_ing_per_capita!R505+Gasto_o_ing_per_capita!$D505</f>
        <v>-48.797617587597983</v>
      </c>
      <c r="S505" s="332">
        <f>-Gasto_o_ing_per_capita!S505+Gasto_o_ing_per_capita!$D505</f>
        <v>6.0182363228791473</v>
      </c>
      <c r="T505" s="332">
        <f>-Gasto_o_ing_per_capita!T505+Gasto_o_ing_per_capita!$D505</f>
        <v>1.9746318394099376</v>
      </c>
      <c r="U505" s="332">
        <f>-Gasto_o_ing_per_capita!U505+Gasto_o_ing_per_capita!$D505</f>
        <v>6.3115358238420072</v>
      </c>
      <c r="V505" s="332">
        <f>-Gasto_o_ing_per_capita!V505+Gasto_o_ing_per_capita!$D505</f>
        <v>252.95722761955042</v>
      </c>
    </row>
    <row r="506" spans="1:22" s="102" customFormat="1">
      <c r="A506" s="351" t="str">
        <f>IF(B506="","",(IF(ISERROR(MATCH(B506,Tot_res!C:C,0)),"Eliminar!!!","")))</f>
        <v/>
      </c>
      <c r="B506" s="102" t="s">
        <v>434</v>
      </c>
      <c r="C506" s="329" t="str">
        <f>VLOOKUP(B506,Tot_res!C:D,2,FALSE)</f>
        <v>Electricidad</v>
      </c>
      <c r="D506" s="332">
        <f>-Gasto_o_ing_per_capita!D506+Gasto_o_ing_per_capita!$D506</f>
        <v>0</v>
      </c>
      <c r="E506" s="332">
        <f>-Gasto_o_ing_per_capita!E506+Gasto_o_ing_per_capita!$D506</f>
        <v>1.8959454506854421</v>
      </c>
      <c r="F506" s="332">
        <f>-Gasto_o_ing_per_capita!F506+Gasto_o_ing_per_capita!$D506</f>
        <v>-0.27180730820193588</v>
      </c>
      <c r="G506" s="332">
        <f>-Gasto_o_ing_per_capita!G506+Gasto_o_ing_per_capita!$D506</f>
        <v>-0.53826895441252276</v>
      </c>
      <c r="H506" s="332">
        <f>-Gasto_o_ing_per_capita!H506+Gasto_o_ing_per_capita!$D506</f>
        <v>-4.6113003036476101</v>
      </c>
      <c r="I506" s="332">
        <f>-Gasto_o_ing_per_capita!I506+Gasto_o_ing_per_capita!$D506</f>
        <v>4.4111983906612089</v>
      </c>
      <c r="J506" s="332">
        <f>-Gasto_o_ing_per_capita!J506+Gasto_o_ing_per_capita!$D506</f>
        <v>-2.0428661250239344E-2</v>
      </c>
      <c r="K506" s="332">
        <f>-Gasto_o_ing_per_capita!K506+Gasto_o_ing_per_capita!$D506</f>
        <v>1.9315369098859243</v>
      </c>
      <c r="L506" s="332">
        <f>-Gasto_o_ing_per_capita!L506+Gasto_o_ing_per_capita!$D506</f>
        <v>1.7546921652638616</v>
      </c>
      <c r="M506" s="332">
        <f>-Gasto_o_ing_per_capita!M506+Gasto_o_ing_per_capita!$D506</f>
        <v>-1.8787478259840213</v>
      </c>
      <c r="N506" s="332">
        <f>-Gasto_o_ing_per_capita!N506+Gasto_o_ing_per_capita!$D506</f>
        <v>-0.96304329627640328</v>
      </c>
      <c r="O506" s="332">
        <f>-Gasto_o_ing_per_capita!O506+Gasto_o_ing_per_capita!$D506</f>
        <v>2.9360740900409183</v>
      </c>
      <c r="P506" s="332">
        <f>-Gasto_o_ing_per_capita!P506+Gasto_o_ing_per_capita!$D506</f>
        <v>1.3419341791931103</v>
      </c>
      <c r="Q506" s="332">
        <f>-Gasto_o_ing_per_capita!Q506+Gasto_o_ing_per_capita!$D506</f>
        <v>-2.821676901856577</v>
      </c>
      <c r="R506" s="332">
        <f>-Gasto_o_ing_per_capita!R506+Gasto_o_ing_per_capita!$D506</f>
        <v>1.4882402400889951</v>
      </c>
      <c r="S506" s="332">
        <f>-Gasto_o_ing_per_capita!S506+Gasto_o_ing_per_capita!$D506</f>
        <v>0.27401497070899694</v>
      </c>
      <c r="T506" s="332">
        <f>-Gasto_o_ing_per_capita!T506+Gasto_o_ing_per_capita!$D506</f>
        <v>-0.55775869675533585</v>
      </c>
      <c r="U506" s="332">
        <f>-Gasto_o_ing_per_capita!U506+Gasto_o_ing_per_capita!$D506</f>
        <v>1.5764194641078646</v>
      </c>
      <c r="V506" s="332">
        <f>-Gasto_o_ing_per_capita!V506+Gasto_o_ing_per_capita!$D506</f>
        <v>5.7629630374764815</v>
      </c>
    </row>
    <row r="507" spans="1:22" s="102" customFormat="1">
      <c r="A507" s="351" t="str">
        <f>IF(B507="","",(IF(ISERROR(MATCH(B507,Tot_res!C:C,0)),"Eliminar!!!","")))</f>
        <v/>
      </c>
      <c r="B507" s="102" t="s">
        <v>435</v>
      </c>
      <c r="C507" s="329" t="str">
        <f>VLOOKUP(B507,Tot_res!C:D,2,FALSE)</f>
        <v>Determinados medios de transporte, homogeneizado</v>
      </c>
      <c r="D507" s="332">
        <f>-Gasto_o_ing_per_capita!D507+Gasto_o_ing_per_capita!$D507</f>
        <v>0</v>
      </c>
      <c r="E507" s="332">
        <f>-Gasto_o_ing_per_capita!E507+Gasto_o_ing_per_capita!$D507</f>
        <v>1.0084789580947655</v>
      </c>
      <c r="F507" s="332">
        <f>-Gasto_o_ing_per_capita!F507+Gasto_o_ing_per_capita!$D507</f>
        <v>2.0628517068166135</v>
      </c>
      <c r="G507" s="332">
        <f>-Gasto_o_ing_per_capita!G507+Gasto_o_ing_per_capita!$D507</f>
        <v>0.56902516030039152</v>
      </c>
      <c r="H507" s="332">
        <f>-Gasto_o_ing_per_capita!H507+Gasto_o_ing_per_capita!$D507</f>
        <v>-0.72642793275701312</v>
      </c>
      <c r="I507" s="332">
        <f>-Gasto_o_ing_per_capita!I507+Gasto_o_ing_per_capita!$D507</f>
        <v>5.6261058614760273</v>
      </c>
      <c r="J507" s="332">
        <f>-Gasto_o_ing_per_capita!J507+Gasto_o_ing_per_capita!$D507</f>
        <v>-1.858221507083794</v>
      </c>
      <c r="K507" s="332">
        <f>-Gasto_o_ing_per_capita!K507+Gasto_o_ing_per_capita!$D507</f>
        <v>0.77012144913852776</v>
      </c>
      <c r="L507" s="332">
        <f>-Gasto_o_ing_per_capita!L507+Gasto_o_ing_per_capita!$D507</f>
        <v>0.73070022397240209</v>
      </c>
      <c r="M507" s="332">
        <f>-Gasto_o_ing_per_capita!M507+Gasto_o_ing_per_capita!$D507</f>
        <v>-1.5189207186800733</v>
      </c>
      <c r="N507" s="332">
        <f>-Gasto_o_ing_per_capita!N507+Gasto_o_ing_per_capita!$D507</f>
        <v>0.24183158709827435</v>
      </c>
      <c r="O507" s="332">
        <f>-Gasto_o_ing_per_capita!O507+Gasto_o_ing_per_capita!$D507</f>
        <v>1.8983569884760696</v>
      </c>
      <c r="P507" s="332">
        <f>-Gasto_o_ing_per_capita!P507+Gasto_o_ing_per_capita!$D507</f>
        <v>0.96435859015594438</v>
      </c>
      <c r="Q507" s="332">
        <f>-Gasto_o_ing_per_capita!Q507+Gasto_o_ing_per_capita!$D507</f>
        <v>-2.9817740748279782</v>
      </c>
      <c r="R507" s="332">
        <f>-Gasto_o_ing_per_capita!R507+Gasto_o_ing_per_capita!$D507</f>
        <v>0.54312511534065244</v>
      </c>
      <c r="S507" s="332">
        <f>-Gasto_o_ing_per_capita!S507+Gasto_o_ing_per_capita!$D507</f>
        <v>-1.2391567859835115</v>
      </c>
      <c r="T507" s="332">
        <f>-Gasto_o_ing_per_capita!T507+Gasto_o_ing_per_capita!$D507</f>
        <v>-0.66920670115151015</v>
      </c>
      <c r="U507" s="332">
        <f>-Gasto_o_ing_per_capita!U507+Gasto_o_ing_per_capita!$D507</f>
        <v>0.67156301756725245</v>
      </c>
      <c r="V507" s="332">
        <f>-Gasto_o_ing_per_capita!V507+Gasto_o_ing_per_capita!$D507</f>
        <v>4.6492039575014008</v>
      </c>
    </row>
    <row r="508" spans="1:22" s="102" customFormat="1">
      <c r="A508" s="351" t="str">
        <f>IF(B508="","",(IF(ISERROR(MATCH(B508,Tot_res!C:C,0)),"Eliminar!!!","")))</f>
        <v/>
      </c>
      <c r="B508" s="102" t="s">
        <v>437</v>
      </c>
      <c r="C508" s="329" t="str">
        <f>VLOOKUP(B508,Tot_res!C:D,2,FALSE)</f>
        <v xml:space="preserve">Tráfico exterior </v>
      </c>
      <c r="D508" s="332">
        <f>-Gasto_o_ing_per_capita!D508+Gasto_o_ing_per_capita!$D508</f>
        <v>0</v>
      </c>
      <c r="E508" s="332">
        <f>-Gasto_o_ing_per_capita!E508+Gasto_o_ing_per_capita!$D508</f>
        <v>2.6525882005156021</v>
      </c>
      <c r="F508" s="332">
        <f>-Gasto_o_ing_per_capita!F508+Gasto_o_ing_per_capita!$D508</f>
        <v>-1.2816555158965883</v>
      </c>
      <c r="G508" s="332">
        <f>-Gasto_o_ing_per_capita!G508+Gasto_o_ing_per_capita!$D508</f>
        <v>-1.8780415463535718</v>
      </c>
      <c r="H508" s="332">
        <f>-Gasto_o_ing_per_capita!H508+Gasto_o_ing_per_capita!$D508</f>
        <v>-4.0013130878238456</v>
      </c>
      <c r="I508" s="332">
        <f>-Gasto_o_ing_per_capita!I508+Gasto_o_ing_per_capita!$D508</f>
        <v>29.928922296145345</v>
      </c>
      <c r="J508" s="332">
        <f>-Gasto_o_ing_per_capita!J508+Gasto_o_ing_per_capita!$D508</f>
        <v>-2.4124014005228815</v>
      </c>
      <c r="K508" s="332">
        <f>-Gasto_o_ing_per_capita!K508+Gasto_o_ing_per_capita!$D508</f>
        <v>0.30501830028943999</v>
      </c>
      <c r="L508" s="332">
        <f>-Gasto_o_ing_per_capita!L508+Gasto_o_ing_per_capita!$D508</f>
        <v>3.6831531260921011</v>
      </c>
      <c r="M508" s="332">
        <f>-Gasto_o_ing_per_capita!M508+Gasto_o_ing_per_capita!$D508</f>
        <v>-5.1186017668239643</v>
      </c>
      <c r="N508" s="332">
        <f>-Gasto_o_ing_per_capita!N508+Gasto_o_ing_per_capita!$D508</f>
        <v>-9.7853304052080148E-2</v>
      </c>
      <c r="O508" s="332">
        <f>-Gasto_o_ing_per_capita!O508+Gasto_o_ing_per_capita!$D508</f>
        <v>4.9291180213996029</v>
      </c>
      <c r="P508" s="332">
        <f>-Gasto_o_ing_per_capita!P508+Gasto_o_ing_per_capita!$D508</f>
        <v>0.3218297810227071</v>
      </c>
      <c r="Q508" s="332">
        <f>-Gasto_o_ing_per_capita!Q508+Gasto_o_ing_per_capita!$D508</f>
        <v>-7.2987103168098528</v>
      </c>
      <c r="R508" s="332">
        <f>-Gasto_o_ing_per_capita!R508+Gasto_o_ing_per_capita!$D508</f>
        <v>3.3834395834280109</v>
      </c>
      <c r="S508" s="332">
        <f>-Gasto_o_ing_per_capita!S508+Gasto_o_ing_per_capita!$D508</f>
        <v>-3.6969059093768735</v>
      </c>
      <c r="T508" s="332">
        <f>-Gasto_o_ing_per_capita!T508+Gasto_o_ing_per_capita!$D508</f>
        <v>-5.4121278819884608</v>
      </c>
      <c r="U508" s="332">
        <f>-Gasto_o_ing_per_capita!U508+Gasto_o_ing_per_capita!$D508</f>
        <v>-0.79507972051716536</v>
      </c>
      <c r="V508" s="332">
        <f>-Gasto_o_ing_per_capita!V508+Gasto_o_ing_per_capita!$D508</f>
        <v>30.265404155498153</v>
      </c>
    </row>
    <row r="509" spans="1:22" s="102" customFormat="1">
      <c r="A509" s="351" t="str">
        <f>IF(B509="","",(IF(ISERROR(MATCH(B509,Tot_res!C:C,0)),"Eliminar!!!","")))</f>
        <v/>
      </c>
      <c r="B509" s="102" t="s">
        <v>438</v>
      </c>
      <c r="C509" s="329" t="str">
        <f>VLOOKUP(B509,Tot_res!C:D,2,FALSE)</f>
        <v>Impuesto sobre las primas de seguros</v>
      </c>
      <c r="D509" s="332">
        <f>-Gasto_o_ing_per_capita!D509+Gasto_o_ing_per_capita!$D509</f>
        <v>0</v>
      </c>
      <c r="E509" s="332">
        <f>-Gasto_o_ing_per_capita!E509+Gasto_o_ing_per_capita!$D509</f>
        <v>3.7378014260200167</v>
      </c>
      <c r="F509" s="332">
        <f>-Gasto_o_ing_per_capita!F509+Gasto_o_ing_per_capita!$D509</f>
        <v>0.52082880091328576</v>
      </c>
      <c r="G509" s="332">
        <f>-Gasto_o_ing_per_capita!G509+Gasto_o_ing_per_capita!$D509</f>
        <v>-0.45604130580865032</v>
      </c>
      <c r="H509" s="332">
        <f>-Gasto_o_ing_per_capita!H509+Gasto_o_ing_per_capita!$D509</f>
        <v>-1.9335049602893406</v>
      </c>
      <c r="I509" s="332">
        <f>-Gasto_o_ing_per_capita!I509+Gasto_o_ing_per_capita!$D509</f>
        <v>4.5781468533529335</v>
      </c>
      <c r="J509" s="332">
        <f>-Gasto_o_ing_per_capita!J509+Gasto_o_ing_per_capita!$D509</f>
        <v>-2.2410707360621416</v>
      </c>
      <c r="K509" s="332">
        <f>-Gasto_o_ing_per_capita!K509+Gasto_o_ing_per_capita!$D509</f>
        <v>1.03827936968176</v>
      </c>
      <c r="L509" s="332">
        <f>-Gasto_o_ing_per_capita!L509+Gasto_o_ing_per_capita!$D509</f>
        <v>3.4214860074666547</v>
      </c>
      <c r="M509" s="332">
        <f>-Gasto_o_ing_per_capita!M509+Gasto_o_ing_per_capita!$D509</f>
        <v>-0.91816691516432414</v>
      </c>
      <c r="N509" s="332">
        <f>-Gasto_o_ing_per_capita!N509+Gasto_o_ing_per_capita!$D509</f>
        <v>0.28808510005836396</v>
      </c>
      <c r="O509" s="332">
        <f>-Gasto_o_ing_per_capita!O509+Gasto_o_ing_per_capita!$D509</f>
        <v>3.8448635404237841</v>
      </c>
      <c r="P509" s="332">
        <f>-Gasto_o_ing_per_capita!P509+Gasto_o_ing_per_capita!$D509</f>
        <v>-3.3978349898539761E-2</v>
      </c>
      <c r="Q509" s="332">
        <f>-Gasto_o_ing_per_capita!Q509+Gasto_o_ing_per_capita!$D509</f>
        <v>-6.6375828255546878</v>
      </c>
      <c r="R509" s="332">
        <f>-Gasto_o_ing_per_capita!R509+Gasto_o_ing_per_capita!$D509</f>
        <v>1.3807872127223213</v>
      </c>
      <c r="S509" s="332">
        <f>-Gasto_o_ing_per_capita!S509+Gasto_o_ing_per_capita!$D509</f>
        <v>-1.0639912143270465</v>
      </c>
      <c r="T509" s="332">
        <f>-Gasto_o_ing_per_capita!T509+Gasto_o_ing_per_capita!$D509</f>
        <v>-2.5265078996610626</v>
      </c>
      <c r="U509" s="332">
        <f>-Gasto_o_ing_per_capita!U509+Gasto_o_ing_per_capita!$D509</f>
        <v>-0.86118656396032733</v>
      </c>
      <c r="V509" s="332">
        <f>-Gasto_o_ing_per_capita!V509+Gasto_o_ing_per_capita!$D509</f>
        <v>6.7376744713118342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-Gasto_o_ing_per_capita!D510+Gasto_o_ing_per_capita!$D510</f>
        <v>0</v>
      </c>
      <c r="E510" s="332">
        <f>-Gasto_o_ing_per_capita!E510+Gasto_o_ing_per_capita!$D510</f>
        <v>19.492221881811915</v>
      </c>
      <c r="F510" s="332">
        <f>-Gasto_o_ing_per_capita!F510+Gasto_o_ing_per_capita!$D510</f>
        <v>6.2888335025101014</v>
      </c>
      <c r="G510" s="332">
        <f>-Gasto_o_ing_per_capita!G510+Gasto_o_ing_per_capita!$D510</f>
        <v>21.596979107573901</v>
      </c>
      <c r="H510" s="332">
        <f>-Gasto_o_ing_per_capita!H510+Gasto_o_ing_per_capita!$D510</f>
        <v>-11.516931587675501</v>
      </c>
      <c r="I510" s="332">
        <f>-Gasto_o_ing_per_capita!I510+Gasto_o_ing_per_capita!$D510</f>
        <v>23.308190219058147</v>
      </c>
      <c r="J510" s="332">
        <f>-Gasto_o_ing_per_capita!J510+Gasto_o_ing_per_capita!$D510</f>
        <v>15.05661146131024</v>
      </c>
      <c r="K510" s="332">
        <f>-Gasto_o_ing_per_capita!K510+Gasto_o_ing_per_capita!$D510</f>
        <v>15.216617879916896</v>
      </c>
      <c r="L510" s="332">
        <f>-Gasto_o_ing_per_capita!L510+Gasto_o_ing_per_capita!$D510</f>
        <v>29.850241479024149</v>
      </c>
      <c r="M510" s="332">
        <f>-Gasto_o_ing_per_capita!M510+Gasto_o_ing_per_capita!$D510</f>
        <v>-12.598963134502654</v>
      </c>
      <c r="N510" s="332">
        <f>-Gasto_o_ing_per_capita!N510+Gasto_o_ing_per_capita!$D510</f>
        <v>12.965792268614479</v>
      </c>
      <c r="O510" s="332">
        <f>-Gasto_o_ing_per_capita!O510+Gasto_o_ing_per_capita!$D510</f>
        <v>36.97026435603631</v>
      </c>
      <c r="P510" s="332">
        <f>-Gasto_o_ing_per_capita!P510+Gasto_o_ing_per_capita!$D510</f>
        <v>32.279921847236309</v>
      </c>
      <c r="Q510" s="332">
        <f>-Gasto_o_ing_per_capita!Q510+Gasto_o_ing_per_capita!$D510</f>
        <v>-65.671242593712904</v>
      </c>
      <c r="R510" s="332">
        <f>-Gasto_o_ing_per_capita!R510+Gasto_o_ing_per_capita!$D510</f>
        <v>34.209705261048057</v>
      </c>
      <c r="S510" s="332">
        <f>-Gasto_o_ing_per_capita!S510+Gasto_o_ing_per_capita!$D510</f>
        <v>5.3197040119492414</v>
      </c>
      <c r="T510" s="332">
        <f>-Gasto_o_ing_per_capita!T510+Gasto_o_ing_per_capita!$D510</f>
        <v>-32.25125857430065</v>
      </c>
      <c r="U510" s="332">
        <f>-Gasto_o_ing_per_capita!U510+Gasto_o_ing_per_capita!$D510</f>
        <v>-2.4806540035195326</v>
      </c>
      <c r="V510" s="332">
        <f>-Gasto_o_ing_per_capita!V510+Gasto_o_ing_per_capita!$D510</f>
        <v>14.580336685060615</v>
      </c>
    </row>
    <row r="511" spans="1:22" s="102" customFormat="1">
      <c r="A511" s="351" t="str">
        <f>IF(B511="","",(IF(ISERROR(MATCH(B511,Tot_res!C:C,0)),"Eliminar!!!","")))</f>
        <v/>
      </c>
      <c r="B511" s="102" t="s">
        <v>441</v>
      </c>
      <c r="C511" s="329" t="str">
        <f>VLOOKUP(B511,Tot_res!C:D,2,FALSE)</f>
        <v>Venta Minorista de Hidrocarburos, ingr. Homog.</v>
      </c>
      <c r="D511" s="332">
        <f>-Gasto_o_ing_per_capita!D511+Gasto_o_ing_per_capita!$D511</f>
        <v>0</v>
      </c>
      <c r="E511" s="332">
        <f>-Gasto_o_ing_per_capita!E511+Gasto_o_ing_per_capita!$D511</f>
        <v>2.9273060371590165E-4</v>
      </c>
      <c r="F511" s="332">
        <f>-Gasto_o_ing_per_capita!F511+Gasto_o_ing_per_capita!$D511</f>
        <v>3.0951637843066523E-3</v>
      </c>
      <c r="G511" s="332">
        <f>-Gasto_o_ing_per_capita!G511+Gasto_o_ing_per_capita!$D511</f>
        <v>-4.8681915015830884E-4</v>
      </c>
      <c r="H511" s="332">
        <f>-Gasto_o_ing_per_capita!H511+Gasto_o_ing_per_capita!$D511</f>
        <v>-1.1991218424981541E-2</v>
      </c>
      <c r="I511" s="332">
        <f>-Gasto_o_ing_per_capita!I511+Gasto_o_ing_per_capita!$D511</f>
        <v>4.6506785429953026E-2</v>
      </c>
      <c r="J511" s="332">
        <f>-Gasto_o_ing_per_capita!J511+Gasto_o_ing_per_capita!$D511</f>
        <v>-5.5647252853210996E-3</v>
      </c>
      <c r="K511" s="332">
        <f>-Gasto_o_ing_per_capita!K511+Gasto_o_ing_per_capita!$D511</f>
        <v>-3.2158740588525414E-4</v>
      </c>
      <c r="L511" s="332">
        <f>-Gasto_o_ing_per_capita!L511+Gasto_o_ing_per_capita!$D511</f>
        <v>1.8820928534796361E-3</v>
      </c>
      <c r="M511" s="332">
        <f>-Gasto_o_ing_per_capita!M511+Gasto_o_ing_per_capita!$D511</f>
        <v>-3.3954371703759159E-3</v>
      </c>
      <c r="N511" s="332">
        <f>-Gasto_o_ing_per_capita!N511+Gasto_o_ing_per_capita!$D511</f>
        <v>-6.0935748570980358E-4</v>
      </c>
      <c r="O511" s="332">
        <f>-Gasto_o_ing_per_capita!O511+Gasto_o_ing_per_capita!$D511</f>
        <v>4.2664041388407042E-3</v>
      </c>
      <c r="P511" s="332">
        <f>-Gasto_o_ing_per_capita!P511+Gasto_o_ing_per_capita!$D511</f>
        <v>-6.3713761495482954E-3</v>
      </c>
      <c r="Q511" s="332">
        <f>-Gasto_o_ing_per_capita!Q511+Gasto_o_ing_per_capita!$D511</f>
        <v>-8.3087054880642622E-3</v>
      </c>
      <c r="R511" s="332">
        <f>-Gasto_o_ing_per_capita!R511+Gasto_o_ing_per_capita!$D511</f>
        <v>-2.0070889627810742E-3</v>
      </c>
      <c r="S511" s="332">
        <f>-Gasto_o_ing_per_capita!S511+Gasto_o_ing_per_capita!$D511</f>
        <v>1.2915838889170569E-3</v>
      </c>
      <c r="T511" s="332">
        <f>-Gasto_o_ing_per_capita!T511+Gasto_o_ing_per_capita!$D511</f>
        <v>1.3001671561666678E-3</v>
      </c>
      <c r="U511" s="332">
        <f>-Gasto_o_ing_per_capita!U511+Gasto_o_ing_per_capita!$D511</f>
        <v>2.2690140468006881E-4</v>
      </c>
      <c r="V511" s="332">
        <f>-Gasto_o_ing_per_capita!V511+Gasto_o_ing_per_capita!$D511</f>
        <v>2.1700654678659427E-2</v>
      </c>
    </row>
    <row r="512" spans="1:22" s="102" customFormat="1">
      <c r="A512" s="351" t="str">
        <f>IF(B512="","",(IF(ISERROR(MATCH(B512,Tot_res!C:C,0)),"Eliminar!!!","")))</f>
        <v/>
      </c>
      <c r="B512" s="102" t="s">
        <v>442</v>
      </c>
      <c r="C512" s="329" t="str">
        <f>VLOOKUP(B512,Tot_res!C:D,2,FALSE)</f>
        <v>Tasas sobre el juego, ingresos homogeneizados</v>
      </c>
      <c r="D512" s="332">
        <f>-Gasto_o_ing_per_capita!D512+Gasto_o_ing_per_capita!$D512</f>
        <v>0</v>
      </c>
      <c r="E512" s="332">
        <f>-Gasto_o_ing_per_capita!E512+Gasto_o_ing_per_capita!$D512</f>
        <v>5.2365342919725002</v>
      </c>
      <c r="F512" s="332">
        <f>-Gasto_o_ing_per_capita!F512+Gasto_o_ing_per_capita!$D512</f>
        <v>0.68783354332232705</v>
      </c>
      <c r="G512" s="332">
        <f>-Gasto_o_ing_per_capita!G512+Gasto_o_ing_per_capita!$D512</f>
        <v>2.4802357058839846</v>
      </c>
      <c r="H512" s="332">
        <f>-Gasto_o_ing_per_capita!H512+Gasto_o_ing_per_capita!$D512</f>
        <v>-4.4882693539839451</v>
      </c>
      <c r="I512" s="332">
        <f>-Gasto_o_ing_per_capita!I512+Gasto_o_ing_per_capita!$D512</f>
        <v>6.0793362581217423</v>
      </c>
      <c r="J512" s="332">
        <f>-Gasto_o_ing_per_capita!J512+Gasto_o_ing_per_capita!$D512</f>
        <v>-0.51352777414445683</v>
      </c>
      <c r="K512" s="332">
        <f>-Gasto_o_ing_per_capita!K512+Gasto_o_ing_per_capita!$D512</f>
        <v>-1.0314779815642936</v>
      </c>
      <c r="L512" s="332">
        <f>-Gasto_o_ing_per_capita!L512+Gasto_o_ing_per_capita!$D512</f>
        <v>1.7411276818428867</v>
      </c>
      <c r="M512" s="332">
        <f>-Gasto_o_ing_per_capita!M512+Gasto_o_ing_per_capita!$D512</f>
        <v>3.8035972187571296</v>
      </c>
      <c r="N512" s="332">
        <f>-Gasto_o_ing_per_capita!N512+Gasto_o_ing_per_capita!$D512</f>
        <v>-4.3563226556866503</v>
      </c>
      <c r="O512" s="332">
        <f>-Gasto_o_ing_per_capita!O512+Gasto_o_ing_per_capita!$D512</f>
        <v>5.9441357983293486</v>
      </c>
      <c r="P512" s="332">
        <f>-Gasto_o_ing_per_capita!P512+Gasto_o_ing_per_capita!$D512</f>
        <v>4.9248143806431806</v>
      </c>
      <c r="Q512" s="332">
        <f>-Gasto_o_ing_per_capita!Q512+Gasto_o_ing_per_capita!$D512</f>
        <v>-18.338367736343841</v>
      </c>
      <c r="R512" s="332">
        <f>-Gasto_o_ing_per_capita!R512+Gasto_o_ing_per_capita!$D512</f>
        <v>7.4504670690314789</v>
      </c>
      <c r="S512" s="332">
        <f>-Gasto_o_ing_per_capita!S512+Gasto_o_ing_per_capita!$D512</f>
        <v>5.3350569503670506</v>
      </c>
      <c r="T512" s="332">
        <f>-Gasto_o_ing_per_capita!T512+Gasto_o_ing_per_capita!$D512</f>
        <v>8.11277115810792</v>
      </c>
      <c r="U512" s="332">
        <f>-Gasto_o_ing_per_capita!U512+Gasto_o_ing_per_capita!$D512</f>
        <v>6.963374289014947</v>
      </c>
      <c r="V512" s="332">
        <f>-Gasto_o_ing_per_capita!V512+Gasto_o_ing_per_capita!$D512</f>
        <v>5.6214386968719587</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-Gasto_o_ing_per_capita!D513+Gasto_o_ing_per_capita!$D513</f>
        <v>0</v>
      </c>
      <c r="E513" s="332">
        <f>-Gasto_o_ing_per_capita!E513+Gasto_o_ing_per_capita!$D513</f>
        <v>61.962055241986803</v>
      </c>
      <c r="F513" s="332">
        <f>-Gasto_o_ing_per_capita!F513+Gasto_o_ing_per_capita!$D513</f>
        <v>61.268819128879336</v>
      </c>
      <c r="G513" s="332">
        <f>-Gasto_o_ing_per_capita!G513+Gasto_o_ing_per_capita!$D513</f>
        <v>58.447045761570358</v>
      </c>
      <c r="H513" s="332">
        <f>-Gasto_o_ing_per_capita!H513+Gasto_o_ing_per_capita!$D513</f>
        <v>62.239895008952388</v>
      </c>
      <c r="I513" s="332">
        <f>-Gasto_o_ing_per_capita!I513+Gasto_o_ing_per_capita!$D513</f>
        <v>-1295.4573799393791</v>
      </c>
      <c r="J513" s="332">
        <f>-Gasto_o_ing_per_capita!J513+Gasto_o_ing_per_capita!$D513</f>
        <v>60.200364106929449</v>
      </c>
      <c r="K513" s="332">
        <f>-Gasto_o_ing_per_capita!K513+Gasto_o_ing_per_capita!$D513</f>
        <v>60.307161169100638</v>
      </c>
      <c r="L513" s="332">
        <f>-Gasto_o_ing_per_capita!L513+Gasto_o_ing_per_capita!$D513</f>
        <v>62.585614563652257</v>
      </c>
      <c r="M513" s="332">
        <f>-Gasto_o_ing_per_capita!M513+Gasto_o_ing_per_capita!$D513</f>
        <v>61.348000413861826</v>
      </c>
      <c r="N513" s="332">
        <f>-Gasto_o_ing_per_capita!N513+Gasto_o_ing_per_capita!$D513</f>
        <v>61.72838464011847</v>
      </c>
      <c r="O513" s="332">
        <f>-Gasto_o_ing_per_capita!O513+Gasto_o_ing_per_capita!$D513</f>
        <v>61.801949710114073</v>
      </c>
      <c r="P513" s="332">
        <f>-Gasto_o_ing_per_capita!P513+Gasto_o_ing_per_capita!$D513</f>
        <v>59.987331207356945</v>
      </c>
      <c r="Q513" s="332">
        <f>-Gasto_o_ing_per_capita!Q513+Gasto_o_ing_per_capita!$D513</f>
        <v>60.351693013363686</v>
      </c>
      <c r="R513" s="332">
        <f>-Gasto_o_ing_per_capita!R513+Gasto_o_ing_per_capita!$D513</f>
        <v>62.893616015036386</v>
      </c>
      <c r="S513" s="332">
        <f>-Gasto_o_ing_per_capita!S513+Gasto_o_ing_per_capita!$D513</f>
        <v>59.754261467540388</v>
      </c>
      <c r="T513" s="332">
        <f>-Gasto_o_ing_per_capita!T513+Gasto_o_ing_per_capita!$D513</f>
        <v>57.763936355353344</v>
      </c>
      <c r="U513" s="332">
        <f>-Gasto_o_ing_per_capita!U513+Gasto_o_ing_per_capita!$D513</f>
        <v>60.733099011738915</v>
      </c>
      <c r="V513" s="332">
        <f>-Gasto_o_ing_per_capita!V513+Gasto_o_ing_per_capita!$D513</f>
        <v>62.634693659137781</v>
      </c>
    </row>
    <row r="514" spans="1:22" s="102" customFormat="1">
      <c r="A514" s="351" t="str">
        <f>IF(B514="","",(IF(ISERROR(MATCH(B514,Tot_res!C:C,0)),"Eliminar!!!","")))</f>
        <v/>
      </c>
      <c r="B514" s="102" t="s">
        <v>445</v>
      </c>
      <c r="C514" s="329" t="str">
        <f>VLOOKUP(B514,Tot_res!C:D,2,FALSE)</f>
        <v>IPSI, Ceuta y Melilla</v>
      </c>
      <c r="D514" s="332">
        <f>-Gasto_o_ing_per_capita!D514+Gasto_o_ing_per_capita!$D514</f>
        <v>0</v>
      </c>
      <c r="E514" s="332">
        <f>-Gasto_o_ing_per_capita!E514+Gasto_o_ing_per_capita!$D514</f>
        <v>4.8252759016735984</v>
      </c>
      <c r="F514" s="332">
        <f>-Gasto_o_ing_per_capita!F514+Gasto_o_ing_per_capita!$D514</f>
        <v>4.8252759016735984</v>
      </c>
      <c r="G514" s="332">
        <f>-Gasto_o_ing_per_capita!G514+Gasto_o_ing_per_capita!$D514</f>
        <v>4.8252759016735984</v>
      </c>
      <c r="H514" s="332">
        <f>-Gasto_o_ing_per_capita!H514+Gasto_o_ing_per_capita!$D514</f>
        <v>4.8252759016735984</v>
      </c>
      <c r="I514" s="332">
        <f>-Gasto_o_ing_per_capita!I514+Gasto_o_ing_per_capita!$D514</f>
        <v>4.8252759016735984</v>
      </c>
      <c r="J514" s="332">
        <f>-Gasto_o_ing_per_capita!J514+Gasto_o_ing_per_capita!$D514</f>
        <v>4.8252759016735984</v>
      </c>
      <c r="K514" s="332">
        <f>-Gasto_o_ing_per_capita!K514+Gasto_o_ing_per_capita!$D514</f>
        <v>4.8252759016735984</v>
      </c>
      <c r="L514" s="332">
        <f>-Gasto_o_ing_per_capita!L514+Gasto_o_ing_per_capita!$D514</f>
        <v>4.8252759016735984</v>
      </c>
      <c r="M514" s="332">
        <f>-Gasto_o_ing_per_capita!M514+Gasto_o_ing_per_capita!$D514</f>
        <v>4.8252759016735984</v>
      </c>
      <c r="N514" s="332">
        <f>-Gasto_o_ing_per_capita!N514+Gasto_o_ing_per_capita!$D514</f>
        <v>4.8252759016735984</v>
      </c>
      <c r="O514" s="332">
        <f>-Gasto_o_ing_per_capita!O514+Gasto_o_ing_per_capita!$D514</f>
        <v>4.8252759016735984</v>
      </c>
      <c r="P514" s="332">
        <f>-Gasto_o_ing_per_capita!P514+Gasto_o_ing_per_capita!$D514</f>
        <v>4.8252759016735984</v>
      </c>
      <c r="Q514" s="332">
        <f>-Gasto_o_ing_per_capita!Q514+Gasto_o_ing_per_capita!$D514</f>
        <v>4.8252759016735984</v>
      </c>
      <c r="R514" s="332">
        <f>-Gasto_o_ing_per_capita!R514+Gasto_o_ing_per_capita!$D514</f>
        <v>4.8252759016735984</v>
      </c>
      <c r="S514" s="332">
        <f>-Gasto_o_ing_per_capita!S514+Gasto_o_ing_per_capita!$D514</f>
        <v>4.8252759016735984</v>
      </c>
      <c r="T514" s="332">
        <f>-Gasto_o_ing_per_capita!T514+Gasto_o_ing_per_capita!$D514</f>
        <v>4.8252759016735984</v>
      </c>
      <c r="U514" s="332">
        <f>-Gasto_o_ing_per_capita!U514+Gasto_o_ing_per_capita!$D514</f>
        <v>4.8252759016735984</v>
      </c>
      <c r="V514" s="332">
        <f>-Gasto_o_ing_per_capita!V514+Gasto_o_ing_per_capita!$D514</f>
        <v>-1323.3058676867568</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-Gasto_o_ing_per_capita!D515+Gasto_o_ing_per_capita!$D515</f>
        <v>0</v>
      </c>
      <c r="E515" s="332">
        <f>-Gasto_o_ing_per_capita!E515+Gasto_o_ing_per_capita!$D515</f>
        <v>0.89600792659350947</v>
      </c>
      <c r="F515" s="332">
        <f>-Gasto_o_ing_per_capita!F515+Gasto_o_ing_per_capita!$D515</f>
        <v>-0.10769423456081073</v>
      </c>
      <c r="G515" s="332">
        <f>-Gasto_o_ing_per_capita!G515+Gasto_o_ing_per_capita!$D515</f>
        <v>-0.49669211517287271</v>
      </c>
      <c r="H515" s="332">
        <f>-Gasto_o_ing_per_capita!H515+Gasto_o_ing_per_capita!$D515</f>
        <v>-0.16021511780272935</v>
      </c>
      <c r="I515" s="332">
        <f>-Gasto_o_ing_per_capita!I515+Gasto_o_ing_per_capita!$D515</f>
        <v>0.63350331498260148</v>
      </c>
      <c r="J515" s="332">
        <f>-Gasto_o_ing_per_capita!J515+Gasto_o_ing_per_capita!$D515</f>
        <v>-0.21305925523122426</v>
      </c>
      <c r="K515" s="332">
        <f>-Gasto_o_ing_per_capita!K515+Gasto_o_ing_per_capita!$D515</f>
        <v>-0.36647764165305374</v>
      </c>
      <c r="L515" s="332">
        <f>-Gasto_o_ing_per_capita!L515+Gasto_o_ing_per_capita!$D515</f>
        <v>0.49049284650396463</v>
      </c>
      <c r="M515" s="332">
        <f>-Gasto_o_ing_per_capita!M515+Gasto_o_ing_per_capita!$D515</f>
        <v>-6.3515455977904756E-2</v>
      </c>
      <c r="N515" s="332">
        <f>-Gasto_o_ing_per_capita!N515+Gasto_o_ing_per_capita!$D515</f>
        <v>0.30307184471465209</v>
      </c>
      <c r="O515" s="332">
        <f>-Gasto_o_ing_per_capita!O515+Gasto_o_ing_per_capita!$D515</f>
        <v>0.78815419824399902</v>
      </c>
      <c r="P515" s="332">
        <f>-Gasto_o_ing_per_capita!P515+Gasto_o_ing_per_capita!$D515</f>
        <v>-8.4390750029728068E-2</v>
      </c>
      <c r="Q515" s="332">
        <f>-Gasto_o_ing_per_capita!Q515+Gasto_o_ing_per_capita!$D515</f>
        <v>-0.73394663509201874</v>
      </c>
      <c r="R515" s="332">
        <f>-Gasto_o_ing_per_capita!R515+Gasto_o_ing_per_capita!$D515</f>
        <v>0.71175875122519128</v>
      </c>
      <c r="S515" s="332">
        <f>-Gasto_o_ing_per_capita!S515+Gasto_o_ing_per_capita!$D515</f>
        <v>-1.36621582928911</v>
      </c>
      <c r="T515" s="332">
        <f>-Gasto_o_ing_per_capita!T515+Gasto_o_ing_per_capita!$D515</f>
        <v>-2.3291849437685075</v>
      </c>
      <c r="U515" s="332">
        <f>-Gasto_o_ing_per_capita!U515+Gasto_o_ing_per_capita!$D515</f>
        <v>-0.85914816603223065</v>
      </c>
      <c r="V515" s="332">
        <f>-Gasto_o_ing_per_capita!V515+Gasto_o_ing_per_capita!$D515</f>
        <v>1.5945108978377962</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-Gasto_o_ing_per_capita!D516+Gasto_o_ing_per_capita!$D516</f>
        <v>0</v>
      </c>
      <c r="E516" s="332">
        <f>-Gasto_o_ing_per_capita!E516+Gasto_o_ing_per_capita!$D516</f>
        <v>4.3893147611237415E-2</v>
      </c>
      <c r="F516" s="332">
        <f>-Gasto_o_ing_per_capita!F516+Gasto_o_ing_per_capita!$D516</f>
        <v>-3.8628497776758142E-2</v>
      </c>
      <c r="G516" s="332">
        <f>-Gasto_o_ing_per_capita!G516+Gasto_o_ing_per_capita!$D516</f>
        <v>2.732571742030554E-2</v>
      </c>
      <c r="H516" s="332">
        <f>-Gasto_o_ing_per_capita!H516+Gasto_o_ing_per_capita!$D516</f>
        <v>-5.6873330823299928E-2</v>
      </c>
      <c r="I516" s="332">
        <f>-Gasto_o_ing_per_capita!I516+Gasto_o_ing_per_capita!$D516</f>
        <v>8.3075558500309343E-2</v>
      </c>
      <c r="J516" s="332">
        <f>-Gasto_o_ing_per_capita!J516+Gasto_o_ing_per_capita!$D516</f>
        <v>7.8340866196519032E-3</v>
      </c>
      <c r="K516" s="332">
        <f>-Gasto_o_ing_per_capita!K516+Gasto_o_ing_per_capita!$D516</f>
        <v>-2.6512648372206127E-2</v>
      </c>
      <c r="L516" s="332">
        <f>-Gasto_o_ing_per_capita!L516+Gasto_o_ing_per_capita!$D516</f>
        <v>1.662734360203677E-2</v>
      </c>
      <c r="M516" s="332">
        <f>-Gasto_o_ing_per_capita!M516+Gasto_o_ing_per_capita!$D516</f>
        <v>-3.2976745358451964E-2</v>
      </c>
      <c r="N516" s="332">
        <f>-Gasto_o_ing_per_capita!N516+Gasto_o_ing_per_capita!$D516</f>
        <v>2.4302202008011142E-2</v>
      </c>
      <c r="O516" s="332">
        <f>-Gasto_o_ing_per_capita!O516+Gasto_o_ing_per_capita!$D516</f>
        <v>2.7751370293118582E-2</v>
      </c>
      <c r="P516" s="332">
        <f>-Gasto_o_ing_per_capita!P516+Gasto_o_ing_per_capita!$D516</f>
        <v>3.9134452965361444E-3</v>
      </c>
      <c r="Q516" s="332">
        <f>-Gasto_o_ing_per_capita!Q516+Gasto_o_ing_per_capita!$D516</f>
        <v>-5.7206736517999901E-2</v>
      </c>
      <c r="R516" s="332">
        <f>-Gasto_o_ing_per_capita!R516+Gasto_o_ing_per_capita!$D516</f>
        <v>5.8583083219118204E-2</v>
      </c>
      <c r="S516" s="332">
        <f>-Gasto_o_ing_per_capita!S516+Gasto_o_ing_per_capita!$D516</f>
        <v>-4.1958905096765586E-2</v>
      </c>
      <c r="T516" s="332">
        <f>-Gasto_o_ing_per_capita!T516+Gasto_o_ing_per_capita!$D516</f>
        <v>-4.017175513675264E-2</v>
      </c>
      <c r="U516" s="332">
        <f>-Gasto_o_ing_per_capita!U516+Gasto_o_ing_per_capita!$D516</f>
        <v>5.2340877128593921E-2</v>
      </c>
      <c r="V516" s="332">
        <f>-Gasto_o_ing_per_capita!V516+Gasto_o_ing_per_capita!$D516</f>
        <v>0.20431956095517256</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0">
        <f>-Gasto_o_ing_per_capita!D518+Gasto_o_ing_per_capita!$D518</f>
        <v>0</v>
      </c>
      <c r="E518" s="110">
        <f>-Gasto_o_ing_per_capita!E518+Gasto_o_ing_per_capita!$D518</f>
        <v>-64.5875121467719</v>
      </c>
      <c r="F518" s="110">
        <f>-Gasto_o_ing_per_capita!F518+Gasto_o_ing_per_capita!$D518</f>
        <v>-106.80962188607093</v>
      </c>
      <c r="G518" s="110">
        <f>-Gasto_o_ing_per_capita!G518+Gasto_o_ing_per_capita!$D518</f>
        <v>-94.626857213060021</v>
      </c>
      <c r="H518" s="110">
        <f>-Gasto_o_ing_per_capita!H518+Gasto_o_ing_per_capita!$D518</f>
        <v>-181.39280327165719</v>
      </c>
      <c r="I518" s="110">
        <f>-Gasto_o_ing_per_capita!I518+Gasto_o_ing_per_capita!$D518</f>
        <v>755.24373378459654</v>
      </c>
      <c r="J518" s="110">
        <f>-Gasto_o_ing_per_capita!J518+Gasto_o_ing_per_capita!$D518</f>
        <v>-67.613177309600843</v>
      </c>
      <c r="K518" s="110">
        <f>-Gasto_o_ing_per_capita!K518+Gasto_o_ing_per_capita!$D518</f>
        <v>-67.924085918576495</v>
      </c>
      <c r="L518" s="110">
        <f>-Gasto_o_ing_per_capita!L518+Gasto_o_ing_per_capita!$D518</f>
        <v>-13.718008341219699</v>
      </c>
      <c r="M518" s="110">
        <f>-Gasto_o_ing_per_capita!M518+Gasto_o_ing_per_capita!$D518</f>
        <v>-116.70471537689076</v>
      </c>
      <c r="N518" s="110">
        <f>-Gasto_o_ing_per_capita!N518+Gasto_o_ing_per_capita!$D518</f>
        <v>-102.77307803351225</v>
      </c>
      <c r="O518" s="110">
        <f>-Gasto_o_ing_per_capita!O518+Gasto_o_ing_per_capita!$D518</f>
        <v>-152.42335217026249</v>
      </c>
      <c r="P518" s="110">
        <f>-Gasto_o_ing_per_capita!P518+Gasto_o_ing_per_capita!$D518</f>
        <v>-98.67343595693508</v>
      </c>
      <c r="Q518" s="110">
        <f>-Gasto_o_ing_per_capita!Q518+Gasto_o_ing_per_capita!$D518</f>
        <v>58.262005379791731</v>
      </c>
      <c r="R518" s="110">
        <f>-Gasto_o_ing_per_capita!R518+Gasto_o_ing_per_capita!$D518</f>
        <v>-120.19633888043771</v>
      </c>
      <c r="S518" s="110">
        <f>-Gasto_o_ing_per_capita!S518+Gasto_o_ing_per_capita!$D518</f>
        <v>548.94887392697422</v>
      </c>
      <c r="T518" s="110">
        <f>-Gasto_o_ing_per_capita!T518+Gasto_o_ing_per_capita!$D518</f>
        <v>376.65874819914677</v>
      </c>
      <c r="U518" s="110">
        <f>-Gasto_o_ing_per_capita!U518+Gasto_o_ing_per_capita!$D518</f>
        <v>-71.54711148105909</v>
      </c>
      <c r="V518" s="110">
        <f>-Gasto_o_ing_per_capita!V518+Gasto_o_ing_per_capita!$D518</f>
        <v>634.16138241837268</v>
      </c>
    </row>
    <row r="519" spans="1:22" s="102" customFormat="1">
      <c r="A519" s="351" t="str">
        <f>IF(B519="","",(IF(ISERROR(MATCH(B519,Tot_res!C:C,0)),"Eliminar!!!","")))</f>
        <v/>
      </c>
      <c r="B519" s="102" t="s">
        <v>447</v>
      </c>
      <c r="C519" s="329" t="str">
        <f>VLOOKUP(B519,Tot_res!C:D,2,FALSE)</f>
        <v>IRPF, sobreesfuerzo fiscal</v>
      </c>
      <c r="D519" s="332">
        <f>-Gasto_o_ing_per_capita!D519+Gasto_o_ing_per_capita!$D519</f>
        <v>0</v>
      </c>
      <c r="E519" s="332">
        <f>-Gasto_o_ing_per_capita!E519+Gasto_o_ing_per_capita!$D519</f>
        <v>-41.783876249661702</v>
      </c>
      <c r="F519" s="332">
        <f>-Gasto_o_ing_per_capita!F519+Gasto_o_ing_per_capita!$D519</f>
        <v>-36.112264835232011</v>
      </c>
      <c r="G519" s="332">
        <f>-Gasto_o_ing_per_capita!G519+Gasto_o_ing_per_capita!$D519</f>
        <v>-39.561570596957232</v>
      </c>
      <c r="H519" s="332">
        <f>-Gasto_o_ing_per_capita!H519+Gasto_o_ing_per_capita!$D519</f>
        <v>-35.63991002030172</v>
      </c>
      <c r="I519" s="332">
        <f>-Gasto_o_ing_per_capita!I519+Gasto_o_ing_per_capita!$D519</f>
        <v>-25.082517316610819</v>
      </c>
      <c r="J519" s="332">
        <f>-Gasto_o_ing_per_capita!J519+Gasto_o_ing_per_capita!$D519</f>
        <v>-5.0687985972556433</v>
      </c>
      <c r="K519" s="332">
        <f>-Gasto_o_ing_per_capita!K519+Gasto_o_ing_per_capita!$D519</f>
        <v>-26.800185140681442</v>
      </c>
      <c r="L519" s="332">
        <f>-Gasto_o_ing_per_capita!L519+Gasto_o_ing_per_capita!$D519</f>
        <v>-13.084894203421655</v>
      </c>
      <c r="M519" s="332">
        <f>-Gasto_o_ing_per_capita!M519+Gasto_o_ing_per_capita!$D519</f>
        <v>-39.605222124507222</v>
      </c>
      <c r="N519" s="332">
        <f>-Gasto_o_ing_per_capita!N519+Gasto_o_ing_per_capita!$D519</f>
        <v>-31.683273465228925</v>
      </c>
      <c r="O519" s="332">
        <f>-Gasto_o_ing_per_capita!O519+Gasto_o_ing_per_capita!$D519</f>
        <v>-37.455139426624164</v>
      </c>
      <c r="P519" s="332">
        <f>-Gasto_o_ing_per_capita!P519+Gasto_o_ing_per_capita!$D519</f>
        <v>-31.327902726869283</v>
      </c>
      <c r="Q519" s="332">
        <f>-Gasto_o_ing_per_capita!Q519+Gasto_o_ing_per_capita!$D519</f>
        <v>26.718986575617564</v>
      </c>
      <c r="R519" s="332">
        <f>-Gasto_o_ing_per_capita!R519+Gasto_o_ing_per_capita!$D519</f>
        <v>-39.559141340140265</v>
      </c>
      <c r="S519" s="332">
        <f>-Gasto_o_ing_per_capita!S519+Gasto_o_ing_per_capita!$D519</f>
        <v>469.81502436335649</v>
      </c>
      <c r="T519" s="332">
        <f>-Gasto_o_ing_per_capita!T519+Gasto_o_ing_per_capita!$D519</f>
        <v>356.26985809149141</v>
      </c>
      <c r="U519" s="332">
        <f>-Gasto_o_ing_per_capita!U519+Gasto_o_ing_per_capita!$D519</f>
        <v>-20.80804874241845</v>
      </c>
      <c r="V519" s="332">
        <f>-Gasto_o_ing_per_capita!V519+Gasto_o_ing_per_capita!$D519</f>
        <v>138.11418538246596</v>
      </c>
    </row>
    <row r="520" spans="1:22" s="102" customFormat="1">
      <c r="A520" s="351" t="str">
        <f>IF(B520="","",(IF(ISERROR(MATCH(B520,Tot_res!C:C,0)),"Eliminar!!!","")))</f>
        <v/>
      </c>
      <c r="B520" s="102" t="s">
        <v>449</v>
      </c>
      <c r="C520" s="329" t="str">
        <f>VLOOKUP(B520,Tot_res!C:D,2,FALSE)</f>
        <v>Sociedades, sobreesfuerzo fiscal</v>
      </c>
      <c r="D520" s="332">
        <f>-Gasto_o_ing_per_capita!D520+Gasto_o_ing_per_capita!$D520</f>
        <v>0</v>
      </c>
      <c r="E520" s="332">
        <f>-Gasto_o_ing_per_capita!E520+Gasto_o_ing_per_capita!$D520</f>
        <v>-2.8457358056234821</v>
      </c>
      <c r="F520" s="332">
        <f>-Gasto_o_ing_per_capita!F520+Gasto_o_ing_per_capita!$D520</f>
        <v>-1.9944348161881607</v>
      </c>
      <c r="G520" s="332">
        <f>-Gasto_o_ing_per_capita!G520+Gasto_o_ing_per_capita!$D520</f>
        <v>-2.250853077249086</v>
      </c>
      <c r="H520" s="332">
        <f>-Gasto_o_ing_per_capita!H520+Gasto_o_ing_per_capita!$D520</f>
        <v>-2.1212706871429368</v>
      </c>
      <c r="I520" s="332">
        <f>-Gasto_o_ing_per_capita!I520+Gasto_o_ing_per_capita!$D520</f>
        <v>-2.6998677599046066</v>
      </c>
      <c r="J520" s="332">
        <f>-Gasto_o_ing_per_capita!J520+Gasto_o_ing_per_capita!$D520</f>
        <v>-1.9958053128691073</v>
      </c>
      <c r="K520" s="332">
        <f>-Gasto_o_ing_per_capita!K520+Gasto_o_ing_per_capita!$D520</f>
        <v>-2.4007171452153999</v>
      </c>
      <c r="L520" s="332">
        <f>-Gasto_o_ing_per_capita!L520+Gasto_o_ing_per_capita!$D520</f>
        <v>-2.8346118026517182</v>
      </c>
      <c r="M520" s="332">
        <f>-Gasto_o_ing_per_capita!M520+Gasto_o_ing_per_capita!$D520</f>
        <v>-1.7867783804887294</v>
      </c>
      <c r="N520" s="332">
        <f>-Gasto_o_ing_per_capita!N520+Gasto_o_ing_per_capita!$D520</f>
        <v>-2.4365567642040218</v>
      </c>
      <c r="O520" s="332">
        <f>-Gasto_o_ing_per_capita!O520+Gasto_o_ing_per_capita!$D520</f>
        <v>-3.0319791804452603</v>
      </c>
      <c r="P520" s="332">
        <f>-Gasto_o_ing_per_capita!P520+Gasto_o_ing_per_capita!$D520</f>
        <v>-2.3742781909396453</v>
      </c>
      <c r="Q520" s="332">
        <f>-Gasto_o_ing_per_capita!Q520+Gasto_o_ing_per_capita!$D520</f>
        <v>-1.1526915886501516</v>
      </c>
      <c r="R520" s="332">
        <f>-Gasto_o_ing_per_capita!R520+Gasto_o_ing_per_capita!$D520</f>
        <v>-2.7404898927318708</v>
      </c>
      <c r="S520" s="332">
        <f>-Gasto_o_ing_per_capita!S520+Gasto_o_ing_per_capita!$D520</f>
        <v>110.63059667539346</v>
      </c>
      <c r="T520" s="332">
        <f>-Gasto_o_ing_per_capita!T520+Gasto_o_ing_per_capita!$D520</f>
        <v>12.342286438193813</v>
      </c>
      <c r="U520" s="332">
        <f>-Gasto_o_ing_per_capita!U520+Gasto_o_ing_per_capita!$D520</f>
        <v>-2.0393839190370429</v>
      </c>
      <c r="V520" s="332">
        <f>-Gasto_o_ing_per_capita!V520+Gasto_o_ing_per_capita!$D520</f>
        <v>-2.5711318867104396</v>
      </c>
    </row>
    <row r="521" spans="1:22" s="102" customFormat="1">
      <c r="A521" s="351" t="str">
        <f>IF(B521="","",(IF(ISERROR(MATCH(B521,Tot_res!C:C,0)),"Eliminar!!!","")))</f>
        <v/>
      </c>
      <c r="B521" s="102" t="s">
        <v>450</v>
      </c>
      <c r="C521" s="329" t="str">
        <f>VLOOKUP(B521,Tot_res!C:D,2,FALSE)</f>
        <v>Sucesiones y donaciones, sobreesfuerzo fiscal</v>
      </c>
      <c r="D521" s="332">
        <f>-Gasto_o_ing_per_capita!D521+Gasto_o_ing_per_capita!$D521</f>
        <v>0</v>
      </c>
      <c r="E521" s="332">
        <f>-Gasto_o_ing_per_capita!E521+Gasto_o_ing_per_capita!$D521</f>
        <v>-3.2041666469978627</v>
      </c>
      <c r="F521" s="332">
        <f>-Gasto_o_ing_per_capita!F521+Gasto_o_ing_per_capita!$D521</f>
        <v>-32.007902938695025</v>
      </c>
      <c r="G521" s="332">
        <f>-Gasto_o_ing_per_capita!G521+Gasto_o_ing_per_capita!$D521</f>
        <v>-22.027773312628568</v>
      </c>
      <c r="H521" s="332">
        <f>-Gasto_o_ing_per_capita!H521+Gasto_o_ing_per_capita!$D521</f>
        <v>-30.998844894049743</v>
      </c>
      <c r="I521" s="332">
        <f>-Gasto_o_ing_per_capita!I521+Gasto_o_ing_per_capita!$D521</f>
        <v>3.6768558858653275</v>
      </c>
      <c r="J521" s="332">
        <f>-Gasto_o_ing_per_capita!J521+Gasto_o_ing_per_capita!$D521</f>
        <v>13.281785873062823</v>
      </c>
      <c r="K521" s="332">
        <f>-Gasto_o_ing_per_capita!K521+Gasto_o_ing_per_capita!$D521</f>
        <v>3.4318072670510364</v>
      </c>
      <c r="L521" s="332">
        <f>-Gasto_o_ing_per_capita!L521+Gasto_o_ing_per_capita!$D521</f>
        <v>11.937029073868676</v>
      </c>
      <c r="M521" s="332">
        <f>-Gasto_o_ing_per_capita!M521+Gasto_o_ing_per_capita!$D521</f>
        <v>14.868446165770241</v>
      </c>
      <c r="N521" s="332">
        <f>-Gasto_o_ing_per_capita!N521+Gasto_o_ing_per_capita!$D521</f>
        <v>13.252426766383891</v>
      </c>
      <c r="O521" s="332">
        <f>-Gasto_o_ing_per_capita!O521+Gasto_o_ing_per_capita!$D521</f>
        <v>5.1528646653630066</v>
      </c>
      <c r="P521" s="332">
        <f>-Gasto_o_ing_per_capita!P521+Gasto_o_ing_per_capita!$D521</f>
        <v>-15.091050840752157</v>
      </c>
      <c r="Q521" s="332">
        <f>-Gasto_o_ing_per_capita!Q521+Gasto_o_ing_per_capita!$D521</f>
        <v>-11.384116511533207</v>
      </c>
      <c r="R521" s="332">
        <f>-Gasto_o_ing_per_capita!R521+Gasto_o_ing_per_capita!$D521</f>
        <v>-28.685479790510168</v>
      </c>
      <c r="S521" s="332">
        <f>-Gasto_o_ing_per_capita!S521+Gasto_o_ing_per_capita!$D521</f>
        <v>-15.226765746823233</v>
      </c>
      <c r="T521" s="332">
        <f>-Gasto_o_ing_per_capita!T521+Gasto_o_ing_per_capita!$D521</f>
        <v>23.258092043571214</v>
      </c>
      <c r="U521" s="332">
        <f>-Gasto_o_ing_per_capita!U521+Gasto_o_ing_per_capita!$D521</f>
        <v>13.336098690169319</v>
      </c>
      <c r="V521" s="332">
        <f>-Gasto_o_ing_per_capita!V521+Gasto_o_ing_per_capita!$D521</f>
        <v>34.517113145633978</v>
      </c>
    </row>
    <row r="522" spans="1:22" s="102" customFormat="1">
      <c r="A522" s="351" t="str">
        <f>IF(B522="","",(IF(ISERROR(MATCH(B522,Tot_res!C:C,0)),"Eliminar!!!","")))</f>
        <v/>
      </c>
      <c r="B522" s="102" t="s">
        <v>652</v>
      </c>
      <c r="C522" s="329" t="str">
        <f>VLOOKUP(B522,Tot_res!C:D,2,FALSE)</f>
        <v>Patrimonio, sobreesfuerzo fiscal</v>
      </c>
      <c r="D522" s="332">
        <f>-Gasto_o_ing_per_capita!D522+Gasto_o_ing_per_capita!$D522</f>
        <v>0</v>
      </c>
      <c r="E522" s="332">
        <f>-Gasto_o_ing_per_capita!E522+Gasto_o_ing_per_capita!$D522</f>
        <v>5.2743314594823579E-2</v>
      </c>
      <c r="F522" s="332">
        <f>-Gasto_o_ing_per_capita!F522+Gasto_o_ing_per_capita!$D522</f>
        <v>5.2743314594823579E-2</v>
      </c>
      <c r="G522" s="332">
        <f>-Gasto_o_ing_per_capita!G522+Gasto_o_ing_per_capita!$D522</f>
        <v>5.2743314594823579E-2</v>
      </c>
      <c r="H522" s="332">
        <f>-Gasto_o_ing_per_capita!H522+Gasto_o_ing_per_capita!$D522</f>
        <v>5.2743314594823579E-2</v>
      </c>
      <c r="I522" s="332">
        <f>-Gasto_o_ing_per_capita!I522+Gasto_o_ing_per_capita!$D522</f>
        <v>5.2743314594823579E-2</v>
      </c>
      <c r="J522" s="332">
        <f>-Gasto_o_ing_per_capita!J522+Gasto_o_ing_per_capita!$D522</f>
        <v>5.2743314594823579E-2</v>
      </c>
      <c r="K522" s="332">
        <f>-Gasto_o_ing_per_capita!K522+Gasto_o_ing_per_capita!$D522</f>
        <v>5.2743314594823579E-2</v>
      </c>
      <c r="L522" s="332">
        <f>-Gasto_o_ing_per_capita!L522+Gasto_o_ing_per_capita!$D522</f>
        <v>5.2743314594823579E-2</v>
      </c>
      <c r="M522" s="332">
        <f>-Gasto_o_ing_per_capita!M522+Gasto_o_ing_per_capita!$D522</f>
        <v>5.2743314594823579E-2</v>
      </c>
      <c r="N522" s="332">
        <f>-Gasto_o_ing_per_capita!N522+Gasto_o_ing_per_capita!$D522</f>
        <v>5.2743314594823579E-2</v>
      </c>
      <c r="O522" s="332">
        <f>-Gasto_o_ing_per_capita!O522+Gasto_o_ing_per_capita!$D522</f>
        <v>5.2743314594823579E-2</v>
      </c>
      <c r="P522" s="332">
        <f>-Gasto_o_ing_per_capita!P522+Gasto_o_ing_per_capita!$D522</f>
        <v>5.2743314594823579E-2</v>
      </c>
      <c r="Q522" s="332">
        <f>-Gasto_o_ing_per_capita!Q522+Gasto_o_ing_per_capita!$D522</f>
        <v>5.2743314594823579E-2</v>
      </c>
      <c r="R522" s="332">
        <f>-Gasto_o_ing_per_capita!R522+Gasto_o_ing_per_capita!$D522</f>
        <v>5.2743314594823579E-2</v>
      </c>
      <c r="S522" s="332">
        <f>-Gasto_o_ing_per_capita!S522+Gasto_o_ing_per_capita!$D522</f>
        <v>5.2743314594823579E-2</v>
      </c>
      <c r="T522" s="332">
        <f>-Gasto_o_ing_per_capita!T522+Gasto_o_ing_per_capita!$D522</f>
        <v>5.2743314594823579E-2</v>
      </c>
      <c r="U522" s="332">
        <f>-Gasto_o_ing_per_capita!U522+Gasto_o_ing_per_capita!$D522</f>
        <v>5.2743314594823579E-2</v>
      </c>
      <c r="V522" s="332">
        <f>-Gasto_o_ing_per_capita!V522+Gasto_o_ing_per_capita!$D522</f>
        <v>-14.46456930273577</v>
      </c>
    </row>
    <row r="523" spans="1:22" s="102" customFormat="1">
      <c r="A523" s="351" t="str">
        <f>IF(B523="","",(IF(ISERROR(MATCH(B523,Tot_res!C:C,0)),"Eliminar!!!","")))</f>
        <v/>
      </c>
      <c r="B523" s="102" t="s">
        <v>1095</v>
      </c>
      <c r="C523" s="329" t="str">
        <f>VLOOKUP(B523,Tot_res!C:D,2,FALSE)</f>
        <v>IH, sobreesfuerzo fiscal</v>
      </c>
      <c r="D523" s="332">
        <f>-Gasto_o_ing_per_capita!D523+Gasto_o_ing_per_capita!$D523</f>
        <v>0</v>
      </c>
      <c r="E523" s="332">
        <f>-Gasto_o_ing_per_capita!E523+Gasto_o_ing_per_capita!$D523</f>
        <v>-4.17502612684547</v>
      </c>
      <c r="F523" s="332">
        <f>-Gasto_o_ing_per_capita!F523+Gasto_o_ing_per_capita!$D523</f>
        <v>18.183704001752396</v>
      </c>
      <c r="G523" s="332">
        <f>-Gasto_o_ing_per_capita!G523+Gasto_o_ing_per_capita!$D523</f>
        <v>-1.6478803013254719</v>
      </c>
      <c r="H523" s="332">
        <f>-Gasto_o_ing_per_capita!H523+Gasto_o_ing_per_capita!$D523</f>
        <v>-9.7375779697297062</v>
      </c>
      <c r="I523" s="332">
        <f>-Gasto_o_ing_per_capita!I523+Gasto_o_ing_per_capita!$D523</f>
        <v>19.977316194658549</v>
      </c>
      <c r="J523" s="332">
        <f>-Gasto_o_ing_per_capita!J523+Gasto_o_ing_per_capita!$D523</f>
        <v>-13.36631326916913</v>
      </c>
      <c r="K523" s="332">
        <f>-Gasto_o_ing_per_capita!K523+Gasto_o_ing_per_capita!$D523</f>
        <v>-11.535836325708349</v>
      </c>
      <c r="L523" s="332">
        <f>-Gasto_o_ing_per_capita!L523+Gasto_o_ing_per_capita!$D523</f>
        <v>-9.3250230387060355</v>
      </c>
      <c r="M523" s="332">
        <f>-Gasto_o_ing_per_capita!M523+Gasto_o_ing_per_capita!$D523</f>
        <v>-6.4136359437737127</v>
      </c>
      <c r="N523" s="332">
        <f>-Gasto_o_ing_per_capita!N523+Gasto_o_ing_per_capita!$D523</f>
        <v>-2.8508675665706527</v>
      </c>
      <c r="O523" s="332">
        <f>-Gasto_o_ing_per_capita!O523+Gasto_o_ing_per_capita!$D523</f>
        <v>-4.6085444406640015</v>
      </c>
      <c r="P523" s="332">
        <f>-Gasto_o_ing_per_capita!P523+Gasto_o_ing_per_capita!$D523</f>
        <v>-4.0412167922532731</v>
      </c>
      <c r="Q523" s="332">
        <f>-Gasto_o_ing_per_capita!Q523+Gasto_o_ing_per_capita!$D523</f>
        <v>10.465205110083751</v>
      </c>
      <c r="R523" s="332">
        <f>-Gasto_o_ing_per_capita!R523+Gasto_o_ing_per_capita!$D523</f>
        <v>-7.6783239665408658</v>
      </c>
      <c r="S523" s="332">
        <f>-Gasto_o_ing_per_capita!S523+Gasto_o_ing_per_capita!$D523</f>
        <v>18.000502341790998</v>
      </c>
      <c r="T523" s="332">
        <f>-Gasto_o_ing_per_capita!T523+Gasto_o_ing_per_capita!$D523</f>
        <v>17.869707942469518</v>
      </c>
      <c r="U523" s="332">
        <f>-Gasto_o_ing_per_capita!U523+Gasto_o_ing_per_capita!$D523</f>
        <v>18.223610410905181</v>
      </c>
      <c r="V523" s="332">
        <f>-Gasto_o_ing_per_capita!V523+Gasto_o_ing_per_capita!$D523</f>
        <v>19.019567254228026</v>
      </c>
    </row>
    <row r="524" spans="1:22" s="102" customFormat="1">
      <c r="A524" s="351" t="str">
        <f>IF(B524="","",(IF(ISERROR(MATCH(B524,Tot_res!C:C,0)),"Eliminar!!!","")))</f>
        <v/>
      </c>
      <c r="B524" s="102" t="s">
        <v>452</v>
      </c>
      <c r="C524" s="329" t="str">
        <f>VLOOKUP(B524,Tot_res!C:D,2,FALSE)</f>
        <v>ITP y AJD, sobreesfuerzo fiscal</v>
      </c>
      <c r="D524" s="332">
        <f>-Gasto_o_ing_per_capita!D524+Gasto_o_ing_per_capita!$D524</f>
        <v>0</v>
      </c>
      <c r="E524" s="332">
        <f>-Gasto_o_ing_per_capita!E524+Gasto_o_ing_per_capita!$D524</f>
        <v>-0.4554430093923445</v>
      </c>
      <c r="F524" s="332">
        <f>-Gasto_o_ing_per_capita!F524+Gasto_o_ing_per_capita!$D524</f>
        <v>4.334736834090835</v>
      </c>
      <c r="G524" s="332">
        <f>-Gasto_o_ing_per_capita!G524+Gasto_o_ing_per_capita!$D524</f>
        <v>0.55936802280203501</v>
      </c>
      <c r="H524" s="332">
        <f>-Gasto_o_ing_per_capita!H524+Gasto_o_ing_per_capita!$D524</f>
        <v>-2.5450710573049573</v>
      </c>
      <c r="I524" s="332">
        <f>-Gasto_o_ing_per_capita!I524+Gasto_o_ing_per_capita!$D524</f>
        <v>7.4137071675745876</v>
      </c>
      <c r="J524" s="332">
        <f>-Gasto_o_ing_per_capita!J524+Gasto_o_ing_per_capita!$D524</f>
        <v>-0.27933051117704633</v>
      </c>
      <c r="K524" s="332">
        <f>-Gasto_o_ing_per_capita!K524+Gasto_o_ing_per_capita!$D524</f>
        <v>-0.7194446141295181</v>
      </c>
      <c r="L524" s="332">
        <f>-Gasto_o_ing_per_capita!L524+Gasto_o_ing_per_capita!$D524</f>
        <v>0.5571594257557182</v>
      </c>
      <c r="M524" s="332">
        <f>-Gasto_o_ing_per_capita!M524+Gasto_o_ing_per_capita!$D524</f>
        <v>-17.101967224731879</v>
      </c>
      <c r="N524" s="332">
        <f>-Gasto_o_ing_per_capita!N524+Gasto_o_ing_per_capita!$D524</f>
        <v>-11.418295778580665</v>
      </c>
      <c r="O524" s="332">
        <f>-Gasto_o_ing_per_capita!O524+Gasto_o_ing_per_capita!$D524</f>
        <v>1.107889854892405</v>
      </c>
      <c r="P524" s="332">
        <f>-Gasto_o_ing_per_capita!P524+Gasto_o_ing_per_capita!$D524</f>
        <v>-5.9588794192473404</v>
      </c>
      <c r="Q524" s="332">
        <f>-Gasto_o_ing_per_capita!Q524+Gasto_o_ing_per_capita!$D524</f>
        <v>14.599656594507957</v>
      </c>
      <c r="R524" s="332">
        <f>-Gasto_o_ing_per_capita!R524+Gasto_o_ing_per_capita!$D524</f>
        <v>0.78319725679922847</v>
      </c>
      <c r="S524" s="332">
        <f>-Gasto_o_ing_per_capita!S524+Gasto_o_ing_per_capita!$D524</f>
        <v>26.910891203990012</v>
      </c>
      <c r="T524" s="332">
        <f>-Gasto_o_ing_per_capita!T524+Gasto_o_ing_per_capita!$D524</f>
        <v>37.404755633997638</v>
      </c>
      <c r="U524" s="332">
        <f>-Gasto_o_ing_per_capita!U524+Gasto_o_ing_per_capita!$D524</f>
        <v>4.380799516122118</v>
      </c>
      <c r="V524" s="332">
        <f>-Gasto_o_ing_per_capita!V524+Gasto_o_ing_per_capita!$D524</f>
        <v>-56.728761621826216</v>
      </c>
    </row>
    <row r="525" spans="1:22" s="102" customFormat="1">
      <c r="A525" s="351" t="str">
        <f>IF(B525="","",(IF(ISERROR(MATCH(B525,Tot_res!C:C,0)),"Eliminar!!!","")))</f>
        <v/>
      </c>
      <c r="B525" s="102" t="s">
        <v>453</v>
      </c>
      <c r="C525" s="329" t="str">
        <f>VLOOKUP(B525,Tot_res!C:D,2,FALSE)</f>
        <v>IVMH, sobreesfuerzo fiscal</v>
      </c>
      <c r="D525" s="332">
        <f>-Gasto_o_ing_per_capita!D525+Gasto_o_ing_per_capita!$D525</f>
        <v>0</v>
      </c>
      <c r="E525" s="332">
        <f>-Gasto_o_ing_per_capita!E525+Gasto_o_ing_per_capita!$D525</f>
        <v>-9.0009309229683171E-2</v>
      </c>
      <c r="F525" s="332">
        <f>-Gasto_o_ing_per_capita!F525+Gasto_o_ing_per_capita!$D525</f>
        <v>8.5599748314448276E-2</v>
      </c>
      <c r="G525" s="332">
        <f>-Gasto_o_ing_per_capita!G525+Gasto_o_ing_per_capita!$D525</f>
        <v>4.3976790474540596E-2</v>
      </c>
      <c r="H525" s="332">
        <f>-Gasto_o_ing_per_capita!H525+Gasto_o_ing_per_capita!$D525</f>
        <v>3.0848495940297732E-2</v>
      </c>
      <c r="I525" s="332">
        <f>-Gasto_o_ing_per_capita!I525+Gasto_o_ing_per_capita!$D525</f>
        <v>9.3693924741637277E-2</v>
      </c>
      <c r="J525" s="332">
        <f>-Gasto_o_ing_per_capita!J525+Gasto_o_ing_per_capita!$D525</f>
        <v>-8.5029525983487703E-2</v>
      </c>
      <c r="K525" s="332">
        <f>-Gasto_o_ing_per_capita!K525+Gasto_o_ing_per_capita!$D525</f>
        <v>-6.1335492773035932E-2</v>
      </c>
      <c r="L525" s="332">
        <f>-Gasto_o_ing_per_capita!L525+Gasto_o_ing_per_capita!$D525</f>
        <v>-2.2517400811242233E-2</v>
      </c>
      <c r="M525" s="332">
        <f>-Gasto_o_ing_per_capita!M525+Gasto_o_ing_per_capita!$D525</f>
        <v>2.3135307836621113E-2</v>
      </c>
      <c r="N525" s="332">
        <f>-Gasto_o_ing_per_capita!N525+Gasto_o_ing_per_capita!$D525</f>
        <v>-8.4066610776858092E-2</v>
      </c>
      <c r="O525" s="332">
        <f>-Gasto_o_ing_per_capita!O525+Gasto_o_ing_per_capita!$D525</f>
        <v>-0.17019990557712897</v>
      </c>
      <c r="P525" s="332">
        <f>-Gasto_o_ing_per_capita!P525+Gasto_o_ing_per_capita!$D525</f>
        <v>2.6856995830115402E-2</v>
      </c>
      <c r="Q525" s="332">
        <f>-Gasto_o_ing_per_capita!Q525+Gasto_o_ing_per_capita!$D525</f>
        <v>5.0253849341970872E-2</v>
      </c>
      <c r="R525" s="332">
        <f>-Gasto_o_ing_per_capita!R525+Gasto_o_ing_per_capita!$D525</f>
        <v>-9.4089452779378524E-2</v>
      </c>
      <c r="S525" s="332">
        <f>-Gasto_o_ing_per_capita!S525+Gasto_o_ing_per_capita!$D525</f>
        <v>0.87505912963654031</v>
      </c>
      <c r="T525" s="332">
        <f>-Gasto_o_ing_per_capita!T525+Gasto_o_ing_per_capita!$D525</f>
        <v>8.4178916061866005E-2</v>
      </c>
      <c r="U525" s="332">
        <f>-Gasto_o_ing_per_capita!U525+Gasto_o_ing_per_capita!$D525</f>
        <v>8.5768295422172236E-2</v>
      </c>
      <c r="V525" s="332">
        <f>-Gasto_o_ing_per_capita!V525+Gasto_o_ing_per_capita!$D525</f>
        <v>8.9370071164117298E-2</v>
      </c>
    </row>
    <row r="526" spans="1:22" s="102" customFormat="1">
      <c r="A526" s="351" t="str">
        <f>IF(B526="","",(IF(ISERROR(MATCH(B526,Tot_res!C:C,0)),"Eliminar!!!","")))</f>
        <v/>
      </c>
      <c r="B526" s="102" t="s">
        <v>455</v>
      </c>
      <c r="C526" s="329" t="str">
        <f>VLOOKUP(B526,Tot_res!C:D,2,FALSE)</f>
        <v>Tasas sobre el juego, sobreesfuerzo fiscal</v>
      </c>
      <c r="D526" s="332">
        <f>-Gasto_o_ing_per_capita!D526+Gasto_o_ing_per_capita!$D526</f>
        <v>0</v>
      </c>
      <c r="E526" s="332">
        <f>-Gasto_o_ing_per_capita!E526+Gasto_o_ing_per_capita!$D526</f>
        <v>-1.3599806898950944</v>
      </c>
      <c r="F526" s="332">
        <f>-Gasto_o_ing_per_capita!F526+Gasto_o_ing_per_capita!$D526</f>
        <v>-6.4937561950785954</v>
      </c>
      <c r="G526" s="332">
        <f>-Gasto_o_ing_per_capita!G526+Gasto_o_ing_per_capita!$D526</f>
        <v>-4.8946581627777892</v>
      </c>
      <c r="H526" s="332">
        <f>-Gasto_o_ing_per_capita!H526+Gasto_o_ing_per_capita!$D526</f>
        <v>4.9463831533900269</v>
      </c>
      <c r="I526" s="332">
        <f>-Gasto_o_ing_per_capita!I526+Gasto_o_ing_per_capita!$D526</f>
        <v>-8.0466615774876846</v>
      </c>
      <c r="J526" s="332">
        <f>-Gasto_o_ing_per_capita!J526+Gasto_o_ing_per_capita!$D526</f>
        <v>-2.33592298510229</v>
      </c>
      <c r="K526" s="332">
        <f>-Gasto_o_ing_per_capita!K526+Gasto_o_ing_per_capita!$D526</f>
        <v>-0.79917265657642389</v>
      </c>
      <c r="L526" s="332">
        <f>-Gasto_o_ing_per_capita!L526+Gasto_o_ing_per_capita!$D526</f>
        <v>2.683605045375602</v>
      </c>
      <c r="M526" s="332">
        <f>-Gasto_o_ing_per_capita!M526+Gasto_o_ing_per_capita!$D526</f>
        <v>-6.3723948213890464</v>
      </c>
      <c r="N526" s="332">
        <f>-Gasto_o_ing_per_capita!N526+Gasto_o_ing_per_capita!$D526</f>
        <v>1.4778666109363419</v>
      </c>
      <c r="O526" s="332">
        <f>-Gasto_o_ing_per_capita!O526+Gasto_o_ing_per_capita!$D526</f>
        <v>-3.4032380488385248</v>
      </c>
      <c r="P526" s="332">
        <f>-Gasto_o_ing_per_capita!P526+Gasto_o_ing_per_capita!$D526</f>
        <v>2.9659163438492806</v>
      </c>
      <c r="Q526" s="332">
        <f>-Gasto_o_ing_per_capita!Q526+Gasto_o_ing_per_capita!$D526</f>
        <v>14.83329468126696</v>
      </c>
      <c r="R526" s="332">
        <f>-Gasto_o_ing_per_capita!R526+Gasto_o_ing_per_capita!$D526</f>
        <v>-3.5074492721883077</v>
      </c>
      <c r="S526" s="332">
        <f>-Gasto_o_ing_per_capita!S526+Gasto_o_ing_per_capita!$D526</f>
        <v>1.6471230693656793</v>
      </c>
      <c r="T526" s="332">
        <f>-Gasto_o_ing_per_capita!T526+Gasto_o_ing_per_capita!$D526</f>
        <v>-7.9974234861077003</v>
      </c>
      <c r="U526" s="332">
        <f>-Gasto_o_ing_per_capita!U526+Gasto_o_ing_per_capita!$D526</f>
        <v>-10.717817525063566</v>
      </c>
      <c r="V526" s="332">
        <f>-Gasto_o_ing_per_capita!V526+Gasto_o_ing_per_capita!$D526</f>
        <v>-0.36529449543866183</v>
      </c>
    </row>
    <row r="527" spans="1:22" s="102" customFormat="1">
      <c r="A527" s="351" t="str">
        <f>IF(B527="","",(IF(ISERROR(MATCH(B527,Tot_res!C:C,0)),"Eliminar!!!","")))</f>
        <v/>
      </c>
      <c r="B527" s="102" t="s">
        <v>456</v>
      </c>
      <c r="C527" s="329" t="str">
        <f>VLOOKUP(B527,Tot_res!C:D,2,FALSE)</f>
        <v>Canarias, sobreesfuerzo fiscal consumo</v>
      </c>
      <c r="D527" s="332">
        <f>-Gasto_o_ing_per_capita!D527+Gasto_o_ing_per_capita!$D527</f>
        <v>0</v>
      </c>
      <c r="E527" s="332">
        <f>-Gasto_o_ing_per_capita!E527+Gasto_o_ing_per_capita!$D527</f>
        <v>-34.732757927425233</v>
      </c>
      <c r="F527" s="332">
        <f>-Gasto_o_ing_per_capita!F527+Gasto_o_ing_per_capita!$D527</f>
        <v>-34.385160493912579</v>
      </c>
      <c r="G527" s="332">
        <f>-Gasto_o_ing_per_capita!G527+Gasto_o_ing_per_capita!$D527</f>
        <v>-32.970544367106825</v>
      </c>
      <c r="H527" s="332">
        <f>-Gasto_o_ing_per_capita!H527+Gasto_o_ing_per_capita!$D527</f>
        <v>-34.872041652700418</v>
      </c>
      <c r="I527" s="332">
        <f>-Gasto_o_ing_per_capita!I527+Gasto_o_ing_per_capita!$D527</f>
        <v>727.27751939720918</v>
      </c>
      <c r="J527" s="332">
        <f>-Gasto_o_ing_per_capita!J527+Gasto_o_ing_per_capita!$D527</f>
        <v>-33.849549155857716</v>
      </c>
      <c r="K527" s="332">
        <f>-Gasto_o_ing_per_capita!K527+Gasto_o_ing_per_capita!$D527</f>
        <v>-33.903063288921061</v>
      </c>
      <c r="L527" s="332">
        <f>-Gasto_o_ing_per_capita!L527+Gasto_o_ing_per_capita!$D527</f>
        <v>-35.045314828636783</v>
      </c>
      <c r="M527" s="332">
        <f>-Gasto_o_ing_per_capita!M527+Gasto_o_ing_per_capita!$D527</f>
        <v>-34.424910570390253</v>
      </c>
      <c r="N527" s="332">
        <f>-Gasto_o_ing_per_capita!N527+Gasto_o_ing_per_capita!$D527</f>
        <v>-34.615538895153627</v>
      </c>
      <c r="O527" s="332">
        <f>-Gasto_o_ing_per_capita!O527+Gasto_o_ing_per_capita!$D527</f>
        <v>-34.652475127195878</v>
      </c>
      <c r="P527" s="332">
        <f>-Gasto_o_ing_per_capita!P527+Gasto_o_ing_per_capita!$D527</f>
        <v>-33.742746805296335</v>
      </c>
      <c r="Q527" s="332">
        <f>-Gasto_o_ing_per_capita!Q527+Gasto_o_ing_per_capita!$D527</f>
        <v>-33.925422618531158</v>
      </c>
      <c r="R527" s="332">
        <f>-Gasto_o_ing_per_capita!R527+Gasto_o_ing_per_capita!$D527</f>
        <v>-35.199781952983095</v>
      </c>
      <c r="S527" s="332">
        <f>-Gasto_o_ing_per_capita!S527+Gasto_o_ing_per_capita!$D527</f>
        <v>-33.625922416966503</v>
      </c>
      <c r="T527" s="332">
        <f>-Gasto_o_ing_per_capita!T527+Gasto_o_ing_per_capita!$D527</f>
        <v>-32.628132025433821</v>
      </c>
      <c r="U527" s="332">
        <f>-Gasto_o_ing_per_capita!U527+Gasto_o_ing_per_capita!$D527</f>
        <v>-34.116610445436763</v>
      </c>
      <c r="V527" s="332">
        <f>-Gasto_o_ing_per_capita!V527+Gasto_o_ing_per_capita!$D527</f>
        <v>-35.070027011823434</v>
      </c>
    </row>
    <row r="528" spans="1:22" s="102" customFormat="1">
      <c r="A528" s="351" t="str">
        <f>IF(B528="","",(IF(ISERROR(MATCH(B528,Tot_res!C:C,0)),"Eliminar!!!","")))</f>
        <v/>
      </c>
      <c r="B528" s="102" t="s">
        <v>457</v>
      </c>
      <c r="C528" s="329" t="str">
        <f>VLOOKUP(B528,Tot_res!C:D,2,FALSE)</f>
        <v>Ceuta y Melilla, sobreesfuerzo fiscal consumo</v>
      </c>
      <c r="D528" s="332">
        <f>-Gasto_o_ing_per_capita!D528+Gasto_o_ing_per_capita!$D528</f>
        <v>0</v>
      </c>
      <c r="E528" s="332">
        <f>-Gasto_o_ing_per_capita!E528+Gasto_o_ing_per_capita!$D528</f>
        <v>-1.8379656583554973</v>
      </c>
      <c r="F528" s="332">
        <f>-Gasto_o_ing_per_capita!F528+Gasto_o_ing_per_capita!$D528</f>
        <v>-1.8379656583554973</v>
      </c>
      <c r="G528" s="332">
        <f>-Gasto_o_ing_per_capita!G528+Gasto_o_ing_per_capita!$D528</f>
        <v>-1.8379656583554973</v>
      </c>
      <c r="H528" s="332">
        <f>-Gasto_o_ing_per_capita!H528+Gasto_o_ing_per_capita!$D528</f>
        <v>-1.8379656583554973</v>
      </c>
      <c r="I528" s="332">
        <f>-Gasto_o_ing_per_capita!I528+Gasto_o_ing_per_capita!$D528</f>
        <v>-1.8379656583554973</v>
      </c>
      <c r="J528" s="332">
        <f>-Gasto_o_ing_per_capita!J528+Gasto_o_ing_per_capita!$D528</f>
        <v>-1.8379656583554973</v>
      </c>
      <c r="K528" s="332">
        <f>-Gasto_o_ing_per_capita!K528+Gasto_o_ing_per_capita!$D528</f>
        <v>-1.8379656583554973</v>
      </c>
      <c r="L528" s="332">
        <f>-Gasto_o_ing_per_capita!L528+Gasto_o_ing_per_capita!$D528</f>
        <v>-1.8379656583554973</v>
      </c>
      <c r="M528" s="332">
        <f>-Gasto_o_ing_per_capita!M528+Gasto_o_ing_per_capita!$D528</f>
        <v>-1.8379656583554973</v>
      </c>
      <c r="N528" s="332">
        <f>-Gasto_o_ing_per_capita!N528+Gasto_o_ing_per_capita!$D528</f>
        <v>-1.8379656583554973</v>
      </c>
      <c r="O528" s="332">
        <f>-Gasto_o_ing_per_capita!O528+Gasto_o_ing_per_capita!$D528</f>
        <v>-1.8379656583554973</v>
      </c>
      <c r="P528" s="332">
        <f>-Gasto_o_ing_per_capita!P528+Gasto_o_ing_per_capita!$D528</f>
        <v>-1.8379656583554973</v>
      </c>
      <c r="Q528" s="332">
        <f>-Gasto_o_ing_per_capita!Q528+Gasto_o_ing_per_capita!$D528</f>
        <v>-1.8379656583554973</v>
      </c>
      <c r="R528" s="332">
        <f>-Gasto_o_ing_per_capita!R528+Gasto_o_ing_per_capita!$D528</f>
        <v>-1.8379656583554973</v>
      </c>
      <c r="S528" s="332">
        <f>-Gasto_o_ing_per_capita!S528+Gasto_o_ing_per_capita!$D528</f>
        <v>-1.8379656583554973</v>
      </c>
      <c r="T528" s="332">
        <f>-Gasto_o_ing_per_capita!T528+Gasto_o_ing_per_capita!$D528</f>
        <v>-1.8379656583554973</v>
      </c>
      <c r="U528" s="332">
        <f>-Gasto_o_ing_per_capita!U528+Gasto_o_ing_per_capita!$D528</f>
        <v>-1.8379656583554973</v>
      </c>
      <c r="V528" s="332">
        <f>-Gasto_o_ing_per_capita!V528+Gasto_o_ing_per_capita!$D528</f>
        <v>504.05215989100265</v>
      </c>
    </row>
    <row r="529" spans="1:22" s="102" customFormat="1">
      <c r="A529" s="351" t="str">
        <f>IF(B529="","",(IF(ISERROR(MATCH(B529,Tot_res!C:C,0)),"Eliminar!!!","")))</f>
        <v/>
      </c>
      <c r="B529" s="102" t="s">
        <v>458</v>
      </c>
      <c r="C529" s="329" t="str">
        <f>VLOOKUP(B529,Tot_res!C:D,2,FALSE)</f>
        <v>Impuesto de matriculación, sobreesfuerzo fiscal</v>
      </c>
      <c r="D529" s="332">
        <f>-Gasto_o_ing_per_capita!D529+Gasto_o_ing_per_capita!$D529</f>
        <v>0</v>
      </c>
      <c r="E529" s="332">
        <f>-Gasto_o_ing_per_capita!E529+Gasto_o_ing_per_capita!$D529</f>
        <v>-4.9920320639279828E-2</v>
      </c>
      <c r="F529" s="332">
        <f>-Gasto_o_ing_per_capita!F529+Gasto_o_ing_per_capita!$D529</f>
        <v>4.2250060757427835E-2</v>
      </c>
      <c r="G529" s="332">
        <f>-Gasto_o_ing_per_capita!G529+Gasto_o_ing_per_capita!$D529</f>
        <v>-2.8435104570770156E-3</v>
      </c>
      <c r="H529" s="332">
        <f>-Gasto_o_ing_per_capita!H529+Gasto_o_ing_per_capita!$D529</f>
        <v>-8.1773463241822553E-2</v>
      </c>
      <c r="I529" s="332">
        <f>-Gasto_o_ing_per_capita!I529+Gasto_o_ing_per_capita!$D529</f>
        <v>4.4709697482583063E-2</v>
      </c>
      <c r="J529" s="332">
        <f>-Gasto_o_ing_per_capita!J529+Gasto_o_ing_per_capita!$D529</f>
        <v>-9.185455500379594E-2</v>
      </c>
      <c r="K529" s="332">
        <f>-Gasto_o_ing_per_capita!K529+Gasto_o_ing_per_capita!$D529</f>
        <v>4.2387808012161007E-2</v>
      </c>
      <c r="L529" s="332">
        <f>-Gasto_o_ing_per_capita!L529+Gasto_o_ing_per_capita!$D529</f>
        <v>4.2702962261591752E-2</v>
      </c>
      <c r="M529" s="332">
        <f>-Gasto_o_ing_per_capita!M529+Gasto_o_ing_per_capita!$D529</f>
        <v>-4.4463345517065211E-2</v>
      </c>
      <c r="N529" s="332">
        <f>-Gasto_o_ing_per_capita!N529+Gasto_o_ing_per_capita!$D529</f>
        <v>4.2475023297000987E-2</v>
      </c>
      <c r="O529" s="332">
        <f>-Gasto_o_ing_per_capita!O529+Gasto_o_ing_per_capita!$D529</f>
        <v>-0.20931186853992284</v>
      </c>
      <c r="P529" s="332">
        <f>-Gasto_o_ing_per_capita!P529+Gasto_o_ing_per_capita!$D529</f>
        <v>4.2451383446119574E-2</v>
      </c>
      <c r="Q529" s="332">
        <f>-Gasto_o_ing_per_capita!Q529+Gasto_o_ing_per_capita!$D529</f>
        <v>4.1821595884885106E-2</v>
      </c>
      <c r="R529" s="332">
        <f>-Gasto_o_ing_per_capita!R529+Gasto_o_ing_per_capita!$D529</f>
        <v>3.3773338361980557E-2</v>
      </c>
      <c r="S529" s="332">
        <f>-Gasto_o_ing_per_capita!S529+Gasto_o_ing_per_capita!$D529</f>
        <v>4.2132988178997514E-2</v>
      </c>
      <c r="T529" s="332">
        <f>-Gasto_o_ing_per_capita!T529+Gasto_o_ing_per_capita!$D529</f>
        <v>4.1706951166114829E-2</v>
      </c>
      <c r="U529" s="332">
        <f>-Gasto_o_ing_per_capita!U529+Gasto_o_ing_per_capita!$D529</f>
        <v>4.2331486604838771E-2</v>
      </c>
      <c r="V529" s="332">
        <f>-Gasto_o_ing_per_capita!V529+Gasto_o_ing_per_capita!$D529</f>
        <v>4.3398815044239862E-2</v>
      </c>
    </row>
    <row r="530" spans="1:22" s="102" customFormat="1">
      <c r="A530" s="351" t="str">
        <f>IF(B530="","",(IF(ISERROR(MATCH(B530,Tot_res!C:C,0)),"Eliminar!!!","")))</f>
        <v/>
      </c>
      <c r="B530" s="102" t="s">
        <v>459</v>
      </c>
      <c r="C530" s="329" t="str">
        <f>VLOOKUP(B530,Tot_res!C:D,2,FALSE)</f>
        <v>Impuestos propios de las CCAA</v>
      </c>
      <c r="D530" s="332">
        <f>-Gasto_o_ing_per_capita!D530+Gasto_o_ing_per_capita!$D530</f>
        <v>0</v>
      </c>
      <c r="E530" s="332">
        <f>-Gasto_o_ing_per_capita!E530+Gasto_o_ing_per_capita!$D530</f>
        <v>25.894626282698937</v>
      </c>
      <c r="F530" s="332">
        <f>-Gasto_o_ing_per_capita!F530+Gasto_o_ing_per_capita!$D530</f>
        <v>-16.677170908118967</v>
      </c>
      <c r="G530" s="332">
        <f>-Gasto_o_ing_per_capita!G530+Gasto_o_ing_per_capita!$D530</f>
        <v>9.9111436459261455</v>
      </c>
      <c r="H530" s="332">
        <f>-Gasto_o_ing_per_capita!H530+Gasto_o_ing_per_capita!$D530</f>
        <v>-68.588322832755495</v>
      </c>
      <c r="I530" s="332">
        <f>-Gasto_o_ing_per_capita!I530+Gasto_o_ing_per_capita!$D530</f>
        <v>34.374200514828587</v>
      </c>
      <c r="J530" s="332">
        <f>-Gasto_o_ing_per_capita!J530+Gasto_o_ing_per_capita!$D530</f>
        <v>-22.037136926484749</v>
      </c>
      <c r="K530" s="332">
        <f>-Gasto_o_ing_per_capita!K530+Gasto_o_ing_per_capita!$D530</f>
        <v>6.6066960141262356</v>
      </c>
      <c r="L530" s="332">
        <f>-Gasto_o_ing_per_capita!L530+Gasto_o_ing_per_capita!$D530</f>
        <v>33.159078769506849</v>
      </c>
      <c r="M530" s="332">
        <f>-Gasto_o_ing_per_capita!M530+Gasto_o_ing_per_capita!$D530</f>
        <v>-24.061702095939012</v>
      </c>
      <c r="N530" s="332">
        <f>-Gasto_o_ing_per_capita!N530+Gasto_o_ing_per_capita!$D530</f>
        <v>-32.672025009854025</v>
      </c>
      <c r="O530" s="332">
        <f>-Gasto_o_ing_per_capita!O530+Gasto_o_ing_per_capita!$D530</f>
        <v>-73.367996348872339</v>
      </c>
      <c r="P530" s="332">
        <f>-Gasto_o_ing_per_capita!P530+Gasto_o_ing_per_capita!$D530</f>
        <v>-7.3873635609418571</v>
      </c>
      <c r="Q530" s="332">
        <f>-Gasto_o_ing_per_capita!Q530+Gasto_o_ing_per_capita!$D530</f>
        <v>39.800240035563888</v>
      </c>
      <c r="R530" s="332">
        <f>-Gasto_o_ing_per_capita!R530+Gasto_o_ing_per_capita!$D530</f>
        <v>-1.7633314639642421</v>
      </c>
      <c r="S530" s="332">
        <f>-Gasto_o_ing_per_capita!S530+Gasto_o_ing_per_capita!$D530</f>
        <v>-28.33454533718745</v>
      </c>
      <c r="T530" s="332">
        <f>-Gasto_o_ing_per_capita!T530+Gasto_o_ing_per_capita!$D530</f>
        <v>-28.201059962502612</v>
      </c>
      <c r="U530" s="332">
        <f>-Gasto_o_ing_per_capita!U530+Gasto_o_ing_per_capita!$D530</f>
        <v>-38.148636904566175</v>
      </c>
      <c r="V530" s="332">
        <f>-Gasto_o_ing_per_capita!V530+Gasto_o_ing_per_capita!$D530</f>
        <v>47.52537217736834</v>
      </c>
    </row>
    <row r="531" spans="1:22" s="102" customFormat="1">
      <c r="A531" s="352"/>
      <c r="C531" s="115"/>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37" t="s">
        <v>425</v>
      </c>
      <c r="D532" s="110">
        <f>-Gasto_o_ing_per_capita!D532+Gasto_o_ing_per_capita!$D532</f>
        <v>0</v>
      </c>
      <c r="E532" s="110">
        <f>-Gasto_o_ing_per_capita!E532+Gasto_o_ing_per_capita!$D532</f>
        <v>93.12465815296963</v>
      </c>
      <c r="F532" s="110">
        <f>-Gasto_o_ing_per_capita!F532+Gasto_o_ing_per_capita!$D532</f>
        <v>-24.336754385905806</v>
      </c>
      <c r="G532" s="110">
        <f>-Gasto_o_ing_per_capita!G532+Gasto_o_ing_per_capita!$D532</f>
        <v>38.98482383545479</v>
      </c>
      <c r="H532" s="110">
        <f>-Gasto_o_ing_per_capita!H532+Gasto_o_ing_per_capita!$D532</f>
        <v>-165.51162857460986</v>
      </c>
      <c r="I532" s="110">
        <f>-Gasto_o_ing_per_capita!I532+Gasto_o_ing_per_capita!$D532</f>
        <v>112.36222012795173</v>
      </c>
      <c r="J532" s="110">
        <f>-Gasto_o_ing_per_capita!J532+Gasto_o_ing_per_capita!$D532</f>
        <v>-39.340646121531449</v>
      </c>
      <c r="K532" s="110">
        <f>-Gasto_o_ing_per_capita!K532+Gasto_o_ing_per_capita!$D532</f>
        <v>36.95599302136236</v>
      </c>
      <c r="L532" s="110">
        <f>-Gasto_o_ing_per_capita!L532+Gasto_o_ing_per_capita!$D532</f>
        <v>52.494388529292053</v>
      </c>
      <c r="M532" s="110">
        <f>-Gasto_o_ing_per_capita!M532+Gasto_o_ing_per_capita!$D532</f>
        <v>-126.13854858703735</v>
      </c>
      <c r="N532" s="110">
        <f>-Gasto_o_ing_per_capita!N532+Gasto_o_ing_per_capita!$D532</f>
        <v>24.916926645611568</v>
      </c>
      <c r="O532" s="110">
        <f>-Gasto_o_ing_per_capita!O532+Gasto_o_ing_per_capita!$D532</f>
        <v>164.67482129647601</v>
      </c>
      <c r="P532" s="110">
        <f>-Gasto_o_ing_per_capita!P532+Gasto_o_ing_per_capita!$D532</f>
        <v>135.74818683173004</v>
      </c>
      <c r="Q532" s="110">
        <f>-Gasto_o_ing_per_capita!Q532+Gasto_o_ing_per_capita!$D532</f>
        <v>-137.03131017225644</v>
      </c>
      <c r="R532" s="110">
        <f>-Gasto_o_ing_per_capita!R532+Gasto_o_ing_per_capita!$D532</f>
        <v>61.710350340358559</v>
      </c>
      <c r="S532" s="110">
        <f>-Gasto_o_ing_per_capita!S532+Gasto_o_ing_per_capita!$D532</f>
        <v>-65.882338474349581</v>
      </c>
      <c r="T532" s="110">
        <f>-Gasto_o_ing_per_capita!T532+Gasto_o_ing_per_capita!$D532</f>
        <v>14.628473282712775</v>
      </c>
      <c r="U532" s="110">
        <f>-Gasto_o_ing_per_capita!U532+Gasto_o_ing_per_capita!$D532</f>
        <v>-13.436688445757227</v>
      </c>
      <c r="V532" s="110">
        <f>-Gasto_o_ing_per_capita!V532+Gasto_o_ing_per_capita!$D532</f>
        <v>328.97900056798142</v>
      </c>
    </row>
    <row r="533" spans="1:22" s="102" customFormat="1">
      <c r="A533" s="351" t="str">
        <f>IF(B533="","",(IF(ISERROR(MATCH(B533,Tot_res!C:C,0)),"Eliminar!!!","")))</f>
        <v/>
      </c>
      <c r="B533" s="102" t="s">
        <v>615</v>
      </c>
      <c r="C533" s="329" t="str">
        <f>VLOOKUP(B533,Tot_res!C:D,2,FALSE)</f>
        <v>Impuestos y tasas municipales</v>
      </c>
      <c r="D533" s="332">
        <f>-Gasto_o_ing_per_capita!D533+Gasto_o_ing_per_capita!$D533</f>
        <v>0</v>
      </c>
      <c r="E533" s="332">
        <f>-Gasto_o_ing_per_capita!E533+Gasto_o_ing_per_capita!$D533</f>
        <v>93.12465815296963</v>
      </c>
      <c r="F533" s="332">
        <f>-Gasto_o_ing_per_capita!F533+Gasto_o_ing_per_capita!$D533</f>
        <v>-24.336754385905806</v>
      </c>
      <c r="G533" s="332">
        <f>-Gasto_o_ing_per_capita!G533+Gasto_o_ing_per_capita!$D533</f>
        <v>38.98482383545479</v>
      </c>
      <c r="H533" s="332">
        <f>-Gasto_o_ing_per_capita!H533+Gasto_o_ing_per_capita!$D533</f>
        <v>-165.51162857460986</v>
      </c>
      <c r="I533" s="332">
        <f>-Gasto_o_ing_per_capita!I533+Gasto_o_ing_per_capita!$D533</f>
        <v>112.36222012795173</v>
      </c>
      <c r="J533" s="332">
        <f>-Gasto_o_ing_per_capita!J533+Gasto_o_ing_per_capita!$D533</f>
        <v>-39.340646121531449</v>
      </c>
      <c r="K533" s="332">
        <f>-Gasto_o_ing_per_capita!K533+Gasto_o_ing_per_capita!$D533</f>
        <v>36.95599302136236</v>
      </c>
      <c r="L533" s="332">
        <f>-Gasto_o_ing_per_capita!L533+Gasto_o_ing_per_capita!$D533</f>
        <v>52.494388529292053</v>
      </c>
      <c r="M533" s="332">
        <f>-Gasto_o_ing_per_capita!M533+Gasto_o_ing_per_capita!$D533</f>
        <v>-126.13854858703735</v>
      </c>
      <c r="N533" s="332">
        <f>-Gasto_o_ing_per_capita!N533+Gasto_o_ing_per_capita!$D533</f>
        <v>24.916926645611568</v>
      </c>
      <c r="O533" s="332">
        <f>-Gasto_o_ing_per_capita!O533+Gasto_o_ing_per_capita!$D533</f>
        <v>164.67482129647601</v>
      </c>
      <c r="P533" s="332">
        <f>-Gasto_o_ing_per_capita!P533+Gasto_o_ing_per_capita!$D533</f>
        <v>135.74818683173004</v>
      </c>
      <c r="Q533" s="332">
        <f>-Gasto_o_ing_per_capita!Q533+Gasto_o_ing_per_capita!$D533</f>
        <v>-137.03131017225644</v>
      </c>
      <c r="R533" s="332">
        <f>-Gasto_o_ing_per_capita!R533+Gasto_o_ing_per_capita!$D533</f>
        <v>61.710350340358559</v>
      </c>
      <c r="S533" s="332">
        <f>-Gasto_o_ing_per_capita!S533+Gasto_o_ing_per_capita!$D533</f>
        <v>-65.882338474349581</v>
      </c>
      <c r="T533" s="332">
        <f>-Gasto_o_ing_per_capita!T533+Gasto_o_ing_per_capita!$D533</f>
        <v>14.628473282712775</v>
      </c>
      <c r="U533" s="332">
        <f>-Gasto_o_ing_per_capita!U533+Gasto_o_ing_per_capita!$D533</f>
        <v>-13.436688445757227</v>
      </c>
      <c r="V533" s="332">
        <f>-Gasto_o_ing_per_capita!V533+Gasto_o_ing_per_capita!$D533</f>
        <v>328.97900056798142</v>
      </c>
    </row>
    <row r="534" spans="1:22" s="102" customFormat="1">
      <c r="A534" s="352"/>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37" t="s">
        <v>94</v>
      </c>
      <c r="D535" s="110">
        <f>-Gasto_o_ing_per_capita!D535+Gasto_o_ing_per_capita!$D535</f>
        <v>0</v>
      </c>
      <c r="E535" s="110">
        <f>-Gasto_o_ing_per_capita!E535+Gasto_o_ing_per_capita!$D535</f>
        <v>1019.9287974295476</v>
      </c>
      <c r="F535" s="110">
        <f>-Gasto_o_ing_per_capita!F535+Gasto_o_ing_per_capita!$D535</f>
        <v>-321.75304047611189</v>
      </c>
      <c r="G535" s="110">
        <f>-Gasto_o_ing_per_capita!G535+Gasto_o_ing_per_capita!$D535</f>
        <v>-136.69018493376734</v>
      </c>
      <c r="H535" s="110">
        <f>-Gasto_o_ing_per_capita!H535+Gasto_o_ing_per_capita!$D535</f>
        <v>-460.44775374917299</v>
      </c>
      <c r="I535" s="110">
        <f>-Gasto_o_ing_per_capita!I535+Gasto_o_ing_per_capita!$D535</f>
        <v>1862.5764793309518</v>
      </c>
      <c r="J535" s="110">
        <f>-Gasto_o_ing_per_capita!J535+Gasto_o_ing_per_capita!$D535</f>
        <v>-133.88491823765071</v>
      </c>
      <c r="K535" s="110">
        <f>-Gasto_o_ing_per_capita!K535+Gasto_o_ing_per_capita!$D535</f>
        <v>242.60741394571687</v>
      </c>
      <c r="L535" s="110">
        <f>-Gasto_o_ing_per_capita!L535+Gasto_o_ing_per_capita!$D535</f>
        <v>963.35162789758897</v>
      </c>
      <c r="M535" s="110">
        <f>-Gasto_o_ing_per_capita!M535+Gasto_o_ing_per_capita!$D535</f>
        <v>-905.93904052428752</v>
      </c>
      <c r="N535" s="110">
        <f>-Gasto_o_ing_per_capita!N535+Gasto_o_ing_per_capita!$D535</f>
        <v>436.63033368187916</v>
      </c>
      <c r="O535" s="110">
        <f>-Gasto_o_ing_per_capita!O535+Gasto_o_ing_per_capita!$D535</f>
        <v>1266.030949034478</v>
      </c>
      <c r="P535" s="110">
        <f>-Gasto_o_ing_per_capita!P535+Gasto_o_ing_per_capita!$D535</f>
        <v>428.54789589429311</v>
      </c>
      <c r="Q535" s="110">
        <f>-Gasto_o_ing_per_capita!Q535+Gasto_o_ing_per_capita!$D535</f>
        <v>-1830.9983257967915</v>
      </c>
      <c r="R535" s="110">
        <f>-Gasto_o_ing_per_capita!R535+Gasto_o_ing_per_capita!$D535</f>
        <v>850.66838808681814</v>
      </c>
      <c r="S535" s="110">
        <f>-Gasto_o_ing_per_capita!S535+Gasto_o_ing_per_capita!$D535</f>
        <v>-265.09515859065868</v>
      </c>
      <c r="T535" s="110">
        <f>-Gasto_o_ing_per_capita!T535+Gasto_o_ing_per_capita!$D535</f>
        <v>-667.43633304838841</v>
      </c>
      <c r="U535" s="110">
        <f>-Gasto_o_ing_per_capita!U535+Gasto_o_ing_per_capita!$D535</f>
        <v>-66.94456684531815</v>
      </c>
      <c r="V535" s="110">
        <f>-Gasto_o_ing_per_capita!V535+Gasto_o_ing_per_capita!$D535</f>
        <v>2047.685669858055</v>
      </c>
    </row>
    <row r="536" spans="1:22" s="102" customFormat="1">
      <c r="A536" s="352"/>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-Gasto_o_ing_per_capita!D537+Gasto_o_ing_per_capita!$D537</f>
        <v>0</v>
      </c>
      <c r="E537" s="110">
        <f>-Gasto_o_ing_per_capita!E537+Gasto_o_ing_per_capita!$D537</f>
        <v>617.58529485428471</v>
      </c>
      <c r="F537" s="110">
        <f>-Gasto_o_ing_per_capita!F537+Gasto_o_ing_per_capita!$D537</f>
        <v>-231.58958033191311</v>
      </c>
      <c r="G537" s="110">
        <f>-Gasto_o_ing_per_capita!G537+Gasto_o_ing_per_capita!$D537</f>
        <v>-21.50309404656673</v>
      </c>
      <c r="H537" s="110">
        <f>-Gasto_o_ing_per_capita!H537+Gasto_o_ing_per_capita!$D537</f>
        <v>-206.04000009011179</v>
      </c>
      <c r="I537" s="110">
        <f>-Gasto_o_ing_per_capita!I537+Gasto_o_ing_per_capita!$D537</f>
        <v>344.65981056872897</v>
      </c>
      <c r="J537" s="110">
        <f>-Gasto_o_ing_per_capita!J537+Gasto_o_ing_per_capita!$D537</f>
        <v>-56.418942768747456</v>
      </c>
      <c r="K537" s="110">
        <f>-Gasto_o_ing_per_capita!K537+Gasto_o_ing_per_capita!$D537</f>
        <v>79.063964736943035</v>
      </c>
      <c r="L537" s="110">
        <f>-Gasto_o_ing_per_capita!L537+Gasto_o_ing_per_capita!$D537</f>
        <v>403.23406822410379</v>
      </c>
      <c r="M537" s="110">
        <f>-Gasto_o_ing_per_capita!M537+Gasto_o_ing_per_capita!$D537</f>
        <v>-430.78150943832679</v>
      </c>
      <c r="N537" s="110">
        <f>-Gasto_o_ing_per_capita!N537+Gasto_o_ing_per_capita!$D537</f>
        <v>351.53005703084364</v>
      </c>
      <c r="O537" s="110">
        <f>-Gasto_o_ing_per_capita!O537+Gasto_o_ing_per_capita!$D537</f>
        <v>682.16200066708575</v>
      </c>
      <c r="P537" s="110">
        <f>-Gasto_o_ing_per_capita!P537+Gasto_o_ing_per_capita!$D537</f>
        <v>211.92876837028962</v>
      </c>
      <c r="Q537" s="110">
        <f>-Gasto_o_ing_per_capita!Q537+Gasto_o_ing_per_capita!$D537</f>
        <v>-708.37372341569198</v>
      </c>
      <c r="R537" s="110">
        <f>-Gasto_o_ing_per_capita!R537+Gasto_o_ing_per_capita!$D537</f>
        <v>515.64709896058639</v>
      </c>
      <c r="S537" s="110">
        <f>-Gasto_o_ing_per_capita!S537+Gasto_o_ing_per_capita!$D537</f>
        <v>-651.87255889390099</v>
      </c>
      <c r="T537" s="110">
        <f>-Gasto_o_ing_per_capita!T537+Gasto_o_ing_per_capita!$D537</f>
        <v>-919.4922953369778</v>
      </c>
      <c r="U537" s="110">
        <f>-Gasto_o_ing_per_capita!U537+Gasto_o_ing_per_capita!$D537</f>
        <v>-144.98389348030378</v>
      </c>
      <c r="V537" s="110">
        <f>-Gasto_o_ing_per_capita!V537+Gasto_o_ing_per_capita!$D537</f>
        <v>500.82536094298439</v>
      </c>
    </row>
    <row r="538" spans="1:22" s="102" customFormat="1">
      <c r="A538" s="351" t="str">
        <f>IF(B538="","",(IF(ISERROR(MATCH(B538,Tot_res!C:C,0)),"Eliminar!!!","")))</f>
        <v/>
      </c>
      <c r="B538" s="102" t="s">
        <v>614</v>
      </c>
      <c r="C538" s="329" t="str">
        <f>VLOOKUP(B538,Tot_res!C:D,2,FALSE)</f>
        <v>Cotizaciones sociales</v>
      </c>
      <c r="D538" s="332">
        <f>-Gasto_o_ing_per_capita!D538+Gasto_o_ing_per_capita!$D538</f>
        <v>0</v>
      </c>
      <c r="E538" s="332">
        <f>-Gasto_o_ing_per_capita!E538+Gasto_o_ing_per_capita!$D538</f>
        <v>617.58529485428471</v>
      </c>
      <c r="F538" s="332">
        <f>-Gasto_o_ing_per_capita!F538+Gasto_o_ing_per_capita!$D538</f>
        <v>-231.58958033191311</v>
      </c>
      <c r="G538" s="332">
        <f>-Gasto_o_ing_per_capita!G538+Gasto_o_ing_per_capita!$D538</f>
        <v>-21.50309404656673</v>
      </c>
      <c r="H538" s="332">
        <f>-Gasto_o_ing_per_capita!H538+Gasto_o_ing_per_capita!$D538</f>
        <v>-206.04000009011179</v>
      </c>
      <c r="I538" s="332">
        <f>-Gasto_o_ing_per_capita!I538+Gasto_o_ing_per_capita!$D538</f>
        <v>344.65981056872897</v>
      </c>
      <c r="J538" s="332">
        <f>-Gasto_o_ing_per_capita!J538+Gasto_o_ing_per_capita!$D538</f>
        <v>-56.418942768747456</v>
      </c>
      <c r="K538" s="332">
        <f>-Gasto_o_ing_per_capita!K538+Gasto_o_ing_per_capita!$D538</f>
        <v>79.063964736943035</v>
      </c>
      <c r="L538" s="332">
        <f>-Gasto_o_ing_per_capita!L538+Gasto_o_ing_per_capita!$D538</f>
        <v>403.23406822410379</v>
      </c>
      <c r="M538" s="332">
        <f>-Gasto_o_ing_per_capita!M538+Gasto_o_ing_per_capita!$D538</f>
        <v>-430.78150943832679</v>
      </c>
      <c r="N538" s="332">
        <f>-Gasto_o_ing_per_capita!N538+Gasto_o_ing_per_capita!$D538</f>
        <v>351.53005703084364</v>
      </c>
      <c r="O538" s="332">
        <f>-Gasto_o_ing_per_capita!O538+Gasto_o_ing_per_capita!$D538</f>
        <v>682.16200066708575</v>
      </c>
      <c r="P538" s="332">
        <f>-Gasto_o_ing_per_capita!P538+Gasto_o_ing_per_capita!$D538</f>
        <v>211.92876837028962</v>
      </c>
      <c r="Q538" s="332">
        <f>-Gasto_o_ing_per_capita!Q538+Gasto_o_ing_per_capita!$D538</f>
        <v>-708.37372341569198</v>
      </c>
      <c r="R538" s="332">
        <f>-Gasto_o_ing_per_capita!R538+Gasto_o_ing_per_capita!$D538</f>
        <v>515.64709896058639</v>
      </c>
      <c r="S538" s="332">
        <f>-Gasto_o_ing_per_capita!S538+Gasto_o_ing_per_capita!$D538</f>
        <v>-651.87255889390099</v>
      </c>
      <c r="T538" s="332">
        <f>-Gasto_o_ing_per_capita!T538+Gasto_o_ing_per_capita!$D538</f>
        <v>-919.4922953369778</v>
      </c>
      <c r="U538" s="332">
        <f>-Gasto_o_ing_per_capita!U538+Gasto_o_ing_per_capita!$D538</f>
        <v>-144.98389348030378</v>
      </c>
      <c r="V538" s="332">
        <f>-Gasto_o_ing_per_capita!V538+Gasto_o_ing_per_capita!$D538</f>
        <v>500.82536094298439</v>
      </c>
    </row>
    <row r="539" spans="1:22">
      <c r="A539" s="352"/>
      <c r="C539" s="25"/>
      <c r="D539" s="19"/>
      <c r="E539" s="19"/>
      <c r="F539" s="19"/>
      <c r="G539" s="19"/>
      <c r="H539" s="19"/>
      <c r="I539" s="19"/>
      <c r="J539" s="19"/>
      <c r="K539" s="19"/>
      <c r="L539" s="19"/>
      <c r="M539" s="19"/>
      <c r="N539" s="19"/>
      <c r="O539" s="19"/>
      <c r="P539" s="19"/>
      <c r="Q539" s="19"/>
      <c r="R539" s="19"/>
      <c r="S539" s="19"/>
      <c r="T539" s="19"/>
      <c r="U539" s="19"/>
      <c r="V539" s="19"/>
    </row>
    <row r="540" spans="1:22" s="102" customFormat="1">
      <c r="A540" s="352"/>
      <c r="C540" s="154" t="s">
        <v>95</v>
      </c>
      <c r="D540" s="110">
        <f>-Gasto_o_ing_per_capita!D540+Gasto_o_ing_per_capita!$D540</f>
        <v>0</v>
      </c>
      <c r="E540" s="110">
        <f>-Gasto_o_ing_per_capita!E540+Gasto_o_ing_per_capita!$D540</f>
        <v>0.11002968765524201</v>
      </c>
      <c r="F540" s="110">
        <f>-Gasto_o_ing_per_capita!F540+Gasto_o_ing_per_capita!$D540</f>
        <v>-1.1854144305289083E-2</v>
      </c>
      <c r="G540" s="110">
        <f>-Gasto_o_ing_per_capita!G540+Gasto_o_ing_per_capita!$D540</f>
        <v>-1.4648438671883923E-2</v>
      </c>
      <c r="H540" s="110">
        <f>-Gasto_o_ing_per_capita!H540+Gasto_o_ing_per_capita!$D540</f>
        <v>-4.2463628526093089E-2</v>
      </c>
      <c r="I540" s="110">
        <f>-Gasto_o_ing_per_capita!I540+Gasto_o_ing_per_capita!$D540</f>
        <v>0.10476679559496915</v>
      </c>
      <c r="J540" s="110">
        <f>-Gasto_o_ing_per_capita!J540+Gasto_o_ing_per_capita!$D540</f>
        <v>-2.3086826453095455E-2</v>
      </c>
      <c r="K540" s="110">
        <f>-Gasto_o_ing_per_capita!K540+Gasto_o_ing_per_capita!$D540</f>
        <v>3.0216136395097237E-2</v>
      </c>
      <c r="L540" s="110">
        <f>-Gasto_o_ing_per_capita!L540+Gasto_o_ing_per_capita!$D540</f>
        <v>0.1150361498367829</v>
      </c>
      <c r="M540" s="110">
        <f>-Gasto_o_ing_per_capita!M540+Gasto_o_ing_per_capita!$D540</f>
        <v>-0.10326203011959478</v>
      </c>
      <c r="N540" s="110">
        <f>-Gasto_o_ing_per_capita!N540+Gasto_o_ing_per_capita!$D540</f>
        <v>3.1331305786466146E-2</v>
      </c>
      <c r="O540" s="110">
        <f>-Gasto_o_ing_per_capita!O540+Gasto_o_ing_per_capita!$D540</f>
        <v>0.14450477327250155</v>
      </c>
      <c r="P540" s="110">
        <f>-Gasto_o_ing_per_capita!P540+Gasto_o_ing_per_capita!$D540</f>
        <v>3.9613121610273083E-2</v>
      </c>
      <c r="Q540" s="110">
        <f>-Gasto_o_ing_per_capita!Q540+Gasto_o_ing_per_capita!$D540</f>
        <v>-0.13665434235622342</v>
      </c>
      <c r="R540" s="110">
        <f>-Gasto_o_ing_per_capita!R540+Gasto_o_ing_per_capita!$D540</f>
        <v>0.11635542215890382</v>
      </c>
      <c r="S540" s="110">
        <f>-Gasto_o_ing_per_capita!S540+Gasto_o_ing_per_capita!$D540</f>
        <v>-7.9433810173668462E-2</v>
      </c>
      <c r="T540" s="110">
        <f>-Gasto_o_ing_per_capita!T540+Gasto_o_ing_per_capita!$D540</f>
        <v>-0.12373875565981507</v>
      </c>
      <c r="U540" s="110">
        <f>-Gasto_o_ing_per_capita!U540+Gasto_o_ing_per_capita!$D540</f>
        <v>-5.9016326914616002E-3</v>
      </c>
      <c r="V540" s="110">
        <f>-Gasto_o_ing_per_capita!V540+Gasto_o_ing_per_capita!$D540</f>
        <v>0.11880988286156935</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-Gasto_o_ing_per_capita!D541+Gasto_o_ing_per_capita!$D541</f>
        <v>0</v>
      </c>
      <c r="E541" s="332">
        <f>-Gasto_o_ing_per_capita!E541+Gasto_o_ing_per_capita!$D541</f>
        <v>0</v>
      </c>
      <c r="F541" s="332">
        <f>-Gasto_o_ing_per_capita!F541+Gasto_o_ing_per_capita!$D541</f>
        <v>0</v>
      </c>
      <c r="G541" s="332">
        <f>-Gasto_o_ing_per_capita!G541+Gasto_o_ing_per_capita!$D541</f>
        <v>0</v>
      </c>
      <c r="H541" s="332">
        <f>-Gasto_o_ing_per_capita!H541+Gasto_o_ing_per_capita!$D541</f>
        <v>0</v>
      </c>
      <c r="I541" s="332">
        <f>-Gasto_o_ing_per_capita!I541+Gasto_o_ing_per_capita!$D541</f>
        <v>0</v>
      </c>
      <c r="J541" s="332">
        <f>-Gasto_o_ing_per_capita!J541+Gasto_o_ing_per_capita!$D541</f>
        <v>0</v>
      </c>
      <c r="K541" s="332">
        <f>-Gasto_o_ing_per_capita!K541+Gasto_o_ing_per_capita!$D541</f>
        <v>0</v>
      </c>
      <c r="L541" s="332">
        <f>-Gasto_o_ing_per_capita!L541+Gasto_o_ing_per_capita!$D541</f>
        <v>0</v>
      </c>
      <c r="M541" s="332">
        <f>-Gasto_o_ing_per_capita!M541+Gasto_o_ing_per_capita!$D541</f>
        <v>0</v>
      </c>
      <c r="N541" s="332">
        <f>-Gasto_o_ing_per_capita!N541+Gasto_o_ing_per_capita!$D541</f>
        <v>0</v>
      </c>
      <c r="O541" s="332">
        <f>-Gasto_o_ing_per_capita!O541+Gasto_o_ing_per_capita!$D541</f>
        <v>0</v>
      </c>
      <c r="P541" s="332">
        <f>-Gasto_o_ing_per_capita!P541+Gasto_o_ing_per_capita!$D541</f>
        <v>0</v>
      </c>
      <c r="Q541" s="332">
        <f>-Gasto_o_ing_per_capita!Q541+Gasto_o_ing_per_capita!$D541</f>
        <v>0</v>
      </c>
      <c r="R541" s="332">
        <f>-Gasto_o_ing_per_capita!R541+Gasto_o_ing_per_capita!$D541</f>
        <v>0</v>
      </c>
      <c r="S541" s="332">
        <f>-Gasto_o_ing_per_capita!S541+Gasto_o_ing_per_capita!$D541</f>
        <v>0</v>
      </c>
      <c r="T541" s="332">
        <f>-Gasto_o_ing_per_capita!T541+Gasto_o_ing_per_capita!$D541</f>
        <v>0</v>
      </c>
      <c r="U541" s="332">
        <f>-Gasto_o_ing_per_capita!U541+Gasto_o_ing_per_capita!$D541</f>
        <v>0</v>
      </c>
      <c r="V541" s="332">
        <f>-Gasto_o_ing_per_capita!V541+Gasto_o_ing_per_capita!$D541</f>
        <v>0</v>
      </c>
    </row>
    <row r="542" spans="1:22" s="102" customFormat="1">
      <c r="A542" s="351" t="str">
        <f>IF(B542="","",(IF(ISERROR(MATCH(B542,Tot_res!C:C,0)),"Eliminar!!!","")))</f>
        <v/>
      </c>
      <c r="B542" s="102" t="s">
        <v>462</v>
      </c>
      <c r="C542" s="329" t="str">
        <f>VLOOKUP(B542,Tot_res!C:D,2,FALSE)</f>
        <v>Tasas, CNMV</v>
      </c>
      <c r="D542" s="332">
        <f>-Gasto_o_ing_per_capita!D542+Gasto_o_ing_per_capita!$D542</f>
        <v>0</v>
      </c>
      <c r="E542" s="332">
        <f>-Gasto_o_ing_per_capita!E542+Gasto_o_ing_per_capita!$D542</f>
        <v>0.11121323014978124</v>
      </c>
      <c r="F542" s="332">
        <f>-Gasto_o_ing_per_capita!F542+Gasto_o_ing_per_capita!$D542</f>
        <v>-1.212109876824452E-2</v>
      </c>
      <c r="G542" s="332">
        <f>-Gasto_o_ing_per_capita!G542+Gasto_o_ing_per_capita!$D542</f>
        <v>-1.4813703353427465E-2</v>
      </c>
      <c r="H542" s="332">
        <f>-Gasto_o_ing_per_capita!H542+Gasto_o_ing_per_capita!$D542</f>
        <v>-4.2883425519607332E-2</v>
      </c>
      <c r="I542" s="332">
        <f>-Gasto_o_ing_per_capita!I542+Gasto_o_ing_per_capita!$D542</f>
        <v>0.10583954040978683</v>
      </c>
      <c r="J542" s="332">
        <f>-Gasto_o_ing_per_capita!J542+Gasto_o_ing_per_capita!$D542</f>
        <v>-2.3209609409104326E-2</v>
      </c>
      <c r="K542" s="332">
        <f>-Gasto_o_ing_per_capita!K542+Gasto_o_ing_per_capita!$D542</f>
        <v>3.0433990440168479E-2</v>
      </c>
      <c r="L542" s="332">
        <f>-Gasto_o_ing_per_capita!L542+Gasto_o_ing_per_capita!$D542</f>
        <v>0.11619681741323618</v>
      </c>
      <c r="M542" s="332">
        <f>-Gasto_o_ing_per_capita!M542+Gasto_o_ing_per_capita!$D542</f>
        <v>-0.10426333933965903</v>
      </c>
      <c r="N542" s="332">
        <f>-Gasto_o_ing_per_capita!N542+Gasto_o_ing_per_capita!$D542</f>
        <v>3.1793726211777007E-2</v>
      </c>
      <c r="O542" s="332">
        <f>-Gasto_o_ing_per_capita!O542+Gasto_o_ing_per_capita!$D542</f>
        <v>0.14602805066382007</v>
      </c>
      <c r="P542" s="332">
        <f>-Gasto_o_ing_per_capita!P542+Gasto_o_ing_per_capita!$D542</f>
        <v>4.0030224758254351E-2</v>
      </c>
      <c r="Q542" s="332">
        <f>-Gasto_o_ing_per_capita!Q542+Gasto_o_ing_per_capita!$D542</f>
        <v>-0.13816927148274294</v>
      </c>
      <c r="R542" s="332">
        <f>-Gasto_o_ing_per_capita!R542+Gasto_o_ing_per_capita!$D542</f>
        <v>0.11756845151070827</v>
      </c>
      <c r="S542" s="332">
        <f>-Gasto_o_ing_per_capita!S542+Gasto_o_ing_per_capita!$D542</f>
        <v>-8.0447613203071811E-2</v>
      </c>
      <c r="T542" s="332">
        <f>-Gasto_o_ing_per_capita!T542+Gasto_o_ing_per_capita!$D542</f>
        <v>-0.12521329897999767</v>
      </c>
      <c r="U542" s="332">
        <f>-Gasto_o_ing_per_capita!U542+Gasto_o_ing_per_capita!$D542</f>
        <v>-5.9802603642020724E-3</v>
      </c>
      <c r="V542" s="332">
        <f>-Gasto_o_ing_per_capita!V542+Gasto_o_ing_per_capita!$D542</f>
        <v>0.12005765064769514</v>
      </c>
    </row>
    <row r="543" spans="1:22" s="102" customFormat="1">
      <c r="A543" s="351" t="str">
        <f>IF(B543="","",(IF(ISERROR(MATCH(B543,Tot_res!C:C,0)),"Eliminar!!!","")))</f>
        <v/>
      </c>
      <c r="B543" s="102" t="s">
        <v>1231</v>
      </c>
      <c r="C543" s="329" t="str">
        <f>VLOOKUP(B543,Tot_res!C:D,2,FALSE)</f>
        <v>Tasas, CNMC</v>
      </c>
      <c r="D543" s="332">
        <f>-Gasto_o_ing_per_capita!D543+Gasto_o_ing_per_capita!$D543</f>
        <v>0</v>
      </c>
      <c r="E543" s="332">
        <f>-Gasto_o_ing_per_capita!E543+Gasto_o_ing_per_capita!$D543</f>
        <v>-1.1835424947426627E-3</v>
      </c>
      <c r="F543" s="332">
        <f>-Gasto_o_ing_per_capita!F543+Gasto_o_ing_per_capita!$D543</f>
        <v>2.6695446288955982E-4</v>
      </c>
      <c r="G543" s="332">
        <f>-Gasto_o_ing_per_capita!G543+Gasto_o_ing_per_capita!$D543</f>
        <v>1.652646814157676E-4</v>
      </c>
      <c r="H543" s="332">
        <f>-Gasto_o_ing_per_capita!H543+Gasto_o_ing_per_capita!$D543</f>
        <v>4.1979699340769124E-4</v>
      </c>
      <c r="I543" s="332">
        <f>-Gasto_o_ing_per_capita!I543+Gasto_o_ing_per_capita!$D543</f>
        <v>-1.0727448148630057E-3</v>
      </c>
      <c r="J543" s="332">
        <f>-Gasto_o_ing_per_capita!J543+Gasto_o_ing_per_capita!$D543</f>
        <v>1.2278295588116078E-4</v>
      </c>
      <c r="K543" s="332">
        <f>-Gasto_o_ing_per_capita!K543+Gasto_o_ing_per_capita!$D543</f>
        <v>-2.1785404518895844E-4</v>
      </c>
      <c r="L543" s="332">
        <f>-Gasto_o_ing_per_capita!L543+Gasto_o_ing_per_capita!$D543</f>
        <v>-1.1606675765869611E-3</v>
      </c>
      <c r="M543" s="332">
        <f>-Gasto_o_ing_per_capita!M543+Gasto_o_ing_per_capita!$D543</f>
        <v>1.0013092199691823E-3</v>
      </c>
      <c r="N543" s="332">
        <f>-Gasto_o_ing_per_capita!N543+Gasto_o_ing_per_capita!$D543</f>
        <v>-4.6242042540957026E-4</v>
      </c>
      <c r="O543" s="332">
        <f>-Gasto_o_ing_per_capita!O543+Gasto_o_ing_per_capita!$D543</f>
        <v>-1.5232773914669751E-3</v>
      </c>
      <c r="P543" s="332">
        <f>-Gasto_o_ing_per_capita!P543+Gasto_o_ing_per_capita!$D543</f>
        <v>-4.17103148028862E-4</v>
      </c>
      <c r="Q543" s="332">
        <f>-Gasto_o_ing_per_capita!Q543+Gasto_o_ing_per_capita!$D543</f>
        <v>1.5149291263586162E-3</v>
      </c>
      <c r="R543" s="332">
        <f>-Gasto_o_ing_per_capita!R543+Gasto_o_ing_per_capita!$D543</f>
        <v>-1.2130293519901792E-3</v>
      </c>
      <c r="S543" s="332">
        <f>-Gasto_o_ing_per_capita!S543+Gasto_o_ing_per_capita!$D543</f>
        <v>1.0138030291440125E-3</v>
      </c>
      <c r="T543" s="332">
        <f>-Gasto_o_ing_per_capita!T543+Gasto_o_ing_per_capita!$D543</f>
        <v>1.4745433200157327E-3</v>
      </c>
      <c r="U543" s="332">
        <f>-Gasto_o_ing_per_capita!U543+Gasto_o_ing_per_capita!$D543</f>
        <v>7.8627672595163109E-5</v>
      </c>
      <c r="V543" s="332">
        <f>-Gasto_o_ing_per_capita!V543+Gasto_o_ing_per_capita!$D543</f>
        <v>-1.2477677862622709E-3</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-Gasto_o_ing_per_capita!D544+Gasto_o_ing_per_capita!$D544</f>
        <v>0</v>
      </c>
      <c r="E544" s="332">
        <f>-Gasto_o_ing_per_capita!E544+Gasto_o_ing_per_capita!$D544</f>
        <v>0</v>
      </c>
      <c r="F544" s="332">
        <f>-Gasto_o_ing_per_capita!F544+Gasto_o_ing_per_capita!$D544</f>
        <v>0</v>
      </c>
      <c r="G544" s="332">
        <f>-Gasto_o_ing_per_capita!G544+Gasto_o_ing_per_capita!$D544</f>
        <v>0</v>
      </c>
      <c r="H544" s="332">
        <f>-Gasto_o_ing_per_capita!H544+Gasto_o_ing_per_capita!$D544</f>
        <v>0</v>
      </c>
      <c r="I544" s="332">
        <f>-Gasto_o_ing_per_capita!I544+Gasto_o_ing_per_capita!$D544</f>
        <v>0</v>
      </c>
      <c r="J544" s="332">
        <f>-Gasto_o_ing_per_capita!J544+Gasto_o_ing_per_capita!$D544</f>
        <v>0</v>
      </c>
      <c r="K544" s="332">
        <f>-Gasto_o_ing_per_capita!K544+Gasto_o_ing_per_capita!$D544</f>
        <v>0</v>
      </c>
      <c r="L544" s="332">
        <f>-Gasto_o_ing_per_capita!L544+Gasto_o_ing_per_capita!$D544</f>
        <v>0</v>
      </c>
      <c r="M544" s="332">
        <f>-Gasto_o_ing_per_capita!M544+Gasto_o_ing_per_capita!$D544</f>
        <v>0</v>
      </c>
      <c r="N544" s="332">
        <f>-Gasto_o_ing_per_capita!N544+Gasto_o_ing_per_capita!$D544</f>
        <v>0</v>
      </c>
      <c r="O544" s="332">
        <f>-Gasto_o_ing_per_capita!O544+Gasto_o_ing_per_capita!$D544</f>
        <v>0</v>
      </c>
      <c r="P544" s="332">
        <f>-Gasto_o_ing_per_capita!P544+Gasto_o_ing_per_capita!$D544</f>
        <v>0</v>
      </c>
      <c r="Q544" s="332">
        <f>-Gasto_o_ing_per_capita!Q544+Gasto_o_ing_per_capita!$D544</f>
        <v>0</v>
      </c>
      <c r="R544" s="332">
        <f>-Gasto_o_ing_per_capita!R544+Gasto_o_ing_per_capita!$D544</f>
        <v>0</v>
      </c>
      <c r="S544" s="332">
        <f>-Gasto_o_ing_per_capita!S544+Gasto_o_ing_per_capita!$D544</f>
        <v>0</v>
      </c>
      <c r="T544" s="332">
        <f>-Gasto_o_ing_per_capita!T544+Gasto_o_ing_per_capita!$D544</f>
        <v>0</v>
      </c>
      <c r="U544" s="332">
        <f>-Gasto_o_ing_per_capita!U544+Gasto_o_ing_per_capita!$D544</f>
        <v>0</v>
      </c>
      <c r="V544" s="332">
        <f>-Gasto_o_ing_per_capita!V544+Gasto_o_ing_per_capita!$D544</f>
        <v>0</v>
      </c>
    </row>
    <row r="545" spans="1:22" s="102" customFormat="1">
      <c r="A545" s="351" t="str">
        <f>IF(B545="","",(IF(ISERROR(MATCH(B545,Tot_res!C:C,0)),"Eliminar!!!","")))</f>
        <v/>
      </c>
      <c r="B545" s="102" t="s">
        <v>463</v>
      </c>
      <c r="C545" s="329" t="str">
        <f>VLOOKUP(B545,Tot_res!C:D,2,FALSE)</f>
        <v>Ingresos del Banco de España, BdE</v>
      </c>
      <c r="D545" s="332">
        <f>-Gasto_o_ing_per_capita!D545+Gasto_o_ing_per_capita!$D545</f>
        <v>0</v>
      </c>
      <c r="E545" s="332">
        <f>-Gasto_o_ing_per_capita!E545+Gasto_o_ing_per_capita!$D545</f>
        <v>0</v>
      </c>
      <c r="F545" s="332">
        <f>-Gasto_o_ing_per_capita!F545+Gasto_o_ing_per_capita!$D545</f>
        <v>0</v>
      </c>
      <c r="G545" s="332">
        <f>-Gasto_o_ing_per_capita!G545+Gasto_o_ing_per_capita!$D545</f>
        <v>0</v>
      </c>
      <c r="H545" s="332">
        <f>-Gasto_o_ing_per_capita!H545+Gasto_o_ing_per_capita!$D545</f>
        <v>0</v>
      </c>
      <c r="I545" s="332">
        <f>-Gasto_o_ing_per_capita!I545+Gasto_o_ing_per_capita!$D545</f>
        <v>0</v>
      </c>
      <c r="J545" s="332">
        <f>-Gasto_o_ing_per_capita!J545+Gasto_o_ing_per_capita!$D545</f>
        <v>0</v>
      </c>
      <c r="K545" s="332">
        <f>-Gasto_o_ing_per_capita!K545+Gasto_o_ing_per_capita!$D545</f>
        <v>0</v>
      </c>
      <c r="L545" s="332">
        <f>-Gasto_o_ing_per_capita!L545+Gasto_o_ing_per_capita!$D545</f>
        <v>0</v>
      </c>
      <c r="M545" s="332">
        <f>-Gasto_o_ing_per_capita!M545+Gasto_o_ing_per_capita!$D545</f>
        <v>0</v>
      </c>
      <c r="N545" s="332">
        <f>-Gasto_o_ing_per_capita!N545+Gasto_o_ing_per_capita!$D545</f>
        <v>0</v>
      </c>
      <c r="O545" s="332">
        <f>-Gasto_o_ing_per_capita!O545+Gasto_o_ing_per_capita!$D545</f>
        <v>0</v>
      </c>
      <c r="P545" s="332">
        <f>-Gasto_o_ing_per_capita!P545+Gasto_o_ing_per_capita!$D545</f>
        <v>0</v>
      </c>
      <c r="Q545" s="332">
        <f>-Gasto_o_ing_per_capita!Q545+Gasto_o_ing_per_capita!$D545</f>
        <v>0</v>
      </c>
      <c r="R545" s="332">
        <f>-Gasto_o_ing_per_capita!R545+Gasto_o_ing_per_capita!$D545</f>
        <v>0</v>
      </c>
      <c r="S545" s="332">
        <f>-Gasto_o_ing_per_capita!S545+Gasto_o_ing_per_capita!$D545</f>
        <v>0</v>
      </c>
      <c r="T545" s="332">
        <f>-Gasto_o_ing_per_capita!T545+Gasto_o_ing_per_capita!$D545</f>
        <v>0</v>
      </c>
      <c r="U545" s="332">
        <f>-Gasto_o_ing_per_capita!U545+Gasto_o_ing_per_capita!$D545</f>
        <v>0</v>
      </c>
      <c r="V545" s="332">
        <f>-Gasto_o_ing_per_capita!V545+Gasto_o_ing_per_capita!$D545</f>
        <v>0</v>
      </c>
    </row>
    <row r="546" spans="1:22" s="102" customFormat="1">
      <c r="A546" s="349" t="s">
        <v>1086</v>
      </c>
      <c r="C546" s="154"/>
      <c r="D546" s="116"/>
      <c r="E546" s="116"/>
      <c r="F546" s="116"/>
      <c r="G546" s="116"/>
      <c r="H546" s="116"/>
      <c r="I546" s="116"/>
      <c r="J546" s="116"/>
      <c r="K546" s="116"/>
      <c r="L546" s="116"/>
      <c r="M546" s="116"/>
      <c r="N546" s="116"/>
      <c r="O546" s="116"/>
      <c r="P546" s="116"/>
      <c r="Q546" s="116"/>
      <c r="R546" s="116"/>
      <c r="S546" s="116"/>
      <c r="T546" s="116"/>
      <c r="U546" s="116"/>
      <c r="V546" s="116"/>
    </row>
    <row r="547" spans="1:22" s="102" customFormat="1">
      <c r="A547" s="349" t="str">
        <f>IF(B547="","",(IF(ISERROR(MATCH(B547,Tot_res!C:C,0)),"Eliminar!!!","")))</f>
        <v/>
      </c>
      <c r="D547" s="116"/>
      <c r="E547" s="116"/>
      <c r="F547" s="116"/>
      <c r="G547" s="116"/>
      <c r="H547" s="116"/>
      <c r="I547" s="116"/>
      <c r="J547" s="116"/>
      <c r="K547" s="116"/>
      <c r="L547" s="116"/>
      <c r="M547" s="116"/>
      <c r="N547" s="116"/>
      <c r="O547" s="116"/>
      <c r="P547" s="116"/>
      <c r="Q547" s="116"/>
      <c r="R547" s="116"/>
      <c r="S547" s="116"/>
      <c r="T547" s="116"/>
      <c r="U547" s="116"/>
      <c r="V547" s="116"/>
    </row>
    <row r="548" spans="1:22" s="102" customFormat="1">
      <c r="A548" s="349" t="str">
        <f>IF(B548="","",(IF(ISERROR(MATCH(B548,Tot_res!C:C,0)),"Eliminar!!!","")))</f>
        <v/>
      </c>
      <c r="C548" s="103" t="s">
        <v>96</v>
      </c>
      <c r="D548" s="110">
        <f>-Gasto_o_ing_per_capita!D548+Gasto_o_ing_per_capita!$D548</f>
        <v>0</v>
      </c>
      <c r="E548" s="110">
        <f>-Gasto_o_ing_per_capita!E548+Gasto_o_ing_per_capita!$D548</f>
        <v>1637.6241219714866</v>
      </c>
      <c r="F548" s="110">
        <f>-Gasto_o_ing_per_capita!F548+Gasto_o_ing_per_capita!$D548</f>
        <v>-553.35447495233257</v>
      </c>
      <c r="G548" s="110">
        <f>-Gasto_o_ing_per_capita!G548+Gasto_o_ing_per_capita!$D548</f>
        <v>-158.20792741900823</v>
      </c>
      <c r="H548" s="110">
        <f>-Gasto_o_ing_per_capita!H548+Gasto_o_ing_per_capita!$D548</f>
        <v>-666.53021746781178</v>
      </c>
      <c r="I548" s="110">
        <f>-Gasto_o_ing_per_capita!I548+Gasto_o_ing_per_capita!$D548</f>
        <v>2207.3410566952753</v>
      </c>
      <c r="J548" s="110">
        <f>-Gasto_o_ing_per_capita!J548+Gasto_o_ing_per_capita!$D548</f>
        <v>-190.32694783285388</v>
      </c>
      <c r="K548" s="110">
        <f>-Gasto_o_ing_per_capita!K548+Gasto_o_ing_per_capita!$D548</f>
        <v>321.70159481905375</v>
      </c>
      <c r="L548" s="110">
        <f>-Gasto_o_ing_per_capita!L548+Gasto_o_ing_per_capita!$D548</f>
        <v>1366.7007322715281</v>
      </c>
      <c r="M548" s="110">
        <f>-Gasto_o_ing_per_capita!M548+Gasto_o_ing_per_capita!$D548</f>
        <v>-1336.8238119927346</v>
      </c>
      <c r="N548" s="110">
        <f>-Gasto_o_ing_per_capita!N548+Gasto_o_ing_per_capita!$D548</f>
        <v>788.1917220185087</v>
      </c>
      <c r="O548" s="110">
        <f>-Gasto_o_ing_per_capita!O548+Gasto_o_ing_per_capita!$D548</f>
        <v>1948.3374544748349</v>
      </c>
      <c r="P548" s="110">
        <f>-Gasto_o_ing_per_capita!P548+Gasto_o_ing_per_capita!$D548</f>
        <v>640.51627738619027</v>
      </c>
      <c r="Q548" s="110">
        <f>-Gasto_o_ing_per_capita!Q548+Gasto_o_ing_per_capita!$D548</f>
        <v>-2539.5087035548413</v>
      </c>
      <c r="R548" s="110">
        <f>-Gasto_o_ing_per_capita!R548+Gasto_o_ing_per_capita!$D548</f>
        <v>1366.4318424695621</v>
      </c>
      <c r="S548" s="110">
        <f>-Gasto_o_ing_per_capita!S548+Gasto_o_ing_per_capita!$D548</f>
        <v>-917.04715129473425</v>
      </c>
      <c r="T548" s="110">
        <f>-Gasto_o_ing_per_capita!T548+Gasto_o_ing_per_capita!$D548</f>
        <v>-1587.0523671410274</v>
      </c>
      <c r="U548" s="110">
        <f>-Gasto_o_ing_per_capita!U548+Gasto_o_ing_per_capita!$D548</f>
        <v>-211.93436195831327</v>
      </c>
      <c r="V548" s="110">
        <f>-Gasto_o_ing_per_capita!V548+Gasto_o_ing_per_capita!$D548</f>
        <v>2548.6298406839005</v>
      </c>
    </row>
    <row r="549" spans="1:22" s="102" customFormat="1">
      <c r="A549" s="349" t="str">
        <f>IF(B549="","",(IF(ISERROR(MATCH(B549,Tot_res!C:C,0)),"Eliminar!!!","")))</f>
        <v/>
      </c>
      <c r="C549" s="103" t="s">
        <v>97</v>
      </c>
      <c r="D549" s="110">
        <f>-Gasto_o_ing_per_capita!D549+Gasto_o_ing_per_capita!$D549</f>
        <v>0</v>
      </c>
      <c r="E549" s="110">
        <f>-Gasto_o_ing_per_capita!E549+Gasto_o_ing_per_capita!$D549</f>
        <v>1702.21163411826</v>
      </c>
      <c r="F549" s="110">
        <f>-Gasto_o_ing_per_capita!F549+Gasto_o_ing_per_capita!$D549</f>
        <v>-446.54485306625884</v>
      </c>
      <c r="G549" s="110">
        <f>-Gasto_o_ing_per_capita!G549+Gasto_o_ing_per_capita!$D549</f>
        <v>-63.581070205945252</v>
      </c>
      <c r="H549" s="110">
        <f>-Gasto_o_ing_per_capita!H549+Gasto_o_ing_per_capita!$D549</f>
        <v>-485.13741419615235</v>
      </c>
      <c r="I549" s="110">
        <f>-Gasto_o_ing_per_capita!I549+Gasto_o_ing_per_capita!$D549</f>
        <v>1452.0973229106803</v>
      </c>
      <c r="J549" s="110">
        <f>-Gasto_o_ing_per_capita!J549+Gasto_o_ing_per_capita!$D549</f>
        <v>-122.71377052324988</v>
      </c>
      <c r="K549" s="110">
        <f>-Gasto_o_ing_per_capita!K549+Gasto_o_ing_per_capita!$D549</f>
        <v>389.62568073763214</v>
      </c>
      <c r="L549" s="110">
        <f>-Gasto_o_ing_per_capita!L549+Gasto_o_ing_per_capita!$D549</f>
        <v>1380.4187406127494</v>
      </c>
      <c r="M549" s="110">
        <f>-Gasto_o_ing_per_capita!M549+Gasto_o_ing_per_capita!$D549</f>
        <v>-1220.119096615842</v>
      </c>
      <c r="N549" s="110">
        <f>-Gasto_o_ing_per_capita!N549+Gasto_o_ing_per_capita!$D549</f>
        <v>890.96480005202193</v>
      </c>
      <c r="O549" s="110">
        <f>-Gasto_o_ing_per_capita!O549+Gasto_o_ing_per_capita!$D549</f>
        <v>2100.7608066450994</v>
      </c>
      <c r="P549" s="110">
        <f>-Gasto_o_ing_per_capita!P549+Gasto_o_ing_per_capita!$D549</f>
        <v>739.18971334313028</v>
      </c>
      <c r="Q549" s="110">
        <f>-Gasto_o_ing_per_capita!Q549+Gasto_o_ing_per_capita!$D549</f>
        <v>-2597.7707089346304</v>
      </c>
      <c r="R549" s="110">
        <f>-Gasto_o_ing_per_capita!R549+Gasto_o_ing_per_capita!$D549</f>
        <v>1486.6281813500027</v>
      </c>
      <c r="S549" s="110">
        <f>-Gasto_o_ing_per_capita!S549+Gasto_o_ing_per_capita!$D549</f>
        <v>-1465.9960252217052</v>
      </c>
      <c r="T549" s="110">
        <f>-Gasto_o_ing_per_capita!T549+Gasto_o_ing_per_capita!$D549</f>
        <v>-1963.711115340172</v>
      </c>
      <c r="U549" s="110">
        <f>-Gasto_o_ing_per_capita!U549+Gasto_o_ing_per_capita!$D549</f>
        <v>-140.38725047725256</v>
      </c>
      <c r="V549" s="110">
        <f>-Gasto_o_ing_per_capita!V549+Gasto_o_ing_per_capita!$D549</f>
        <v>1914.4684582655291</v>
      </c>
    </row>
    <row r="552" spans="1:22" s="102" customFormat="1" ht="15.75">
      <c r="A552" s="349"/>
      <c r="B552" s="104"/>
      <c r="C552" s="221" t="s">
        <v>1004</v>
      </c>
      <c r="D552" s="179">
        <f>SUM(E552:V552)</f>
        <v>46697861.5</v>
      </c>
      <c r="E552" s="179">
        <f>VLOOKUP(E7,Resumen!$B7:$C24,2,FALSE)</f>
        <v>8400674</v>
      </c>
      <c r="F552" s="179">
        <f>VLOOKUP(F7,Resumen!$B7:$C24,2,FALSE)</f>
        <v>1321616</v>
      </c>
      <c r="G552" s="179">
        <f>VLOOKUP(G7,Resumen!$B7:$C24,2,FALSE)</f>
        <v>1056492.5</v>
      </c>
      <c r="H552" s="179">
        <f>VLOOKUP(H7,Resumen!$B7:$C24,2,FALSE)</f>
        <v>1103960.5</v>
      </c>
      <c r="I552" s="179">
        <f>VLOOKUP(I7,Resumen!$B7:$C24,2,FALSE)</f>
        <v>2102560.5</v>
      </c>
      <c r="J552" s="179">
        <f>VLOOKUP(J7,Resumen!$B7:$C24,2,FALSE)</f>
        <v>586917.5</v>
      </c>
      <c r="K552" s="179">
        <f>VLOOKUP(K7,Resumen!$B7:$C24,2,FALSE)</f>
        <v>2483421</v>
      </c>
      <c r="L552" s="179">
        <f>VLOOKUP(L7,Resumen!$B7:$C24,2,FALSE)</f>
        <v>2068901</v>
      </c>
      <c r="M552" s="179">
        <f>VLOOKUP(M7,Resumen!$B7:$C24,2,FALSE)</f>
        <v>7513504.5</v>
      </c>
      <c r="N552" s="179">
        <f>VLOOKUP(N7,Resumen!$B7:$C24,2,FALSE)</f>
        <v>4992766.5</v>
      </c>
      <c r="O552" s="179">
        <f>VLOOKUP(O7,Resumen!$B7:$C24,2,FALSE)</f>
        <v>1096314.5</v>
      </c>
      <c r="P552" s="179">
        <f>VLOOKUP(P7,Resumen!$B7:$C24,2,FALSE)</f>
        <v>2740521</v>
      </c>
      <c r="Q552" s="179">
        <f>VLOOKUP(Q7,Resumen!$B7:$C24,2,FALSE)</f>
        <v>6445718</v>
      </c>
      <c r="R552" s="179">
        <f>VLOOKUP(R7,Resumen!$B7:$C24,2,FALSE)</f>
        <v>1467053</v>
      </c>
      <c r="S552" s="179">
        <f>VLOOKUP(S7,Resumen!$B7:$C24,2,FALSE)</f>
        <v>640633</v>
      </c>
      <c r="T552" s="179">
        <f>VLOOKUP(T7,Resumen!$B7:$C24,2,FALSE)</f>
        <v>2189121</v>
      </c>
      <c r="U552" s="179">
        <f>VLOOKUP(U7,Resumen!$B7:$C24,2,FALSE)</f>
        <v>318027.5</v>
      </c>
      <c r="V552" s="179">
        <f>VLOOKUP(V7,Resumen!$B7:$C24,2,FALSE)</f>
        <v>169659.5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5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6.125" style="29" customWidth="1"/>
    <col min="3" max="3" width="53.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ht="13.5">
      <c r="A7" s="350"/>
      <c r="B7" s="224"/>
      <c r="C7" s="224"/>
      <c r="D7" s="225" t="s">
        <v>84</v>
      </c>
      <c r="E7" s="226" t="s">
        <v>66</v>
      </c>
      <c r="F7" s="226" t="s">
        <v>67</v>
      </c>
      <c r="G7" s="226" t="s">
        <v>56</v>
      </c>
      <c r="H7" s="226" t="s">
        <v>48</v>
      </c>
      <c r="I7" s="226" t="s">
        <v>49</v>
      </c>
      <c r="J7" s="226" t="s">
        <v>50</v>
      </c>
      <c r="K7" s="226" t="s">
        <v>51</v>
      </c>
      <c r="L7" s="226" t="s">
        <v>24</v>
      </c>
      <c r="M7" s="226" t="s">
        <v>46</v>
      </c>
      <c r="N7" s="226" t="s">
        <v>72</v>
      </c>
      <c r="O7" s="226" t="s">
        <v>73</v>
      </c>
      <c r="P7" s="226" t="s">
        <v>74</v>
      </c>
      <c r="Q7" s="226" t="s">
        <v>37</v>
      </c>
      <c r="R7" s="226" t="s">
        <v>38</v>
      </c>
      <c r="S7" s="226" t="s">
        <v>33</v>
      </c>
      <c r="T7" s="226" t="s">
        <v>34</v>
      </c>
      <c r="U7" s="226" t="s">
        <v>88</v>
      </c>
      <c r="V7" s="226" t="s">
        <v>89</v>
      </c>
      <c r="W7" s="226"/>
    </row>
    <row r="8" spans="1:23" s="115" customFormat="1">
      <c r="A8" s="349"/>
      <c r="C8" s="109" t="s">
        <v>83</v>
      </c>
      <c r="D8" s="215">
        <f>Saldo_relativo_per_capita!D8*Saldo_relativo_per_capita!D$552/1000000</f>
        <v>0</v>
      </c>
      <c r="E8" s="215">
        <f>Saldo_relativo_per_capita!E8*Saldo_relativo_per_capita!E$552/1000000</f>
        <v>0</v>
      </c>
      <c r="F8" s="215">
        <f>Saldo_relativo_per_capita!F8*Saldo_relativo_per_capita!F$552/1000000</f>
        <v>0</v>
      </c>
      <c r="G8" s="215">
        <f>Saldo_relativo_per_capita!G8*Saldo_relativo_per_capita!G$552/1000000</f>
        <v>0</v>
      </c>
      <c r="H8" s="215">
        <f>Saldo_relativo_per_capita!H8*Saldo_relativo_per_capita!H$552/1000000</f>
        <v>0</v>
      </c>
      <c r="I8" s="215">
        <f>Saldo_relativo_per_capita!I8*Saldo_relativo_per_capita!I$552/1000000</f>
        <v>0</v>
      </c>
      <c r="J8" s="215">
        <f>Saldo_relativo_per_capita!J8*Saldo_relativo_per_capita!J$552/1000000</f>
        <v>0</v>
      </c>
      <c r="K8" s="215">
        <f>Saldo_relativo_per_capita!K8*Saldo_relativo_per_capita!K$552/1000000</f>
        <v>0</v>
      </c>
      <c r="L8" s="215">
        <f>Saldo_relativo_per_capita!L8*Saldo_relativo_per_capita!L$552/1000000</f>
        <v>0</v>
      </c>
      <c r="M8" s="215">
        <f>Saldo_relativo_per_capita!M8*Saldo_relativo_per_capita!M$552/1000000</f>
        <v>0</v>
      </c>
      <c r="N8" s="215">
        <f>Saldo_relativo_per_capita!N8*Saldo_relativo_per_capita!N$552/1000000</f>
        <v>0</v>
      </c>
      <c r="O8" s="215">
        <f>Saldo_relativo_per_capita!O8*Saldo_relativo_per_capita!O$552/1000000</f>
        <v>0</v>
      </c>
      <c r="P8" s="215">
        <f>Saldo_relativo_per_capita!P8*Saldo_relativo_per_capita!P$552/1000000</f>
        <v>0</v>
      </c>
      <c r="Q8" s="215">
        <f>Saldo_relativo_per_capita!Q8*Saldo_relativo_per_capita!Q$552/1000000</f>
        <v>0</v>
      </c>
      <c r="R8" s="215">
        <f>Saldo_relativo_per_capita!R8*Saldo_relativo_per_capita!R$552/1000000</f>
        <v>0</v>
      </c>
      <c r="S8" s="215">
        <f>Saldo_relativo_per_capita!S8*Saldo_relativo_per_capita!S$552/1000000</f>
        <v>0</v>
      </c>
      <c r="T8" s="215">
        <f>Saldo_relativo_per_capita!T8*Saldo_relativo_per_capita!T$552/1000000</f>
        <v>0</v>
      </c>
      <c r="U8" s="215">
        <f>Saldo_relativo_per_capita!U8*Saldo_relativo_per_capita!U$552/1000000</f>
        <v>0</v>
      </c>
      <c r="V8" s="215">
        <f>Saldo_relativo_per_capita!V8*Saldo_relativo_per_capita!V$552/1000000</f>
        <v>0</v>
      </c>
      <c r="W8" s="216"/>
    </row>
    <row r="9" spans="1:23" s="115" customFormat="1">
      <c r="A9" s="349"/>
      <c r="D9" s="217"/>
      <c r="E9" s="217"/>
      <c r="F9" s="217"/>
      <c r="G9" s="217"/>
      <c r="H9" s="217"/>
      <c r="I9" s="217"/>
      <c r="J9" s="217"/>
      <c r="K9" s="217"/>
      <c r="L9" s="217"/>
      <c r="M9" s="217"/>
      <c r="N9" s="217"/>
      <c r="O9" s="217"/>
      <c r="P9" s="217"/>
      <c r="Q9" s="217"/>
      <c r="R9" s="217"/>
      <c r="S9" s="217"/>
      <c r="T9" s="217"/>
      <c r="U9" s="217"/>
      <c r="V9" s="217"/>
      <c r="W9" s="148"/>
    </row>
    <row r="10" spans="1:23" s="115" customFormat="1" ht="13.5">
      <c r="A10" s="349"/>
      <c r="C10" s="112" t="s">
        <v>32</v>
      </c>
      <c r="D10" s="218">
        <f>Saldo_relativo_per_capita!D10*Saldo_relativo_per_capita!D$552/1000000</f>
        <v>0</v>
      </c>
      <c r="E10" s="218">
        <f>Saldo_relativo_per_capita!E10*Saldo_relativo_per_capita!E$552/1000000</f>
        <v>0</v>
      </c>
      <c r="F10" s="218">
        <f>Saldo_relativo_per_capita!F10*Saldo_relativo_per_capita!F$552/1000000</f>
        <v>0</v>
      </c>
      <c r="G10" s="218">
        <f>Saldo_relativo_per_capita!G10*Saldo_relativo_per_capita!G$552/1000000</f>
        <v>0</v>
      </c>
      <c r="H10" s="218">
        <f>Saldo_relativo_per_capita!H10*Saldo_relativo_per_capita!H$552/1000000</f>
        <v>0</v>
      </c>
      <c r="I10" s="218">
        <f>Saldo_relativo_per_capita!I10*Saldo_relativo_per_capita!I$552/1000000</f>
        <v>0</v>
      </c>
      <c r="J10" s="218">
        <f>Saldo_relativo_per_capita!J10*Saldo_relativo_per_capita!J$552/1000000</f>
        <v>0</v>
      </c>
      <c r="K10" s="218">
        <f>Saldo_relativo_per_capita!K10*Saldo_relativo_per_capita!K$552/1000000</f>
        <v>0</v>
      </c>
      <c r="L10" s="218">
        <f>Saldo_relativo_per_capita!L10*Saldo_relativo_per_capita!L$552/1000000</f>
        <v>0</v>
      </c>
      <c r="M10" s="218">
        <f>Saldo_relativo_per_capita!M10*Saldo_relativo_per_capita!M$552/1000000</f>
        <v>0</v>
      </c>
      <c r="N10" s="218">
        <f>Saldo_relativo_per_capita!N10*Saldo_relativo_per_capita!N$552/1000000</f>
        <v>0</v>
      </c>
      <c r="O10" s="218">
        <f>Saldo_relativo_per_capita!O10*Saldo_relativo_per_capita!O$552/1000000</f>
        <v>0</v>
      </c>
      <c r="P10" s="218">
        <f>Saldo_relativo_per_capita!P10*Saldo_relativo_per_capita!P$552/1000000</f>
        <v>0</v>
      </c>
      <c r="Q10" s="218">
        <f>Saldo_relativo_per_capita!Q10*Saldo_relativo_per_capita!Q$552/1000000</f>
        <v>0</v>
      </c>
      <c r="R10" s="218">
        <f>Saldo_relativo_per_capita!R10*Saldo_relativo_per_capita!R$552/1000000</f>
        <v>0</v>
      </c>
      <c r="S10" s="218">
        <f>Saldo_relativo_per_capita!S10*Saldo_relativo_per_capita!S$552/1000000</f>
        <v>0</v>
      </c>
      <c r="T10" s="218">
        <f>Saldo_relativo_per_capita!T10*Saldo_relativo_per_capita!T$552/1000000</f>
        <v>0</v>
      </c>
      <c r="U10" s="218">
        <f>Saldo_relativo_per_capita!U10*Saldo_relativo_per_capita!U$552/1000000</f>
        <v>0</v>
      </c>
      <c r="V10" s="218">
        <f>Saldo_relativo_per_capita!V10*Saldo_relativo_per_capita!V$552/1000000</f>
        <v>0</v>
      </c>
      <c r="W10" s="219"/>
    </row>
    <row r="11" spans="1:23" s="115" customFormat="1">
      <c r="A11" s="351" t="str">
        <f>IF(B11="","",(IF(ISERROR(MATCH(B11,Tot_res!C:C,0)),"Eliminar!!!","")))</f>
        <v/>
      </c>
      <c r="B11" s="115" t="s">
        <v>114</v>
      </c>
      <c r="C11" s="329" t="str">
        <f>VLOOKUP(B11,Tot_res!C:D,2,FALSE)</f>
        <v>Gobierno del poder judicial</v>
      </c>
      <c r="D11" s="336">
        <f>Saldo_relativo_per_capita!D11*Saldo_relativo_per_capita!D$552/1000000</f>
        <v>0</v>
      </c>
      <c r="E11" s="336">
        <f>Saldo_relativo_per_capita!E11*Saldo_relativo_per_capita!E$552/1000000</f>
        <v>0</v>
      </c>
      <c r="F11" s="336">
        <f>Saldo_relativo_per_capita!F11*Saldo_relativo_per_capita!F$552/1000000</f>
        <v>0</v>
      </c>
      <c r="G11" s="336">
        <f>Saldo_relativo_per_capita!G11*Saldo_relativo_per_capita!G$552/1000000</f>
        <v>0</v>
      </c>
      <c r="H11" s="336">
        <f>Saldo_relativo_per_capita!H11*Saldo_relativo_per_capita!H$552/1000000</f>
        <v>0</v>
      </c>
      <c r="I11" s="336">
        <f>Saldo_relativo_per_capita!I11*Saldo_relativo_per_capita!I$552/1000000</f>
        <v>0</v>
      </c>
      <c r="J11" s="336">
        <f>Saldo_relativo_per_capita!J11*Saldo_relativo_per_capita!J$552/1000000</f>
        <v>0</v>
      </c>
      <c r="K11" s="336">
        <f>Saldo_relativo_per_capita!K11*Saldo_relativo_per_capita!K$552/1000000</f>
        <v>0</v>
      </c>
      <c r="L11" s="336">
        <f>Saldo_relativo_per_capita!L11*Saldo_relativo_per_capita!L$552/1000000</f>
        <v>0</v>
      </c>
      <c r="M11" s="336">
        <f>Saldo_relativo_per_capita!M11*Saldo_relativo_per_capita!M$552/1000000</f>
        <v>0</v>
      </c>
      <c r="N11" s="336">
        <f>Saldo_relativo_per_capita!N11*Saldo_relativo_per_capita!N$552/1000000</f>
        <v>0</v>
      </c>
      <c r="O11" s="336">
        <f>Saldo_relativo_per_capita!O11*Saldo_relativo_per_capita!O$552/1000000</f>
        <v>0</v>
      </c>
      <c r="P11" s="336">
        <f>Saldo_relativo_per_capita!P11*Saldo_relativo_per_capita!P$552/1000000</f>
        <v>0</v>
      </c>
      <c r="Q11" s="336">
        <f>Saldo_relativo_per_capita!Q11*Saldo_relativo_per_capita!Q$552/1000000</f>
        <v>0</v>
      </c>
      <c r="R11" s="336">
        <f>Saldo_relativo_per_capita!R11*Saldo_relativo_per_capita!R$552/1000000</f>
        <v>0</v>
      </c>
      <c r="S11" s="336">
        <f>Saldo_relativo_per_capita!S11*Saldo_relativo_per_capita!S$552/1000000</f>
        <v>0</v>
      </c>
      <c r="T11" s="336">
        <f>Saldo_relativo_per_capita!T11*Saldo_relativo_per_capita!T$552/1000000</f>
        <v>0</v>
      </c>
      <c r="U11" s="336">
        <f>Saldo_relativo_per_capita!U11*Saldo_relativo_per_capita!U$552/1000000</f>
        <v>0</v>
      </c>
      <c r="V11" s="336">
        <f>Saldo_relativo_per_capita!V11*Saldo_relativo_per_capita!V$552/1000000</f>
        <v>0</v>
      </c>
      <c r="W11" s="148"/>
    </row>
    <row r="12" spans="1:23" s="115" customFormat="1">
      <c r="A12" s="351" t="str">
        <f>IF(B12="","",(IF(ISERROR(MATCH(B12,Tot_res!C:C,0)),"Eliminar!!!","")))</f>
        <v/>
      </c>
      <c r="B12" s="115" t="s">
        <v>115</v>
      </c>
      <c r="C12" s="329" t="str">
        <f>VLOOKUP(B12,Tot_res!C:D,2,FALSE)</f>
        <v>Selección y formación de jueces</v>
      </c>
      <c r="D12" s="336">
        <f>Saldo_relativo_per_capita!D12*Saldo_relativo_per_capita!D$552/1000000</f>
        <v>0</v>
      </c>
      <c r="E12" s="336">
        <f>Saldo_relativo_per_capita!E12*Saldo_relativo_per_capita!E$552/1000000</f>
        <v>0</v>
      </c>
      <c r="F12" s="336">
        <f>Saldo_relativo_per_capita!F12*Saldo_relativo_per_capita!F$552/1000000</f>
        <v>0</v>
      </c>
      <c r="G12" s="336">
        <f>Saldo_relativo_per_capita!G12*Saldo_relativo_per_capita!G$552/1000000</f>
        <v>0</v>
      </c>
      <c r="H12" s="336">
        <f>Saldo_relativo_per_capita!H12*Saldo_relativo_per_capita!H$552/1000000</f>
        <v>0</v>
      </c>
      <c r="I12" s="336">
        <f>Saldo_relativo_per_capita!I12*Saldo_relativo_per_capita!I$552/1000000</f>
        <v>0</v>
      </c>
      <c r="J12" s="336">
        <f>Saldo_relativo_per_capita!J12*Saldo_relativo_per_capita!J$552/1000000</f>
        <v>0</v>
      </c>
      <c r="K12" s="336">
        <f>Saldo_relativo_per_capita!K12*Saldo_relativo_per_capita!K$552/1000000</f>
        <v>0</v>
      </c>
      <c r="L12" s="336">
        <f>Saldo_relativo_per_capita!L12*Saldo_relativo_per_capita!L$552/1000000</f>
        <v>0</v>
      </c>
      <c r="M12" s="336">
        <f>Saldo_relativo_per_capita!M12*Saldo_relativo_per_capita!M$552/1000000</f>
        <v>0</v>
      </c>
      <c r="N12" s="336">
        <f>Saldo_relativo_per_capita!N12*Saldo_relativo_per_capita!N$552/1000000</f>
        <v>0</v>
      </c>
      <c r="O12" s="336">
        <f>Saldo_relativo_per_capita!O12*Saldo_relativo_per_capita!O$552/1000000</f>
        <v>0</v>
      </c>
      <c r="P12" s="336">
        <f>Saldo_relativo_per_capita!P12*Saldo_relativo_per_capita!P$552/1000000</f>
        <v>0</v>
      </c>
      <c r="Q12" s="336">
        <f>Saldo_relativo_per_capita!Q12*Saldo_relativo_per_capita!Q$552/1000000</f>
        <v>0</v>
      </c>
      <c r="R12" s="336">
        <f>Saldo_relativo_per_capita!R12*Saldo_relativo_per_capita!R$552/1000000</f>
        <v>0</v>
      </c>
      <c r="S12" s="336">
        <f>Saldo_relativo_per_capita!S12*Saldo_relativo_per_capita!S$552/1000000</f>
        <v>0</v>
      </c>
      <c r="T12" s="336">
        <f>Saldo_relativo_per_capita!T12*Saldo_relativo_per_capita!T$552/1000000</f>
        <v>0</v>
      </c>
      <c r="U12" s="336">
        <f>Saldo_relativo_per_capita!U12*Saldo_relativo_per_capita!U$552/1000000</f>
        <v>0</v>
      </c>
      <c r="V12" s="336">
        <f>Saldo_relativo_per_capita!V12*Saldo_relativo_per_capita!V$552/1000000</f>
        <v>0</v>
      </c>
      <c r="W12" s="148"/>
    </row>
    <row r="13" spans="1:23" s="115" customFormat="1">
      <c r="A13" s="351" t="str">
        <f>IF(B13="","",(IF(ISERROR(MATCH(B13,Tot_res!C:C,0)),"Eliminar!!!","")))</f>
        <v/>
      </c>
      <c r="B13" s="115" t="s">
        <v>116</v>
      </c>
      <c r="C13" s="329" t="str">
        <f>VLOOKUP(B13,Tot_res!C:D,2,FALSE)</f>
        <v>Documentación y publicaciones judiciales</v>
      </c>
      <c r="D13" s="336">
        <f>Saldo_relativo_per_capita!D13*Saldo_relativo_per_capita!D$552/1000000</f>
        <v>0</v>
      </c>
      <c r="E13" s="336">
        <f>Saldo_relativo_per_capita!E13*Saldo_relativo_per_capita!E$552/1000000</f>
        <v>0</v>
      </c>
      <c r="F13" s="336">
        <f>Saldo_relativo_per_capita!F13*Saldo_relativo_per_capita!F$552/1000000</f>
        <v>0</v>
      </c>
      <c r="G13" s="336">
        <f>Saldo_relativo_per_capita!G13*Saldo_relativo_per_capita!G$552/1000000</f>
        <v>0</v>
      </c>
      <c r="H13" s="336">
        <f>Saldo_relativo_per_capita!H13*Saldo_relativo_per_capita!H$552/1000000</f>
        <v>0</v>
      </c>
      <c r="I13" s="336">
        <f>Saldo_relativo_per_capita!I13*Saldo_relativo_per_capita!I$552/1000000</f>
        <v>0</v>
      </c>
      <c r="J13" s="336">
        <f>Saldo_relativo_per_capita!J13*Saldo_relativo_per_capita!J$552/1000000</f>
        <v>0</v>
      </c>
      <c r="K13" s="336">
        <f>Saldo_relativo_per_capita!K13*Saldo_relativo_per_capita!K$552/1000000</f>
        <v>0</v>
      </c>
      <c r="L13" s="336">
        <f>Saldo_relativo_per_capita!L13*Saldo_relativo_per_capita!L$552/1000000</f>
        <v>0</v>
      </c>
      <c r="M13" s="336">
        <f>Saldo_relativo_per_capita!M13*Saldo_relativo_per_capita!M$552/1000000</f>
        <v>0</v>
      </c>
      <c r="N13" s="336">
        <f>Saldo_relativo_per_capita!N13*Saldo_relativo_per_capita!N$552/1000000</f>
        <v>0</v>
      </c>
      <c r="O13" s="336">
        <f>Saldo_relativo_per_capita!O13*Saldo_relativo_per_capita!O$552/1000000</f>
        <v>0</v>
      </c>
      <c r="P13" s="336">
        <f>Saldo_relativo_per_capita!P13*Saldo_relativo_per_capita!P$552/1000000</f>
        <v>0</v>
      </c>
      <c r="Q13" s="336">
        <f>Saldo_relativo_per_capita!Q13*Saldo_relativo_per_capita!Q$552/1000000</f>
        <v>0</v>
      </c>
      <c r="R13" s="336">
        <f>Saldo_relativo_per_capita!R13*Saldo_relativo_per_capita!R$552/1000000</f>
        <v>0</v>
      </c>
      <c r="S13" s="336">
        <f>Saldo_relativo_per_capita!S13*Saldo_relativo_per_capita!S$552/1000000</f>
        <v>0</v>
      </c>
      <c r="T13" s="336">
        <f>Saldo_relativo_per_capita!T13*Saldo_relativo_per_capita!T$552/1000000</f>
        <v>0</v>
      </c>
      <c r="U13" s="336">
        <f>Saldo_relativo_per_capita!U13*Saldo_relativo_per_capita!U$552/1000000</f>
        <v>0</v>
      </c>
      <c r="V13" s="336">
        <f>Saldo_relativo_per_capita!V13*Saldo_relativo_per_capita!V$552/1000000</f>
        <v>0</v>
      </c>
      <c r="W13" s="148"/>
    </row>
    <row r="14" spans="1:23" s="115" customFormat="1">
      <c r="A14" s="351" t="str">
        <f>IF(B14="","",(IF(ISERROR(MATCH(B14,Tot_res!C:C,0)),"Eliminar!!!","")))</f>
        <v/>
      </c>
      <c r="B14" s="115" t="s">
        <v>117</v>
      </c>
      <c r="C14" s="329" t="str">
        <f>VLOOKUP(B14,Tot_res!C:D,2,FALSE)</f>
        <v>Jefatura del estado</v>
      </c>
      <c r="D14" s="336">
        <f>Saldo_relativo_per_capita!D14*Saldo_relativo_per_capita!D$552/1000000</f>
        <v>0</v>
      </c>
      <c r="E14" s="336">
        <f>Saldo_relativo_per_capita!E14*Saldo_relativo_per_capita!E$552/1000000</f>
        <v>0</v>
      </c>
      <c r="F14" s="336">
        <f>Saldo_relativo_per_capita!F14*Saldo_relativo_per_capita!F$552/1000000</f>
        <v>0</v>
      </c>
      <c r="G14" s="336">
        <f>Saldo_relativo_per_capita!G14*Saldo_relativo_per_capita!G$552/1000000</f>
        <v>0</v>
      </c>
      <c r="H14" s="336">
        <f>Saldo_relativo_per_capita!H14*Saldo_relativo_per_capita!H$552/1000000</f>
        <v>0</v>
      </c>
      <c r="I14" s="336">
        <f>Saldo_relativo_per_capita!I14*Saldo_relativo_per_capita!I$552/1000000</f>
        <v>0</v>
      </c>
      <c r="J14" s="336">
        <f>Saldo_relativo_per_capita!J14*Saldo_relativo_per_capita!J$552/1000000</f>
        <v>0</v>
      </c>
      <c r="K14" s="336">
        <f>Saldo_relativo_per_capita!K14*Saldo_relativo_per_capita!K$552/1000000</f>
        <v>0</v>
      </c>
      <c r="L14" s="336">
        <f>Saldo_relativo_per_capita!L14*Saldo_relativo_per_capita!L$552/1000000</f>
        <v>0</v>
      </c>
      <c r="M14" s="336">
        <f>Saldo_relativo_per_capita!M14*Saldo_relativo_per_capita!M$552/1000000</f>
        <v>0</v>
      </c>
      <c r="N14" s="336">
        <f>Saldo_relativo_per_capita!N14*Saldo_relativo_per_capita!N$552/1000000</f>
        <v>0</v>
      </c>
      <c r="O14" s="336">
        <f>Saldo_relativo_per_capita!O14*Saldo_relativo_per_capita!O$552/1000000</f>
        <v>0</v>
      </c>
      <c r="P14" s="336">
        <f>Saldo_relativo_per_capita!P14*Saldo_relativo_per_capita!P$552/1000000</f>
        <v>0</v>
      </c>
      <c r="Q14" s="336">
        <f>Saldo_relativo_per_capita!Q14*Saldo_relativo_per_capita!Q$552/1000000</f>
        <v>0</v>
      </c>
      <c r="R14" s="336">
        <f>Saldo_relativo_per_capita!R14*Saldo_relativo_per_capita!R$552/1000000</f>
        <v>0</v>
      </c>
      <c r="S14" s="336">
        <f>Saldo_relativo_per_capita!S14*Saldo_relativo_per_capita!S$552/1000000</f>
        <v>0</v>
      </c>
      <c r="T14" s="336">
        <f>Saldo_relativo_per_capita!T14*Saldo_relativo_per_capita!T$552/1000000</f>
        <v>0</v>
      </c>
      <c r="U14" s="336">
        <f>Saldo_relativo_per_capita!U14*Saldo_relativo_per_capita!U$552/1000000</f>
        <v>0</v>
      </c>
      <c r="V14" s="336">
        <f>Saldo_relativo_per_capita!V14*Saldo_relativo_per_capita!V$552/1000000</f>
        <v>0</v>
      </c>
      <c r="W14" s="148"/>
    </row>
    <row r="15" spans="1:23" s="115" customFormat="1">
      <c r="A15" s="351" t="str">
        <f>IF(B15="","",(IF(ISERROR(MATCH(B15,Tot_res!C:C,0)),"Eliminar!!!","")))</f>
        <v/>
      </c>
      <c r="B15" s="115" t="s">
        <v>118</v>
      </c>
      <c r="C15" s="329" t="str">
        <f>VLOOKUP(B15,Tot_res!C:D,2,FALSE)</f>
        <v>Actividad legislativa</v>
      </c>
      <c r="D15" s="336">
        <f>Saldo_relativo_per_capita!D15*Saldo_relativo_per_capita!D$552/1000000</f>
        <v>0</v>
      </c>
      <c r="E15" s="336">
        <f>Saldo_relativo_per_capita!E15*Saldo_relativo_per_capita!E$552/1000000</f>
        <v>0</v>
      </c>
      <c r="F15" s="336">
        <f>Saldo_relativo_per_capita!F15*Saldo_relativo_per_capita!F$552/1000000</f>
        <v>0</v>
      </c>
      <c r="G15" s="336">
        <f>Saldo_relativo_per_capita!G15*Saldo_relativo_per_capita!G$552/1000000</f>
        <v>0</v>
      </c>
      <c r="H15" s="336">
        <f>Saldo_relativo_per_capita!H15*Saldo_relativo_per_capita!H$552/1000000</f>
        <v>0</v>
      </c>
      <c r="I15" s="336">
        <f>Saldo_relativo_per_capita!I15*Saldo_relativo_per_capita!I$552/1000000</f>
        <v>0</v>
      </c>
      <c r="J15" s="336">
        <f>Saldo_relativo_per_capita!J15*Saldo_relativo_per_capita!J$552/1000000</f>
        <v>0</v>
      </c>
      <c r="K15" s="336">
        <f>Saldo_relativo_per_capita!K15*Saldo_relativo_per_capita!K$552/1000000</f>
        <v>0</v>
      </c>
      <c r="L15" s="336">
        <f>Saldo_relativo_per_capita!L15*Saldo_relativo_per_capita!L$552/1000000</f>
        <v>0</v>
      </c>
      <c r="M15" s="336">
        <f>Saldo_relativo_per_capita!M15*Saldo_relativo_per_capita!M$552/1000000</f>
        <v>0</v>
      </c>
      <c r="N15" s="336">
        <f>Saldo_relativo_per_capita!N15*Saldo_relativo_per_capita!N$552/1000000</f>
        <v>0</v>
      </c>
      <c r="O15" s="336">
        <f>Saldo_relativo_per_capita!O15*Saldo_relativo_per_capita!O$552/1000000</f>
        <v>0</v>
      </c>
      <c r="P15" s="336">
        <f>Saldo_relativo_per_capita!P15*Saldo_relativo_per_capita!P$552/1000000</f>
        <v>0</v>
      </c>
      <c r="Q15" s="336">
        <f>Saldo_relativo_per_capita!Q15*Saldo_relativo_per_capita!Q$552/1000000</f>
        <v>0</v>
      </c>
      <c r="R15" s="336">
        <f>Saldo_relativo_per_capita!R15*Saldo_relativo_per_capita!R$552/1000000</f>
        <v>0</v>
      </c>
      <c r="S15" s="336">
        <f>Saldo_relativo_per_capita!S15*Saldo_relativo_per_capita!S$552/1000000</f>
        <v>0</v>
      </c>
      <c r="T15" s="336">
        <f>Saldo_relativo_per_capita!T15*Saldo_relativo_per_capita!T$552/1000000</f>
        <v>0</v>
      </c>
      <c r="U15" s="336">
        <f>Saldo_relativo_per_capita!U15*Saldo_relativo_per_capita!U$552/1000000</f>
        <v>0</v>
      </c>
      <c r="V15" s="336">
        <f>Saldo_relativo_per_capita!V15*Saldo_relativo_per_capita!V$552/1000000</f>
        <v>0</v>
      </c>
      <c r="W15" s="148"/>
    </row>
    <row r="16" spans="1:23" s="115" customFormat="1">
      <c r="A16" s="351" t="str">
        <f>IF(B16="","",(IF(ISERROR(MATCH(B16,Tot_res!C:C,0)),"Eliminar!!!","")))</f>
        <v/>
      </c>
      <c r="B16" s="115" t="s">
        <v>120</v>
      </c>
      <c r="C16" s="329" t="str">
        <f>VLOOKUP(B16,Tot_res!C:D,2,FALSE)</f>
        <v>Control externo del sector público</v>
      </c>
      <c r="D16" s="336">
        <f>Saldo_relativo_per_capita!D16*Saldo_relativo_per_capita!D$552/1000000</f>
        <v>0</v>
      </c>
      <c r="E16" s="336">
        <f>Saldo_relativo_per_capita!E16*Saldo_relativo_per_capita!E$552/1000000</f>
        <v>0</v>
      </c>
      <c r="F16" s="336">
        <f>Saldo_relativo_per_capita!F16*Saldo_relativo_per_capita!F$552/1000000</f>
        <v>0</v>
      </c>
      <c r="G16" s="336">
        <f>Saldo_relativo_per_capita!G16*Saldo_relativo_per_capita!G$552/1000000</f>
        <v>0</v>
      </c>
      <c r="H16" s="336">
        <f>Saldo_relativo_per_capita!H16*Saldo_relativo_per_capita!H$552/1000000</f>
        <v>0</v>
      </c>
      <c r="I16" s="336">
        <f>Saldo_relativo_per_capita!I16*Saldo_relativo_per_capita!I$552/1000000</f>
        <v>0</v>
      </c>
      <c r="J16" s="336">
        <f>Saldo_relativo_per_capita!J16*Saldo_relativo_per_capita!J$552/1000000</f>
        <v>0</v>
      </c>
      <c r="K16" s="336">
        <f>Saldo_relativo_per_capita!K16*Saldo_relativo_per_capita!K$552/1000000</f>
        <v>0</v>
      </c>
      <c r="L16" s="336">
        <f>Saldo_relativo_per_capita!L16*Saldo_relativo_per_capita!L$552/1000000</f>
        <v>0</v>
      </c>
      <c r="M16" s="336">
        <f>Saldo_relativo_per_capita!M16*Saldo_relativo_per_capita!M$552/1000000</f>
        <v>0</v>
      </c>
      <c r="N16" s="336">
        <f>Saldo_relativo_per_capita!N16*Saldo_relativo_per_capita!N$552/1000000</f>
        <v>0</v>
      </c>
      <c r="O16" s="336">
        <f>Saldo_relativo_per_capita!O16*Saldo_relativo_per_capita!O$552/1000000</f>
        <v>0</v>
      </c>
      <c r="P16" s="336">
        <f>Saldo_relativo_per_capita!P16*Saldo_relativo_per_capita!P$552/1000000</f>
        <v>0</v>
      </c>
      <c r="Q16" s="336">
        <f>Saldo_relativo_per_capita!Q16*Saldo_relativo_per_capita!Q$552/1000000</f>
        <v>0</v>
      </c>
      <c r="R16" s="336">
        <f>Saldo_relativo_per_capita!R16*Saldo_relativo_per_capita!R$552/1000000</f>
        <v>0</v>
      </c>
      <c r="S16" s="336">
        <f>Saldo_relativo_per_capita!S16*Saldo_relativo_per_capita!S$552/1000000</f>
        <v>0</v>
      </c>
      <c r="T16" s="336">
        <f>Saldo_relativo_per_capita!T16*Saldo_relativo_per_capita!T$552/1000000</f>
        <v>0</v>
      </c>
      <c r="U16" s="336">
        <f>Saldo_relativo_per_capita!U16*Saldo_relativo_per_capita!U$552/1000000</f>
        <v>0</v>
      </c>
      <c r="V16" s="336">
        <f>Saldo_relativo_per_capita!V16*Saldo_relativo_per_capita!V$552/1000000</f>
        <v>0</v>
      </c>
      <c r="W16" s="148"/>
    </row>
    <row r="17" spans="1:23" s="115" customFormat="1">
      <c r="A17" s="351" t="str">
        <f>IF(B17="","",(IF(ISERROR(MATCH(B17,Tot_res!C:C,0)),"Eliminar!!!","")))</f>
        <v/>
      </c>
      <c r="B17" s="115" t="s">
        <v>121</v>
      </c>
      <c r="C17" s="329" t="str">
        <f>VLOOKUP(B17,Tot_res!C:D,2,FALSE)</f>
        <v>Control constitucional</v>
      </c>
      <c r="D17" s="336">
        <f>Saldo_relativo_per_capita!D17*Saldo_relativo_per_capita!D$552/1000000</f>
        <v>0</v>
      </c>
      <c r="E17" s="336">
        <f>Saldo_relativo_per_capita!E17*Saldo_relativo_per_capita!E$552/1000000</f>
        <v>0</v>
      </c>
      <c r="F17" s="336">
        <f>Saldo_relativo_per_capita!F17*Saldo_relativo_per_capita!F$552/1000000</f>
        <v>0</v>
      </c>
      <c r="G17" s="336">
        <f>Saldo_relativo_per_capita!G17*Saldo_relativo_per_capita!G$552/1000000</f>
        <v>0</v>
      </c>
      <c r="H17" s="336">
        <f>Saldo_relativo_per_capita!H17*Saldo_relativo_per_capita!H$552/1000000</f>
        <v>0</v>
      </c>
      <c r="I17" s="336">
        <f>Saldo_relativo_per_capita!I17*Saldo_relativo_per_capita!I$552/1000000</f>
        <v>0</v>
      </c>
      <c r="J17" s="336">
        <f>Saldo_relativo_per_capita!J17*Saldo_relativo_per_capita!J$552/1000000</f>
        <v>0</v>
      </c>
      <c r="K17" s="336">
        <f>Saldo_relativo_per_capita!K17*Saldo_relativo_per_capita!K$552/1000000</f>
        <v>0</v>
      </c>
      <c r="L17" s="336">
        <f>Saldo_relativo_per_capita!L17*Saldo_relativo_per_capita!L$552/1000000</f>
        <v>0</v>
      </c>
      <c r="M17" s="336">
        <f>Saldo_relativo_per_capita!M17*Saldo_relativo_per_capita!M$552/1000000</f>
        <v>0</v>
      </c>
      <c r="N17" s="336">
        <f>Saldo_relativo_per_capita!N17*Saldo_relativo_per_capita!N$552/1000000</f>
        <v>0</v>
      </c>
      <c r="O17" s="336">
        <f>Saldo_relativo_per_capita!O17*Saldo_relativo_per_capita!O$552/1000000</f>
        <v>0</v>
      </c>
      <c r="P17" s="336">
        <f>Saldo_relativo_per_capita!P17*Saldo_relativo_per_capita!P$552/1000000</f>
        <v>0</v>
      </c>
      <c r="Q17" s="336">
        <f>Saldo_relativo_per_capita!Q17*Saldo_relativo_per_capita!Q$552/1000000</f>
        <v>0</v>
      </c>
      <c r="R17" s="336">
        <f>Saldo_relativo_per_capita!R17*Saldo_relativo_per_capita!R$552/1000000</f>
        <v>0</v>
      </c>
      <c r="S17" s="336">
        <f>Saldo_relativo_per_capita!S17*Saldo_relativo_per_capita!S$552/1000000</f>
        <v>0</v>
      </c>
      <c r="T17" s="336">
        <f>Saldo_relativo_per_capita!T17*Saldo_relativo_per_capita!T$552/1000000</f>
        <v>0</v>
      </c>
      <c r="U17" s="336">
        <f>Saldo_relativo_per_capita!U17*Saldo_relativo_per_capita!U$552/1000000</f>
        <v>0</v>
      </c>
      <c r="V17" s="336">
        <f>Saldo_relativo_per_capita!V17*Saldo_relativo_per_capita!V$552/1000000</f>
        <v>0</v>
      </c>
      <c r="W17" s="148"/>
    </row>
    <row r="18" spans="1:23" s="115" customFormat="1">
      <c r="A18" s="351" t="str">
        <f>IF(B18="","",(IF(ISERROR(MATCH(B18,Tot_res!C:C,0)),"Eliminar!!!","")))</f>
        <v/>
      </c>
      <c r="B18" s="115" t="s">
        <v>122</v>
      </c>
      <c r="C18" s="329" t="str">
        <f>VLOOKUP(B18,Tot_res!C:D,2,FALSE)</f>
        <v>Apoyo a la gestión administrativa de la jefatura del estado</v>
      </c>
      <c r="D18" s="336">
        <f>Saldo_relativo_per_capita!D18*Saldo_relativo_per_capita!D$552/1000000</f>
        <v>0</v>
      </c>
      <c r="E18" s="336">
        <f>Saldo_relativo_per_capita!E18*Saldo_relativo_per_capita!E$552/1000000</f>
        <v>0</v>
      </c>
      <c r="F18" s="336">
        <f>Saldo_relativo_per_capita!F18*Saldo_relativo_per_capita!F$552/1000000</f>
        <v>0</v>
      </c>
      <c r="G18" s="336">
        <f>Saldo_relativo_per_capita!G18*Saldo_relativo_per_capita!G$552/1000000</f>
        <v>0</v>
      </c>
      <c r="H18" s="336">
        <f>Saldo_relativo_per_capita!H18*Saldo_relativo_per_capita!H$552/1000000</f>
        <v>0</v>
      </c>
      <c r="I18" s="336">
        <f>Saldo_relativo_per_capita!I18*Saldo_relativo_per_capita!I$552/1000000</f>
        <v>0</v>
      </c>
      <c r="J18" s="336">
        <f>Saldo_relativo_per_capita!J18*Saldo_relativo_per_capita!J$552/1000000</f>
        <v>0</v>
      </c>
      <c r="K18" s="336">
        <f>Saldo_relativo_per_capita!K18*Saldo_relativo_per_capita!K$552/1000000</f>
        <v>0</v>
      </c>
      <c r="L18" s="336">
        <f>Saldo_relativo_per_capita!L18*Saldo_relativo_per_capita!L$552/1000000</f>
        <v>0</v>
      </c>
      <c r="M18" s="336">
        <f>Saldo_relativo_per_capita!M18*Saldo_relativo_per_capita!M$552/1000000</f>
        <v>0</v>
      </c>
      <c r="N18" s="336">
        <f>Saldo_relativo_per_capita!N18*Saldo_relativo_per_capita!N$552/1000000</f>
        <v>0</v>
      </c>
      <c r="O18" s="336">
        <f>Saldo_relativo_per_capita!O18*Saldo_relativo_per_capita!O$552/1000000</f>
        <v>0</v>
      </c>
      <c r="P18" s="336">
        <f>Saldo_relativo_per_capita!P18*Saldo_relativo_per_capita!P$552/1000000</f>
        <v>0</v>
      </c>
      <c r="Q18" s="336">
        <f>Saldo_relativo_per_capita!Q18*Saldo_relativo_per_capita!Q$552/1000000</f>
        <v>0</v>
      </c>
      <c r="R18" s="336">
        <f>Saldo_relativo_per_capita!R18*Saldo_relativo_per_capita!R$552/1000000</f>
        <v>0</v>
      </c>
      <c r="S18" s="336">
        <f>Saldo_relativo_per_capita!S18*Saldo_relativo_per_capita!S$552/1000000</f>
        <v>0</v>
      </c>
      <c r="T18" s="336">
        <f>Saldo_relativo_per_capita!T18*Saldo_relativo_per_capita!T$552/1000000</f>
        <v>0</v>
      </c>
      <c r="U18" s="336">
        <f>Saldo_relativo_per_capita!U18*Saldo_relativo_per_capita!U$552/1000000</f>
        <v>0</v>
      </c>
      <c r="V18" s="336">
        <f>Saldo_relativo_per_capita!V18*Saldo_relativo_per_capita!V$552/1000000</f>
        <v>0</v>
      </c>
      <c r="W18" s="148"/>
    </row>
    <row r="19" spans="1:23" s="115" customFormat="1">
      <c r="A19" s="351" t="str">
        <f>IF(B19="","",(IF(ISERROR(MATCH(B19,Tot_res!C:C,0)),"Eliminar!!!","")))</f>
        <v/>
      </c>
      <c r="B19" s="115" t="s">
        <v>123</v>
      </c>
      <c r="C19" s="329" t="str">
        <f>VLOOKUP(B19,Tot_res!C:D,2,FALSE)</f>
        <v>Presidencia del gobierno</v>
      </c>
      <c r="D19" s="336">
        <f>Saldo_relativo_per_capita!D19*Saldo_relativo_per_capita!D$552/1000000</f>
        <v>0</v>
      </c>
      <c r="E19" s="336">
        <f>Saldo_relativo_per_capita!E19*Saldo_relativo_per_capita!E$552/1000000</f>
        <v>0</v>
      </c>
      <c r="F19" s="336">
        <f>Saldo_relativo_per_capita!F19*Saldo_relativo_per_capita!F$552/1000000</f>
        <v>0</v>
      </c>
      <c r="G19" s="336">
        <f>Saldo_relativo_per_capita!G19*Saldo_relativo_per_capita!G$552/1000000</f>
        <v>0</v>
      </c>
      <c r="H19" s="336">
        <f>Saldo_relativo_per_capita!H19*Saldo_relativo_per_capita!H$552/1000000</f>
        <v>0</v>
      </c>
      <c r="I19" s="336">
        <f>Saldo_relativo_per_capita!I19*Saldo_relativo_per_capita!I$552/1000000</f>
        <v>0</v>
      </c>
      <c r="J19" s="336">
        <f>Saldo_relativo_per_capita!J19*Saldo_relativo_per_capita!J$552/1000000</f>
        <v>0</v>
      </c>
      <c r="K19" s="336">
        <f>Saldo_relativo_per_capita!K19*Saldo_relativo_per_capita!K$552/1000000</f>
        <v>0</v>
      </c>
      <c r="L19" s="336">
        <f>Saldo_relativo_per_capita!L19*Saldo_relativo_per_capita!L$552/1000000</f>
        <v>0</v>
      </c>
      <c r="M19" s="336">
        <f>Saldo_relativo_per_capita!M19*Saldo_relativo_per_capita!M$552/1000000</f>
        <v>0</v>
      </c>
      <c r="N19" s="336">
        <f>Saldo_relativo_per_capita!N19*Saldo_relativo_per_capita!N$552/1000000</f>
        <v>0</v>
      </c>
      <c r="O19" s="336">
        <f>Saldo_relativo_per_capita!O19*Saldo_relativo_per_capita!O$552/1000000</f>
        <v>0</v>
      </c>
      <c r="P19" s="336">
        <f>Saldo_relativo_per_capita!P19*Saldo_relativo_per_capita!P$552/1000000</f>
        <v>0</v>
      </c>
      <c r="Q19" s="336">
        <f>Saldo_relativo_per_capita!Q19*Saldo_relativo_per_capita!Q$552/1000000</f>
        <v>0</v>
      </c>
      <c r="R19" s="336">
        <f>Saldo_relativo_per_capita!R19*Saldo_relativo_per_capita!R$552/1000000</f>
        <v>0</v>
      </c>
      <c r="S19" s="336">
        <f>Saldo_relativo_per_capita!S19*Saldo_relativo_per_capita!S$552/1000000</f>
        <v>0</v>
      </c>
      <c r="T19" s="336">
        <f>Saldo_relativo_per_capita!T19*Saldo_relativo_per_capita!T$552/1000000</f>
        <v>0</v>
      </c>
      <c r="U19" s="336">
        <f>Saldo_relativo_per_capita!U19*Saldo_relativo_per_capita!U$552/1000000</f>
        <v>0</v>
      </c>
      <c r="V19" s="336">
        <f>Saldo_relativo_per_capita!V19*Saldo_relativo_per_capita!V$552/1000000</f>
        <v>0</v>
      </c>
      <c r="W19" s="148"/>
    </row>
    <row r="20" spans="1:23" s="115" customFormat="1">
      <c r="A20" s="351" t="str">
        <f>IF(B20="","",(IF(ISERROR(MATCH(B20,Tot_res!C:C,0)),"Eliminar!!!","")))</f>
        <v/>
      </c>
      <c r="B20" s="115" t="s">
        <v>124</v>
      </c>
      <c r="C20" s="329" t="str">
        <f>VLOOKUP(B20,Tot_res!C:D,2,FALSE)</f>
        <v>Alto asesoramiento del estado</v>
      </c>
      <c r="D20" s="336">
        <f>Saldo_relativo_per_capita!D20*Saldo_relativo_per_capita!D$552/1000000</f>
        <v>0</v>
      </c>
      <c r="E20" s="336">
        <f>Saldo_relativo_per_capita!E20*Saldo_relativo_per_capita!E$552/1000000</f>
        <v>0</v>
      </c>
      <c r="F20" s="336">
        <f>Saldo_relativo_per_capita!F20*Saldo_relativo_per_capita!F$552/1000000</f>
        <v>0</v>
      </c>
      <c r="G20" s="336">
        <f>Saldo_relativo_per_capita!G20*Saldo_relativo_per_capita!G$552/1000000</f>
        <v>0</v>
      </c>
      <c r="H20" s="336">
        <f>Saldo_relativo_per_capita!H20*Saldo_relativo_per_capita!H$552/1000000</f>
        <v>0</v>
      </c>
      <c r="I20" s="336">
        <f>Saldo_relativo_per_capita!I20*Saldo_relativo_per_capita!I$552/1000000</f>
        <v>0</v>
      </c>
      <c r="J20" s="336">
        <f>Saldo_relativo_per_capita!J20*Saldo_relativo_per_capita!J$552/1000000</f>
        <v>0</v>
      </c>
      <c r="K20" s="336">
        <f>Saldo_relativo_per_capita!K20*Saldo_relativo_per_capita!K$552/1000000</f>
        <v>0</v>
      </c>
      <c r="L20" s="336">
        <f>Saldo_relativo_per_capita!L20*Saldo_relativo_per_capita!L$552/1000000</f>
        <v>0</v>
      </c>
      <c r="M20" s="336">
        <f>Saldo_relativo_per_capita!M20*Saldo_relativo_per_capita!M$552/1000000</f>
        <v>0</v>
      </c>
      <c r="N20" s="336">
        <f>Saldo_relativo_per_capita!N20*Saldo_relativo_per_capita!N$552/1000000</f>
        <v>0</v>
      </c>
      <c r="O20" s="336">
        <f>Saldo_relativo_per_capita!O20*Saldo_relativo_per_capita!O$552/1000000</f>
        <v>0</v>
      </c>
      <c r="P20" s="336">
        <f>Saldo_relativo_per_capita!P20*Saldo_relativo_per_capita!P$552/1000000</f>
        <v>0</v>
      </c>
      <c r="Q20" s="336">
        <f>Saldo_relativo_per_capita!Q20*Saldo_relativo_per_capita!Q$552/1000000</f>
        <v>0</v>
      </c>
      <c r="R20" s="336">
        <f>Saldo_relativo_per_capita!R20*Saldo_relativo_per_capita!R$552/1000000</f>
        <v>0</v>
      </c>
      <c r="S20" s="336">
        <f>Saldo_relativo_per_capita!S20*Saldo_relativo_per_capita!S$552/1000000</f>
        <v>0</v>
      </c>
      <c r="T20" s="336">
        <f>Saldo_relativo_per_capita!T20*Saldo_relativo_per_capita!T$552/1000000</f>
        <v>0</v>
      </c>
      <c r="U20" s="336">
        <f>Saldo_relativo_per_capita!U20*Saldo_relativo_per_capita!U$552/1000000</f>
        <v>0</v>
      </c>
      <c r="V20" s="336">
        <f>Saldo_relativo_per_capita!V20*Saldo_relativo_per_capita!V$552/1000000</f>
        <v>0</v>
      </c>
      <c r="W20" s="148"/>
    </row>
    <row r="21" spans="1:23" s="115" customFormat="1">
      <c r="A21" s="351" t="str">
        <f>IF(B21="","",(IF(ISERROR(MATCH(B21,Tot_res!C:C,0)),"Eliminar!!!","")))</f>
        <v/>
      </c>
      <c r="B21" s="115" t="s">
        <v>125</v>
      </c>
      <c r="C21" s="329" t="str">
        <f>VLOOKUP(B21,Tot_res!C:D,2,FALSE)</f>
        <v>Relaciones con las cortes generales, secretariado del gobierno y apoyo a la alta dirección</v>
      </c>
      <c r="D21" s="336">
        <f>Saldo_relativo_per_capita!D21*Saldo_relativo_per_capita!D$552/1000000</f>
        <v>0</v>
      </c>
      <c r="E21" s="336">
        <f>Saldo_relativo_per_capita!E21*Saldo_relativo_per_capita!E$552/1000000</f>
        <v>0</v>
      </c>
      <c r="F21" s="336">
        <f>Saldo_relativo_per_capita!F21*Saldo_relativo_per_capita!F$552/1000000</f>
        <v>0</v>
      </c>
      <c r="G21" s="336">
        <f>Saldo_relativo_per_capita!G21*Saldo_relativo_per_capita!G$552/1000000</f>
        <v>0</v>
      </c>
      <c r="H21" s="336">
        <f>Saldo_relativo_per_capita!H21*Saldo_relativo_per_capita!H$552/1000000</f>
        <v>0</v>
      </c>
      <c r="I21" s="336">
        <f>Saldo_relativo_per_capita!I21*Saldo_relativo_per_capita!I$552/1000000</f>
        <v>0</v>
      </c>
      <c r="J21" s="336">
        <f>Saldo_relativo_per_capita!J21*Saldo_relativo_per_capita!J$552/1000000</f>
        <v>0</v>
      </c>
      <c r="K21" s="336">
        <f>Saldo_relativo_per_capita!K21*Saldo_relativo_per_capita!K$552/1000000</f>
        <v>0</v>
      </c>
      <c r="L21" s="336">
        <f>Saldo_relativo_per_capita!L21*Saldo_relativo_per_capita!L$552/1000000</f>
        <v>0</v>
      </c>
      <c r="M21" s="336">
        <f>Saldo_relativo_per_capita!M21*Saldo_relativo_per_capita!M$552/1000000</f>
        <v>0</v>
      </c>
      <c r="N21" s="336">
        <f>Saldo_relativo_per_capita!N21*Saldo_relativo_per_capita!N$552/1000000</f>
        <v>0</v>
      </c>
      <c r="O21" s="336">
        <f>Saldo_relativo_per_capita!O21*Saldo_relativo_per_capita!O$552/1000000</f>
        <v>0</v>
      </c>
      <c r="P21" s="336">
        <f>Saldo_relativo_per_capita!P21*Saldo_relativo_per_capita!P$552/1000000</f>
        <v>0</v>
      </c>
      <c r="Q21" s="336">
        <f>Saldo_relativo_per_capita!Q21*Saldo_relativo_per_capita!Q$552/1000000</f>
        <v>0</v>
      </c>
      <c r="R21" s="336">
        <f>Saldo_relativo_per_capita!R21*Saldo_relativo_per_capita!R$552/1000000</f>
        <v>0</v>
      </c>
      <c r="S21" s="336">
        <f>Saldo_relativo_per_capita!S21*Saldo_relativo_per_capita!S$552/1000000</f>
        <v>0</v>
      </c>
      <c r="T21" s="336">
        <f>Saldo_relativo_per_capita!T21*Saldo_relativo_per_capita!T$552/1000000</f>
        <v>0</v>
      </c>
      <c r="U21" s="336">
        <f>Saldo_relativo_per_capita!U21*Saldo_relativo_per_capita!U$552/1000000</f>
        <v>0</v>
      </c>
      <c r="V21" s="336">
        <f>Saldo_relativo_per_capita!V21*Saldo_relativo_per_capita!V$552/1000000</f>
        <v>0</v>
      </c>
      <c r="W21" s="148"/>
    </row>
    <row r="22" spans="1:23" s="115" customFormat="1">
      <c r="A22" s="351" t="str">
        <f>IF(B22="","",(IF(ISERROR(MATCH(B22,Tot_res!C:C,0)),"Eliminar!!!","")))</f>
        <v/>
      </c>
      <c r="B22" s="115" t="s">
        <v>126</v>
      </c>
      <c r="C22" s="329" t="str">
        <f>VLOOKUP(B22,Tot_res!C:D,2,FALSE)</f>
        <v>Asesoramiento del gobierno en materia social, económica y laboral</v>
      </c>
      <c r="D22" s="336">
        <f>Saldo_relativo_per_capita!D22*Saldo_relativo_per_capita!D$552/1000000</f>
        <v>0</v>
      </c>
      <c r="E22" s="336">
        <f>Saldo_relativo_per_capita!E22*Saldo_relativo_per_capita!E$552/1000000</f>
        <v>0</v>
      </c>
      <c r="F22" s="336">
        <f>Saldo_relativo_per_capita!F22*Saldo_relativo_per_capita!F$552/1000000</f>
        <v>0</v>
      </c>
      <c r="G22" s="336">
        <f>Saldo_relativo_per_capita!G22*Saldo_relativo_per_capita!G$552/1000000</f>
        <v>0</v>
      </c>
      <c r="H22" s="336">
        <f>Saldo_relativo_per_capita!H22*Saldo_relativo_per_capita!H$552/1000000</f>
        <v>0</v>
      </c>
      <c r="I22" s="336">
        <f>Saldo_relativo_per_capita!I22*Saldo_relativo_per_capita!I$552/1000000</f>
        <v>0</v>
      </c>
      <c r="J22" s="336">
        <f>Saldo_relativo_per_capita!J22*Saldo_relativo_per_capita!J$552/1000000</f>
        <v>0</v>
      </c>
      <c r="K22" s="336">
        <f>Saldo_relativo_per_capita!K22*Saldo_relativo_per_capita!K$552/1000000</f>
        <v>0</v>
      </c>
      <c r="L22" s="336">
        <f>Saldo_relativo_per_capita!L22*Saldo_relativo_per_capita!L$552/1000000</f>
        <v>0</v>
      </c>
      <c r="M22" s="336">
        <f>Saldo_relativo_per_capita!M22*Saldo_relativo_per_capita!M$552/1000000</f>
        <v>0</v>
      </c>
      <c r="N22" s="336">
        <f>Saldo_relativo_per_capita!N22*Saldo_relativo_per_capita!N$552/1000000</f>
        <v>0</v>
      </c>
      <c r="O22" s="336">
        <f>Saldo_relativo_per_capita!O22*Saldo_relativo_per_capita!O$552/1000000</f>
        <v>0</v>
      </c>
      <c r="P22" s="336">
        <f>Saldo_relativo_per_capita!P22*Saldo_relativo_per_capita!P$552/1000000</f>
        <v>0</v>
      </c>
      <c r="Q22" s="336">
        <f>Saldo_relativo_per_capita!Q22*Saldo_relativo_per_capita!Q$552/1000000</f>
        <v>0</v>
      </c>
      <c r="R22" s="336">
        <f>Saldo_relativo_per_capita!R22*Saldo_relativo_per_capita!R$552/1000000</f>
        <v>0</v>
      </c>
      <c r="S22" s="336">
        <f>Saldo_relativo_per_capita!S22*Saldo_relativo_per_capita!S$552/1000000</f>
        <v>0</v>
      </c>
      <c r="T22" s="336">
        <f>Saldo_relativo_per_capita!T22*Saldo_relativo_per_capita!T$552/1000000</f>
        <v>0</v>
      </c>
      <c r="U22" s="336">
        <f>Saldo_relativo_per_capita!U22*Saldo_relativo_per_capita!U$552/1000000</f>
        <v>0</v>
      </c>
      <c r="V22" s="336">
        <f>Saldo_relativo_per_capita!V22*Saldo_relativo_per_capita!V$552/1000000</f>
        <v>0</v>
      </c>
      <c r="W22" s="148"/>
    </row>
    <row r="23" spans="1:23" s="115" customFormat="1">
      <c r="A23" s="351" t="str">
        <f>IF(B23="","",(IF(ISERROR(MATCH(B23,Tot_res!C:C,0)),"Eliminar!!!","")))</f>
        <v/>
      </c>
      <c r="B23" s="115" t="s">
        <v>127</v>
      </c>
      <c r="C23" s="329" t="str">
        <f>VLOOKUP(B23,Tot_res!C:D,2,FALSE)</f>
        <v>Cobertura informativa</v>
      </c>
      <c r="D23" s="336">
        <f>Saldo_relativo_per_capita!D23*Saldo_relativo_per_capita!D$552/1000000</f>
        <v>0</v>
      </c>
      <c r="E23" s="336">
        <f>Saldo_relativo_per_capita!E23*Saldo_relativo_per_capita!E$552/1000000</f>
        <v>0</v>
      </c>
      <c r="F23" s="336">
        <f>Saldo_relativo_per_capita!F23*Saldo_relativo_per_capita!F$552/1000000</f>
        <v>0</v>
      </c>
      <c r="G23" s="336">
        <f>Saldo_relativo_per_capita!G23*Saldo_relativo_per_capita!G$552/1000000</f>
        <v>0</v>
      </c>
      <c r="H23" s="336">
        <f>Saldo_relativo_per_capita!H23*Saldo_relativo_per_capita!H$552/1000000</f>
        <v>0</v>
      </c>
      <c r="I23" s="336">
        <f>Saldo_relativo_per_capita!I23*Saldo_relativo_per_capita!I$552/1000000</f>
        <v>0</v>
      </c>
      <c r="J23" s="336">
        <f>Saldo_relativo_per_capita!J23*Saldo_relativo_per_capita!J$552/1000000</f>
        <v>0</v>
      </c>
      <c r="K23" s="336">
        <f>Saldo_relativo_per_capita!K23*Saldo_relativo_per_capita!K$552/1000000</f>
        <v>0</v>
      </c>
      <c r="L23" s="336">
        <f>Saldo_relativo_per_capita!L23*Saldo_relativo_per_capita!L$552/1000000</f>
        <v>0</v>
      </c>
      <c r="M23" s="336">
        <f>Saldo_relativo_per_capita!M23*Saldo_relativo_per_capita!M$552/1000000</f>
        <v>0</v>
      </c>
      <c r="N23" s="336">
        <f>Saldo_relativo_per_capita!N23*Saldo_relativo_per_capita!N$552/1000000</f>
        <v>0</v>
      </c>
      <c r="O23" s="336">
        <f>Saldo_relativo_per_capita!O23*Saldo_relativo_per_capita!O$552/1000000</f>
        <v>0</v>
      </c>
      <c r="P23" s="336">
        <f>Saldo_relativo_per_capita!P23*Saldo_relativo_per_capita!P$552/1000000</f>
        <v>0</v>
      </c>
      <c r="Q23" s="336">
        <f>Saldo_relativo_per_capita!Q23*Saldo_relativo_per_capita!Q$552/1000000</f>
        <v>0</v>
      </c>
      <c r="R23" s="336">
        <f>Saldo_relativo_per_capita!R23*Saldo_relativo_per_capita!R$552/1000000</f>
        <v>0</v>
      </c>
      <c r="S23" s="336">
        <f>Saldo_relativo_per_capita!S23*Saldo_relativo_per_capita!S$552/1000000</f>
        <v>0</v>
      </c>
      <c r="T23" s="336">
        <f>Saldo_relativo_per_capita!T23*Saldo_relativo_per_capita!T$552/1000000</f>
        <v>0</v>
      </c>
      <c r="U23" s="336">
        <f>Saldo_relativo_per_capita!U23*Saldo_relativo_per_capita!U$552/1000000</f>
        <v>0</v>
      </c>
      <c r="V23" s="336">
        <f>Saldo_relativo_per_capita!V23*Saldo_relativo_per_capita!V$552/1000000</f>
        <v>0</v>
      </c>
      <c r="W23" s="148"/>
    </row>
    <row r="24" spans="1:23" s="115" customFormat="1">
      <c r="A24" s="352"/>
      <c r="D24" s="217"/>
      <c r="E24" s="217"/>
      <c r="F24" s="217"/>
      <c r="G24" s="217"/>
      <c r="H24" s="217"/>
      <c r="I24" s="217"/>
      <c r="J24" s="217"/>
      <c r="K24" s="217"/>
      <c r="L24" s="217"/>
      <c r="M24" s="217"/>
      <c r="N24" s="217"/>
      <c r="O24" s="217"/>
      <c r="P24" s="217"/>
      <c r="Q24" s="217"/>
      <c r="R24" s="217"/>
      <c r="S24" s="217"/>
      <c r="T24" s="217"/>
      <c r="U24" s="217"/>
      <c r="V24" s="217"/>
      <c r="W24" s="148"/>
    </row>
    <row r="25" spans="1:23" s="115" customFormat="1" ht="13.5">
      <c r="A25" s="352"/>
      <c r="C25" s="117" t="s">
        <v>47</v>
      </c>
      <c r="D25" s="218">
        <f>Saldo_relativo_per_capita!D25*Saldo_relativo_per_capita!D$552/1000000</f>
        <v>0</v>
      </c>
      <c r="E25" s="218">
        <f>Saldo_relativo_per_capita!E25*Saldo_relativo_per_capita!E$552/1000000</f>
        <v>0</v>
      </c>
      <c r="F25" s="218">
        <f>Saldo_relativo_per_capita!F25*Saldo_relativo_per_capita!F$552/1000000</f>
        <v>0</v>
      </c>
      <c r="G25" s="218">
        <f>Saldo_relativo_per_capita!G25*Saldo_relativo_per_capita!G$552/1000000</f>
        <v>0</v>
      </c>
      <c r="H25" s="218">
        <f>Saldo_relativo_per_capita!H25*Saldo_relativo_per_capita!H$552/1000000</f>
        <v>0</v>
      </c>
      <c r="I25" s="218">
        <f>Saldo_relativo_per_capita!I25*Saldo_relativo_per_capita!I$552/1000000</f>
        <v>0</v>
      </c>
      <c r="J25" s="218">
        <f>Saldo_relativo_per_capita!J25*Saldo_relativo_per_capita!J$552/1000000</f>
        <v>0</v>
      </c>
      <c r="K25" s="218">
        <f>Saldo_relativo_per_capita!K25*Saldo_relativo_per_capita!K$552/1000000</f>
        <v>0</v>
      </c>
      <c r="L25" s="218">
        <f>Saldo_relativo_per_capita!L25*Saldo_relativo_per_capita!L$552/1000000</f>
        <v>0</v>
      </c>
      <c r="M25" s="218">
        <f>Saldo_relativo_per_capita!M25*Saldo_relativo_per_capita!M$552/1000000</f>
        <v>0</v>
      </c>
      <c r="N25" s="218">
        <f>Saldo_relativo_per_capita!N25*Saldo_relativo_per_capita!N$552/1000000</f>
        <v>0</v>
      </c>
      <c r="O25" s="218">
        <f>Saldo_relativo_per_capita!O25*Saldo_relativo_per_capita!O$552/1000000</f>
        <v>0</v>
      </c>
      <c r="P25" s="218">
        <f>Saldo_relativo_per_capita!P25*Saldo_relativo_per_capita!P$552/1000000</f>
        <v>0</v>
      </c>
      <c r="Q25" s="218">
        <f>Saldo_relativo_per_capita!Q25*Saldo_relativo_per_capita!Q$552/1000000</f>
        <v>0</v>
      </c>
      <c r="R25" s="218">
        <f>Saldo_relativo_per_capita!R25*Saldo_relativo_per_capita!R$552/1000000</f>
        <v>0</v>
      </c>
      <c r="S25" s="218">
        <f>Saldo_relativo_per_capita!S25*Saldo_relativo_per_capita!S$552/1000000</f>
        <v>0</v>
      </c>
      <c r="T25" s="218">
        <f>Saldo_relativo_per_capita!T25*Saldo_relativo_per_capita!T$552/1000000</f>
        <v>0</v>
      </c>
      <c r="U25" s="218">
        <f>Saldo_relativo_per_capita!U25*Saldo_relativo_per_capita!U$552/1000000</f>
        <v>0</v>
      </c>
      <c r="V25" s="218">
        <f>Saldo_relativo_per_capita!V25*Saldo_relativo_per_capita!V$552/1000000</f>
        <v>0</v>
      </c>
      <c r="W25" s="148"/>
    </row>
    <row r="26" spans="1:23" s="115" customFormat="1" ht="13.5">
      <c r="A26" s="351" t="str">
        <f>IF(B26="","",(IF(ISERROR(MATCH(B26,Tot_res!C:C,0)),"Eliminar!!!","")))</f>
        <v/>
      </c>
      <c r="B26" s="115" t="s">
        <v>129</v>
      </c>
      <c r="C26" s="329" t="str">
        <f>VLOOKUP(B26,Tot_res!C:D,2,FALSE)</f>
        <v>Dirección y servicios generales de asuntos exteriores</v>
      </c>
      <c r="D26" s="336">
        <f>Saldo_relativo_per_capita!D26*Saldo_relativo_per_capita!D$552/1000000</f>
        <v>0</v>
      </c>
      <c r="E26" s="336">
        <f>Saldo_relativo_per_capita!E26*Saldo_relativo_per_capita!E$552/1000000</f>
        <v>0</v>
      </c>
      <c r="F26" s="336">
        <f>Saldo_relativo_per_capita!F26*Saldo_relativo_per_capita!F$552/1000000</f>
        <v>0</v>
      </c>
      <c r="G26" s="336">
        <f>Saldo_relativo_per_capita!G26*Saldo_relativo_per_capita!G$552/1000000</f>
        <v>0</v>
      </c>
      <c r="H26" s="336">
        <f>Saldo_relativo_per_capita!H26*Saldo_relativo_per_capita!H$552/1000000</f>
        <v>0</v>
      </c>
      <c r="I26" s="336">
        <f>Saldo_relativo_per_capita!I26*Saldo_relativo_per_capita!I$552/1000000</f>
        <v>0</v>
      </c>
      <c r="J26" s="336">
        <f>Saldo_relativo_per_capita!J26*Saldo_relativo_per_capita!J$552/1000000</f>
        <v>0</v>
      </c>
      <c r="K26" s="336">
        <f>Saldo_relativo_per_capita!K26*Saldo_relativo_per_capita!K$552/1000000</f>
        <v>0</v>
      </c>
      <c r="L26" s="336">
        <f>Saldo_relativo_per_capita!L26*Saldo_relativo_per_capita!L$552/1000000</f>
        <v>0</v>
      </c>
      <c r="M26" s="336">
        <f>Saldo_relativo_per_capita!M26*Saldo_relativo_per_capita!M$552/1000000</f>
        <v>0</v>
      </c>
      <c r="N26" s="336">
        <f>Saldo_relativo_per_capita!N26*Saldo_relativo_per_capita!N$552/1000000</f>
        <v>0</v>
      </c>
      <c r="O26" s="336">
        <f>Saldo_relativo_per_capita!O26*Saldo_relativo_per_capita!O$552/1000000</f>
        <v>0</v>
      </c>
      <c r="P26" s="336">
        <f>Saldo_relativo_per_capita!P26*Saldo_relativo_per_capita!P$552/1000000</f>
        <v>0</v>
      </c>
      <c r="Q26" s="336">
        <f>Saldo_relativo_per_capita!Q26*Saldo_relativo_per_capita!Q$552/1000000</f>
        <v>0</v>
      </c>
      <c r="R26" s="336">
        <f>Saldo_relativo_per_capita!R26*Saldo_relativo_per_capita!R$552/1000000</f>
        <v>0</v>
      </c>
      <c r="S26" s="336">
        <f>Saldo_relativo_per_capita!S26*Saldo_relativo_per_capita!S$552/1000000</f>
        <v>0</v>
      </c>
      <c r="T26" s="336">
        <f>Saldo_relativo_per_capita!T26*Saldo_relativo_per_capita!T$552/1000000</f>
        <v>0</v>
      </c>
      <c r="U26" s="336">
        <f>Saldo_relativo_per_capita!U26*Saldo_relativo_per_capita!U$552/1000000</f>
        <v>0</v>
      </c>
      <c r="V26" s="336">
        <f>Saldo_relativo_per_capita!V26*Saldo_relativo_per_capita!V$552/1000000</f>
        <v>0</v>
      </c>
      <c r="W26" s="227"/>
    </row>
    <row r="27" spans="1:23" s="115" customFormat="1">
      <c r="A27" s="351" t="str">
        <f>IF(B27="","",(IF(ISERROR(MATCH(B27,Tot_res!C:C,0)),"Eliminar!!!","")))</f>
        <v/>
      </c>
      <c r="B27" s="115" t="s">
        <v>130</v>
      </c>
      <c r="C27" s="329" t="str">
        <f>VLOOKUP(B27,Tot_res!C:D,2,FALSE)</f>
        <v>Acción del estado en el exterior</v>
      </c>
      <c r="D27" s="336">
        <f>Saldo_relativo_per_capita!D27*Saldo_relativo_per_capita!D$552/1000000</f>
        <v>0</v>
      </c>
      <c r="E27" s="336">
        <f>Saldo_relativo_per_capita!E27*Saldo_relativo_per_capita!E$552/1000000</f>
        <v>0</v>
      </c>
      <c r="F27" s="336">
        <f>Saldo_relativo_per_capita!F27*Saldo_relativo_per_capita!F$552/1000000</f>
        <v>0</v>
      </c>
      <c r="G27" s="336">
        <f>Saldo_relativo_per_capita!G27*Saldo_relativo_per_capita!G$552/1000000</f>
        <v>0</v>
      </c>
      <c r="H27" s="336">
        <f>Saldo_relativo_per_capita!H27*Saldo_relativo_per_capita!H$552/1000000</f>
        <v>0</v>
      </c>
      <c r="I27" s="336">
        <f>Saldo_relativo_per_capita!I27*Saldo_relativo_per_capita!I$552/1000000</f>
        <v>0</v>
      </c>
      <c r="J27" s="336">
        <f>Saldo_relativo_per_capita!J27*Saldo_relativo_per_capita!J$552/1000000</f>
        <v>0</v>
      </c>
      <c r="K27" s="336">
        <f>Saldo_relativo_per_capita!K27*Saldo_relativo_per_capita!K$552/1000000</f>
        <v>0</v>
      </c>
      <c r="L27" s="336">
        <f>Saldo_relativo_per_capita!L27*Saldo_relativo_per_capita!L$552/1000000</f>
        <v>0</v>
      </c>
      <c r="M27" s="336">
        <f>Saldo_relativo_per_capita!M27*Saldo_relativo_per_capita!M$552/1000000</f>
        <v>0</v>
      </c>
      <c r="N27" s="336">
        <f>Saldo_relativo_per_capita!N27*Saldo_relativo_per_capita!N$552/1000000</f>
        <v>0</v>
      </c>
      <c r="O27" s="336">
        <f>Saldo_relativo_per_capita!O27*Saldo_relativo_per_capita!O$552/1000000</f>
        <v>0</v>
      </c>
      <c r="P27" s="336">
        <f>Saldo_relativo_per_capita!P27*Saldo_relativo_per_capita!P$552/1000000</f>
        <v>0</v>
      </c>
      <c r="Q27" s="336">
        <f>Saldo_relativo_per_capita!Q27*Saldo_relativo_per_capita!Q$552/1000000</f>
        <v>0</v>
      </c>
      <c r="R27" s="336">
        <f>Saldo_relativo_per_capita!R27*Saldo_relativo_per_capita!R$552/1000000</f>
        <v>0</v>
      </c>
      <c r="S27" s="336">
        <f>Saldo_relativo_per_capita!S27*Saldo_relativo_per_capita!S$552/1000000</f>
        <v>0</v>
      </c>
      <c r="T27" s="336">
        <f>Saldo_relativo_per_capita!T27*Saldo_relativo_per_capita!T$552/1000000</f>
        <v>0</v>
      </c>
      <c r="U27" s="336">
        <f>Saldo_relativo_per_capita!U27*Saldo_relativo_per_capita!U$552/1000000</f>
        <v>0</v>
      </c>
      <c r="V27" s="336">
        <f>Saldo_relativo_per_capita!V27*Saldo_relativo_per_capita!V$552/1000000</f>
        <v>0</v>
      </c>
      <c r="W27" s="148"/>
    </row>
    <row r="28" spans="1:23" s="115" customFormat="1">
      <c r="A28" s="351" t="str">
        <f>IF(B28="","",(IF(ISERROR(MATCH(B28,Tot_res!C:C,0)),"Eliminar!!!","")))</f>
        <v/>
      </c>
      <c r="B28" s="115" t="s">
        <v>131</v>
      </c>
      <c r="C28" s="329" t="str">
        <f>VLOOKUP(B28,Tot_res!C:D,2,FALSE)</f>
        <v>Acción diplomática ante la unión europea</v>
      </c>
      <c r="D28" s="336">
        <f>Saldo_relativo_per_capita!D28*Saldo_relativo_per_capita!D$552/1000000</f>
        <v>0</v>
      </c>
      <c r="E28" s="336">
        <f>Saldo_relativo_per_capita!E28*Saldo_relativo_per_capita!E$552/1000000</f>
        <v>0</v>
      </c>
      <c r="F28" s="336">
        <f>Saldo_relativo_per_capita!F28*Saldo_relativo_per_capita!F$552/1000000</f>
        <v>0</v>
      </c>
      <c r="G28" s="336">
        <f>Saldo_relativo_per_capita!G28*Saldo_relativo_per_capita!G$552/1000000</f>
        <v>0</v>
      </c>
      <c r="H28" s="336">
        <f>Saldo_relativo_per_capita!H28*Saldo_relativo_per_capita!H$552/1000000</f>
        <v>0</v>
      </c>
      <c r="I28" s="336">
        <f>Saldo_relativo_per_capita!I28*Saldo_relativo_per_capita!I$552/1000000</f>
        <v>0</v>
      </c>
      <c r="J28" s="336">
        <f>Saldo_relativo_per_capita!J28*Saldo_relativo_per_capita!J$552/1000000</f>
        <v>0</v>
      </c>
      <c r="K28" s="336">
        <f>Saldo_relativo_per_capita!K28*Saldo_relativo_per_capita!K$552/1000000</f>
        <v>0</v>
      </c>
      <c r="L28" s="336">
        <f>Saldo_relativo_per_capita!L28*Saldo_relativo_per_capita!L$552/1000000</f>
        <v>0</v>
      </c>
      <c r="M28" s="336">
        <f>Saldo_relativo_per_capita!M28*Saldo_relativo_per_capita!M$552/1000000</f>
        <v>0</v>
      </c>
      <c r="N28" s="336">
        <f>Saldo_relativo_per_capita!N28*Saldo_relativo_per_capita!N$552/1000000</f>
        <v>0</v>
      </c>
      <c r="O28" s="336">
        <f>Saldo_relativo_per_capita!O28*Saldo_relativo_per_capita!O$552/1000000</f>
        <v>0</v>
      </c>
      <c r="P28" s="336">
        <f>Saldo_relativo_per_capita!P28*Saldo_relativo_per_capita!P$552/1000000</f>
        <v>0</v>
      </c>
      <c r="Q28" s="336">
        <f>Saldo_relativo_per_capita!Q28*Saldo_relativo_per_capita!Q$552/1000000</f>
        <v>0</v>
      </c>
      <c r="R28" s="336">
        <f>Saldo_relativo_per_capita!R28*Saldo_relativo_per_capita!R$552/1000000</f>
        <v>0</v>
      </c>
      <c r="S28" s="336">
        <f>Saldo_relativo_per_capita!S28*Saldo_relativo_per_capita!S$552/1000000</f>
        <v>0</v>
      </c>
      <c r="T28" s="336">
        <f>Saldo_relativo_per_capita!T28*Saldo_relativo_per_capita!T$552/1000000</f>
        <v>0</v>
      </c>
      <c r="U28" s="336">
        <f>Saldo_relativo_per_capita!U28*Saldo_relativo_per_capita!U$552/1000000</f>
        <v>0</v>
      </c>
      <c r="V28" s="336">
        <f>Saldo_relativo_per_capita!V28*Saldo_relativo_per_capita!V$552/1000000</f>
        <v>0</v>
      </c>
      <c r="W28" s="148"/>
    </row>
    <row r="29" spans="1:23" s="115" customFormat="1">
      <c r="A29" s="351" t="str">
        <f>IF(B29="","",(IF(ISERROR(MATCH(B29,Tot_res!C:C,0)),"Eliminar!!!","")))</f>
        <v/>
      </c>
      <c r="B29" s="115" t="s">
        <v>132</v>
      </c>
      <c r="C29" s="329" t="str">
        <f>VLOOKUP(B29,Tot_res!C:D,2,FALSE)</f>
        <v>Cooperación para el desarrollo</v>
      </c>
      <c r="D29" s="336">
        <f>Saldo_relativo_per_capita!D29*Saldo_relativo_per_capita!D$552/1000000</f>
        <v>0</v>
      </c>
      <c r="E29" s="336">
        <f>Saldo_relativo_per_capita!E29*Saldo_relativo_per_capita!E$552/1000000</f>
        <v>0</v>
      </c>
      <c r="F29" s="336">
        <f>Saldo_relativo_per_capita!F29*Saldo_relativo_per_capita!F$552/1000000</f>
        <v>0</v>
      </c>
      <c r="G29" s="336">
        <f>Saldo_relativo_per_capita!G29*Saldo_relativo_per_capita!G$552/1000000</f>
        <v>0</v>
      </c>
      <c r="H29" s="336">
        <f>Saldo_relativo_per_capita!H29*Saldo_relativo_per_capita!H$552/1000000</f>
        <v>0</v>
      </c>
      <c r="I29" s="336">
        <f>Saldo_relativo_per_capita!I29*Saldo_relativo_per_capita!I$552/1000000</f>
        <v>0</v>
      </c>
      <c r="J29" s="336">
        <f>Saldo_relativo_per_capita!J29*Saldo_relativo_per_capita!J$552/1000000</f>
        <v>0</v>
      </c>
      <c r="K29" s="336">
        <f>Saldo_relativo_per_capita!K29*Saldo_relativo_per_capita!K$552/1000000</f>
        <v>0</v>
      </c>
      <c r="L29" s="336">
        <f>Saldo_relativo_per_capita!L29*Saldo_relativo_per_capita!L$552/1000000</f>
        <v>0</v>
      </c>
      <c r="M29" s="336">
        <f>Saldo_relativo_per_capita!M29*Saldo_relativo_per_capita!M$552/1000000</f>
        <v>0</v>
      </c>
      <c r="N29" s="336">
        <f>Saldo_relativo_per_capita!N29*Saldo_relativo_per_capita!N$552/1000000</f>
        <v>0</v>
      </c>
      <c r="O29" s="336">
        <f>Saldo_relativo_per_capita!O29*Saldo_relativo_per_capita!O$552/1000000</f>
        <v>0</v>
      </c>
      <c r="P29" s="336">
        <f>Saldo_relativo_per_capita!P29*Saldo_relativo_per_capita!P$552/1000000</f>
        <v>0</v>
      </c>
      <c r="Q29" s="336">
        <f>Saldo_relativo_per_capita!Q29*Saldo_relativo_per_capita!Q$552/1000000</f>
        <v>0</v>
      </c>
      <c r="R29" s="336">
        <f>Saldo_relativo_per_capita!R29*Saldo_relativo_per_capita!R$552/1000000</f>
        <v>0</v>
      </c>
      <c r="S29" s="336">
        <f>Saldo_relativo_per_capita!S29*Saldo_relativo_per_capita!S$552/1000000</f>
        <v>0</v>
      </c>
      <c r="T29" s="336">
        <f>Saldo_relativo_per_capita!T29*Saldo_relativo_per_capita!T$552/1000000</f>
        <v>0</v>
      </c>
      <c r="U29" s="336">
        <f>Saldo_relativo_per_capita!U29*Saldo_relativo_per_capita!U$552/1000000</f>
        <v>0</v>
      </c>
      <c r="V29" s="336">
        <f>Saldo_relativo_per_capita!V29*Saldo_relativo_per_capita!V$552/1000000</f>
        <v>0</v>
      </c>
      <c r="W29" s="148"/>
    </row>
    <row r="30" spans="1:23" s="115" customFormat="1">
      <c r="A30" s="351" t="str">
        <f>IF(B30="","",(IF(ISERROR(MATCH(B30,Tot_res!C:C,0)),"Eliminar!!!","")))</f>
        <v/>
      </c>
      <c r="B30" s="115" t="s">
        <v>134</v>
      </c>
      <c r="C30" s="329" t="str">
        <f>VLOOKUP(B30,Tot_res!C:D,2,FALSE)</f>
        <v>Cooperación, promoción y difusión cultural en el exterior</v>
      </c>
      <c r="D30" s="336">
        <f>Saldo_relativo_per_capita!D30*Saldo_relativo_per_capita!D$552/1000000</f>
        <v>0</v>
      </c>
      <c r="E30" s="336">
        <f>Saldo_relativo_per_capita!E30*Saldo_relativo_per_capita!E$552/1000000</f>
        <v>0</v>
      </c>
      <c r="F30" s="336">
        <f>Saldo_relativo_per_capita!F30*Saldo_relativo_per_capita!F$552/1000000</f>
        <v>0</v>
      </c>
      <c r="G30" s="336">
        <f>Saldo_relativo_per_capita!G30*Saldo_relativo_per_capita!G$552/1000000</f>
        <v>0</v>
      </c>
      <c r="H30" s="336">
        <f>Saldo_relativo_per_capita!H30*Saldo_relativo_per_capita!H$552/1000000</f>
        <v>0</v>
      </c>
      <c r="I30" s="336">
        <f>Saldo_relativo_per_capita!I30*Saldo_relativo_per_capita!I$552/1000000</f>
        <v>0</v>
      </c>
      <c r="J30" s="336">
        <f>Saldo_relativo_per_capita!J30*Saldo_relativo_per_capita!J$552/1000000</f>
        <v>0</v>
      </c>
      <c r="K30" s="336">
        <f>Saldo_relativo_per_capita!K30*Saldo_relativo_per_capita!K$552/1000000</f>
        <v>0</v>
      </c>
      <c r="L30" s="336">
        <f>Saldo_relativo_per_capita!L30*Saldo_relativo_per_capita!L$552/1000000</f>
        <v>0</v>
      </c>
      <c r="M30" s="336">
        <f>Saldo_relativo_per_capita!M30*Saldo_relativo_per_capita!M$552/1000000</f>
        <v>0</v>
      </c>
      <c r="N30" s="336">
        <f>Saldo_relativo_per_capita!N30*Saldo_relativo_per_capita!N$552/1000000</f>
        <v>0</v>
      </c>
      <c r="O30" s="336">
        <f>Saldo_relativo_per_capita!O30*Saldo_relativo_per_capita!O$552/1000000</f>
        <v>0</v>
      </c>
      <c r="P30" s="336">
        <f>Saldo_relativo_per_capita!P30*Saldo_relativo_per_capita!P$552/1000000</f>
        <v>0</v>
      </c>
      <c r="Q30" s="336">
        <f>Saldo_relativo_per_capita!Q30*Saldo_relativo_per_capita!Q$552/1000000</f>
        <v>0</v>
      </c>
      <c r="R30" s="336">
        <f>Saldo_relativo_per_capita!R30*Saldo_relativo_per_capita!R$552/1000000</f>
        <v>0</v>
      </c>
      <c r="S30" s="336">
        <f>Saldo_relativo_per_capita!S30*Saldo_relativo_per_capita!S$552/1000000</f>
        <v>0</v>
      </c>
      <c r="T30" s="336">
        <f>Saldo_relativo_per_capita!T30*Saldo_relativo_per_capita!T$552/1000000</f>
        <v>0</v>
      </c>
      <c r="U30" s="336">
        <f>Saldo_relativo_per_capita!U30*Saldo_relativo_per_capita!U$552/1000000</f>
        <v>0</v>
      </c>
      <c r="V30" s="336">
        <f>Saldo_relativo_per_capita!V30*Saldo_relativo_per_capita!V$552/1000000</f>
        <v>0</v>
      </c>
      <c r="W30" s="148"/>
    </row>
    <row r="31" spans="1:23" s="115" customFormat="1">
      <c r="A31" s="351" t="str">
        <f>IF(B31="","",(IF(ISERROR(MATCH(B31,Tot_res!C:C,0)),"Eliminar!!!","")))</f>
        <v/>
      </c>
      <c r="B31" s="119" t="s">
        <v>136</v>
      </c>
      <c r="C31" s="329" t="str">
        <f>VLOOKUP(B31,Tot_res!C:D,2,FALSE)</f>
        <v>Educación en el exterior</v>
      </c>
      <c r="D31" s="336">
        <f>Saldo_relativo_per_capita!D31*Saldo_relativo_per_capita!D$552/1000000</f>
        <v>0</v>
      </c>
      <c r="E31" s="336">
        <f>Saldo_relativo_per_capita!E31*Saldo_relativo_per_capita!E$552/1000000</f>
        <v>0</v>
      </c>
      <c r="F31" s="336">
        <f>Saldo_relativo_per_capita!F31*Saldo_relativo_per_capita!F$552/1000000</f>
        <v>0</v>
      </c>
      <c r="G31" s="336">
        <f>Saldo_relativo_per_capita!G31*Saldo_relativo_per_capita!G$552/1000000</f>
        <v>0</v>
      </c>
      <c r="H31" s="336">
        <f>Saldo_relativo_per_capita!H31*Saldo_relativo_per_capita!H$552/1000000</f>
        <v>0</v>
      </c>
      <c r="I31" s="336">
        <f>Saldo_relativo_per_capita!I31*Saldo_relativo_per_capita!I$552/1000000</f>
        <v>0</v>
      </c>
      <c r="J31" s="336">
        <f>Saldo_relativo_per_capita!J31*Saldo_relativo_per_capita!J$552/1000000</f>
        <v>0</v>
      </c>
      <c r="K31" s="336">
        <f>Saldo_relativo_per_capita!K31*Saldo_relativo_per_capita!K$552/1000000</f>
        <v>0</v>
      </c>
      <c r="L31" s="336">
        <f>Saldo_relativo_per_capita!L31*Saldo_relativo_per_capita!L$552/1000000</f>
        <v>0</v>
      </c>
      <c r="M31" s="336">
        <f>Saldo_relativo_per_capita!M31*Saldo_relativo_per_capita!M$552/1000000</f>
        <v>0</v>
      </c>
      <c r="N31" s="336">
        <f>Saldo_relativo_per_capita!N31*Saldo_relativo_per_capita!N$552/1000000</f>
        <v>0</v>
      </c>
      <c r="O31" s="336">
        <f>Saldo_relativo_per_capita!O31*Saldo_relativo_per_capita!O$552/1000000</f>
        <v>0</v>
      </c>
      <c r="P31" s="336">
        <f>Saldo_relativo_per_capita!P31*Saldo_relativo_per_capita!P$552/1000000</f>
        <v>0</v>
      </c>
      <c r="Q31" s="336">
        <f>Saldo_relativo_per_capita!Q31*Saldo_relativo_per_capita!Q$552/1000000</f>
        <v>0</v>
      </c>
      <c r="R31" s="336">
        <f>Saldo_relativo_per_capita!R31*Saldo_relativo_per_capita!R$552/1000000</f>
        <v>0</v>
      </c>
      <c r="S31" s="336">
        <f>Saldo_relativo_per_capita!S31*Saldo_relativo_per_capita!S$552/1000000</f>
        <v>0</v>
      </c>
      <c r="T31" s="336">
        <f>Saldo_relativo_per_capita!T31*Saldo_relativo_per_capita!T$552/1000000</f>
        <v>0</v>
      </c>
      <c r="U31" s="336">
        <f>Saldo_relativo_per_capita!U31*Saldo_relativo_per_capita!U$552/1000000</f>
        <v>0</v>
      </c>
      <c r="V31" s="336">
        <f>Saldo_relativo_per_capita!V31*Saldo_relativo_per_capita!V$552/1000000</f>
        <v>0</v>
      </c>
      <c r="W31" s="148"/>
    </row>
    <row r="32" spans="1:23" s="115" customFormat="1">
      <c r="A32" s="351" t="str">
        <f>IF(B32="","",(IF(ISERROR(MATCH(B32,Tot_res!C:C,0)),"Eliminar!!!","")))</f>
        <v/>
      </c>
      <c r="B32" s="115" t="s">
        <v>138</v>
      </c>
      <c r="C32" s="329" t="str">
        <f>VLOOKUP(B32,Tot_res!C:D,2,FALSE)</f>
        <v>Relaciones con los organismos financieros multilaterales</v>
      </c>
      <c r="D32" s="336">
        <f>Saldo_relativo_per_capita!D32*Saldo_relativo_per_capita!D$552/1000000</f>
        <v>0</v>
      </c>
      <c r="E32" s="336">
        <f>Saldo_relativo_per_capita!E32*Saldo_relativo_per_capita!E$552/1000000</f>
        <v>0</v>
      </c>
      <c r="F32" s="336">
        <f>Saldo_relativo_per_capita!F32*Saldo_relativo_per_capita!F$552/1000000</f>
        <v>0</v>
      </c>
      <c r="G32" s="336">
        <f>Saldo_relativo_per_capita!G32*Saldo_relativo_per_capita!G$552/1000000</f>
        <v>0</v>
      </c>
      <c r="H32" s="336">
        <f>Saldo_relativo_per_capita!H32*Saldo_relativo_per_capita!H$552/1000000</f>
        <v>0</v>
      </c>
      <c r="I32" s="336">
        <f>Saldo_relativo_per_capita!I32*Saldo_relativo_per_capita!I$552/1000000</f>
        <v>0</v>
      </c>
      <c r="J32" s="336">
        <f>Saldo_relativo_per_capita!J32*Saldo_relativo_per_capita!J$552/1000000</f>
        <v>0</v>
      </c>
      <c r="K32" s="336">
        <f>Saldo_relativo_per_capita!K32*Saldo_relativo_per_capita!K$552/1000000</f>
        <v>0</v>
      </c>
      <c r="L32" s="336">
        <f>Saldo_relativo_per_capita!L32*Saldo_relativo_per_capita!L$552/1000000</f>
        <v>0</v>
      </c>
      <c r="M32" s="336">
        <f>Saldo_relativo_per_capita!M32*Saldo_relativo_per_capita!M$552/1000000</f>
        <v>0</v>
      </c>
      <c r="N32" s="336">
        <f>Saldo_relativo_per_capita!N32*Saldo_relativo_per_capita!N$552/1000000</f>
        <v>0</v>
      </c>
      <c r="O32" s="336">
        <f>Saldo_relativo_per_capita!O32*Saldo_relativo_per_capita!O$552/1000000</f>
        <v>0</v>
      </c>
      <c r="P32" s="336">
        <f>Saldo_relativo_per_capita!P32*Saldo_relativo_per_capita!P$552/1000000</f>
        <v>0</v>
      </c>
      <c r="Q32" s="336">
        <f>Saldo_relativo_per_capita!Q32*Saldo_relativo_per_capita!Q$552/1000000</f>
        <v>0</v>
      </c>
      <c r="R32" s="336">
        <f>Saldo_relativo_per_capita!R32*Saldo_relativo_per_capita!R$552/1000000</f>
        <v>0</v>
      </c>
      <c r="S32" s="336">
        <f>Saldo_relativo_per_capita!S32*Saldo_relativo_per_capita!S$552/1000000</f>
        <v>0</v>
      </c>
      <c r="T32" s="336">
        <f>Saldo_relativo_per_capita!T32*Saldo_relativo_per_capita!T$552/1000000</f>
        <v>0</v>
      </c>
      <c r="U32" s="336">
        <f>Saldo_relativo_per_capita!U32*Saldo_relativo_per_capita!U$552/1000000</f>
        <v>0</v>
      </c>
      <c r="V32" s="336">
        <f>Saldo_relativo_per_capita!V32*Saldo_relativo_per_capita!V$552/1000000</f>
        <v>0</v>
      </c>
      <c r="W32" s="148"/>
    </row>
    <row r="33" spans="1:23" s="115" customFormat="1">
      <c r="A33" s="351" t="str">
        <f>IF(B33="","",(IF(ISERROR(MATCH(B33,Tot_res!C:C,0)),"Eliminar!!!","")))</f>
        <v/>
      </c>
      <c r="B33" s="115" t="s">
        <v>139</v>
      </c>
      <c r="C33" s="329" t="str">
        <f>VLOOKUP(B33,Tot_res!C:D,2,FALSE)</f>
        <v>Cooperación al desarrollo a través del fondo europeo de desarrollo</v>
      </c>
      <c r="D33" s="336">
        <f>Saldo_relativo_per_capita!D33*Saldo_relativo_per_capita!D$552/1000000</f>
        <v>0</v>
      </c>
      <c r="E33" s="336">
        <f>Saldo_relativo_per_capita!E33*Saldo_relativo_per_capita!E$552/1000000</f>
        <v>0</v>
      </c>
      <c r="F33" s="336">
        <f>Saldo_relativo_per_capita!F33*Saldo_relativo_per_capita!F$552/1000000</f>
        <v>0</v>
      </c>
      <c r="G33" s="336">
        <f>Saldo_relativo_per_capita!G33*Saldo_relativo_per_capita!G$552/1000000</f>
        <v>0</v>
      </c>
      <c r="H33" s="336">
        <f>Saldo_relativo_per_capita!H33*Saldo_relativo_per_capita!H$552/1000000</f>
        <v>0</v>
      </c>
      <c r="I33" s="336">
        <f>Saldo_relativo_per_capita!I33*Saldo_relativo_per_capita!I$552/1000000</f>
        <v>0</v>
      </c>
      <c r="J33" s="336">
        <f>Saldo_relativo_per_capita!J33*Saldo_relativo_per_capita!J$552/1000000</f>
        <v>0</v>
      </c>
      <c r="K33" s="336">
        <f>Saldo_relativo_per_capita!K33*Saldo_relativo_per_capita!K$552/1000000</f>
        <v>0</v>
      </c>
      <c r="L33" s="336">
        <f>Saldo_relativo_per_capita!L33*Saldo_relativo_per_capita!L$552/1000000</f>
        <v>0</v>
      </c>
      <c r="M33" s="336">
        <f>Saldo_relativo_per_capita!M33*Saldo_relativo_per_capita!M$552/1000000</f>
        <v>0</v>
      </c>
      <c r="N33" s="336">
        <f>Saldo_relativo_per_capita!N33*Saldo_relativo_per_capita!N$552/1000000</f>
        <v>0</v>
      </c>
      <c r="O33" s="336">
        <f>Saldo_relativo_per_capita!O33*Saldo_relativo_per_capita!O$552/1000000</f>
        <v>0</v>
      </c>
      <c r="P33" s="336">
        <f>Saldo_relativo_per_capita!P33*Saldo_relativo_per_capita!P$552/1000000</f>
        <v>0</v>
      </c>
      <c r="Q33" s="336">
        <f>Saldo_relativo_per_capita!Q33*Saldo_relativo_per_capita!Q$552/1000000</f>
        <v>0</v>
      </c>
      <c r="R33" s="336">
        <f>Saldo_relativo_per_capita!R33*Saldo_relativo_per_capita!R$552/1000000</f>
        <v>0</v>
      </c>
      <c r="S33" s="336">
        <f>Saldo_relativo_per_capita!S33*Saldo_relativo_per_capita!S$552/1000000</f>
        <v>0</v>
      </c>
      <c r="T33" s="336">
        <f>Saldo_relativo_per_capita!T33*Saldo_relativo_per_capita!T$552/1000000</f>
        <v>0</v>
      </c>
      <c r="U33" s="336">
        <f>Saldo_relativo_per_capita!U33*Saldo_relativo_per_capita!U$552/1000000</f>
        <v>0</v>
      </c>
      <c r="V33" s="336">
        <f>Saldo_relativo_per_capita!V33*Saldo_relativo_per_capita!V$552/1000000</f>
        <v>0</v>
      </c>
      <c r="W33" s="148"/>
    </row>
    <row r="34" spans="1:23">
      <c r="A34" s="352"/>
      <c r="D34" s="39"/>
      <c r="E34" s="39"/>
      <c r="F34" s="39"/>
      <c r="G34" s="39"/>
      <c r="H34" s="39"/>
      <c r="I34" s="39"/>
      <c r="J34" s="39"/>
      <c r="K34" s="39"/>
      <c r="L34" s="39"/>
      <c r="M34" s="39"/>
      <c r="N34" s="39"/>
      <c r="O34" s="39"/>
      <c r="P34" s="39"/>
      <c r="Q34" s="39"/>
      <c r="R34" s="39"/>
      <c r="S34" s="39"/>
      <c r="T34" s="39"/>
      <c r="U34" s="39"/>
      <c r="V34" s="39"/>
      <c r="W34" s="35"/>
    </row>
    <row r="35" spans="1:23" s="115" customFormat="1" ht="13.5">
      <c r="A35" s="352"/>
      <c r="C35" s="128" t="s">
        <v>35</v>
      </c>
      <c r="D35" s="218">
        <f>Saldo_relativo_per_capita!D35*Saldo_relativo_per_capita!D$552/1000000</f>
        <v>0</v>
      </c>
      <c r="E35" s="218">
        <f>Saldo_relativo_per_capita!E35*Saldo_relativo_per_capita!E$552/1000000</f>
        <v>0</v>
      </c>
      <c r="F35" s="218">
        <f>Saldo_relativo_per_capita!F35*Saldo_relativo_per_capita!F$552/1000000</f>
        <v>0</v>
      </c>
      <c r="G35" s="218">
        <f>Saldo_relativo_per_capita!G35*Saldo_relativo_per_capita!G$552/1000000</f>
        <v>0</v>
      </c>
      <c r="H35" s="218">
        <f>Saldo_relativo_per_capita!H35*Saldo_relativo_per_capita!H$552/1000000</f>
        <v>0</v>
      </c>
      <c r="I35" s="218">
        <f>Saldo_relativo_per_capita!I35*Saldo_relativo_per_capita!I$552/1000000</f>
        <v>0</v>
      </c>
      <c r="J35" s="218">
        <f>Saldo_relativo_per_capita!J35*Saldo_relativo_per_capita!J$552/1000000</f>
        <v>0</v>
      </c>
      <c r="K35" s="218">
        <f>Saldo_relativo_per_capita!K35*Saldo_relativo_per_capita!K$552/1000000</f>
        <v>0</v>
      </c>
      <c r="L35" s="218">
        <f>Saldo_relativo_per_capita!L35*Saldo_relativo_per_capita!L$552/1000000</f>
        <v>0</v>
      </c>
      <c r="M35" s="218">
        <f>Saldo_relativo_per_capita!M35*Saldo_relativo_per_capita!M$552/1000000</f>
        <v>0</v>
      </c>
      <c r="N35" s="218">
        <f>Saldo_relativo_per_capita!N35*Saldo_relativo_per_capita!N$552/1000000</f>
        <v>0</v>
      </c>
      <c r="O35" s="218">
        <f>Saldo_relativo_per_capita!O35*Saldo_relativo_per_capita!O$552/1000000</f>
        <v>0</v>
      </c>
      <c r="P35" s="218">
        <f>Saldo_relativo_per_capita!P35*Saldo_relativo_per_capita!P$552/1000000</f>
        <v>0</v>
      </c>
      <c r="Q35" s="218">
        <f>Saldo_relativo_per_capita!Q35*Saldo_relativo_per_capita!Q$552/1000000</f>
        <v>0</v>
      </c>
      <c r="R35" s="218">
        <f>Saldo_relativo_per_capita!R35*Saldo_relativo_per_capita!R$552/1000000</f>
        <v>0</v>
      </c>
      <c r="S35" s="218">
        <f>Saldo_relativo_per_capita!S35*Saldo_relativo_per_capita!S$552/1000000</f>
        <v>0</v>
      </c>
      <c r="T35" s="218">
        <f>Saldo_relativo_per_capita!T35*Saldo_relativo_per_capita!T$552/1000000</f>
        <v>0</v>
      </c>
      <c r="U35" s="218">
        <f>Saldo_relativo_per_capita!U35*Saldo_relativo_per_capita!U$552/1000000</f>
        <v>0</v>
      </c>
      <c r="V35" s="218">
        <f>Saldo_relativo_per_capita!V35*Saldo_relativo_per_capita!V$552/1000000</f>
        <v>0</v>
      </c>
      <c r="W35" s="148"/>
    </row>
    <row r="36" spans="1:23" s="115" customFormat="1" ht="13.5">
      <c r="A36" s="351" t="str">
        <f>IF(B36="","",(IF(ISERROR(MATCH(B36,Tot_res!C:C,0)),"Eliminar!!!","")))</f>
        <v/>
      </c>
      <c r="B36" s="115" t="s">
        <v>140</v>
      </c>
      <c r="C36" s="329" t="str">
        <f>VLOOKUP(B36,Tot_res!C:D,2,FALSE)</f>
        <v>Administración y servicios generales de defensa</v>
      </c>
      <c r="D36" s="336">
        <f>Saldo_relativo_per_capita!D36*Saldo_relativo_per_capita!D$552/1000000</f>
        <v>0</v>
      </c>
      <c r="E36" s="336">
        <f>Saldo_relativo_per_capita!E36*Saldo_relativo_per_capita!E$552/1000000</f>
        <v>0</v>
      </c>
      <c r="F36" s="336">
        <f>Saldo_relativo_per_capita!F36*Saldo_relativo_per_capita!F$552/1000000</f>
        <v>0</v>
      </c>
      <c r="G36" s="336">
        <f>Saldo_relativo_per_capita!G36*Saldo_relativo_per_capita!G$552/1000000</f>
        <v>0</v>
      </c>
      <c r="H36" s="336">
        <f>Saldo_relativo_per_capita!H36*Saldo_relativo_per_capita!H$552/1000000</f>
        <v>0</v>
      </c>
      <c r="I36" s="336">
        <f>Saldo_relativo_per_capita!I36*Saldo_relativo_per_capita!I$552/1000000</f>
        <v>0</v>
      </c>
      <c r="J36" s="336">
        <f>Saldo_relativo_per_capita!J36*Saldo_relativo_per_capita!J$552/1000000</f>
        <v>0</v>
      </c>
      <c r="K36" s="336">
        <f>Saldo_relativo_per_capita!K36*Saldo_relativo_per_capita!K$552/1000000</f>
        <v>0</v>
      </c>
      <c r="L36" s="336">
        <f>Saldo_relativo_per_capita!L36*Saldo_relativo_per_capita!L$552/1000000</f>
        <v>0</v>
      </c>
      <c r="M36" s="336">
        <f>Saldo_relativo_per_capita!M36*Saldo_relativo_per_capita!M$552/1000000</f>
        <v>0</v>
      </c>
      <c r="N36" s="336">
        <f>Saldo_relativo_per_capita!N36*Saldo_relativo_per_capita!N$552/1000000</f>
        <v>0</v>
      </c>
      <c r="O36" s="336">
        <f>Saldo_relativo_per_capita!O36*Saldo_relativo_per_capita!O$552/1000000</f>
        <v>0</v>
      </c>
      <c r="P36" s="336">
        <f>Saldo_relativo_per_capita!P36*Saldo_relativo_per_capita!P$552/1000000</f>
        <v>0</v>
      </c>
      <c r="Q36" s="336">
        <f>Saldo_relativo_per_capita!Q36*Saldo_relativo_per_capita!Q$552/1000000</f>
        <v>0</v>
      </c>
      <c r="R36" s="336">
        <f>Saldo_relativo_per_capita!R36*Saldo_relativo_per_capita!R$552/1000000</f>
        <v>0</v>
      </c>
      <c r="S36" s="336">
        <f>Saldo_relativo_per_capita!S36*Saldo_relativo_per_capita!S$552/1000000</f>
        <v>0</v>
      </c>
      <c r="T36" s="336">
        <f>Saldo_relativo_per_capita!T36*Saldo_relativo_per_capita!T$552/1000000</f>
        <v>0</v>
      </c>
      <c r="U36" s="336">
        <f>Saldo_relativo_per_capita!U36*Saldo_relativo_per_capita!U$552/1000000</f>
        <v>0</v>
      </c>
      <c r="V36" s="336">
        <f>Saldo_relativo_per_capita!V36*Saldo_relativo_per_capita!V$552/1000000</f>
        <v>0</v>
      </c>
      <c r="W36" s="227"/>
    </row>
    <row r="37" spans="1:23" s="115" customFormat="1">
      <c r="A37" s="351" t="str">
        <f>IF(B37="","",(IF(ISERROR(MATCH(B37,Tot_res!C:C,0)),"Eliminar!!!","")))</f>
        <v/>
      </c>
      <c r="B37" s="115" t="s">
        <v>141</v>
      </c>
      <c r="C37" s="329" t="str">
        <f>VLOOKUP(B37,Tot_res!C:D,2,FALSE)</f>
        <v>Formación del personal de las fuerzas armadas</v>
      </c>
      <c r="D37" s="336">
        <f>Saldo_relativo_per_capita!D37*Saldo_relativo_per_capita!D$552/1000000</f>
        <v>0</v>
      </c>
      <c r="E37" s="336">
        <f>Saldo_relativo_per_capita!E37*Saldo_relativo_per_capita!E$552/1000000</f>
        <v>0</v>
      </c>
      <c r="F37" s="336">
        <f>Saldo_relativo_per_capita!F37*Saldo_relativo_per_capita!F$552/1000000</f>
        <v>0</v>
      </c>
      <c r="G37" s="336">
        <f>Saldo_relativo_per_capita!G37*Saldo_relativo_per_capita!G$552/1000000</f>
        <v>0</v>
      </c>
      <c r="H37" s="336">
        <f>Saldo_relativo_per_capita!H37*Saldo_relativo_per_capita!H$552/1000000</f>
        <v>0</v>
      </c>
      <c r="I37" s="336">
        <f>Saldo_relativo_per_capita!I37*Saldo_relativo_per_capita!I$552/1000000</f>
        <v>0</v>
      </c>
      <c r="J37" s="336">
        <f>Saldo_relativo_per_capita!J37*Saldo_relativo_per_capita!J$552/1000000</f>
        <v>0</v>
      </c>
      <c r="K37" s="336">
        <f>Saldo_relativo_per_capita!K37*Saldo_relativo_per_capita!K$552/1000000</f>
        <v>0</v>
      </c>
      <c r="L37" s="336">
        <f>Saldo_relativo_per_capita!L37*Saldo_relativo_per_capita!L$552/1000000</f>
        <v>0</v>
      </c>
      <c r="M37" s="336">
        <f>Saldo_relativo_per_capita!M37*Saldo_relativo_per_capita!M$552/1000000</f>
        <v>0</v>
      </c>
      <c r="N37" s="336">
        <f>Saldo_relativo_per_capita!N37*Saldo_relativo_per_capita!N$552/1000000</f>
        <v>0</v>
      </c>
      <c r="O37" s="336">
        <f>Saldo_relativo_per_capita!O37*Saldo_relativo_per_capita!O$552/1000000</f>
        <v>0</v>
      </c>
      <c r="P37" s="336">
        <f>Saldo_relativo_per_capita!P37*Saldo_relativo_per_capita!P$552/1000000</f>
        <v>0</v>
      </c>
      <c r="Q37" s="336">
        <f>Saldo_relativo_per_capita!Q37*Saldo_relativo_per_capita!Q$552/1000000</f>
        <v>0</v>
      </c>
      <c r="R37" s="336">
        <f>Saldo_relativo_per_capita!R37*Saldo_relativo_per_capita!R$552/1000000</f>
        <v>0</v>
      </c>
      <c r="S37" s="336">
        <f>Saldo_relativo_per_capita!S37*Saldo_relativo_per_capita!S$552/1000000</f>
        <v>0</v>
      </c>
      <c r="T37" s="336">
        <f>Saldo_relativo_per_capita!T37*Saldo_relativo_per_capita!T$552/1000000</f>
        <v>0</v>
      </c>
      <c r="U37" s="336">
        <f>Saldo_relativo_per_capita!U37*Saldo_relativo_per_capita!U$552/1000000</f>
        <v>0</v>
      </c>
      <c r="V37" s="336">
        <f>Saldo_relativo_per_capita!V37*Saldo_relativo_per_capita!V$552/1000000</f>
        <v>0</v>
      </c>
      <c r="W37" s="148"/>
    </row>
    <row r="38" spans="1:23" s="115" customFormat="1">
      <c r="A38" s="351" t="str">
        <f>IF(B38="","",(IF(ISERROR(MATCH(B38,Tot_res!C:C,0)),"Eliminar!!!","")))</f>
        <v/>
      </c>
      <c r="B38" s="115" t="s">
        <v>142</v>
      </c>
      <c r="C38" s="329" t="str">
        <f>VLOOKUP(B38,Tot_res!C:D,2,FALSE)</f>
        <v>Personal en reserva</v>
      </c>
      <c r="D38" s="336">
        <f>Saldo_relativo_per_capita!D38*Saldo_relativo_per_capita!D$552/1000000</f>
        <v>0</v>
      </c>
      <c r="E38" s="336">
        <f>Saldo_relativo_per_capita!E38*Saldo_relativo_per_capita!E$552/1000000</f>
        <v>0</v>
      </c>
      <c r="F38" s="336">
        <f>Saldo_relativo_per_capita!F38*Saldo_relativo_per_capita!F$552/1000000</f>
        <v>0</v>
      </c>
      <c r="G38" s="336">
        <f>Saldo_relativo_per_capita!G38*Saldo_relativo_per_capita!G$552/1000000</f>
        <v>0</v>
      </c>
      <c r="H38" s="336">
        <f>Saldo_relativo_per_capita!H38*Saldo_relativo_per_capita!H$552/1000000</f>
        <v>0</v>
      </c>
      <c r="I38" s="336">
        <f>Saldo_relativo_per_capita!I38*Saldo_relativo_per_capita!I$552/1000000</f>
        <v>0</v>
      </c>
      <c r="J38" s="336">
        <f>Saldo_relativo_per_capita!J38*Saldo_relativo_per_capita!J$552/1000000</f>
        <v>0</v>
      </c>
      <c r="K38" s="336">
        <f>Saldo_relativo_per_capita!K38*Saldo_relativo_per_capita!K$552/1000000</f>
        <v>0</v>
      </c>
      <c r="L38" s="336">
        <f>Saldo_relativo_per_capita!L38*Saldo_relativo_per_capita!L$552/1000000</f>
        <v>0</v>
      </c>
      <c r="M38" s="336">
        <f>Saldo_relativo_per_capita!M38*Saldo_relativo_per_capita!M$552/1000000</f>
        <v>0</v>
      </c>
      <c r="N38" s="336">
        <f>Saldo_relativo_per_capita!N38*Saldo_relativo_per_capita!N$552/1000000</f>
        <v>0</v>
      </c>
      <c r="O38" s="336">
        <f>Saldo_relativo_per_capita!O38*Saldo_relativo_per_capita!O$552/1000000</f>
        <v>0</v>
      </c>
      <c r="P38" s="336">
        <f>Saldo_relativo_per_capita!P38*Saldo_relativo_per_capita!P$552/1000000</f>
        <v>0</v>
      </c>
      <c r="Q38" s="336">
        <f>Saldo_relativo_per_capita!Q38*Saldo_relativo_per_capita!Q$552/1000000</f>
        <v>0</v>
      </c>
      <c r="R38" s="336">
        <f>Saldo_relativo_per_capita!R38*Saldo_relativo_per_capita!R$552/1000000</f>
        <v>0</v>
      </c>
      <c r="S38" s="336">
        <f>Saldo_relativo_per_capita!S38*Saldo_relativo_per_capita!S$552/1000000</f>
        <v>0</v>
      </c>
      <c r="T38" s="336">
        <f>Saldo_relativo_per_capita!T38*Saldo_relativo_per_capita!T$552/1000000</f>
        <v>0</v>
      </c>
      <c r="U38" s="336">
        <f>Saldo_relativo_per_capita!U38*Saldo_relativo_per_capita!U$552/1000000</f>
        <v>0</v>
      </c>
      <c r="V38" s="336">
        <f>Saldo_relativo_per_capita!V38*Saldo_relativo_per_capita!V$552/1000000</f>
        <v>0</v>
      </c>
      <c r="W38" s="148"/>
    </row>
    <row r="39" spans="1:23" s="115" customFormat="1">
      <c r="A39" s="351" t="str">
        <f>IF(B39="","",(IF(ISERROR(MATCH(B39,Tot_res!C:C,0)),"Eliminar!!!","")))</f>
        <v/>
      </c>
      <c r="B39" s="115" t="s">
        <v>144</v>
      </c>
      <c r="C39" s="329" t="str">
        <f>VLOOKUP(B39,Tot_res!C:D,2,FALSE)</f>
        <v>Modernización de las fuerzas armadas</v>
      </c>
      <c r="D39" s="336">
        <f>Saldo_relativo_per_capita!D39*Saldo_relativo_per_capita!D$552/1000000</f>
        <v>0</v>
      </c>
      <c r="E39" s="336">
        <f>Saldo_relativo_per_capita!E39*Saldo_relativo_per_capita!E$552/1000000</f>
        <v>0</v>
      </c>
      <c r="F39" s="336">
        <f>Saldo_relativo_per_capita!F39*Saldo_relativo_per_capita!F$552/1000000</f>
        <v>0</v>
      </c>
      <c r="G39" s="336">
        <f>Saldo_relativo_per_capita!G39*Saldo_relativo_per_capita!G$552/1000000</f>
        <v>0</v>
      </c>
      <c r="H39" s="336">
        <f>Saldo_relativo_per_capita!H39*Saldo_relativo_per_capita!H$552/1000000</f>
        <v>0</v>
      </c>
      <c r="I39" s="336">
        <f>Saldo_relativo_per_capita!I39*Saldo_relativo_per_capita!I$552/1000000</f>
        <v>0</v>
      </c>
      <c r="J39" s="336">
        <f>Saldo_relativo_per_capita!J39*Saldo_relativo_per_capita!J$552/1000000</f>
        <v>0</v>
      </c>
      <c r="K39" s="336">
        <f>Saldo_relativo_per_capita!K39*Saldo_relativo_per_capita!K$552/1000000</f>
        <v>0</v>
      </c>
      <c r="L39" s="336">
        <f>Saldo_relativo_per_capita!L39*Saldo_relativo_per_capita!L$552/1000000</f>
        <v>0</v>
      </c>
      <c r="M39" s="336">
        <f>Saldo_relativo_per_capita!M39*Saldo_relativo_per_capita!M$552/1000000</f>
        <v>0</v>
      </c>
      <c r="N39" s="336">
        <f>Saldo_relativo_per_capita!N39*Saldo_relativo_per_capita!N$552/1000000</f>
        <v>0</v>
      </c>
      <c r="O39" s="336">
        <f>Saldo_relativo_per_capita!O39*Saldo_relativo_per_capita!O$552/1000000</f>
        <v>0</v>
      </c>
      <c r="P39" s="336">
        <f>Saldo_relativo_per_capita!P39*Saldo_relativo_per_capita!P$552/1000000</f>
        <v>0</v>
      </c>
      <c r="Q39" s="336">
        <f>Saldo_relativo_per_capita!Q39*Saldo_relativo_per_capita!Q$552/1000000</f>
        <v>0</v>
      </c>
      <c r="R39" s="336">
        <f>Saldo_relativo_per_capita!R39*Saldo_relativo_per_capita!R$552/1000000</f>
        <v>0</v>
      </c>
      <c r="S39" s="336">
        <f>Saldo_relativo_per_capita!S39*Saldo_relativo_per_capita!S$552/1000000</f>
        <v>0</v>
      </c>
      <c r="T39" s="336">
        <f>Saldo_relativo_per_capita!T39*Saldo_relativo_per_capita!T$552/1000000</f>
        <v>0</v>
      </c>
      <c r="U39" s="336">
        <f>Saldo_relativo_per_capita!U39*Saldo_relativo_per_capita!U$552/1000000</f>
        <v>0</v>
      </c>
      <c r="V39" s="336">
        <f>Saldo_relativo_per_capita!V39*Saldo_relativo_per_capita!V$552/1000000</f>
        <v>0</v>
      </c>
      <c r="W39" s="148"/>
    </row>
    <row r="40" spans="1:23" s="115" customFormat="1">
      <c r="A40" s="351" t="str">
        <f>IF(B40="","",(IF(ISERROR(MATCH(B40,Tot_res!C:C,0)),"Eliminar!!!","")))</f>
        <v/>
      </c>
      <c r="B40" s="115" t="s">
        <v>145</v>
      </c>
      <c r="C40" s="329" t="str">
        <f>VLOOKUP(B40,Tot_res!C:D,2,FALSE)</f>
        <v>Programas especiales de modernización</v>
      </c>
      <c r="D40" s="336">
        <f>Saldo_relativo_per_capita!D40*Saldo_relativo_per_capita!D$552/1000000</f>
        <v>0</v>
      </c>
      <c r="E40" s="336">
        <f>Saldo_relativo_per_capita!E40*Saldo_relativo_per_capita!E$552/1000000</f>
        <v>0</v>
      </c>
      <c r="F40" s="336">
        <f>Saldo_relativo_per_capita!F40*Saldo_relativo_per_capita!F$552/1000000</f>
        <v>0</v>
      </c>
      <c r="G40" s="336">
        <f>Saldo_relativo_per_capita!G40*Saldo_relativo_per_capita!G$552/1000000</f>
        <v>0</v>
      </c>
      <c r="H40" s="336">
        <f>Saldo_relativo_per_capita!H40*Saldo_relativo_per_capita!H$552/1000000</f>
        <v>0</v>
      </c>
      <c r="I40" s="336">
        <f>Saldo_relativo_per_capita!I40*Saldo_relativo_per_capita!I$552/1000000</f>
        <v>0</v>
      </c>
      <c r="J40" s="336">
        <f>Saldo_relativo_per_capita!J40*Saldo_relativo_per_capita!J$552/1000000</f>
        <v>0</v>
      </c>
      <c r="K40" s="336">
        <f>Saldo_relativo_per_capita!K40*Saldo_relativo_per_capita!K$552/1000000</f>
        <v>0</v>
      </c>
      <c r="L40" s="336">
        <f>Saldo_relativo_per_capita!L40*Saldo_relativo_per_capita!L$552/1000000</f>
        <v>0</v>
      </c>
      <c r="M40" s="336">
        <f>Saldo_relativo_per_capita!M40*Saldo_relativo_per_capita!M$552/1000000</f>
        <v>0</v>
      </c>
      <c r="N40" s="336">
        <f>Saldo_relativo_per_capita!N40*Saldo_relativo_per_capita!N$552/1000000</f>
        <v>0</v>
      </c>
      <c r="O40" s="336">
        <f>Saldo_relativo_per_capita!O40*Saldo_relativo_per_capita!O$552/1000000</f>
        <v>0</v>
      </c>
      <c r="P40" s="336">
        <f>Saldo_relativo_per_capita!P40*Saldo_relativo_per_capita!P$552/1000000</f>
        <v>0</v>
      </c>
      <c r="Q40" s="336">
        <f>Saldo_relativo_per_capita!Q40*Saldo_relativo_per_capita!Q$552/1000000</f>
        <v>0</v>
      </c>
      <c r="R40" s="336">
        <f>Saldo_relativo_per_capita!R40*Saldo_relativo_per_capita!R$552/1000000</f>
        <v>0</v>
      </c>
      <c r="S40" s="336">
        <f>Saldo_relativo_per_capita!S40*Saldo_relativo_per_capita!S$552/1000000</f>
        <v>0</v>
      </c>
      <c r="T40" s="336">
        <f>Saldo_relativo_per_capita!T40*Saldo_relativo_per_capita!T$552/1000000</f>
        <v>0</v>
      </c>
      <c r="U40" s="336">
        <f>Saldo_relativo_per_capita!U40*Saldo_relativo_per_capita!U$552/1000000</f>
        <v>0</v>
      </c>
      <c r="V40" s="336">
        <f>Saldo_relativo_per_capita!V40*Saldo_relativo_per_capita!V$552/1000000</f>
        <v>0</v>
      </c>
      <c r="W40" s="148"/>
    </row>
    <row r="41" spans="1:23" s="115" customFormat="1">
      <c r="A41" s="351" t="str">
        <f>IF(B41="","",(IF(ISERROR(MATCH(B41,Tot_res!C:C,0)),"Eliminar!!!","")))</f>
        <v/>
      </c>
      <c r="B41" s="115" t="s">
        <v>147</v>
      </c>
      <c r="C41" s="329" t="str">
        <f>VLOOKUP(B41,Tot_res!C:D,2,FALSE)</f>
        <v>Gastos operativos de las fuerzas armadas</v>
      </c>
      <c r="D41" s="336">
        <f>Saldo_relativo_per_capita!D41*Saldo_relativo_per_capita!D$552/1000000</f>
        <v>0</v>
      </c>
      <c r="E41" s="336">
        <f>Saldo_relativo_per_capita!E41*Saldo_relativo_per_capita!E$552/1000000</f>
        <v>0</v>
      </c>
      <c r="F41" s="336">
        <f>Saldo_relativo_per_capita!F41*Saldo_relativo_per_capita!F$552/1000000</f>
        <v>0</v>
      </c>
      <c r="G41" s="336">
        <f>Saldo_relativo_per_capita!G41*Saldo_relativo_per_capita!G$552/1000000</f>
        <v>0</v>
      </c>
      <c r="H41" s="336">
        <f>Saldo_relativo_per_capita!H41*Saldo_relativo_per_capita!H$552/1000000</f>
        <v>0</v>
      </c>
      <c r="I41" s="336">
        <f>Saldo_relativo_per_capita!I41*Saldo_relativo_per_capita!I$552/1000000</f>
        <v>0</v>
      </c>
      <c r="J41" s="336">
        <f>Saldo_relativo_per_capita!J41*Saldo_relativo_per_capita!J$552/1000000</f>
        <v>0</v>
      </c>
      <c r="K41" s="336">
        <f>Saldo_relativo_per_capita!K41*Saldo_relativo_per_capita!K$552/1000000</f>
        <v>0</v>
      </c>
      <c r="L41" s="336">
        <f>Saldo_relativo_per_capita!L41*Saldo_relativo_per_capita!L$552/1000000</f>
        <v>0</v>
      </c>
      <c r="M41" s="336">
        <f>Saldo_relativo_per_capita!M41*Saldo_relativo_per_capita!M$552/1000000</f>
        <v>0</v>
      </c>
      <c r="N41" s="336">
        <f>Saldo_relativo_per_capita!N41*Saldo_relativo_per_capita!N$552/1000000</f>
        <v>0</v>
      </c>
      <c r="O41" s="336">
        <f>Saldo_relativo_per_capita!O41*Saldo_relativo_per_capita!O$552/1000000</f>
        <v>0</v>
      </c>
      <c r="P41" s="336">
        <f>Saldo_relativo_per_capita!P41*Saldo_relativo_per_capita!P$552/1000000</f>
        <v>0</v>
      </c>
      <c r="Q41" s="336">
        <f>Saldo_relativo_per_capita!Q41*Saldo_relativo_per_capita!Q$552/1000000</f>
        <v>0</v>
      </c>
      <c r="R41" s="336">
        <f>Saldo_relativo_per_capita!R41*Saldo_relativo_per_capita!R$552/1000000</f>
        <v>0</v>
      </c>
      <c r="S41" s="336">
        <f>Saldo_relativo_per_capita!S41*Saldo_relativo_per_capita!S$552/1000000</f>
        <v>0</v>
      </c>
      <c r="T41" s="336">
        <f>Saldo_relativo_per_capita!T41*Saldo_relativo_per_capita!T$552/1000000</f>
        <v>0</v>
      </c>
      <c r="U41" s="336">
        <f>Saldo_relativo_per_capita!U41*Saldo_relativo_per_capita!U$552/1000000</f>
        <v>0</v>
      </c>
      <c r="V41" s="336">
        <f>Saldo_relativo_per_capita!V41*Saldo_relativo_per_capita!V$552/1000000</f>
        <v>0</v>
      </c>
      <c r="W41" s="148"/>
    </row>
    <row r="42" spans="1:23" s="115" customFormat="1">
      <c r="A42" s="351" t="str">
        <f>IF(B42="","",(IF(ISERROR(MATCH(B42,Tot_res!C:C,0)),"Eliminar!!!","")))</f>
        <v/>
      </c>
      <c r="B42" s="115" t="s">
        <v>148</v>
      </c>
      <c r="C42" s="329" t="str">
        <f>VLOOKUP(B42,Tot_res!C:D,2,FALSE)</f>
        <v>Apoyo logístico</v>
      </c>
      <c r="D42" s="336">
        <f>Saldo_relativo_per_capita!D42*Saldo_relativo_per_capita!D$552/1000000</f>
        <v>0</v>
      </c>
      <c r="E42" s="336">
        <f>Saldo_relativo_per_capita!E42*Saldo_relativo_per_capita!E$552/1000000</f>
        <v>0</v>
      </c>
      <c r="F42" s="336">
        <f>Saldo_relativo_per_capita!F42*Saldo_relativo_per_capita!F$552/1000000</f>
        <v>0</v>
      </c>
      <c r="G42" s="336">
        <f>Saldo_relativo_per_capita!G42*Saldo_relativo_per_capita!G$552/1000000</f>
        <v>0</v>
      </c>
      <c r="H42" s="336">
        <f>Saldo_relativo_per_capita!H42*Saldo_relativo_per_capita!H$552/1000000</f>
        <v>0</v>
      </c>
      <c r="I42" s="336">
        <f>Saldo_relativo_per_capita!I42*Saldo_relativo_per_capita!I$552/1000000</f>
        <v>0</v>
      </c>
      <c r="J42" s="336">
        <f>Saldo_relativo_per_capita!J42*Saldo_relativo_per_capita!J$552/1000000</f>
        <v>0</v>
      </c>
      <c r="K42" s="336">
        <f>Saldo_relativo_per_capita!K42*Saldo_relativo_per_capita!K$552/1000000</f>
        <v>0</v>
      </c>
      <c r="L42" s="336">
        <f>Saldo_relativo_per_capita!L42*Saldo_relativo_per_capita!L$552/1000000</f>
        <v>0</v>
      </c>
      <c r="M42" s="336">
        <f>Saldo_relativo_per_capita!M42*Saldo_relativo_per_capita!M$552/1000000</f>
        <v>0</v>
      </c>
      <c r="N42" s="336">
        <f>Saldo_relativo_per_capita!N42*Saldo_relativo_per_capita!N$552/1000000</f>
        <v>0</v>
      </c>
      <c r="O42" s="336">
        <f>Saldo_relativo_per_capita!O42*Saldo_relativo_per_capita!O$552/1000000</f>
        <v>0</v>
      </c>
      <c r="P42" s="336">
        <f>Saldo_relativo_per_capita!P42*Saldo_relativo_per_capita!P$552/1000000</f>
        <v>0</v>
      </c>
      <c r="Q42" s="336">
        <f>Saldo_relativo_per_capita!Q42*Saldo_relativo_per_capita!Q$552/1000000</f>
        <v>0</v>
      </c>
      <c r="R42" s="336">
        <f>Saldo_relativo_per_capita!R42*Saldo_relativo_per_capita!R$552/1000000</f>
        <v>0</v>
      </c>
      <c r="S42" s="336">
        <f>Saldo_relativo_per_capita!S42*Saldo_relativo_per_capita!S$552/1000000</f>
        <v>0</v>
      </c>
      <c r="T42" s="336">
        <f>Saldo_relativo_per_capita!T42*Saldo_relativo_per_capita!T$552/1000000</f>
        <v>0</v>
      </c>
      <c r="U42" s="336">
        <f>Saldo_relativo_per_capita!U42*Saldo_relativo_per_capita!U$552/1000000</f>
        <v>0</v>
      </c>
      <c r="V42" s="336">
        <f>Saldo_relativo_per_capita!V42*Saldo_relativo_per_capita!V$552/1000000</f>
        <v>0</v>
      </c>
      <c r="W42" s="148"/>
    </row>
    <row r="43" spans="1:23" s="115" customFormat="1">
      <c r="A43" s="351" t="str">
        <f>IF(B43="","",(IF(ISERROR(MATCH(B43,Tot_res!C:C,0)),"Eliminar!!!","")))</f>
        <v/>
      </c>
      <c r="B43" s="115" t="s">
        <v>149</v>
      </c>
      <c r="C43" s="329" t="str">
        <f>VLOOKUP(B43,Tot_res!C:D,2,FALSE)</f>
        <v>Asistencia hospitalaria en las fuerzas armadas</v>
      </c>
      <c r="D43" s="336">
        <f>Saldo_relativo_per_capita!D43*Saldo_relativo_per_capita!D$552/1000000</f>
        <v>0</v>
      </c>
      <c r="E43" s="336">
        <f>Saldo_relativo_per_capita!E43*Saldo_relativo_per_capita!E$552/1000000</f>
        <v>0</v>
      </c>
      <c r="F43" s="336">
        <f>Saldo_relativo_per_capita!F43*Saldo_relativo_per_capita!F$552/1000000</f>
        <v>0</v>
      </c>
      <c r="G43" s="336">
        <f>Saldo_relativo_per_capita!G43*Saldo_relativo_per_capita!G$552/1000000</f>
        <v>0</v>
      </c>
      <c r="H43" s="336">
        <f>Saldo_relativo_per_capita!H43*Saldo_relativo_per_capita!H$552/1000000</f>
        <v>0</v>
      </c>
      <c r="I43" s="336">
        <f>Saldo_relativo_per_capita!I43*Saldo_relativo_per_capita!I$552/1000000</f>
        <v>0</v>
      </c>
      <c r="J43" s="336">
        <f>Saldo_relativo_per_capita!J43*Saldo_relativo_per_capita!J$552/1000000</f>
        <v>0</v>
      </c>
      <c r="K43" s="336">
        <f>Saldo_relativo_per_capita!K43*Saldo_relativo_per_capita!K$552/1000000</f>
        <v>0</v>
      </c>
      <c r="L43" s="336">
        <f>Saldo_relativo_per_capita!L43*Saldo_relativo_per_capita!L$552/1000000</f>
        <v>0</v>
      </c>
      <c r="M43" s="336">
        <f>Saldo_relativo_per_capita!M43*Saldo_relativo_per_capita!M$552/1000000</f>
        <v>0</v>
      </c>
      <c r="N43" s="336">
        <f>Saldo_relativo_per_capita!N43*Saldo_relativo_per_capita!N$552/1000000</f>
        <v>0</v>
      </c>
      <c r="O43" s="336">
        <f>Saldo_relativo_per_capita!O43*Saldo_relativo_per_capita!O$552/1000000</f>
        <v>0</v>
      </c>
      <c r="P43" s="336">
        <f>Saldo_relativo_per_capita!P43*Saldo_relativo_per_capita!P$552/1000000</f>
        <v>0</v>
      </c>
      <c r="Q43" s="336">
        <f>Saldo_relativo_per_capita!Q43*Saldo_relativo_per_capita!Q$552/1000000</f>
        <v>0</v>
      </c>
      <c r="R43" s="336">
        <f>Saldo_relativo_per_capita!R43*Saldo_relativo_per_capita!R$552/1000000</f>
        <v>0</v>
      </c>
      <c r="S43" s="336">
        <f>Saldo_relativo_per_capita!S43*Saldo_relativo_per_capita!S$552/1000000</f>
        <v>0</v>
      </c>
      <c r="T43" s="336">
        <f>Saldo_relativo_per_capita!T43*Saldo_relativo_per_capita!T$552/1000000</f>
        <v>0</v>
      </c>
      <c r="U43" s="336">
        <f>Saldo_relativo_per_capita!U43*Saldo_relativo_per_capita!U$552/1000000</f>
        <v>0</v>
      </c>
      <c r="V43" s="336">
        <f>Saldo_relativo_per_capita!V43*Saldo_relativo_per_capita!V$552/1000000</f>
        <v>0</v>
      </c>
      <c r="W43" s="148"/>
    </row>
    <row r="44" spans="1:23" s="115" customFormat="1">
      <c r="A44" s="351" t="str">
        <f>IF(B44="","",(IF(ISERROR(MATCH(B44,Tot_res!C:C,0)),"Eliminar!!!","")))</f>
        <v/>
      </c>
      <c r="B44" s="115" t="s">
        <v>150</v>
      </c>
      <c r="C44" s="329" t="str">
        <f>VLOOKUP(B44,Tot_res!C:D,2,FALSE)</f>
        <v>Investigación y estudios de las fuerzas armadas</v>
      </c>
      <c r="D44" s="336">
        <f>Saldo_relativo_per_capita!D44*Saldo_relativo_per_capita!D$552/1000000</f>
        <v>0</v>
      </c>
      <c r="E44" s="336">
        <f>Saldo_relativo_per_capita!E44*Saldo_relativo_per_capita!E$552/1000000</f>
        <v>0</v>
      </c>
      <c r="F44" s="336">
        <f>Saldo_relativo_per_capita!F44*Saldo_relativo_per_capita!F$552/1000000</f>
        <v>0</v>
      </c>
      <c r="G44" s="336">
        <f>Saldo_relativo_per_capita!G44*Saldo_relativo_per_capita!G$552/1000000</f>
        <v>0</v>
      </c>
      <c r="H44" s="336">
        <f>Saldo_relativo_per_capita!H44*Saldo_relativo_per_capita!H$552/1000000</f>
        <v>0</v>
      </c>
      <c r="I44" s="336">
        <f>Saldo_relativo_per_capita!I44*Saldo_relativo_per_capita!I$552/1000000</f>
        <v>0</v>
      </c>
      <c r="J44" s="336">
        <f>Saldo_relativo_per_capita!J44*Saldo_relativo_per_capita!J$552/1000000</f>
        <v>0</v>
      </c>
      <c r="K44" s="336">
        <f>Saldo_relativo_per_capita!K44*Saldo_relativo_per_capita!K$552/1000000</f>
        <v>0</v>
      </c>
      <c r="L44" s="336">
        <f>Saldo_relativo_per_capita!L44*Saldo_relativo_per_capita!L$552/1000000</f>
        <v>0</v>
      </c>
      <c r="M44" s="336">
        <f>Saldo_relativo_per_capita!M44*Saldo_relativo_per_capita!M$552/1000000</f>
        <v>0</v>
      </c>
      <c r="N44" s="336">
        <f>Saldo_relativo_per_capita!N44*Saldo_relativo_per_capita!N$552/1000000</f>
        <v>0</v>
      </c>
      <c r="O44" s="336">
        <f>Saldo_relativo_per_capita!O44*Saldo_relativo_per_capita!O$552/1000000</f>
        <v>0</v>
      </c>
      <c r="P44" s="336">
        <f>Saldo_relativo_per_capita!P44*Saldo_relativo_per_capita!P$552/1000000</f>
        <v>0</v>
      </c>
      <c r="Q44" s="336">
        <f>Saldo_relativo_per_capita!Q44*Saldo_relativo_per_capita!Q$552/1000000</f>
        <v>0</v>
      </c>
      <c r="R44" s="336">
        <f>Saldo_relativo_per_capita!R44*Saldo_relativo_per_capita!R$552/1000000</f>
        <v>0</v>
      </c>
      <c r="S44" s="336">
        <f>Saldo_relativo_per_capita!S44*Saldo_relativo_per_capita!S$552/1000000</f>
        <v>0</v>
      </c>
      <c r="T44" s="336">
        <f>Saldo_relativo_per_capita!T44*Saldo_relativo_per_capita!T$552/1000000</f>
        <v>0</v>
      </c>
      <c r="U44" s="336">
        <f>Saldo_relativo_per_capita!U44*Saldo_relativo_per_capita!U$552/1000000</f>
        <v>0</v>
      </c>
      <c r="V44" s="336">
        <f>Saldo_relativo_per_capita!V44*Saldo_relativo_per_capita!V$552/1000000</f>
        <v>0</v>
      </c>
      <c r="W44" s="148"/>
    </row>
    <row r="45" spans="1:23" s="115" customFormat="1">
      <c r="A45" s="351" t="str">
        <f>IF(B45="","",(IF(ISERROR(MATCH(B45,Tot_res!C:C,0)),"Eliminar!!!","")))</f>
        <v/>
      </c>
      <c r="B45" s="115" t="s">
        <v>151</v>
      </c>
      <c r="C45" s="329" t="str">
        <f>VLOOKUP(B45,Tot_res!C:D,2,FALSE)</f>
        <v>Asesoramiento para la protección de los intereses nacionales</v>
      </c>
      <c r="D45" s="336">
        <f>Saldo_relativo_per_capita!D45*Saldo_relativo_per_capita!D$552/1000000</f>
        <v>0</v>
      </c>
      <c r="E45" s="336">
        <f>Saldo_relativo_per_capita!E45*Saldo_relativo_per_capita!E$552/1000000</f>
        <v>0</v>
      </c>
      <c r="F45" s="336">
        <f>Saldo_relativo_per_capita!F45*Saldo_relativo_per_capita!F$552/1000000</f>
        <v>0</v>
      </c>
      <c r="G45" s="336">
        <f>Saldo_relativo_per_capita!G45*Saldo_relativo_per_capita!G$552/1000000</f>
        <v>0</v>
      </c>
      <c r="H45" s="336">
        <f>Saldo_relativo_per_capita!H45*Saldo_relativo_per_capita!H$552/1000000</f>
        <v>0</v>
      </c>
      <c r="I45" s="336">
        <f>Saldo_relativo_per_capita!I45*Saldo_relativo_per_capita!I$552/1000000</f>
        <v>0</v>
      </c>
      <c r="J45" s="336">
        <f>Saldo_relativo_per_capita!J45*Saldo_relativo_per_capita!J$552/1000000</f>
        <v>0</v>
      </c>
      <c r="K45" s="336">
        <f>Saldo_relativo_per_capita!K45*Saldo_relativo_per_capita!K$552/1000000</f>
        <v>0</v>
      </c>
      <c r="L45" s="336">
        <f>Saldo_relativo_per_capita!L45*Saldo_relativo_per_capita!L$552/1000000</f>
        <v>0</v>
      </c>
      <c r="M45" s="336">
        <f>Saldo_relativo_per_capita!M45*Saldo_relativo_per_capita!M$552/1000000</f>
        <v>0</v>
      </c>
      <c r="N45" s="336">
        <f>Saldo_relativo_per_capita!N45*Saldo_relativo_per_capita!N$552/1000000</f>
        <v>0</v>
      </c>
      <c r="O45" s="336">
        <f>Saldo_relativo_per_capita!O45*Saldo_relativo_per_capita!O$552/1000000</f>
        <v>0</v>
      </c>
      <c r="P45" s="336">
        <f>Saldo_relativo_per_capita!P45*Saldo_relativo_per_capita!P$552/1000000</f>
        <v>0</v>
      </c>
      <c r="Q45" s="336">
        <f>Saldo_relativo_per_capita!Q45*Saldo_relativo_per_capita!Q$552/1000000</f>
        <v>0</v>
      </c>
      <c r="R45" s="336">
        <f>Saldo_relativo_per_capita!R45*Saldo_relativo_per_capita!R$552/1000000</f>
        <v>0</v>
      </c>
      <c r="S45" s="336">
        <f>Saldo_relativo_per_capita!S45*Saldo_relativo_per_capita!S$552/1000000</f>
        <v>0</v>
      </c>
      <c r="T45" s="336">
        <f>Saldo_relativo_per_capita!T45*Saldo_relativo_per_capita!T$552/1000000</f>
        <v>0</v>
      </c>
      <c r="U45" s="336">
        <f>Saldo_relativo_per_capita!U45*Saldo_relativo_per_capita!U$552/1000000</f>
        <v>0</v>
      </c>
      <c r="V45" s="336">
        <f>Saldo_relativo_per_capita!V45*Saldo_relativo_per_capita!V$552/1000000</f>
        <v>0</v>
      </c>
      <c r="W45" s="148"/>
    </row>
    <row r="46" spans="1:23" s="115" customFormat="1">
      <c r="A46" s="352"/>
      <c r="D46" s="217"/>
      <c r="E46" s="217"/>
      <c r="F46" s="217"/>
      <c r="G46" s="217"/>
      <c r="H46" s="217"/>
      <c r="I46" s="217"/>
      <c r="J46" s="217"/>
      <c r="K46" s="217"/>
      <c r="L46" s="217"/>
      <c r="M46" s="217"/>
      <c r="N46" s="217"/>
      <c r="O46" s="217"/>
      <c r="P46" s="217"/>
      <c r="Q46" s="217"/>
      <c r="R46" s="217"/>
      <c r="S46" s="217"/>
      <c r="T46" s="217"/>
      <c r="U46" s="217"/>
      <c r="V46" s="217"/>
      <c r="W46" s="148"/>
    </row>
    <row r="47" spans="1:23" s="115" customFormat="1" ht="13.5">
      <c r="A47" s="352"/>
      <c r="C47" s="128" t="s">
        <v>30</v>
      </c>
      <c r="D47" s="218">
        <f>Saldo_relativo_per_capita!D47*Saldo_relativo_per_capita!D$552/1000000</f>
        <v>0</v>
      </c>
      <c r="E47" s="218">
        <f>Saldo_relativo_per_capita!E47*Saldo_relativo_per_capita!E$552/1000000</f>
        <v>0</v>
      </c>
      <c r="F47" s="218">
        <f>Saldo_relativo_per_capita!F47*Saldo_relativo_per_capita!F$552/1000000</f>
        <v>0</v>
      </c>
      <c r="G47" s="218">
        <f>Saldo_relativo_per_capita!G47*Saldo_relativo_per_capita!G$552/1000000</f>
        <v>0</v>
      </c>
      <c r="H47" s="218">
        <f>Saldo_relativo_per_capita!H47*Saldo_relativo_per_capita!H$552/1000000</f>
        <v>0</v>
      </c>
      <c r="I47" s="218">
        <f>Saldo_relativo_per_capita!I47*Saldo_relativo_per_capita!I$552/1000000</f>
        <v>0</v>
      </c>
      <c r="J47" s="218">
        <f>Saldo_relativo_per_capita!J47*Saldo_relativo_per_capita!J$552/1000000</f>
        <v>0</v>
      </c>
      <c r="K47" s="218">
        <f>Saldo_relativo_per_capita!K47*Saldo_relativo_per_capita!K$552/1000000</f>
        <v>0</v>
      </c>
      <c r="L47" s="218">
        <f>Saldo_relativo_per_capita!L47*Saldo_relativo_per_capita!L$552/1000000</f>
        <v>0</v>
      </c>
      <c r="M47" s="218">
        <f>Saldo_relativo_per_capita!M47*Saldo_relativo_per_capita!M$552/1000000</f>
        <v>0</v>
      </c>
      <c r="N47" s="218">
        <f>Saldo_relativo_per_capita!N47*Saldo_relativo_per_capita!N$552/1000000</f>
        <v>0</v>
      </c>
      <c r="O47" s="218">
        <f>Saldo_relativo_per_capita!O47*Saldo_relativo_per_capita!O$552/1000000</f>
        <v>0</v>
      </c>
      <c r="P47" s="218">
        <f>Saldo_relativo_per_capita!P47*Saldo_relativo_per_capita!P$552/1000000</f>
        <v>0</v>
      </c>
      <c r="Q47" s="218">
        <f>Saldo_relativo_per_capita!Q47*Saldo_relativo_per_capita!Q$552/1000000</f>
        <v>0</v>
      </c>
      <c r="R47" s="218">
        <f>Saldo_relativo_per_capita!R47*Saldo_relativo_per_capita!R$552/1000000</f>
        <v>0</v>
      </c>
      <c r="S47" s="218">
        <f>Saldo_relativo_per_capita!S47*Saldo_relativo_per_capita!S$552/1000000</f>
        <v>0</v>
      </c>
      <c r="T47" s="218">
        <f>Saldo_relativo_per_capita!T47*Saldo_relativo_per_capita!T$552/1000000</f>
        <v>0</v>
      </c>
      <c r="U47" s="218">
        <f>Saldo_relativo_per_capita!U47*Saldo_relativo_per_capita!U$552/1000000</f>
        <v>0</v>
      </c>
      <c r="V47" s="218">
        <f>Saldo_relativo_per_capita!V47*Saldo_relativo_per_capita!V$552/1000000</f>
        <v>0</v>
      </c>
      <c r="W47" s="228"/>
    </row>
    <row r="48" spans="1:23" s="115" customFormat="1">
      <c r="A48" s="351" t="str">
        <f>IF(B48="","",(IF(ISERROR(MATCH(B48,Tot_res!C:C,0)),"Eliminar!!!","")))</f>
        <v/>
      </c>
      <c r="B48" s="115" t="s">
        <v>152</v>
      </c>
      <c r="C48" s="329" t="str">
        <f>VLOOKUP(B48,Tot_res!C:D,2,FALSE)</f>
        <v>Coordinación y relaciones financieras con los entes territoriales</v>
      </c>
      <c r="D48" s="336">
        <f>Saldo_relativo_per_capita!D48*Saldo_relativo_per_capita!D$552/1000000</f>
        <v>0</v>
      </c>
      <c r="E48" s="336">
        <f>Saldo_relativo_per_capita!E48*Saldo_relativo_per_capita!E$552/1000000</f>
        <v>0</v>
      </c>
      <c r="F48" s="336">
        <f>Saldo_relativo_per_capita!F48*Saldo_relativo_per_capita!F$552/1000000</f>
        <v>0</v>
      </c>
      <c r="G48" s="336">
        <f>Saldo_relativo_per_capita!G48*Saldo_relativo_per_capita!G$552/1000000</f>
        <v>0</v>
      </c>
      <c r="H48" s="336">
        <f>Saldo_relativo_per_capita!H48*Saldo_relativo_per_capita!H$552/1000000</f>
        <v>0</v>
      </c>
      <c r="I48" s="336">
        <f>Saldo_relativo_per_capita!I48*Saldo_relativo_per_capita!I$552/1000000</f>
        <v>0</v>
      </c>
      <c r="J48" s="336">
        <f>Saldo_relativo_per_capita!J48*Saldo_relativo_per_capita!J$552/1000000</f>
        <v>0</v>
      </c>
      <c r="K48" s="336">
        <f>Saldo_relativo_per_capita!K48*Saldo_relativo_per_capita!K$552/1000000</f>
        <v>0</v>
      </c>
      <c r="L48" s="336">
        <f>Saldo_relativo_per_capita!L48*Saldo_relativo_per_capita!L$552/1000000</f>
        <v>0</v>
      </c>
      <c r="M48" s="336">
        <f>Saldo_relativo_per_capita!M48*Saldo_relativo_per_capita!M$552/1000000</f>
        <v>0</v>
      </c>
      <c r="N48" s="336">
        <f>Saldo_relativo_per_capita!N48*Saldo_relativo_per_capita!N$552/1000000</f>
        <v>0</v>
      </c>
      <c r="O48" s="336">
        <f>Saldo_relativo_per_capita!O48*Saldo_relativo_per_capita!O$552/1000000</f>
        <v>0</v>
      </c>
      <c r="P48" s="336">
        <f>Saldo_relativo_per_capita!P48*Saldo_relativo_per_capita!P$552/1000000</f>
        <v>0</v>
      </c>
      <c r="Q48" s="336">
        <f>Saldo_relativo_per_capita!Q48*Saldo_relativo_per_capita!Q$552/1000000</f>
        <v>0</v>
      </c>
      <c r="R48" s="336">
        <f>Saldo_relativo_per_capita!R48*Saldo_relativo_per_capita!R$552/1000000</f>
        <v>0</v>
      </c>
      <c r="S48" s="336">
        <f>Saldo_relativo_per_capita!S48*Saldo_relativo_per_capita!S$552/1000000</f>
        <v>0</v>
      </c>
      <c r="T48" s="336">
        <f>Saldo_relativo_per_capita!T48*Saldo_relativo_per_capita!T$552/1000000</f>
        <v>0</v>
      </c>
      <c r="U48" s="336">
        <f>Saldo_relativo_per_capita!U48*Saldo_relativo_per_capita!U$552/1000000</f>
        <v>0</v>
      </c>
      <c r="V48" s="336">
        <f>Saldo_relativo_per_capita!V48*Saldo_relativo_per_capita!V$552/1000000</f>
        <v>0</v>
      </c>
      <c r="W48" s="148"/>
    </row>
    <row r="49" spans="1:23" s="115" customFormat="1">
      <c r="A49" s="351" t="str">
        <f>IF(B49="","",(IF(ISERROR(MATCH(B49,Tot_res!C:C,0)),"Eliminar!!!","")))</f>
        <v/>
      </c>
      <c r="B49" s="115" t="s">
        <v>620</v>
      </c>
      <c r="C49" s="329" t="str">
        <f>VLOOKUP(B49,Tot_res!C:D,2,FALSE)</f>
        <v>Gestión del patrimonio del estado</v>
      </c>
      <c r="D49" s="336">
        <f>Saldo_relativo_per_capita!D49*Saldo_relativo_per_capita!D$552/1000000</f>
        <v>0</v>
      </c>
      <c r="E49" s="336">
        <f>Saldo_relativo_per_capita!E49*Saldo_relativo_per_capita!E$552/1000000</f>
        <v>0</v>
      </c>
      <c r="F49" s="336">
        <f>Saldo_relativo_per_capita!F49*Saldo_relativo_per_capita!F$552/1000000</f>
        <v>0</v>
      </c>
      <c r="G49" s="336">
        <f>Saldo_relativo_per_capita!G49*Saldo_relativo_per_capita!G$552/1000000</f>
        <v>0</v>
      </c>
      <c r="H49" s="336">
        <f>Saldo_relativo_per_capita!H49*Saldo_relativo_per_capita!H$552/1000000</f>
        <v>0</v>
      </c>
      <c r="I49" s="336">
        <f>Saldo_relativo_per_capita!I49*Saldo_relativo_per_capita!I$552/1000000</f>
        <v>0</v>
      </c>
      <c r="J49" s="336">
        <f>Saldo_relativo_per_capita!J49*Saldo_relativo_per_capita!J$552/1000000</f>
        <v>0</v>
      </c>
      <c r="K49" s="336">
        <f>Saldo_relativo_per_capita!K49*Saldo_relativo_per_capita!K$552/1000000</f>
        <v>0</v>
      </c>
      <c r="L49" s="336">
        <f>Saldo_relativo_per_capita!L49*Saldo_relativo_per_capita!L$552/1000000</f>
        <v>0</v>
      </c>
      <c r="M49" s="336">
        <f>Saldo_relativo_per_capita!M49*Saldo_relativo_per_capita!M$552/1000000</f>
        <v>0</v>
      </c>
      <c r="N49" s="336">
        <f>Saldo_relativo_per_capita!N49*Saldo_relativo_per_capita!N$552/1000000</f>
        <v>0</v>
      </c>
      <c r="O49" s="336">
        <f>Saldo_relativo_per_capita!O49*Saldo_relativo_per_capita!O$552/1000000</f>
        <v>0</v>
      </c>
      <c r="P49" s="336">
        <f>Saldo_relativo_per_capita!P49*Saldo_relativo_per_capita!P$552/1000000</f>
        <v>0</v>
      </c>
      <c r="Q49" s="336">
        <f>Saldo_relativo_per_capita!Q49*Saldo_relativo_per_capita!Q$552/1000000</f>
        <v>0</v>
      </c>
      <c r="R49" s="336">
        <f>Saldo_relativo_per_capita!R49*Saldo_relativo_per_capita!R$552/1000000</f>
        <v>0</v>
      </c>
      <c r="S49" s="336">
        <f>Saldo_relativo_per_capita!S49*Saldo_relativo_per_capita!S$552/1000000</f>
        <v>0</v>
      </c>
      <c r="T49" s="336">
        <f>Saldo_relativo_per_capita!T49*Saldo_relativo_per_capita!T$552/1000000</f>
        <v>0</v>
      </c>
      <c r="U49" s="336">
        <f>Saldo_relativo_per_capita!U49*Saldo_relativo_per_capita!U$552/1000000</f>
        <v>0</v>
      </c>
      <c r="V49" s="336">
        <f>Saldo_relativo_per_capita!V49*Saldo_relativo_per_capita!V$552/1000000</f>
        <v>0</v>
      </c>
      <c r="W49" s="148"/>
    </row>
    <row r="50" spans="1:23" s="115" customFormat="1">
      <c r="A50" s="351" t="str">
        <f>IF(B50="","",(IF(ISERROR(MATCH(B50,Tot_res!C:C,0)),"Eliminar!!!","")))</f>
        <v/>
      </c>
      <c r="B50" s="115" t="s">
        <v>683</v>
      </c>
      <c r="C50" s="329" t="str">
        <f>VLOOKUP(B50,Tot_res!C:D,2,FALSE)</f>
        <v>Dirección y servicios generales de hacienda y administraciones públicas</v>
      </c>
      <c r="D50" s="336">
        <f>Saldo_relativo_per_capita!D50*Saldo_relativo_per_capita!D$552/1000000</f>
        <v>0</v>
      </c>
      <c r="E50" s="336">
        <f>Saldo_relativo_per_capita!E50*Saldo_relativo_per_capita!E$552/1000000</f>
        <v>0</v>
      </c>
      <c r="F50" s="336">
        <f>Saldo_relativo_per_capita!F50*Saldo_relativo_per_capita!F$552/1000000</f>
        <v>0</v>
      </c>
      <c r="G50" s="336">
        <f>Saldo_relativo_per_capita!G50*Saldo_relativo_per_capita!G$552/1000000</f>
        <v>0</v>
      </c>
      <c r="H50" s="336">
        <f>Saldo_relativo_per_capita!H50*Saldo_relativo_per_capita!H$552/1000000</f>
        <v>0</v>
      </c>
      <c r="I50" s="336">
        <f>Saldo_relativo_per_capita!I50*Saldo_relativo_per_capita!I$552/1000000</f>
        <v>0</v>
      </c>
      <c r="J50" s="336">
        <f>Saldo_relativo_per_capita!J50*Saldo_relativo_per_capita!J$552/1000000</f>
        <v>0</v>
      </c>
      <c r="K50" s="336">
        <f>Saldo_relativo_per_capita!K50*Saldo_relativo_per_capita!K$552/1000000</f>
        <v>0</v>
      </c>
      <c r="L50" s="336">
        <f>Saldo_relativo_per_capita!L50*Saldo_relativo_per_capita!L$552/1000000</f>
        <v>0</v>
      </c>
      <c r="M50" s="336">
        <f>Saldo_relativo_per_capita!M50*Saldo_relativo_per_capita!M$552/1000000</f>
        <v>0</v>
      </c>
      <c r="N50" s="336">
        <f>Saldo_relativo_per_capita!N50*Saldo_relativo_per_capita!N$552/1000000</f>
        <v>0</v>
      </c>
      <c r="O50" s="336">
        <f>Saldo_relativo_per_capita!O50*Saldo_relativo_per_capita!O$552/1000000</f>
        <v>0</v>
      </c>
      <c r="P50" s="336">
        <f>Saldo_relativo_per_capita!P50*Saldo_relativo_per_capita!P$552/1000000</f>
        <v>0</v>
      </c>
      <c r="Q50" s="336">
        <f>Saldo_relativo_per_capita!Q50*Saldo_relativo_per_capita!Q$552/1000000</f>
        <v>0</v>
      </c>
      <c r="R50" s="336">
        <f>Saldo_relativo_per_capita!R50*Saldo_relativo_per_capita!R$552/1000000</f>
        <v>0</v>
      </c>
      <c r="S50" s="336">
        <f>Saldo_relativo_per_capita!S50*Saldo_relativo_per_capita!S$552/1000000</f>
        <v>0</v>
      </c>
      <c r="T50" s="336">
        <f>Saldo_relativo_per_capita!T50*Saldo_relativo_per_capita!T$552/1000000</f>
        <v>0</v>
      </c>
      <c r="U50" s="336">
        <f>Saldo_relativo_per_capita!U50*Saldo_relativo_per_capita!U$552/1000000</f>
        <v>0</v>
      </c>
      <c r="V50" s="336">
        <f>Saldo_relativo_per_capita!V50*Saldo_relativo_per_capita!V$552/1000000</f>
        <v>0</v>
      </c>
      <c r="W50" s="148"/>
    </row>
    <row r="51" spans="1:23" s="115" customFormat="1">
      <c r="A51" s="351" t="str">
        <f>IF(B51="","",(IF(ISERROR(MATCH(B51,Tot_res!C:C,0)),"Eliminar!!!","")))</f>
        <v/>
      </c>
      <c r="B51" s="115" t="s">
        <v>153</v>
      </c>
      <c r="C51" s="329" t="str">
        <f>VLOOKUP(B51,Tot_res!C:D,2,FALSE)</f>
        <v>Formación del personal de economía y hacienda</v>
      </c>
      <c r="D51" s="336">
        <f>Saldo_relativo_per_capita!D51*Saldo_relativo_per_capita!D$552/1000000</f>
        <v>0</v>
      </c>
      <c r="E51" s="336">
        <f>Saldo_relativo_per_capita!E51*Saldo_relativo_per_capita!E$552/1000000</f>
        <v>0</v>
      </c>
      <c r="F51" s="336">
        <f>Saldo_relativo_per_capita!F51*Saldo_relativo_per_capita!F$552/1000000</f>
        <v>0</v>
      </c>
      <c r="G51" s="336">
        <f>Saldo_relativo_per_capita!G51*Saldo_relativo_per_capita!G$552/1000000</f>
        <v>0</v>
      </c>
      <c r="H51" s="336">
        <f>Saldo_relativo_per_capita!H51*Saldo_relativo_per_capita!H$552/1000000</f>
        <v>0</v>
      </c>
      <c r="I51" s="336">
        <f>Saldo_relativo_per_capita!I51*Saldo_relativo_per_capita!I$552/1000000</f>
        <v>0</v>
      </c>
      <c r="J51" s="336">
        <f>Saldo_relativo_per_capita!J51*Saldo_relativo_per_capita!J$552/1000000</f>
        <v>0</v>
      </c>
      <c r="K51" s="336">
        <f>Saldo_relativo_per_capita!K51*Saldo_relativo_per_capita!K$552/1000000</f>
        <v>0</v>
      </c>
      <c r="L51" s="336">
        <f>Saldo_relativo_per_capita!L51*Saldo_relativo_per_capita!L$552/1000000</f>
        <v>0</v>
      </c>
      <c r="M51" s="336">
        <f>Saldo_relativo_per_capita!M51*Saldo_relativo_per_capita!M$552/1000000</f>
        <v>0</v>
      </c>
      <c r="N51" s="336">
        <f>Saldo_relativo_per_capita!N51*Saldo_relativo_per_capita!N$552/1000000</f>
        <v>0</v>
      </c>
      <c r="O51" s="336">
        <f>Saldo_relativo_per_capita!O51*Saldo_relativo_per_capita!O$552/1000000</f>
        <v>0</v>
      </c>
      <c r="P51" s="336">
        <f>Saldo_relativo_per_capita!P51*Saldo_relativo_per_capita!P$552/1000000</f>
        <v>0</v>
      </c>
      <c r="Q51" s="336">
        <f>Saldo_relativo_per_capita!Q51*Saldo_relativo_per_capita!Q$552/1000000</f>
        <v>0</v>
      </c>
      <c r="R51" s="336">
        <f>Saldo_relativo_per_capita!R51*Saldo_relativo_per_capita!R$552/1000000</f>
        <v>0</v>
      </c>
      <c r="S51" s="336">
        <f>Saldo_relativo_per_capita!S51*Saldo_relativo_per_capita!S$552/1000000</f>
        <v>0</v>
      </c>
      <c r="T51" s="336">
        <f>Saldo_relativo_per_capita!T51*Saldo_relativo_per_capita!T$552/1000000</f>
        <v>0</v>
      </c>
      <c r="U51" s="336">
        <f>Saldo_relativo_per_capita!U51*Saldo_relativo_per_capita!U$552/1000000</f>
        <v>0</v>
      </c>
      <c r="V51" s="336">
        <f>Saldo_relativo_per_capita!V51*Saldo_relativo_per_capita!V$552/1000000</f>
        <v>0</v>
      </c>
      <c r="W51" s="148"/>
    </row>
    <row r="52" spans="1:23" s="115" customFormat="1">
      <c r="A52" s="351" t="str">
        <f>IF(B52="","",(IF(ISERROR(MATCH(B52,Tot_res!C:C,0)),"Eliminar!!!","")))</f>
        <v/>
      </c>
      <c r="B52" s="115" t="s">
        <v>685</v>
      </c>
      <c r="C52" s="329" t="str">
        <f>VLOOKUP(B52,Tot_res!C:D,2,FALSE)</f>
        <v>Gestión de la deuda y de la tesorería del estado</v>
      </c>
      <c r="D52" s="336">
        <f>Saldo_relativo_per_capita!D52*Saldo_relativo_per_capita!D$552/1000000</f>
        <v>0</v>
      </c>
      <c r="E52" s="336">
        <f>Saldo_relativo_per_capita!E52*Saldo_relativo_per_capita!E$552/1000000</f>
        <v>0</v>
      </c>
      <c r="F52" s="336">
        <f>Saldo_relativo_per_capita!F52*Saldo_relativo_per_capita!F$552/1000000</f>
        <v>0</v>
      </c>
      <c r="G52" s="336">
        <f>Saldo_relativo_per_capita!G52*Saldo_relativo_per_capita!G$552/1000000</f>
        <v>0</v>
      </c>
      <c r="H52" s="336">
        <f>Saldo_relativo_per_capita!H52*Saldo_relativo_per_capita!H$552/1000000</f>
        <v>0</v>
      </c>
      <c r="I52" s="336">
        <f>Saldo_relativo_per_capita!I52*Saldo_relativo_per_capita!I$552/1000000</f>
        <v>0</v>
      </c>
      <c r="J52" s="336">
        <f>Saldo_relativo_per_capita!J52*Saldo_relativo_per_capita!J$552/1000000</f>
        <v>0</v>
      </c>
      <c r="K52" s="336">
        <f>Saldo_relativo_per_capita!K52*Saldo_relativo_per_capita!K$552/1000000</f>
        <v>0</v>
      </c>
      <c r="L52" s="336">
        <f>Saldo_relativo_per_capita!L52*Saldo_relativo_per_capita!L$552/1000000</f>
        <v>0</v>
      </c>
      <c r="M52" s="336">
        <f>Saldo_relativo_per_capita!M52*Saldo_relativo_per_capita!M$552/1000000</f>
        <v>0</v>
      </c>
      <c r="N52" s="336">
        <f>Saldo_relativo_per_capita!N52*Saldo_relativo_per_capita!N$552/1000000</f>
        <v>0</v>
      </c>
      <c r="O52" s="336">
        <f>Saldo_relativo_per_capita!O52*Saldo_relativo_per_capita!O$552/1000000</f>
        <v>0</v>
      </c>
      <c r="P52" s="336">
        <f>Saldo_relativo_per_capita!P52*Saldo_relativo_per_capita!P$552/1000000</f>
        <v>0</v>
      </c>
      <c r="Q52" s="336">
        <f>Saldo_relativo_per_capita!Q52*Saldo_relativo_per_capita!Q$552/1000000</f>
        <v>0</v>
      </c>
      <c r="R52" s="336">
        <f>Saldo_relativo_per_capita!R52*Saldo_relativo_per_capita!R$552/1000000</f>
        <v>0</v>
      </c>
      <c r="S52" s="336">
        <f>Saldo_relativo_per_capita!S52*Saldo_relativo_per_capita!S$552/1000000</f>
        <v>0</v>
      </c>
      <c r="T52" s="336">
        <f>Saldo_relativo_per_capita!T52*Saldo_relativo_per_capita!T$552/1000000</f>
        <v>0</v>
      </c>
      <c r="U52" s="336">
        <f>Saldo_relativo_per_capita!U52*Saldo_relativo_per_capita!U$552/1000000</f>
        <v>0</v>
      </c>
      <c r="V52" s="336">
        <f>Saldo_relativo_per_capita!V52*Saldo_relativo_per_capita!V$552/1000000</f>
        <v>0</v>
      </c>
      <c r="W52" s="148"/>
    </row>
    <row r="53" spans="1:23" s="115" customFormat="1">
      <c r="A53" s="351" t="str">
        <f>IF(B53="","",(IF(ISERROR(MATCH(B53,Tot_res!C:C,0)),"Eliminar!!!","")))</f>
        <v/>
      </c>
      <c r="B53" s="115" t="s">
        <v>1183</v>
      </c>
      <c r="C53" s="329" t="str">
        <f>VLOOKUP(B53,Tot_res!C:D,2,FALSE)</f>
        <v>Dirección y Servicios Generales de Economía y Competitividad</v>
      </c>
      <c r="D53" s="336">
        <f>Saldo_relativo_per_capita!D53*Saldo_relativo_per_capita!D$552/1000000</f>
        <v>0</v>
      </c>
      <c r="E53" s="336">
        <f>Saldo_relativo_per_capita!E53*Saldo_relativo_per_capita!E$552/1000000</f>
        <v>0</v>
      </c>
      <c r="F53" s="336">
        <f>Saldo_relativo_per_capita!F53*Saldo_relativo_per_capita!F$552/1000000</f>
        <v>0</v>
      </c>
      <c r="G53" s="336">
        <f>Saldo_relativo_per_capita!G53*Saldo_relativo_per_capita!G$552/1000000</f>
        <v>0</v>
      </c>
      <c r="H53" s="336">
        <f>Saldo_relativo_per_capita!H53*Saldo_relativo_per_capita!H$552/1000000</f>
        <v>0</v>
      </c>
      <c r="I53" s="336">
        <f>Saldo_relativo_per_capita!I53*Saldo_relativo_per_capita!I$552/1000000</f>
        <v>0</v>
      </c>
      <c r="J53" s="336">
        <f>Saldo_relativo_per_capita!J53*Saldo_relativo_per_capita!J$552/1000000</f>
        <v>0</v>
      </c>
      <c r="K53" s="336">
        <f>Saldo_relativo_per_capita!K53*Saldo_relativo_per_capita!K$552/1000000</f>
        <v>0</v>
      </c>
      <c r="L53" s="336">
        <f>Saldo_relativo_per_capita!L53*Saldo_relativo_per_capita!L$552/1000000</f>
        <v>0</v>
      </c>
      <c r="M53" s="336">
        <f>Saldo_relativo_per_capita!M53*Saldo_relativo_per_capita!M$552/1000000</f>
        <v>0</v>
      </c>
      <c r="N53" s="336">
        <f>Saldo_relativo_per_capita!N53*Saldo_relativo_per_capita!N$552/1000000</f>
        <v>0</v>
      </c>
      <c r="O53" s="336">
        <f>Saldo_relativo_per_capita!O53*Saldo_relativo_per_capita!O$552/1000000</f>
        <v>0</v>
      </c>
      <c r="P53" s="336">
        <f>Saldo_relativo_per_capita!P53*Saldo_relativo_per_capita!P$552/1000000</f>
        <v>0</v>
      </c>
      <c r="Q53" s="336">
        <f>Saldo_relativo_per_capita!Q53*Saldo_relativo_per_capita!Q$552/1000000</f>
        <v>0</v>
      </c>
      <c r="R53" s="336">
        <f>Saldo_relativo_per_capita!R53*Saldo_relativo_per_capita!R$552/1000000</f>
        <v>0</v>
      </c>
      <c r="S53" s="336">
        <f>Saldo_relativo_per_capita!S53*Saldo_relativo_per_capita!S$552/1000000</f>
        <v>0</v>
      </c>
      <c r="T53" s="336">
        <f>Saldo_relativo_per_capita!T53*Saldo_relativo_per_capita!T$552/1000000</f>
        <v>0</v>
      </c>
      <c r="U53" s="336">
        <f>Saldo_relativo_per_capita!U53*Saldo_relativo_per_capita!U$552/1000000</f>
        <v>0</v>
      </c>
      <c r="V53" s="336">
        <f>Saldo_relativo_per_capita!V53*Saldo_relativo_per_capita!V$552/1000000</f>
        <v>0</v>
      </c>
      <c r="W53" s="148"/>
    </row>
    <row r="54" spans="1:23" s="115" customFormat="1">
      <c r="A54" s="351" t="str">
        <f>IF(B54="","",(IF(ISERROR(MATCH(B54,Tot_res!C:C,0)),"Eliminar!!!","")))</f>
        <v/>
      </c>
      <c r="B54" s="115" t="s">
        <v>1185</v>
      </c>
      <c r="C54" s="329" t="str">
        <f>VLOOKUP(B54,Tot_res!C:D,2,FALSE)</f>
        <v>Contratación centralizada</v>
      </c>
      <c r="D54" s="336">
        <f>Saldo_relativo_per_capita!D54*Saldo_relativo_per_capita!D$552/1000000</f>
        <v>0</v>
      </c>
      <c r="E54" s="336">
        <f>Saldo_relativo_per_capita!E54*Saldo_relativo_per_capita!E$552/1000000</f>
        <v>0</v>
      </c>
      <c r="F54" s="336">
        <f>Saldo_relativo_per_capita!F54*Saldo_relativo_per_capita!F$552/1000000</f>
        <v>0</v>
      </c>
      <c r="G54" s="336">
        <f>Saldo_relativo_per_capita!G54*Saldo_relativo_per_capita!G$552/1000000</f>
        <v>0</v>
      </c>
      <c r="H54" s="336">
        <f>Saldo_relativo_per_capita!H54*Saldo_relativo_per_capita!H$552/1000000</f>
        <v>0</v>
      </c>
      <c r="I54" s="336">
        <f>Saldo_relativo_per_capita!I54*Saldo_relativo_per_capita!I$552/1000000</f>
        <v>0</v>
      </c>
      <c r="J54" s="336">
        <f>Saldo_relativo_per_capita!J54*Saldo_relativo_per_capita!J$552/1000000</f>
        <v>0</v>
      </c>
      <c r="K54" s="336">
        <f>Saldo_relativo_per_capita!K54*Saldo_relativo_per_capita!K$552/1000000</f>
        <v>0</v>
      </c>
      <c r="L54" s="336">
        <f>Saldo_relativo_per_capita!L54*Saldo_relativo_per_capita!L$552/1000000</f>
        <v>0</v>
      </c>
      <c r="M54" s="336">
        <f>Saldo_relativo_per_capita!M54*Saldo_relativo_per_capita!M$552/1000000</f>
        <v>0</v>
      </c>
      <c r="N54" s="336">
        <f>Saldo_relativo_per_capita!N54*Saldo_relativo_per_capita!N$552/1000000</f>
        <v>0</v>
      </c>
      <c r="O54" s="336">
        <f>Saldo_relativo_per_capita!O54*Saldo_relativo_per_capita!O$552/1000000</f>
        <v>0</v>
      </c>
      <c r="P54" s="336">
        <f>Saldo_relativo_per_capita!P54*Saldo_relativo_per_capita!P$552/1000000</f>
        <v>0</v>
      </c>
      <c r="Q54" s="336">
        <f>Saldo_relativo_per_capita!Q54*Saldo_relativo_per_capita!Q$552/1000000</f>
        <v>0</v>
      </c>
      <c r="R54" s="336">
        <f>Saldo_relativo_per_capita!R54*Saldo_relativo_per_capita!R$552/1000000</f>
        <v>0</v>
      </c>
      <c r="S54" s="336">
        <f>Saldo_relativo_per_capita!S54*Saldo_relativo_per_capita!S$552/1000000</f>
        <v>0</v>
      </c>
      <c r="T54" s="336">
        <f>Saldo_relativo_per_capita!T54*Saldo_relativo_per_capita!T$552/1000000</f>
        <v>0</v>
      </c>
      <c r="U54" s="336">
        <f>Saldo_relativo_per_capita!U54*Saldo_relativo_per_capita!U$552/1000000</f>
        <v>0</v>
      </c>
      <c r="V54" s="336">
        <f>Saldo_relativo_per_capita!V54*Saldo_relativo_per_capita!V$552/1000000</f>
        <v>0</v>
      </c>
      <c r="W54" s="148"/>
    </row>
    <row r="55" spans="1:23" s="115" customFormat="1">
      <c r="A55" s="351" t="str">
        <f>IF(B55="","",(IF(ISERROR(MATCH(B55,Tot_res!C:C,0)),"Eliminar!!!","")))</f>
        <v/>
      </c>
      <c r="B55" s="115" t="s">
        <v>687</v>
      </c>
      <c r="C55" s="329" t="str">
        <f>VLOOKUP(B55,Tot_res!C:D,2,FALSE)</f>
        <v>Previsión y política económica</v>
      </c>
      <c r="D55" s="336">
        <f>Saldo_relativo_per_capita!D55*Saldo_relativo_per_capita!D$552/1000000</f>
        <v>0</v>
      </c>
      <c r="E55" s="336">
        <f>Saldo_relativo_per_capita!E55*Saldo_relativo_per_capita!E$552/1000000</f>
        <v>0</v>
      </c>
      <c r="F55" s="336">
        <f>Saldo_relativo_per_capita!F55*Saldo_relativo_per_capita!F$552/1000000</f>
        <v>0</v>
      </c>
      <c r="G55" s="336">
        <f>Saldo_relativo_per_capita!G55*Saldo_relativo_per_capita!G$552/1000000</f>
        <v>0</v>
      </c>
      <c r="H55" s="336">
        <f>Saldo_relativo_per_capita!H55*Saldo_relativo_per_capita!H$552/1000000</f>
        <v>0</v>
      </c>
      <c r="I55" s="336">
        <f>Saldo_relativo_per_capita!I55*Saldo_relativo_per_capita!I$552/1000000</f>
        <v>0</v>
      </c>
      <c r="J55" s="336">
        <f>Saldo_relativo_per_capita!J55*Saldo_relativo_per_capita!J$552/1000000</f>
        <v>0</v>
      </c>
      <c r="K55" s="336">
        <f>Saldo_relativo_per_capita!K55*Saldo_relativo_per_capita!K$552/1000000</f>
        <v>0</v>
      </c>
      <c r="L55" s="336">
        <f>Saldo_relativo_per_capita!L55*Saldo_relativo_per_capita!L$552/1000000</f>
        <v>0</v>
      </c>
      <c r="M55" s="336">
        <f>Saldo_relativo_per_capita!M55*Saldo_relativo_per_capita!M$552/1000000</f>
        <v>0</v>
      </c>
      <c r="N55" s="336">
        <f>Saldo_relativo_per_capita!N55*Saldo_relativo_per_capita!N$552/1000000</f>
        <v>0</v>
      </c>
      <c r="O55" s="336">
        <f>Saldo_relativo_per_capita!O55*Saldo_relativo_per_capita!O$552/1000000</f>
        <v>0</v>
      </c>
      <c r="P55" s="336">
        <f>Saldo_relativo_per_capita!P55*Saldo_relativo_per_capita!P$552/1000000</f>
        <v>0</v>
      </c>
      <c r="Q55" s="336">
        <f>Saldo_relativo_per_capita!Q55*Saldo_relativo_per_capita!Q$552/1000000</f>
        <v>0</v>
      </c>
      <c r="R55" s="336">
        <f>Saldo_relativo_per_capita!R55*Saldo_relativo_per_capita!R$552/1000000</f>
        <v>0</v>
      </c>
      <c r="S55" s="336">
        <f>Saldo_relativo_per_capita!S55*Saldo_relativo_per_capita!S$552/1000000</f>
        <v>0</v>
      </c>
      <c r="T55" s="336">
        <f>Saldo_relativo_per_capita!T55*Saldo_relativo_per_capita!T$552/1000000</f>
        <v>0</v>
      </c>
      <c r="U55" s="336">
        <f>Saldo_relativo_per_capita!U55*Saldo_relativo_per_capita!U$552/1000000</f>
        <v>0</v>
      </c>
      <c r="V55" s="336">
        <f>Saldo_relativo_per_capita!V55*Saldo_relativo_per_capita!V$552/1000000</f>
        <v>0</v>
      </c>
      <c r="W55" s="148"/>
    </row>
    <row r="56" spans="1:23" s="115" customFormat="1">
      <c r="A56" s="351" t="str">
        <f>IF(B56="","",(IF(ISERROR(MATCH(B56,Tot_res!C:C,0)),"Eliminar!!!","")))</f>
        <v/>
      </c>
      <c r="B56" s="115" t="s">
        <v>155</v>
      </c>
      <c r="C56" s="329" t="str">
        <f>VLOOKUP(B56,Tot_res!C:D,2,FALSE)</f>
        <v>Política presupuestaria</v>
      </c>
      <c r="D56" s="336">
        <f>Saldo_relativo_per_capita!D56*Saldo_relativo_per_capita!D$552/1000000</f>
        <v>0</v>
      </c>
      <c r="E56" s="336">
        <f>Saldo_relativo_per_capita!E56*Saldo_relativo_per_capita!E$552/1000000</f>
        <v>0</v>
      </c>
      <c r="F56" s="336">
        <f>Saldo_relativo_per_capita!F56*Saldo_relativo_per_capita!F$552/1000000</f>
        <v>0</v>
      </c>
      <c r="G56" s="336">
        <f>Saldo_relativo_per_capita!G56*Saldo_relativo_per_capita!G$552/1000000</f>
        <v>0</v>
      </c>
      <c r="H56" s="336">
        <f>Saldo_relativo_per_capita!H56*Saldo_relativo_per_capita!H$552/1000000</f>
        <v>0</v>
      </c>
      <c r="I56" s="336">
        <f>Saldo_relativo_per_capita!I56*Saldo_relativo_per_capita!I$552/1000000</f>
        <v>0</v>
      </c>
      <c r="J56" s="336">
        <f>Saldo_relativo_per_capita!J56*Saldo_relativo_per_capita!J$552/1000000</f>
        <v>0</v>
      </c>
      <c r="K56" s="336">
        <f>Saldo_relativo_per_capita!K56*Saldo_relativo_per_capita!K$552/1000000</f>
        <v>0</v>
      </c>
      <c r="L56" s="336">
        <f>Saldo_relativo_per_capita!L56*Saldo_relativo_per_capita!L$552/1000000</f>
        <v>0</v>
      </c>
      <c r="M56" s="336">
        <f>Saldo_relativo_per_capita!M56*Saldo_relativo_per_capita!M$552/1000000</f>
        <v>0</v>
      </c>
      <c r="N56" s="336">
        <f>Saldo_relativo_per_capita!N56*Saldo_relativo_per_capita!N$552/1000000</f>
        <v>0</v>
      </c>
      <c r="O56" s="336">
        <f>Saldo_relativo_per_capita!O56*Saldo_relativo_per_capita!O$552/1000000</f>
        <v>0</v>
      </c>
      <c r="P56" s="336">
        <f>Saldo_relativo_per_capita!P56*Saldo_relativo_per_capita!P$552/1000000</f>
        <v>0</v>
      </c>
      <c r="Q56" s="336">
        <f>Saldo_relativo_per_capita!Q56*Saldo_relativo_per_capita!Q$552/1000000</f>
        <v>0</v>
      </c>
      <c r="R56" s="336">
        <f>Saldo_relativo_per_capita!R56*Saldo_relativo_per_capita!R$552/1000000</f>
        <v>0</v>
      </c>
      <c r="S56" s="336">
        <f>Saldo_relativo_per_capita!S56*Saldo_relativo_per_capita!S$552/1000000</f>
        <v>0</v>
      </c>
      <c r="T56" s="336">
        <f>Saldo_relativo_per_capita!T56*Saldo_relativo_per_capita!T$552/1000000</f>
        <v>0</v>
      </c>
      <c r="U56" s="336">
        <f>Saldo_relativo_per_capita!U56*Saldo_relativo_per_capita!U$552/1000000</f>
        <v>0</v>
      </c>
      <c r="V56" s="336">
        <f>Saldo_relativo_per_capita!V56*Saldo_relativo_per_capita!V$552/1000000</f>
        <v>0</v>
      </c>
      <c r="W56" s="148"/>
    </row>
    <row r="57" spans="1:23" s="115" customFormat="1">
      <c r="A57" s="351" t="str">
        <f>IF(B57="","",(IF(ISERROR(MATCH(B57,Tot_res!C:C,0)),"Eliminar!!!","")))</f>
        <v/>
      </c>
      <c r="B57" s="115" t="s">
        <v>157</v>
      </c>
      <c r="C57" s="329" t="str">
        <f>VLOOKUP(B57,Tot_res!C:D,2,FALSE)</f>
        <v>Política tributaria</v>
      </c>
      <c r="D57" s="336">
        <f>Saldo_relativo_per_capita!D57*Saldo_relativo_per_capita!D$552/1000000</f>
        <v>0</v>
      </c>
      <c r="E57" s="336">
        <f>Saldo_relativo_per_capita!E57*Saldo_relativo_per_capita!E$552/1000000</f>
        <v>0</v>
      </c>
      <c r="F57" s="336">
        <f>Saldo_relativo_per_capita!F57*Saldo_relativo_per_capita!F$552/1000000</f>
        <v>0</v>
      </c>
      <c r="G57" s="336">
        <f>Saldo_relativo_per_capita!G57*Saldo_relativo_per_capita!G$552/1000000</f>
        <v>0</v>
      </c>
      <c r="H57" s="336">
        <f>Saldo_relativo_per_capita!H57*Saldo_relativo_per_capita!H$552/1000000</f>
        <v>0</v>
      </c>
      <c r="I57" s="336">
        <f>Saldo_relativo_per_capita!I57*Saldo_relativo_per_capita!I$552/1000000</f>
        <v>0</v>
      </c>
      <c r="J57" s="336">
        <f>Saldo_relativo_per_capita!J57*Saldo_relativo_per_capita!J$552/1000000</f>
        <v>0</v>
      </c>
      <c r="K57" s="336">
        <f>Saldo_relativo_per_capita!K57*Saldo_relativo_per_capita!K$552/1000000</f>
        <v>0</v>
      </c>
      <c r="L57" s="336">
        <f>Saldo_relativo_per_capita!L57*Saldo_relativo_per_capita!L$552/1000000</f>
        <v>0</v>
      </c>
      <c r="M57" s="336">
        <f>Saldo_relativo_per_capita!M57*Saldo_relativo_per_capita!M$552/1000000</f>
        <v>0</v>
      </c>
      <c r="N57" s="336">
        <f>Saldo_relativo_per_capita!N57*Saldo_relativo_per_capita!N$552/1000000</f>
        <v>0</v>
      </c>
      <c r="O57" s="336">
        <f>Saldo_relativo_per_capita!O57*Saldo_relativo_per_capita!O$552/1000000</f>
        <v>0</v>
      </c>
      <c r="P57" s="336">
        <f>Saldo_relativo_per_capita!P57*Saldo_relativo_per_capita!P$552/1000000</f>
        <v>0</v>
      </c>
      <c r="Q57" s="336">
        <f>Saldo_relativo_per_capita!Q57*Saldo_relativo_per_capita!Q$552/1000000</f>
        <v>0</v>
      </c>
      <c r="R57" s="336">
        <f>Saldo_relativo_per_capita!R57*Saldo_relativo_per_capita!R$552/1000000</f>
        <v>0</v>
      </c>
      <c r="S57" s="336">
        <f>Saldo_relativo_per_capita!S57*Saldo_relativo_per_capita!S$552/1000000</f>
        <v>0</v>
      </c>
      <c r="T57" s="336">
        <f>Saldo_relativo_per_capita!T57*Saldo_relativo_per_capita!T$552/1000000</f>
        <v>0</v>
      </c>
      <c r="U57" s="336">
        <f>Saldo_relativo_per_capita!U57*Saldo_relativo_per_capita!U$552/1000000</f>
        <v>0</v>
      </c>
      <c r="V57" s="336">
        <f>Saldo_relativo_per_capita!V57*Saldo_relativo_per_capita!V$552/1000000</f>
        <v>0</v>
      </c>
      <c r="W57" s="148"/>
    </row>
    <row r="58" spans="1:23" s="115" customFormat="1">
      <c r="A58" s="351" t="str">
        <f>IF(B58="","",(IF(ISERROR(MATCH(B58,Tot_res!C:C,0)),"Eliminar!!!","")))</f>
        <v/>
      </c>
      <c r="B58" s="115" t="s">
        <v>159</v>
      </c>
      <c r="C58" s="329" t="str">
        <f>VLOOKUP(B58,Tot_res!C:D,2,FALSE)</f>
        <v>Control interno y contabilidad pública</v>
      </c>
      <c r="D58" s="336">
        <f>Saldo_relativo_per_capita!D58*Saldo_relativo_per_capita!D$552/1000000</f>
        <v>0</v>
      </c>
      <c r="E58" s="336">
        <f>Saldo_relativo_per_capita!E58*Saldo_relativo_per_capita!E$552/1000000</f>
        <v>0</v>
      </c>
      <c r="F58" s="336">
        <f>Saldo_relativo_per_capita!F58*Saldo_relativo_per_capita!F$552/1000000</f>
        <v>0</v>
      </c>
      <c r="G58" s="336">
        <f>Saldo_relativo_per_capita!G58*Saldo_relativo_per_capita!G$552/1000000</f>
        <v>0</v>
      </c>
      <c r="H58" s="336">
        <f>Saldo_relativo_per_capita!H58*Saldo_relativo_per_capita!H$552/1000000</f>
        <v>0</v>
      </c>
      <c r="I58" s="336">
        <f>Saldo_relativo_per_capita!I58*Saldo_relativo_per_capita!I$552/1000000</f>
        <v>0</v>
      </c>
      <c r="J58" s="336">
        <f>Saldo_relativo_per_capita!J58*Saldo_relativo_per_capita!J$552/1000000</f>
        <v>0</v>
      </c>
      <c r="K58" s="336">
        <f>Saldo_relativo_per_capita!K58*Saldo_relativo_per_capita!K$552/1000000</f>
        <v>0</v>
      </c>
      <c r="L58" s="336">
        <f>Saldo_relativo_per_capita!L58*Saldo_relativo_per_capita!L$552/1000000</f>
        <v>0</v>
      </c>
      <c r="M58" s="336">
        <f>Saldo_relativo_per_capita!M58*Saldo_relativo_per_capita!M$552/1000000</f>
        <v>0</v>
      </c>
      <c r="N58" s="336">
        <f>Saldo_relativo_per_capita!N58*Saldo_relativo_per_capita!N$552/1000000</f>
        <v>0</v>
      </c>
      <c r="O58" s="336">
        <f>Saldo_relativo_per_capita!O58*Saldo_relativo_per_capita!O$552/1000000</f>
        <v>0</v>
      </c>
      <c r="P58" s="336">
        <f>Saldo_relativo_per_capita!P58*Saldo_relativo_per_capita!P$552/1000000</f>
        <v>0</v>
      </c>
      <c r="Q58" s="336">
        <f>Saldo_relativo_per_capita!Q58*Saldo_relativo_per_capita!Q$552/1000000</f>
        <v>0</v>
      </c>
      <c r="R58" s="336">
        <f>Saldo_relativo_per_capita!R58*Saldo_relativo_per_capita!R$552/1000000</f>
        <v>0</v>
      </c>
      <c r="S58" s="336">
        <f>Saldo_relativo_per_capita!S58*Saldo_relativo_per_capita!S$552/1000000</f>
        <v>0</v>
      </c>
      <c r="T58" s="336">
        <f>Saldo_relativo_per_capita!T58*Saldo_relativo_per_capita!T$552/1000000</f>
        <v>0</v>
      </c>
      <c r="U58" s="336">
        <f>Saldo_relativo_per_capita!U58*Saldo_relativo_per_capita!U$552/1000000</f>
        <v>0</v>
      </c>
      <c r="V58" s="336">
        <f>Saldo_relativo_per_capita!V58*Saldo_relativo_per_capita!V$552/1000000</f>
        <v>0</v>
      </c>
      <c r="W58" s="148"/>
    </row>
    <row r="59" spans="1:23" s="115" customFormat="1">
      <c r="A59" s="351" t="str">
        <f>IF(B59="","",(IF(ISERROR(MATCH(B59,Tot_res!C:C,0)),"Eliminar!!!","")))</f>
        <v/>
      </c>
      <c r="B59" s="115" t="s">
        <v>160</v>
      </c>
      <c r="C59" s="329" t="str">
        <f>VLOOKUP(B59,Tot_res!C:D,2,FALSE)</f>
        <v>Aplicación del sistema tributario estatal +  AF01: ajuste forales, gestión tributaria</v>
      </c>
      <c r="D59" s="336">
        <f>Saldo_relativo_per_capita!D59*Saldo_relativo_per_capita!D$552/1000000</f>
        <v>0</v>
      </c>
      <c r="E59" s="336">
        <f>Saldo_relativo_per_capita!E59*Saldo_relativo_per_capita!E$552/1000000</f>
        <v>0</v>
      </c>
      <c r="F59" s="336">
        <f>Saldo_relativo_per_capita!F59*Saldo_relativo_per_capita!F$552/1000000</f>
        <v>0</v>
      </c>
      <c r="G59" s="336">
        <f>Saldo_relativo_per_capita!G59*Saldo_relativo_per_capita!G$552/1000000</f>
        <v>0</v>
      </c>
      <c r="H59" s="336">
        <f>Saldo_relativo_per_capita!H59*Saldo_relativo_per_capita!H$552/1000000</f>
        <v>0</v>
      </c>
      <c r="I59" s="336">
        <f>Saldo_relativo_per_capita!I59*Saldo_relativo_per_capita!I$552/1000000</f>
        <v>0</v>
      </c>
      <c r="J59" s="336">
        <f>Saldo_relativo_per_capita!J59*Saldo_relativo_per_capita!J$552/1000000</f>
        <v>0</v>
      </c>
      <c r="K59" s="336">
        <f>Saldo_relativo_per_capita!K59*Saldo_relativo_per_capita!K$552/1000000</f>
        <v>0</v>
      </c>
      <c r="L59" s="336">
        <f>Saldo_relativo_per_capita!L59*Saldo_relativo_per_capita!L$552/1000000</f>
        <v>0</v>
      </c>
      <c r="M59" s="336">
        <f>Saldo_relativo_per_capita!M59*Saldo_relativo_per_capita!M$552/1000000</f>
        <v>0</v>
      </c>
      <c r="N59" s="336">
        <f>Saldo_relativo_per_capita!N59*Saldo_relativo_per_capita!N$552/1000000</f>
        <v>0</v>
      </c>
      <c r="O59" s="336">
        <f>Saldo_relativo_per_capita!O59*Saldo_relativo_per_capita!O$552/1000000</f>
        <v>0</v>
      </c>
      <c r="P59" s="336">
        <f>Saldo_relativo_per_capita!P59*Saldo_relativo_per_capita!P$552/1000000</f>
        <v>0</v>
      </c>
      <c r="Q59" s="336">
        <f>Saldo_relativo_per_capita!Q59*Saldo_relativo_per_capita!Q$552/1000000</f>
        <v>0</v>
      </c>
      <c r="R59" s="336">
        <f>Saldo_relativo_per_capita!R59*Saldo_relativo_per_capita!R$552/1000000</f>
        <v>0</v>
      </c>
      <c r="S59" s="336">
        <f>Saldo_relativo_per_capita!S59*Saldo_relativo_per_capita!S$552/1000000</f>
        <v>0</v>
      </c>
      <c r="T59" s="336">
        <f>Saldo_relativo_per_capita!T59*Saldo_relativo_per_capita!T$552/1000000</f>
        <v>0</v>
      </c>
      <c r="U59" s="336">
        <f>Saldo_relativo_per_capita!U59*Saldo_relativo_per_capita!U$552/1000000</f>
        <v>0</v>
      </c>
      <c r="V59" s="336">
        <f>Saldo_relativo_per_capita!V59*Saldo_relativo_per_capita!V$552/1000000</f>
        <v>0</v>
      </c>
      <c r="W59" s="148"/>
    </row>
    <row r="60" spans="1:23" s="115" customFormat="1">
      <c r="A60" s="351" t="str">
        <f>IF(B60="","",(IF(ISERROR(MATCH(B60,Tot_res!C:C,0)),"Eliminar!!!","")))</f>
        <v/>
      </c>
      <c r="B60" s="115" t="s">
        <v>161</v>
      </c>
      <c r="C60" s="329" t="str">
        <f>VLOOKUP(B60,Tot_res!C:D,2,FALSE)</f>
        <v>Gestión del catastro inmobiliario + AF02: corrección forales, catastro</v>
      </c>
      <c r="D60" s="336">
        <f>Saldo_relativo_per_capita!D60*Saldo_relativo_per_capita!D$552/1000000</f>
        <v>0</v>
      </c>
      <c r="E60" s="336">
        <f>Saldo_relativo_per_capita!E60*Saldo_relativo_per_capita!E$552/1000000</f>
        <v>0</v>
      </c>
      <c r="F60" s="336">
        <f>Saldo_relativo_per_capita!F60*Saldo_relativo_per_capita!F$552/1000000</f>
        <v>0</v>
      </c>
      <c r="G60" s="336">
        <f>Saldo_relativo_per_capita!G60*Saldo_relativo_per_capita!G$552/1000000</f>
        <v>0</v>
      </c>
      <c r="H60" s="336">
        <f>Saldo_relativo_per_capita!H60*Saldo_relativo_per_capita!H$552/1000000</f>
        <v>0</v>
      </c>
      <c r="I60" s="336">
        <f>Saldo_relativo_per_capita!I60*Saldo_relativo_per_capita!I$552/1000000</f>
        <v>0</v>
      </c>
      <c r="J60" s="336">
        <f>Saldo_relativo_per_capita!J60*Saldo_relativo_per_capita!J$552/1000000</f>
        <v>0</v>
      </c>
      <c r="K60" s="336">
        <f>Saldo_relativo_per_capita!K60*Saldo_relativo_per_capita!K$552/1000000</f>
        <v>0</v>
      </c>
      <c r="L60" s="336">
        <f>Saldo_relativo_per_capita!L60*Saldo_relativo_per_capita!L$552/1000000</f>
        <v>0</v>
      </c>
      <c r="M60" s="336">
        <f>Saldo_relativo_per_capita!M60*Saldo_relativo_per_capita!M$552/1000000</f>
        <v>0</v>
      </c>
      <c r="N60" s="336">
        <f>Saldo_relativo_per_capita!N60*Saldo_relativo_per_capita!N$552/1000000</f>
        <v>0</v>
      </c>
      <c r="O60" s="336">
        <f>Saldo_relativo_per_capita!O60*Saldo_relativo_per_capita!O$552/1000000</f>
        <v>0</v>
      </c>
      <c r="P60" s="336">
        <f>Saldo_relativo_per_capita!P60*Saldo_relativo_per_capita!P$552/1000000</f>
        <v>0</v>
      </c>
      <c r="Q60" s="336">
        <f>Saldo_relativo_per_capita!Q60*Saldo_relativo_per_capita!Q$552/1000000</f>
        <v>0</v>
      </c>
      <c r="R60" s="336">
        <f>Saldo_relativo_per_capita!R60*Saldo_relativo_per_capita!R$552/1000000</f>
        <v>0</v>
      </c>
      <c r="S60" s="336">
        <f>Saldo_relativo_per_capita!S60*Saldo_relativo_per_capita!S$552/1000000</f>
        <v>0</v>
      </c>
      <c r="T60" s="336">
        <f>Saldo_relativo_per_capita!T60*Saldo_relativo_per_capita!T$552/1000000</f>
        <v>0</v>
      </c>
      <c r="U60" s="336">
        <f>Saldo_relativo_per_capita!U60*Saldo_relativo_per_capita!U$552/1000000</f>
        <v>0</v>
      </c>
      <c r="V60" s="336">
        <f>Saldo_relativo_per_capita!V60*Saldo_relativo_per_capita!V$552/1000000</f>
        <v>0</v>
      </c>
      <c r="W60" s="148"/>
    </row>
    <row r="61" spans="1:23" s="115" customFormat="1">
      <c r="A61" s="351" t="str">
        <f>IF(B61="","",(IF(ISERROR(MATCH(B61,Tot_res!C:C,0)),"Eliminar!!!","")))</f>
        <v/>
      </c>
      <c r="B61" s="115" t="s">
        <v>162</v>
      </c>
      <c r="C61" s="329" t="str">
        <f>VLOOKUP(B61,Tot_res!C:D,2,FALSE)</f>
        <v>Resolución de reclamaciones económico-administrativas</v>
      </c>
      <c r="D61" s="336">
        <f>Saldo_relativo_per_capita!D61*Saldo_relativo_per_capita!D$552/1000000</f>
        <v>0</v>
      </c>
      <c r="E61" s="336">
        <f>Saldo_relativo_per_capita!E61*Saldo_relativo_per_capita!E$552/1000000</f>
        <v>0</v>
      </c>
      <c r="F61" s="336">
        <f>Saldo_relativo_per_capita!F61*Saldo_relativo_per_capita!F$552/1000000</f>
        <v>0</v>
      </c>
      <c r="G61" s="336">
        <f>Saldo_relativo_per_capita!G61*Saldo_relativo_per_capita!G$552/1000000</f>
        <v>0</v>
      </c>
      <c r="H61" s="336">
        <f>Saldo_relativo_per_capita!H61*Saldo_relativo_per_capita!H$552/1000000</f>
        <v>0</v>
      </c>
      <c r="I61" s="336">
        <f>Saldo_relativo_per_capita!I61*Saldo_relativo_per_capita!I$552/1000000</f>
        <v>0</v>
      </c>
      <c r="J61" s="336">
        <f>Saldo_relativo_per_capita!J61*Saldo_relativo_per_capita!J$552/1000000</f>
        <v>0</v>
      </c>
      <c r="K61" s="336">
        <f>Saldo_relativo_per_capita!K61*Saldo_relativo_per_capita!K$552/1000000</f>
        <v>0</v>
      </c>
      <c r="L61" s="336">
        <f>Saldo_relativo_per_capita!L61*Saldo_relativo_per_capita!L$552/1000000</f>
        <v>0</v>
      </c>
      <c r="M61" s="336">
        <f>Saldo_relativo_per_capita!M61*Saldo_relativo_per_capita!M$552/1000000</f>
        <v>0</v>
      </c>
      <c r="N61" s="336">
        <f>Saldo_relativo_per_capita!N61*Saldo_relativo_per_capita!N$552/1000000</f>
        <v>0</v>
      </c>
      <c r="O61" s="336">
        <f>Saldo_relativo_per_capita!O61*Saldo_relativo_per_capita!O$552/1000000</f>
        <v>0</v>
      </c>
      <c r="P61" s="336">
        <f>Saldo_relativo_per_capita!P61*Saldo_relativo_per_capita!P$552/1000000</f>
        <v>0</v>
      </c>
      <c r="Q61" s="336">
        <f>Saldo_relativo_per_capita!Q61*Saldo_relativo_per_capita!Q$552/1000000</f>
        <v>0</v>
      </c>
      <c r="R61" s="336">
        <f>Saldo_relativo_per_capita!R61*Saldo_relativo_per_capita!R$552/1000000</f>
        <v>0</v>
      </c>
      <c r="S61" s="336">
        <f>Saldo_relativo_per_capita!S61*Saldo_relativo_per_capita!S$552/1000000</f>
        <v>0</v>
      </c>
      <c r="T61" s="336">
        <f>Saldo_relativo_per_capita!T61*Saldo_relativo_per_capita!T$552/1000000</f>
        <v>0</v>
      </c>
      <c r="U61" s="336">
        <f>Saldo_relativo_per_capita!U61*Saldo_relativo_per_capita!U$552/1000000</f>
        <v>0</v>
      </c>
      <c r="V61" s="336">
        <f>Saldo_relativo_per_capita!V61*Saldo_relativo_per_capita!V$552/1000000</f>
        <v>0</v>
      </c>
      <c r="W61" s="148"/>
    </row>
    <row r="62" spans="1:23">
      <c r="A62" s="352"/>
      <c r="D62" s="39"/>
      <c r="E62" s="39"/>
      <c r="F62" s="39"/>
      <c r="G62" s="39"/>
      <c r="H62" s="39"/>
      <c r="I62" s="39"/>
      <c r="J62" s="39"/>
      <c r="K62" s="39"/>
      <c r="L62" s="39"/>
      <c r="M62" s="39"/>
      <c r="N62" s="39"/>
      <c r="O62" s="39"/>
      <c r="P62" s="39"/>
      <c r="Q62" s="39"/>
      <c r="R62" s="39"/>
      <c r="S62" s="39"/>
      <c r="T62" s="39"/>
      <c r="U62" s="39"/>
      <c r="V62" s="39"/>
      <c r="W62" s="35"/>
    </row>
    <row r="63" spans="1:23" s="115" customFormat="1" ht="13.5">
      <c r="A63" s="352"/>
      <c r="C63" s="128" t="s">
        <v>0</v>
      </c>
      <c r="D63" s="218">
        <f>Saldo_relativo_per_capita!D63*Saldo_relativo_per_capita!D$552/1000000</f>
        <v>0</v>
      </c>
      <c r="E63" s="218">
        <f>Saldo_relativo_per_capita!E63*Saldo_relativo_per_capita!E$552/1000000</f>
        <v>0</v>
      </c>
      <c r="F63" s="218">
        <f>Saldo_relativo_per_capita!F63*Saldo_relativo_per_capita!F$552/1000000</f>
        <v>0</v>
      </c>
      <c r="G63" s="218">
        <f>Saldo_relativo_per_capita!G63*Saldo_relativo_per_capita!G$552/1000000</f>
        <v>0</v>
      </c>
      <c r="H63" s="218">
        <f>Saldo_relativo_per_capita!H63*Saldo_relativo_per_capita!H$552/1000000</f>
        <v>0</v>
      </c>
      <c r="I63" s="218">
        <f>Saldo_relativo_per_capita!I63*Saldo_relativo_per_capita!I$552/1000000</f>
        <v>0</v>
      </c>
      <c r="J63" s="218">
        <f>Saldo_relativo_per_capita!J63*Saldo_relativo_per_capita!J$552/1000000</f>
        <v>0</v>
      </c>
      <c r="K63" s="218">
        <f>Saldo_relativo_per_capita!K63*Saldo_relativo_per_capita!K$552/1000000</f>
        <v>0</v>
      </c>
      <c r="L63" s="218">
        <f>Saldo_relativo_per_capita!L63*Saldo_relativo_per_capita!L$552/1000000</f>
        <v>0</v>
      </c>
      <c r="M63" s="218">
        <f>Saldo_relativo_per_capita!M63*Saldo_relativo_per_capita!M$552/1000000</f>
        <v>0</v>
      </c>
      <c r="N63" s="218">
        <f>Saldo_relativo_per_capita!N63*Saldo_relativo_per_capita!N$552/1000000</f>
        <v>0</v>
      </c>
      <c r="O63" s="218">
        <f>Saldo_relativo_per_capita!O63*Saldo_relativo_per_capita!O$552/1000000</f>
        <v>0</v>
      </c>
      <c r="P63" s="218">
        <f>Saldo_relativo_per_capita!P63*Saldo_relativo_per_capita!P$552/1000000</f>
        <v>0</v>
      </c>
      <c r="Q63" s="218">
        <f>Saldo_relativo_per_capita!Q63*Saldo_relativo_per_capita!Q$552/1000000</f>
        <v>0</v>
      </c>
      <c r="R63" s="218">
        <f>Saldo_relativo_per_capita!R63*Saldo_relativo_per_capita!R$552/1000000</f>
        <v>0</v>
      </c>
      <c r="S63" s="218">
        <f>Saldo_relativo_per_capita!S63*Saldo_relativo_per_capita!S$552/1000000</f>
        <v>0</v>
      </c>
      <c r="T63" s="218">
        <f>Saldo_relativo_per_capita!T63*Saldo_relativo_per_capita!T$552/1000000</f>
        <v>0</v>
      </c>
      <c r="U63" s="218">
        <f>Saldo_relativo_per_capita!U63*Saldo_relativo_per_capita!U$552/1000000</f>
        <v>0</v>
      </c>
      <c r="V63" s="218">
        <f>Saldo_relativo_per_capita!V63*Saldo_relativo_per_capita!V$552/1000000</f>
        <v>0</v>
      </c>
      <c r="W63" s="228"/>
    </row>
    <row r="64" spans="1:23" s="115" customFormat="1">
      <c r="A64" s="351" t="str">
        <f>IF(B64="","",(IF(ISERROR(MATCH(B64,Tot_res!C:C,0)),"Eliminar!!!","")))</f>
        <v/>
      </c>
      <c r="B64" s="115" t="s">
        <v>163</v>
      </c>
      <c r="C64" s="329" t="str">
        <f>VLOOKUP(B64,Tot_res!C:D,2,FALSE)</f>
        <v>Registros vinculados con la fe pública</v>
      </c>
      <c r="D64" s="336">
        <f>Saldo_relativo_per_capita!D64*Saldo_relativo_per_capita!D$552/1000000</f>
        <v>0</v>
      </c>
      <c r="E64" s="336">
        <f>Saldo_relativo_per_capita!E64*Saldo_relativo_per_capita!E$552/1000000</f>
        <v>0</v>
      </c>
      <c r="F64" s="336">
        <f>Saldo_relativo_per_capita!F64*Saldo_relativo_per_capita!F$552/1000000</f>
        <v>0</v>
      </c>
      <c r="G64" s="336">
        <f>Saldo_relativo_per_capita!G64*Saldo_relativo_per_capita!G$552/1000000</f>
        <v>0</v>
      </c>
      <c r="H64" s="336">
        <f>Saldo_relativo_per_capita!H64*Saldo_relativo_per_capita!H$552/1000000</f>
        <v>0</v>
      </c>
      <c r="I64" s="336">
        <f>Saldo_relativo_per_capita!I64*Saldo_relativo_per_capita!I$552/1000000</f>
        <v>0</v>
      </c>
      <c r="J64" s="336">
        <f>Saldo_relativo_per_capita!J64*Saldo_relativo_per_capita!J$552/1000000</f>
        <v>0</v>
      </c>
      <c r="K64" s="336">
        <f>Saldo_relativo_per_capita!K64*Saldo_relativo_per_capita!K$552/1000000</f>
        <v>0</v>
      </c>
      <c r="L64" s="336">
        <f>Saldo_relativo_per_capita!L64*Saldo_relativo_per_capita!L$552/1000000</f>
        <v>0</v>
      </c>
      <c r="M64" s="336">
        <f>Saldo_relativo_per_capita!M64*Saldo_relativo_per_capita!M$552/1000000</f>
        <v>0</v>
      </c>
      <c r="N64" s="336">
        <f>Saldo_relativo_per_capita!N64*Saldo_relativo_per_capita!N$552/1000000</f>
        <v>0</v>
      </c>
      <c r="O64" s="336">
        <f>Saldo_relativo_per_capita!O64*Saldo_relativo_per_capita!O$552/1000000</f>
        <v>0</v>
      </c>
      <c r="P64" s="336">
        <f>Saldo_relativo_per_capita!P64*Saldo_relativo_per_capita!P$552/1000000</f>
        <v>0</v>
      </c>
      <c r="Q64" s="336">
        <f>Saldo_relativo_per_capita!Q64*Saldo_relativo_per_capita!Q$552/1000000</f>
        <v>0</v>
      </c>
      <c r="R64" s="336">
        <f>Saldo_relativo_per_capita!R64*Saldo_relativo_per_capita!R$552/1000000</f>
        <v>0</v>
      </c>
      <c r="S64" s="336">
        <f>Saldo_relativo_per_capita!S64*Saldo_relativo_per_capita!S$552/1000000</f>
        <v>0</v>
      </c>
      <c r="T64" s="336">
        <f>Saldo_relativo_per_capita!T64*Saldo_relativo_per_capita!T$552/1000000</f>
        <v>0</v>
      </c>
      <c r="U64" s="336">
        <f>Saldo_relativo_per_capita!U64*Saldo_relativo_per_capita!U$552/1000000</f>
        <v>0</v>
      </c>
      <c r="V64" s="336">
        <f>Saldo_relativo_per_capita!V64*Saldo_relativo_per_capita!V$552/1000000</f>
        <v>0</v>
      </c>
      <c r="W64" s="148"/>
    </row>
    <row r="65" spans="1:23" s="115" customFormat="1">
      <c r="A65" s="351" t="str">
        <f>IF(B65="","",(IF(ISERROR(MATCH(B65,Tot_res!C:C,0)),"Eliminar!!!","")))</f>
        <v/>
      </c>
      <c r="B65" s="115" t="s">
        <v>164</v>
      </c>
      <c r="C65" s="329" t="str">
        <f>VLOOKUP(B65,Tot_res!C:D,2,FALSE)</f>
        <v>Derecho de asilo y apátridas</v>
      </c>
      <c r="D65" s="336">
        <f>Saldo_relativo_per_capita!D65*Saldo_relativo_per_capita!D$552/1000000</f>
        <v>0</v>
      </c>
      <c r="E65" s="336">
        <f>Saldo_relativo_per_capita!E65*Saldo_relativo_per_capita!E$552/1000000</f>
        <v>0</v>
      </c>
      <c r="F65" s="336">
        <f>Saldo_relativo_per_capita!F65*Saldo_relativo_per_capita!F$552/1000000</f>
        <v>0</v>
      </c>
      <c r="G65" s="336">
        <f>Saldo_relativo_per_capita!G65*Saldo_relativo_per_capita!G$552/1000000</f>
        <v>0</v>
      </c>
      <c r="H65" s="336">
        <f>Saldo_relativo_per_capita!H65*Saldo_relativo_per_capita!H$552/1000000</f>
        <v>0</v>
      </c>
      <c r="I65" s="336">
        <f>Saldo_relativo_per_capita!I65*Saldo_relativo_per_capita!I$552/1000000</f>
        <v>0</v>
      </c>
      <c r="J65" s="336">
        <f>Saldo_relativo_per_capita!J65*Saldo_relativo_per_capita!J$552/1000000</f>
        <v>0</v>
      </c>
      <c r="K65" s="336">
        <f>Saldo_relativo_per_capita!K65*Saldo_relativo_per_capita!K$552/1000000</f>
        <v>0</v>
      </c>
      <c r="L65" s="336">
        <f>Saldo_relativo_per_capita!L65*Saldo_relativo_per_capita!L$552/1000000</f>
        <v>0</v>
      </c>
      <c r="M65" s="336">
        <f>Saldo_relativo_per_capita!M65*Saldo_relativo_per_capita!M$552/1000000</f>
        <v>0</v>
      </c>
      <c r="N65" s="336">
        <f>Saldo_relativo_per_capita!N65*Saldo_relativo_per_capita!N$552/1000000</f>
        <v>0</v>
      </c>
      <c r="O65" s="336">
        <f>Saldo_relativo_per_capita!O65*Saldo_relativo_per_capita!O$552/1000000</f>
        <v>0</v>
      </c>
      <c r="P65" s="336">
        <f>Saldo_relativo_per_capita!P65*Saldo_relativo_per_capita!P$552/1000000</f>
        <v>0</v>
      </c>
      <c r="Q65" s="336">
        <f>Saldo_relativo_per_capita!Q65*Saldo_relativo_per_capita!Q$552/1000000</f>
        <v>0</v>
      </c>
      <c r="R65" s="336">
        <f>Saldo_relativo_per_capita!R65*Saldo_relativo_per_capita!R$552/1000000</f>
        <v>0</v>
      </c>
      <c r="S65" s="336">
        <f>Saldo_relativo_per_capita!S65*Saldo_relativo_per_capita!S$552/1000000</f>
        <v>0</v>
      </c>
      <c r="T65" s="336">
        <f>Saldo_relativo_per_capita!T65*Saldo_relativo_per_capita!T$552/1000000</f>
        <v>0</v>
      </c>
      <c r="U65" s="336">
        <f>Saldo_relativo_per_capita!U65*Saldo_relativo_per_capita!U$552/1000000</f>
        <v>0</v>
      </c>
      <c r="V65" s="336">
        <f>Saldo_relativo_per_capita!V65*Saldo_relativo_per_capita!V$552/1000000</f>
        <v>0</v>
      </c>
      <c r="W65" s="148"/>
    </row>
    <row r="66" spans="1:23" s="115" customFormat="1">
      <c r="A66" s="351" t="str">
        <f>IF(B66="","",(IF(ISERROR(MATCH(B66,Tot_res!C:C,0)),"Eliminar!!!","")))</f>
        <v/>
      </c>
      <c r="B66" s="115" t="s">
        <v>165</v>
      </c>
      <c r="C66" s="329" t="str">
        <f>VLOOKUP(B66,Tot_res!C:D,2,FALSE)</f>
        <v>Protección de datos de carácter personal</v>
      </c>
      <c r="D66" s="336">
        <f>Saldo_relativo_per_capita!D66*Saldo_relativo_per_capita!D$552/1000000</f>
        <v>0</v>
      </c>
      <c r="E66" s="336">
        <f>Saldo_relativo_per_capita!E66*Saldo_relativo_per_capita!E$552/1000000</f>
        <v>0</v>
      </c>
      <c r="F66" s="336">
        <f>Saldo_relativo_per_capita!F66*Saldo_relativo_per_capita!F$552/1000000</f>
        <v>0</v>
      </c>
      <c r="G66" s="336">
        <f>Saldo_relativo_per_capita!G66*Saldo_relativo_per_capita!G$552/1000000</f>
        <v>0</v>
      </c>
      <c r="H66" s="336">
        <f>Saldo_relativo_per_capita!H66*Saldo_relativo_per_capita!H$552/1000000</f>
        <v>0</v>
      </c>
      <c r="I66" s="336">
        <f>Saldo_relativo_per_capita!I66*Saldo_relativo_per_capita!I$552/1000000</f>
        <v>0</v>
      </c>
      <c r="J66" s="336">
        <f>Saldo_relativo_per_capita!J66*Saldo_relativo_per_capita!J$552/1000000</f>
        <v>0</v>
      </c>
      <c r="K66" s="336">
        <f>Saldo_relativo_per_capita!K66*Saldo_relativo_per_capita!K$552/1000000</f>
        <v>0</v>
      </c>
      <c r="L66" s="336">
        <f>Saldo_relativo_per_capita!L66*Saldo_relativo_per_capita!L$552/1000000</f>
        <v>0</v>
      </c>
      <c r="M66" s="336">
        <f>Saldo_relativo_per_capita!M66*Saldo_relativo_per_capita!M$552/1000000</f>
        <v>0</v>
      </c>
      <c r="N66" s="336">
        <f>Saldo_relativo_per_capita!N66*Saldo_relativo_per_capita!N$552/1000000</f>
        <v>0</v>
      </c>
      <c r="O66" s="336">
        <f>Saldo_relativo_per_capita!O66*Saldo_relativo_per_capita!O$552/1000000</f>
        <v>0</v>
      </c>
      <c r="P66" s="336">
        <f>Saldo_relativo_per_capita!P66*Saldo_relativo_per_capita!P$552/1000000</f>
        <v>0</v>
      </c>
      <c r="Q66" s="336">
        <f>Saldo_relativo_per_capita!Q66*Saldo_relativo_per_capita!Q$552/1000000</f>
        <v>0</v>
      </c>
      <c r="R66" s="336">
        <f>Saldo_relativo_per_capita!R66*Saldo_relativo_per_capita!R$552/1000000</f>
        <v>0</v>
      </c>
      <c r="S66" s="336">
        <f>Saldo_relativo_per_capita!S66*Saldo_relativo_per_capita!S$552/1000000</f>
        <v>0</v>
      </c>
      <c r="T66" s="336">
        <f>Saldo_relativo_per_capita!T66*Saldo_relativo_per_capita!T$552/1000000</f>
        <v>0</v>
      </c>
      <c r="U66" s="336">
        <f>Saldo_relativo_per_capita!U66*Saldo_relativo_per_capita!U$552/1000000</f>
        <v>0</v>
      </c>
      <c r="V66" s="336">
        <f>Saldo_relativo_per_capita!V66*Saldo_relativo_per_capita!V$552/1000000</f>
        <v>0</v>
      </c>
      <c r="W66" s="148"/>
    </row>
    <row r="67" spans="1:23" s="115" customFormat="1">
      <c r="A67" s="351" t="str">
        <f>IF(B67="","",(IF(ISERROR(MATCH(B67,Tot_res!C:C,0)),"Eliminar!!!","")))</f>
        <v/>
      </c>
      <c r="B67" s="115" t="s">
        <v>166</v>
      </c>
      <c r="C67" s="329" t="str">
        <f>VLOOKUP(B67,Tot_res!C:D,2,FALSE)</f>
        <v>Meteorología</v>
      </c>
      <c r="D67" s="336">
        <f>Saldo_relativo_per_capita!D67*Saldo_relativo_per_capita!D$552/1000000</f>
        <v>0</v>
      </c>
      <c r="E67" s="336">
        <f>Saldo_relativo_per_capita!E67*Saldo_relativo_per_capita!E$552/1000000</f>
        <v>0</v>
      </c>
      <c r="F67" s="336">
        <f>Saldo_relativo_per_capita!F67*Saldo_relativo_per_capita!F$552/1000000</f>
        <v>0</v>
      </c>
      <c r="G67" s="336">
        <f>Saldo_relativo_per_capita!G67*Saldo_relativo_per_capita!G$552/1000000</f>
        <v>0</v>
      </c>
      <c r="H67" s="336">
        <f>Saldo_relativo_per_capita!H67*Saldo_relativo_per_capita!H$552/1000000</f>
        <v>0</v>
      </c>
      <c r="I67" s="336">
        <f>Saldo_relativo_per_capita!I67*Saldo_relativo_per_capita!I$552/1000000</f>
        <v>0</v>
      </c>
      <c r="J67" s="336">
        <f>Saldo_relativo_per_capita!J67*Saldo_relativo_per_capita!J$552/1000000</f>
        <v>0</v>
      </c>
      <c r="K67" s="336">
        <f>Saldo_relativo_per_capita!K67*Saldo_relativo_per_capita!K$552/1000000</f>
        <v>0</v>
      </c>
      <c r="L67" s="336">
        <f>Saldo_relativo_per_capita!L67*Saldo_relativo_per_capita!L$552/1000000</f>
        <v>0</v>
      </c>
      <c r="M67" s="336">
        <f>Saldo_relativo_per_capita!M67*Saldo_relativo_per_capita!M$552/1000000</f>
        <v>0</v>
      </c>
      <c r="N67" s="336">
        <f>Saldo_relativo_per_capita!N67*Saldo_relativo_per_capita!N$552/1000000</f>
        <v>0</v>
      </c>
      <c r="O67" s="336">
        <f>Saldo_relativo_per_capita!O67*Saldo_relativo_per_capita!O$552/1000000</f>
        <v>0</v>
      </c>
      <c r="P67" s="336">
        <f>Saldo_relativo_per_capita!P67*Saldo_relativo_per_capita!P$552/1000000</f>
        <v>0</v>
      </c>
      <c r="Q67" s="336">
        <f>Saldo_relativo_per_capita!Q67*Saldo_relativo_per_capita!Q$552/1000000</f>
        <v>0</v>
      </c>
      <c r="R67" s="336">
        <f>Saldo_relativo_per_capita!R67*Saldo_relativo_per_capita!R$552/1000000</f>
        <v>0</v>
      </c>
      <c r="S67" s="336">
        <f>Saldo_relativo_per_capita!S67*Saldo_relativo_per_capita!S$552/1000000</f>
        <v>0</v>
      </c>
      <c r="T67" s="336">
        <f>Saldo_relativo_per_capita!T67*Saldo_relativo_per_capita!T$552/1000000</f>
        <v>0</v>
      </c>
      <c r="U67" s="336">
        <f>Saldo_relativo_per_capita!U67*Saldo_relativo_per_capita!U$552/1000000</f>
        <v>0</v>
      </c>
      <c r="V67" s="336">
        <f>Saldo_relativo_per_capita!V67*Saldo_relativo_per_capita!V$552/1000000</f>
        <v>0</v>
      </c>
      <c r="W67" s="148"/>
    </row>
    <row r="68" spans="1:23" s="115" customFormat="1">
      <c r="A68" s="351" t="str">
        <f>IF(B68="","",(IF(ISERROR(MATCH(B68,Tot_res!C:C,0)),"Eliminar!!!","")))</f>
        <v/>
      </c>
      <c r="B68" s="115" t="s">
        <v>168</v>
      </c>
      <c r="C68" s="329" t="str">
        <f>VLOOKUP(B68,Tot_res!C:D,2,FALSE)</f>
        <v>Metrología</v>
      </c>
      <c r="D68" s="336">
        <f>Saldo_relativo_per_capita!D68*Saldo_relativo_per_capita!D$552/1000000</f>
        <v>0</v>
      </c>
      <c r="E68" s="336">
        <f>Saldo_relativo_per_capita!E68*Saldo_relativo_per_capita!E$552/1000000</f>
        <v>0</v>
      </c>
      <c r="F68" s="336">
        <f>Saldo_relativo_per_capita!F68*Saldo_relativo_per_capita!F$552/1000000</f>
        <v>0</v>
      </c>
      <c r="G68" s="336">
        <f>Saldo_relativo_per_capita!G68*Saldo_relativo_per_capita!G$552/1000000</f>
        <v>0</v>
      </c>
      <c r="H68" s="336">
        <f>Saldo_relativo_per_capita!H68*Saldo_relativo_per_capita!H$552/1000000</f>
        <v>0</v>
      </c>
      <c r="I68" s="336">
        <f>Saldo_relativo_per_capita!I68*Saldo_relativo_per_capita!I$552/1000000</f>
        <v>0</v>
      </c>
      <c r="J68" s="336">
        <f>Saldo_relativo_per_capita!J68*Saldo_relativo_per_capita!J$552/1000000</f>
        <v>0</v>
      </c>
      <c r="K68" s="336">
        <f>Saldo_relativo_per_capita!K68*Saldo_relativo_per_capita!K$552/1000000</f>
        <v>0</v>
      </c>
      <c r="L68" s="336">
        <f>Saldo_relativo_per_capita!L68*Saldo_relativo_per_capita!L$552/1000000</f>
        <v>0</v>
      </c>
      <c r="M68" s="336">
        <f>Saldo_relativo_per_capita!M68*Saldo_relativo_per_capita!M$552/1000000</f>
        <v>0</v>
      </c>
      <c r="N68" s="336">
        <f>Saldo_relativo_per_capita!N68*Saldo_relativo_per_capita!N$552/1000000</f>
        <v>0</v>
      </c>
      <c r="O68" s="336">
        <f>Saldo_relativo_per_capita!O68*Saldo_relativo_per_capita!O$552/1000000</f>
        <v>0</v>
      </c>
      <c r="P68" s="336">
        <f>Saldo_relativo_per_capita!P68*Saldo_relativo_per_capita!P$552/1000000</f>
        <v>0</v>
      </c>
      <c r="Q68" s="336">
        <f>Saldo_relativo_per_capita!Q68*Saldo_relativo_per_capita!Q$552/1000000</f>
        <v>0</v>
      </c>
      <c r="R68" s="336">
        <f>Saldo_relativo_per_capita!R68*Saldo_relativo_per_capita!R$552/1000000</f>
        <v>0</v>
      </c>
      <c r="S68" s="336">
        <f>Saldo_relativo_per_capita!S68*Saldo_relativo_per_capita!S$552/1000000</f>
        <v>0</v>
      </c>
      <c r="T68" s="336">
        <f>Saldo_relativo_per_capita!T68*Saldo_relativo_per_capita!T$552/1000000</f>
        <v>0</v>
      </c>
      <c r="U68" s="336">
        <f>Saldo_relativo_per_capita!U68*Saldo_relativo_per_capita!U$552/1000000</f>
        <v>0</v>
      </c>
      <c r="V68" s="336">
        <f>Saldo_relativo_per_capita!V68*Saldo_relativo_per_capita!V$552/1000000</f>
        <v>0</v>
      </c>
      <c r="W68" s="148"/>
    </row>
    <row r="69" spans="1:23" s="115" customFormat="1">
      <c r="A69" s="351" t="str">
        <f>IF(B69="","",(IF(ISERROR(MATCH(B69,Tot_res!C:C,0)),"Eliminar!!!","")))</f>
        <v/>
      </c>
      <c r="B69" s="115" t="s">
        <v>169</v>
      </c>
      <c r="C69" s="329" t="str">
        <f>VLOOKUP(B69,Tot_res!C:D,2,FALSE)</f>
        <v>Dirección y organización de la administración pública</v>
      </c>
      <c r="D69" s="336">
        <f>Saldo_relativo_per_capita!D69*Saldo_relativo_per_capita!D$552/1000000</f>
        <v>0</v>
      </c>
      <c r="E69" s="336">
        <f>Saldo_relativo_per_capita!E69*Saldo_relativo_per_capita!E$552/1000000</f>
        <v>0</v>
      </c>
      <c r="F69" s="336">
        <f>Saldo_relativo_per_capita!F69*Saldo_relativo_per_capita!F$552/1000000</f>
        <v>0</v>
      </c>
      <c r="G69" s="336">
        <f>Saldo_relativo_per_capita!G69*Saldo_relativo_per_capita!G$552/1000000</f>
        <v>0</v>
      </c>
      <c r="H69" s="336">
        <f>Saldo_relativo_per_capita!H69*Saldo_relativo_per_capita!H$552/1000000</f>
        <v>0</v>
      </c>
      <c r="I69" s="336">
        <f>Saldo_relativo_per_capita!I69*Saldo_relativo_per_capita!I$552/1000000</f>
        <v>0</v>
      </c>
      <c r="J69" s="336">
        <f>Saldo_relativo_per_capita!J69*Saldo_relativo_per_capita!J$552/1000000</f>
        <v>0</v>
      </c>
      <c r="K69" s="336">
        <f>Saldo_relativo_per_capita!K69*Saldo_relativo_per_capita!K$552/1000000</f>
        <v>0</v>
      </c>
      <c r="L69" s="336">
        <f>Saldo_relativo_per_capita!L69*Saldo_relativo_per_capita!L$552/1000000</f>
        <v>0</v>
      </c>
      <c r="M69" s="336">
        <f>Saldo_relativo_per_capita!M69*Saldo_relativo_per_capita!M$552/1000000</f>
        <v>0</v>
      </c>
      <c r="N69" s="336">
        <f>Saldo_relativo_per_capita!N69*Saldo_relativo_per_capita!N$552/1000000</f>
        <v>0</v>
      </c>
      <c r="O69" s="336">
        <f>Saldo_relativo_per_capita!O69*Saldo_relativo_per_capita!O$552/1000000</f>
        <v>0</v>
      </c>
      <c r="P69" s="336">
        <f>Saldo_relativo_per_capita!P69*Saldo_relativo_per_capita!P$552/1000000</f>
        <v>0</v>
      </c>
      <c r="Q69" s="336">
        <f>Saldo_relativo_per_capita!Q69*Saldo_relativo_per_capita!Q$552/1000000</f>
        <v>0</v>
      </c>
      <c r="R69" s="336">
        <f>Saldo_relativo_per_capita!R69*Saldo_relativo_per_capita!R$552/1000000</f>
        <v>0</v>
      </c>
      <c r="S69" s="336">
        <f>Saldo_relativo_per_capita!S69*Saldo_relativo_per_capita!S$552/1000000</f>
        <v>0</v>
      </c>
      <c r="T69" s="336">
        <f>Saldo_relativo_per_capita!T69*Saldo_relativo_per_capita!T$552/1000000</f>
        <v>0</v>
      </c>
      <c r="U69" s="336">
        <f>Saldo_relativo_per_capita!U69*Saldo_relativo_per_capita!U$552/1000000</f>
        <v>0</v>
      </c>
      <c r="V69" s="336">
        <f>Saldo_relativo_per_capita!V69*Saldo_relativo_per_capita!V$552/1000000</f>
        <v>0</v>
      </c>
      <c r="W69" s="148"/>
    </row>
    <row r="70" spans="1:23" s="115" customFormat="1">
      <c r="A70" s="351" t="str">
        <f>IF(B70="","",(IF(ISERROR(MATCH(B70,Tot_res!C:C,0)),"Eliminar!!!","")))</f>
        <v/>
      </c>
      <c r="B70" s="115" t="s">
        <v>698</v>
      </c>
      <c r="C70" s="329" t="str">
        <f>VLOOKUP(B70,Tot_res!C:D,2,FALSE)</f>
        <v>Formación del personal de las administraciones públicas</v>
      </c>
      <c r="D70" s="336">
        <f>Saldo_relativo_per_capita!D70*Saldo_relativo_per_capita!D$552/1000000</f>
        <v>0</v>
      </c>
      <c r="E70" s="336">
        <f>Saldo_relativo_per_capita!E70*Saldo_relativo_per_capita!E$552/1000000</f>
        <v>0</v>
      </c>
      <c r="F70" s="336">
        <f>Saldo_relativo_per_capita!F70*Saldo_relativo_per_capita!F$552/1000000</f>
        <v>0</v>
      </c>
      <c r="G70" s="336">
        <f>Saldo_relativo_per_capita!G70*Saldo_relativo_per_capita!G$552/1000000</f>
        <v>0</v>
      </c>
      <c r="H70" s="336">
        <f>Saldo_relativo_per_capita!H70*Saldo_relativo_per_capita!H$552/1000000</f>
        <v>0</v>
      </c>
      <c r="I70" s="336">
        <f>Saldo_relativo_per_capita!I70*Saldo_relativo_per_capita!I$552/1000000</f>
        <v>0</v>
      </c>
      <c r="J70" s="336">
        <f>Saldo_relativo_per_capita!J70*Saldo_relativo_per_capita!J$552/1000000</f>
        <v>0</v>
      </c>
      <c r="K70" s="336">
        <f>Saldo_relativo_per_capita!K70*Saldo_relativo_per_capita!K$552/1000000</f>
        <v>0</v>
      </c>
      <c r="L70" s="336">
        <f>Saldo_relativo_per_capita!L70*Saldo_relativo_per_capita!L$552/1000000</f>
        <v>0</v>
      </c>
      <c r="M70" s="336">
        <f>Saldo_relativo_per_capita!M70*Saldo_relativo_per_capita!M$552/1000000</f>
        <v>0</v>
      </c>
      <c r="N70" s="336">
        <f>Saldo_relativo_per_capita!N70*Saldo_relativo_per_capita!N$552/1000000</f>
        <v>0</v>
      </c>
      <c r="O70" s="336">
        <f>Saldo_relativo_per_capita!O70*Saldo_relativo_per_capita!O$552/1000000</f>
        <v>0</v>
      </c>
      <c r="P70" s="336">
        <f>Saldo_relativo_per_capita!P70*Saldo_relativo_per_capita!P$552/1000000</f>
        <v>0</v>
      </c>
      <c r="Q70" s="336">
        <f>Saldo_relativo_per_capita!Q70*Saldo_relativo_per_capita!Q$552/1000000</f>
        <v>0</v>
      </c>
      <c r="R70" s="336">
        <f>Saldo_relativo_per_capita!R70*Saldo_relativo_per_capita!R$552/1000000</f>
        <v>0</v>
      </c>
      <c r="S70" s="336">
        <f>Saldo_relativo_per_capita!S70*Saldo_relativo_per_capita!S$552/1000000</f>
        <v>0</v>
      </c>
      <c r="T70" s="336">
        <f>Saldo_relativo_per_capita!T70*Saldo_relativo_per_capita!T$552/1000000</f>
        <v>0</v>
      </c>
      <c r="U70" s="336">
        <f>Saldo_relativo_per_capita!U70*Saldo_relativo_per_capita!U$552/1000000</f>
        <v>0</v>
      </c>
      <c r="V70" s="336">
        <f>Saldo_relativo_per_capita!V70*Saldo_relativo_per_capita!V$552/1000000</f>
        <v>0</v>
      </c>
      <c r="W70" s="148"/>
    </row>
    <row r="71" spans="1:23" s="115" customFormat="1">
      <c r="A71" s="351" t="str">
        <f>IF(B71="","",(IF(ISERROR(MATCH(B71,Tot_res!C:C,0)),"Eliminar!!!","")))</f>
        <v/>
      </c>
      <c r="B71" s="115" t="s">
        <v>170</v>
      </c>
      <c r="C71" s="329" t="str">
        <f>VLOOKUP(B71,Tot_res!C:D,2,FALSE)</f>
        <v>Administración periférica del estado</v>
      </c>
      <c r="D71" s="336">
        <f>Saldo_relativo_per_capita!D71*Saldo_relativo_per_capita!D$552/1000000</f>
        <v>0</v>
      </c>
      <c r="E71" s="336">
        <f>Saldo_relativo_per_capita!E71*Saldo_relativo_per_capita!E$552/1000000</f>
        <v>0</v>
      </c>
      <c r="F71" s="336">
        <f>Saldo_relativo_per_capita!F71*Saldo_relativo_per_capita!F$552/1000000</f>
        <v>0</v>
      </c>
      <c r="G71" s="336">
        <f>Saldo_relativo_per_capita!G71*Saldo_relativo_per_capita!G$552/1000000</f>
        <v>0</v>
      </c>
      <c r="H71" s="336">
        <f>Saldo_relativo_per_capita!H71*Saldo_relativo_per_capita!H$552/1000000</f>
        <v>0</v>
      </c>
      <c r="I71" s="336">
        <f>Saldo_relativo_per_capita!I71*Saldo_relativo_per_capita!I$552/1000000</f>
        <v>0</v>
      </c>
      <c r="J71" s="336">
        <f>Saldo_relativo_per_capita!J71*Saldo_relativo_per_capita!J$552/1000000</f>
        <v>0</v>
      </c>
      <c r="K71" s="336">
        <f>Saldo_relativo_per_capita!K71*Saldo_relativo_per_capita!K$552/1000000</f>
        <v>0</v>
      </c>
      <c r="L71" s="336">
        <f>Saldo_relativo_per_capita!L71*Saldo_relativo_per_capita!L$552/1000000</f>
        <v>0</v>
      </c>
      <c r="M71" s="336">
        <f>Saldo_relativo_per_capita!M71*Saldo_relativo_per_capita!M$552/1000000</f>
        <v>0</v>
      </c>
      <c r="N71" s="336">
        <f>Saldo_relativo_per_capita!N71*Saldo_relativo_per_capita!N$552/1000000</f>
        <v>0</v>
      </c>
      <c r="O71" s="336">
        <f>Saldo_relativo_per_capita!O71*Saldo_relativo_per_capita!O$552/1000000</f>
        <v>0</v>
      </c>
      <c r="P71" s="336">
        <f>Saldo_relativo_per_capita!P71*Saldo_relativo_per_capita!P$552/1000000</f>
        <v>0</v>
      </c>
      <c r="Q71" s="336">
        <f>Saldo_relativo_per_capita!Q71*Saldo_relativo_per_capita!Q$552/1000000</f>
        <v>0</v>
      </c>
      <c r="R71" s="336">
        <f>Saldo_relativo_per_capita!R71*Saldo_relativo_per_capita!R$552/1000000</f>
        <v>0</v>
      </c>
      <c r="S71" s="336">
        <f>Saldo_relativo_per_capita!S71*Saldo_relativo_per_capita!S$552/1000000</f>
        <v>0</v>
      </c>
      <c r="T71" s="336">
        <f>Saldo_relativo_per_capita!T71*Saldo_relativo_per_capita!T$552/1000000</f>
        <v>0</v>
      </c>
      <c r="U71" s="336">
        <f>Saldo_relativo_per_capita!U71*Saldo_relativo_per_capita!U$552/1000000</f>
        <v>0</v>
      </c>
      <c r="V71" s="336">
        <f>Saldo_relativo_per_capita!V71*Saldo_relativo_per_capita!V$552/1000000</f>
        <v>0</v>
      </c>
      <c r="W71" s="148"/>
    </row>
    <row r="72" spans="1:23" s="115" customFormat="1">
      <c r="A72" s="351" t="str">
        <f>IF(B72="","",(IF(ISERROR(MATCH(B72,Tot_res!C:C,0)),"Eliminar!!!","")))</f>
        <v/>
      </c>
      <c r="B72" s="115" t="s">
        <v>171</v>
      </c>
      <c r="C72" s="329" t="str">
        <f>VLOOKUP(B72,Tot_res!C:D,2,FALSE)</f>
        <v>Publicidad de las normas legales</v>
      </c>
      <c r="D72" s="336">
        <f>Saldo_relativo_per_capita!D72*Saldo_relativo_per_capita!D$552/1000000</f>
        <v>0</v>
      </c>
      <c r="E72" s="336">
        <f>Saldo_relativo_per_capita!E72*Saldo_relativo_per_capita!E$552/1000000</f>
        <v>0</v>
      </c>
      <c r="F72" s="336">
        <f>Saldo_relativo_per_capita!F72*Saldo_relativo_per_capita!F$552/1000000</f>
        <v>0</v>
      </c>
      <c r="G72" s="336">
        <f>Saldo_relativo_per_capita!G72*Saldo_relativo_per_capita!G$552/1000000</f>
        <v>0</v>
      </c>
      <c r="H72" s="336">
        <f>Saldo_relativo_per_capita!H72*Saldo_relativo_per_capita!H$552/1000000</f>
        <v>0</v>
      </c>
      <c r="I72" s="336">
        <f>Saldo_relativo_per_capita!I72*Saldo_relativo_per_capita!I$552/1000000</f>
        <v>0</v>
      </c>
      <c r="J72" s="336">
        <f>Saldo_relativo_per_capita!J72*Saldo_relativo_per_capita!J$552/1000000</f>
        <v>0</v>
      </c>
      <c r="K72" s="336">
        <f>Saldo_relativo_per_capita!K72*Saldo_relativo_per_capita!K$552/1000000</f>
        <v>0</v>
      </c>
      <c r="L72" s="336">
        <f>Saldo_relativo_per_capita!L72*Saldo_relativo_per_capita!L$552/1000000</f>
        <v>0</v>
      </c>
      <c r="M72" s="336">
        <f>Saldo_relativo_per_capita!M72*Saldo_relativo_per_capita!M$552/1000000</f>
        <v>0</v>
      </c>
      <c r="N72" s="336">
        <f>Saldo_relativo_per_capita!N72*Saldo_relativo_per_capita!N$552/1000000</f>
        <v>0</v>
      </c>
      <c r="O72" s="336">
        <f>Saldo_relativo_per_capita!O72*Saldo_relativo_per_capita!O$552/1000000</f>
        <v>0</v>
      </c>
      <c r="P72" s="336">
        <f>Saldo_relativo_per_capita!P72*Saldo_relativo_per_capita!P$552/1000000</f>
        <v>0</v>
      </c>
      <c r="Q72" s="336">
        <f>Saldo_relativo_per_capita!Q72*Saldo_relativo_per_capita!Q$552/1000000</f>
        <v>0</v>
      </c>
      <c r="R72" s="336">
        <f>Saldo_relativo_per_capita!R72*Saldo_relativo_per_capita!R$552/1000000</f>
        <v>0</v>
      </c>
      <c r="S72" s="336">
        <f>Saldo_relativo_per_capita!S72*Saldo_relativo_per_capita!S$552/1000000</f>
        <v>0</v>
      </c>
      <c r="T72" s="336">
        <f>Saldo_relativo_per_capita!T72*Saldo_relativo_per_capita!T$552/1000000</f>
        <v>0</v>
      </c>
      <c r="U72" s="336">
        <f>Saldo_relativo_per_capita!U72*Saldo_relativo_per_capita!U$552/1000000</f>
        <v>0</v>
      </c>
      <c r="V72" s="336">
        <f>Saldo_relativo_per_capita!V72*Saldo_relativo_per_capita!V$552/1000000</f>
        <v>0</v>
      </c>
      <c r="W72" s="148"/>
    </row>
    <row r="73" spans="1:23" s="115" customFormat="1">
      <c r="A73" s="351" t="str">
        <f>IF(B73="","",(IF(ISERROR(MATCH(B73,Tot_res!C:C,0)),"Eliminar!!!","")))</f>
        <v/>
      </c>
      <c r="B73" s="115" t="s">
        <v>173</v>
      </c>
      <c r="C73" s="329" t="str">
        <f>VLOOKUP(B73,Tot_res!C:D,2,FALSE)</f>
        <v>Asesoramiento y defensa intereses del estado</v>
      </c>
      <c r="D73" s="336">
        <f>Saldo_relativo_per_capita!D73*Saldo_relativo_per_capita!D$552/1000000</f>
        <v>0</v>
      </c>
      <c r="E73" s="336">
        <f>Saldo_relativo_per_capita!E73*Saldo_relativo_per_capita!E$552/1000000</f>
        <v>0</v>
      </c>
      <c r="F73" s="336">
        <f>Saldo_relativo_per_capita!F73*Saldo_relativo_per_capita!F$552/1000000</f>
        <v>0</v>
      </c>
      <c r="G73" s="336">
        <f>Saldo_relativo_per_capita!G73*Saldo_relativo_per_capita!G$552/1000000</f>
        <v>0</v>
      </c>
      <c r="H73" s="336">
        <f>Saldo_relativo_per_capita!H73*Saldo_relativo_per_capita!H$552/1000000</f>
        <v>0</v>
      </c>
      <c r="I73" s="336">
        <f>Saldo_relativo_per_capita!I73*Saldo_relativo_per_capita!I$552/1000000</f>
        <v>0</v>
      </c>
      <c r="J73" s="336">
        <f>Saldo_relativo_per_capita!J73*Saldo_relativo_per_capita!J$552/1000000</f>
        <v>0</v>
      </c>
      <c r="K73" s="336">
        <f>Saldo_relativo_per_capita!K73*Saldo_relativo_per_capita!K$552/1000000</f>
        <v>0</v>
      </c>
      <c r="L73" s="336">
        <f>Saldo_relativo_per_capita!L73*Saldo_relativo_per_capita!L$552/1000000</f>
        <v>0</v>
      </c>
      <c r="M73" s="336">
        <f>Saldo_relativo_per_capita!M73*Saldo_relativo_per_capita!M$552/1000000</f>
        <v>0</v>
      </c>
      <c r="N73" s="336">
        <f>Saldo_relativo_per_capita!N73*Saldo_relativo_per_capita!N$552/1000000</f>
        <v>0</v>
      </c>
      <c r="O73" s="336">
        <f>Saldo_relativo_per_capita!O73*Saldo_relativo_per_capita!O$552/1000000</f>
        <v>0</v>
      </c>
      <c r="P73" s="336">
        <f>Saldo_relativo_per_capita!P73*Saldo_relativo_per_capita!P$552/1000000</f>
        <v>0</v>
      </c>
      <c r="Q73" s="336">
        <f>Saldo_relativo_per_capita!Q73*Saldo_relativo_per_capita!Q$552/1000000</f>
        <v>0</v>
      </c>
      <c r="R73" s="336">
        <f>Saldo_relativo_per_capita!R73*Saldo_relativo_per_capita!R$552/1000000</f>
        <v>0</v>
      </c>
      <c r="S73" s="336">
        <f>Saldo_relativo_per_capita!S73*Saldo_relativo_per_capita!S$552/1000000</f>
        <v>0</v>
      </c>
      <c r="T73" s="336">
        <f>Saldo_relativo_per_capita!T73*Saldo_relativo_per_capita!T$552/1000000</f>
        <v>0</v>
      </c>
      <c r="U73" s="336">
        <f>Saldo_relativo_per_capita!U73*Saldo_relativo_per_capita!U$552/1000000</f>
        <v>0</v>
      </c>
      <c r="V73" s="336">
        <f>Saldo_relativo_per_capita!V73*Saldo_relativo_per_capita!V$552/1000000</f>
        <v>0</v>
      </c>
      <c r="W73" s="148"/>
    </row>
    <row r="74" spans="1:23" s="115" customFormat="1">
      <c r="A74" s="351" t="str">
        <f>IF(B74="","",(IF(ISERROR(MATCH(B74,Tot_res!C:C,0)),"Eliminar!!!","")))</f>
        <v/>
      </c>
      <c r="B74" s="115" t="s">
        <v>174</v>
      </c>
      <c r="C74" s="329" t="str">
        <f>VLOOKUP(B74,Tot_res!C:D,2,FALSE)</f>
        <v>Servicios de transportes de ministerios</v>
      </c>
      <c r="D74" s="336">
        <f>Saldo_relativo_per_capita!D74*Saldo_relativo_per_capita!D$552/1000000</f>
        <v>0</v>
      </c>
      <c r="E74" s="336">
        <f>Saldo_relativo_per_capita!E74*Saldo_relativo_per_capita!E$552/1000000</f>
        <v>0</v>
      </c>
      <c r="F74" s="336">
        <f>Saldo_relativo_per_capita!F74*Saldo_relativo_per_capita!F$552/1000000</f>
        <v>0</v>
      </c>
      <c r="G74" s="336">
        <f>Saldo_relativo_per_capita!G74*Saldo_relativo_per_capita!G$552/1000000</f>
        <v>0</v>
      </c>
      <c r="H74" s="336">
        <f>Saldo_relativo_per_capita!H74*Saldo_relativo_per_capita!H$552/1000000</f>
        <v>0</v>
      </c>
      <c r="I74" s="336">
        <f>Saldo_relativo_per_capita!I74*Saldo_relativo_per_capita!I$552/1000000</f>
        <v>0</v>
      </c>
      <c r="J74" s="336">
        <f>Saldo_relativo_per_capita!J74*Saldo_relativo_per_capita!J$552/1000000</f>
        <v>0</v>
      </c>
      <c r="K74" s="336">
        <f>Saldo_relativo_per_capita!K74*Saldo_relativo_per_capita!K$552/1000000</f>
        <v>0</v>
      </c>
      <c r="L74" s="336">
        <f>Saldo_relativo_per_capita!L74*Saldo_relativo_per_capita!L$552/1000000</f>
        <v>0</v>
      </c>
      <c r="M74" s="336">
        <f>Saldo_relativo_per_capita!M74*Saldo_relativo_per_capita!M$552/1000000</f>
        <v>0</v>
      </c>
      <c r="N74" s="336">
        <f>Saldo_relativo_per_capita!N74*Saldo_relativo_per_capita!N$552/1000000</f>
        <v>0</v>
      </c>
      <c r="O74" s="336">
        <f>Saldo_relativo_per_capita!O74*Saldo_relativo_per_capita!O$552/1000000</f>
        <v>0</v>
      </c>
      <c r="P74" s="336">
        <f>Saldo_relativo_per_capita!P74*Saldo_relativo_per_capita!P$552/1000000</f>
        <v>0</v>
      </c>
      <c r="Q74" s="336">
        <f>Saldo_relativo_per_capita!Q74*Saldo_relativo_per_capita!Q$552/1000000</f>
        <v>0</v>
      </c>
      <c r="R74" s="336">
        <f>Saldo_relativo_per_capita!R74*Saldo_relativo_per_capita!R$552/1000000</f>
        <v>0</v>
      </c>
      <c r="S74" s="336">
        <f>Saldo_relativo_per_capita!S74*Saldo_relativo_per_capita!S$552/1000000</f>
        <v>0</v>
      </c>
      <c r="T74" s="336">
        <f>Saldo_relativo_per_capita!T74*Saldo_relativo_per_capita!T$552/1000000</f>
        <v>0</v>
      </c>
      <c r="U74" s="336">
        <f>Saldo_relativo_per_capita!U74*Saldo_relativo_per_capita!U$552/1000000</f>
        <v>0</v>
      </c>
      <c r="V74" s="336">
        <f>Saldo_relativo_per_capita!V74*Saldo_relativo_per_capita!V$552/1000000</f>
        <v>0</v>
      </c>
      <c r="W74" s="148"/>
    </row>
    <row r="75" spans="1:23" s="115" customFormat="1">
      <c r="A75" s="351" t="str">
        <f>IF(B75="","",(IF(ISERROR(MATCH(B75,Tot_res!C:C,0)),"Eliminar!!!","")))</f>
        <v/>
      </c>
      <c r="B75" s="115" t="s">
        <v>175</v>
      </c>
      <c r="C75" s="329" t="str">
        <f>VLOOKUP(B75,Tot_res!C:D,2,FALSE)</f>
        <v>Evaluación de políticas y programas públicos, calidad de los servicios e impacto normativo</v>
      </c>
      <c r="D75" s="336">
        <f>Saldo_relativo_per_capita!D75*Saldo_relativo_per_capita!D$552/1000000</f>
        <v>0</v>
      </c>
      <c r="E75" s="336">
        <f>Saldo_relativo_per_capita!E75*Saldo_relativo_per_capita!E$552/1000000</f>
        <v>0</v>
      </c>
      <c r="F75" s="336">
        <f>Saldo_relativo_per_capita!F75*Saldo_relativo_per_capita!F$552/1000000</f>
        <v>0</v>
      </c>
      <c r="G75" s="336">
        <f>Saldo_relativo_per_capita!G75*Saldo_relativo_per_capita!G$552/1000000</f>
        <v>0</v>
      </c>
      <c r="H75" s="336">
        <f>Saldo_relativo_per_capita!H75*Saldo_relativo_per_capita!H$552/1000000</f>
        <v>0</v>
      </c>
      <c r="I75" s="336">
        <f>Saldo_relativo_per_capita!I75*Saldo_relativo_per_capita!I$552/1000000</f>
        <v>0</v>
      </c>
      <c r="J75" s="336">
        <f>Saldo_relativo_per_capita!J75*Saldo_relativo_per_capita!J$552/1000000</f>
        <v>0</v>
      </c>
      <c r="K75" s="336">
        <f>Saldo_relativo_per_capita!K75*Saldo_relativo_per_capita!K$552/1000000</f>
        <v>0</v>
      </c>
      <c r="L75" s="336">
        <f>Saldo_relativo_per_capita!L75*Saldo_relativo_per_capita!L$552/1000000</f>
        <v>0</v>
      </c>
      <c r="M75" s="336">
        <f>Saldo_relativo_per_capita!M75*Saldo_relativo_per_capita!M$552/1000000</f>
        <v>0</v>
      </c>
      <c r="N75" s="336">
        <f>Saldo_relativo_per_capita!N75*Saldo_relativo_per_capita!N$552/1000000</f>
        <v>0</v>
      </c>
      <c r="O75" s="336">
        <f>Saldo_relativo_per_capita!O75*Saldo_relativo_per_capita!O$552/1000000</f>
        <v>0</v>
      </c>
      <c r="P75" s="336">
        <f>Saldo_relativo_per_capita!P75*Saldo_relativo_per_capita!P$552/1000000</f>
        <v>0</v>
      </c>
      <c r="Q75" s="336">
        <f>Saldo_relativo_per_capita!Q75*Saldo_relativo_per_capita!Q$552/1000000</f>
        <v>0</v>
      </c>
      <c r="R75" s="336">
        <f>Saldo_relativo_per_capita!R75*Saldo_relativo_per_capita!R$552/1000000</f>
        <v>0</v>
      </c>
      <c r="S75" s="336">
        <f>Saldo_relativo_per_capita!S75*Saldo_relativo_per_capita!S$552/1000000</f>
        <v>0</v>
      </c>
      <c r="T75" s="336">
        <f>Saldo_relativo_per_capita!T75*Saldo_relativo_per_capita!T$552/1000000</f>
        <v>0</v>
      </c>
      <c r="U75" s="336">
        <f>Saldo_relativo_per_capita!U75*Saldo_relativo_per_capita!U$552/1000000</f>
        <v>0</v>
      </c>
      <c r="V75" s="336">
        <f>Saldo_relativo_per_capita!V75*Saldo_relativo_per_capita!V$552/1000000</f>
        <v>0</v>
      </c>
      <c r="W75" s="148"/>
    </row>
    <row r="76" spans="1:23" s="115" customFormat="1">
      <c r="A76" s="351" t="str">
        <f>IF(B76="","",(IF(ISERROR(MATCH(B76,Tot_res!C:C,0)),"Eliminar!!!","")))</f>
        <v/>
      </c>
      <c r="B76" s="115" t="s">
        <v>176</v>
      </c>
      <c r="C76" s="329" t="str">
        <f>VLOOKUP(B76,Tot_res!C:D,2,FALSE)</f>
        <v>Organización territorial del estado y desarrollo de sus sistemas de colaboración</v>
      </c>
      <c r="D76" s="336">
        <f>Saldo_relativo_per_capita!D76*Saldo_relativo_per_capita!D$552/1000000</f>
        <v>0</v>
      </c>
      <c r="E76" s="336">
        <f>Saldo_relativo_per_capita!E76*Saldo_relativo_per_capita!E$552/1000000</f>
        <v>0</v>
      </c>
      <c r="F76" s="336">
        <f>Saldo_relativo_per_capita!F76*Saldo_relativo_per_capita!F$552/1000000</f>
        <v>0</v>
      </c>
      <c r="G76" s="336">
        <f>Saldo_relativo_per_capita!G76*Saldo_relativo_per_capita!G$552/1000000</f>
        <v>0</v>
      </c>
      <c r="H76" s="336">
        <f>Saldo_relativo_per_capita!H76*Saldo_relativo_per_capita!H$552/1000000</f>
        <v>0</v>
      </c>
      <c r="I76" s="336">
        <f>Saldo_relativo_per_capita!I76*Saldo_relativo_per_capita!I$552/1000000</f>
        <v>0</v>
      </c>
      <c r="J76" s="336">
        <f>Saldo_relativo_per_capita!J76*Saldo_relativo_per_capita!J$552/1000000</f>
        <v>0</v>
      </c>
      <c r="K76" s="336">
        <f>Saldo_relativo_per_capita!K76*Saldo_relativo_per_capita!K$552/1000000</f>
        <v>0</v>
      </c>
      <c r="L76" s="336">
        <f>Saldo_relativo_per_capita!L76*Saldo_relativo_per_capita!L$552/1000000</f>
        <v>0</v>
      </c>
      <c r="M76" s="336">
        <f>Saldo_relativo_per_capita!M76*Saldo_relativo_per_capita!M$552/1000000</f>
        <v>0</v>
      </c>
      <c r="N76" s="336">
        <f>Saldo_relativo_per_capita!N76*Saldo_relativo_per_capita!N$552/1000000</f>
        <v>0</v>
      </c>
      <c r="O76" s="336">
        <f>Saldo_relativo_per_capita!O76*Saldo_relativo_per_capita!O$552/1000000</f>
        <v>0</v>
      </c>
      <c r="P76" s="336">
        <f>Saldo_relativo_per_capita!P76*Saldo_relativo_per_capita!P$552/1000000</f>
        <v>0</v>
      </c>
      <c r="Q76" s="336">
        <f>Saldo_relativo_per_capita!Q76*Saldo_relativo_per_capita!Q$552/1000000</f>
        <v>0</v>
      </c>
      <c r="R76" s="336">
        <f>Saldo_relativo_per_capita!R76*Saldo_relativo_per_capita!R$552/1000000</f>
        <v>0</v>
      </c>
      <c r="S76" s="336">
        <f>Saldo_relativo_per_capita!S76*Saldo_relativo_per_capita!S$552/1000000</f>
        <v>0</v>
      </c>
      <c r="T76" s="336">
        <f>Saldo_relativo_per_capita!T76*Saldo_relativo_per_capita!T$552/1000000</f>
        <v>0</v>
      </c>
      <c r="U76" s="336">
        <f>Saldo_relativo_per_capita!U76*Saldo_relativo_per_capita!U$552/1000000</f>
        <v>0</v>
      </c>
      <c r="V76" s="336">
        <f>Saldo_relativo_per_capita!V76*Saldo_relativo_per_capita!V$552/1000000</f>
        <v>0</v>
      </c>
      <c r="W76" s="148"/>
    </row>
    <row r="77" spans="1:23" s="115" customFormat="1">
      <c r="A77" s="351" t="str">
        <f>IF(B77="","",(IF(ISERROR(MATCH(B77,Tot_res!C:C,0)),"Eliminar!!!","")))</f>
        <v/>
      </c>
      <c r="B77" s="115" t="s">
        <v>177</v>
      </c>
      <c r="C77" s="329" t="str">
        <f>VLOOKUP(B77,Tot_res!C:D,2,FALSE)</f>
        <v>Elecciones y partidos políticos</v>
      </c>
      <c r="D77" s="336">
        <f>Saldo_relativo_per_capita!D77*Saldo_relativo_per_capita!D$552/1000000</f>
        <v>0</v>
      </c>
      <c r="E77" s="336">
        <f>Saldo_relativo_per_capita!E77*Saldo_relativo_per_capita!E$552/1000000</f>
        <v>0</v>
      </c>
      <c r="F77" s="336">
        <f>Saldo_relativo_per_capita!F77*Saldo_relativo_per_capita!F$552/1000000</f>
        <v>0</v>
      </c>
      <c r="G77" s="336">
        <f>Saldo_relativo_per_capita!G77*Saldo_relativo_per_capita!G$552/1000000</f>
        <v>0</v>
      </c>
      <c r="H77" s="336">
        <f>Saldo_relativo_per_capita!H77*Saldo_relativo_per_capita!H$552/1000000</f>
        <v>0</v>
      </c>
      <c r="I77" s="336">
        <f>Saldo_relativo_per_capita!I77*Saldo_relativo_per_capita!I$552/1000000</f>
        <v>0</v>
      </c>
      <c r="J77" s="336">
        <f>Saldo_relativo_per_capita!J77*Saldo_relativo_per_capita!J$552/1000000</f>
        <v>0</v>
      </c>
      <c r="K77" s="336">
        <f>Saldo_relativo_per_capita!K77*Saldo_relativo_per_capita!K$552/1000000</f>
        <v>0</v>
      </c>
      <c r="L77" s="336">
        <f>Saldo_relativo_per_capita!L77*Saldo_relativo_per_capita!L$552/1000000</f>
        <v>0</v>
      </c>
      <c r="M77" s="336">
        <f>Saldo_relativo_per_capita!M77*Saldo_relativo_per_capita!M$552/1000000</f>
        <v>0</v>
      </c>
      <c r="N77" s="336">
        <f>Saldo_relativo_per_capita!N77*Saldo_relativo_per_capita!N$552/1000000</f>
        <v>0</v>
      </c>
      <c r="O77" s="336">
        <f>Saldo_relativo_per_capita!O77*Saldo_relativo_per_capita!O$552/1000000</f>
        <v>0</v>
      </c>
      <c r="P77" s="336">
        <f>Saldo_relativo_per_capita!P77*Saldo_relativo_per_capita!P$552/1000000</f>
        <v>0</v>
      </c>
      <c r="Q77" s="336">
        <f>Saldo_relativo_per_capita!Q77*Saldo_relativo_per_capita!Q$552/1000000</f>
        <v>0</v>
      </c>
      <c r="R77" s="336">
        <f>Saldo_relativo_per_capita!R77*Saldo_relativo_per_capita!R$552/1000000</f>
        <v>0</v>
      </c>
      <c r="S77" s="336">
        <f>Saldo_relativo_per_capita!S77*Saldo_relativo_per_capita!S$552/1000000</f>
        <v>0</v>
      </c>
      <c r="T77" s="336">
        <f>Saldo_relativo_per_capita!T77*Saldo_relativo_per_capita!T$552/1000000</f>
        <v>0</v>
      </c>
      <c r="U77" s="336">
        <f>Saldo_relativo_per_capita!U77*Saldo_relativo_per_capita!U$552/1000000</f>
        <v>0</v>
      </c>
      <c r="V77" s="336">
        <f>Saldo_relativo_per_capita!V77*Saldo_relativo_per_capita!V$552/1000000</f>
        <v>0</v>
      </c>
      <c r="W77" s="148"/>
    </row>
    <row r="78" spans="1:23" ht="13.5">
      <c r="A78" s="352"/>
      <c r="D78" s="39"/>
      <c r="E78" s="39"/>
      <c r="F78" s="39"/>
      <c r="G78" s="39"/>
      <c r="H78" s="39"/>
      <c r="I78" s="39"/>
      <c r="J78" s="39"/>
      <c r="K78" s="39"/>
      <c r="L78" s="39"/>
      <c r="M78" s="39"/>
      <c r="N78" s="39"/>
      <c r="O78" s="39"/>
      <c r="P78" s="39"/>
      <c r="Q78" s="39"/>
      <c r="R78" s="39"/>
      <c r="S78" s="39"/>
      <c r="T78" s="39"/>
      <c r="U78" s="39"/>
      <c r="V78" s="39"/>
      <c r="W78" s="42"/>
    </row>
    <row r="79" spans="1:23" s="115" customFormat="1" ht="13.5">
      <c r="A79" s="352"/>
      <c r="C79" s="128" t="s">
        <v>25</v>
      </c>
      <c r="D79" s="218">
        <f>Saldo_relativo_per_capita!D79*Saldo_relativo_per_capita!D$552/1000000</f>
        <v>0</v>
      </c>
      <c r="E79" s="218">
        <f>Saldo_relativo_per_capita!E79*Saldo_relativo_per_capita!E$552/1000000</f>
        <v>0</v>
      </c>
      <c r="F79" s="218">
        <f>Saldo_relativo_per_capita!F79*Saldo_relativo_per_capita!F$552/1000000</f>
        <v>0</v>
      </c>
      <c r="G79" s="218">
        <f>Saldo_relativo_per_capita!G79*Saldo_relativo_per_capita!G$552/1000000</f>
        <v>0</v>
      </c>
      <c r="H79" s="218">
        <f>Saldo_relativo_per_capita!H79*Saldo_relativo_per_capita!H$552/1000000</f>
        <v>0</v>
      </c>
      <c r="I79" s="218">
        <f>Saldo_relativo_per_capita!I79*Saldo_relativo_per_capita!I$552/1000000</f>
        <v>0</v>
      </c>
      <c r="J79" s="218">
        <f>Saldo_relativo_per_capita!J79*Saldo_relativo_per_capita!J$552/1000000</f>
        <v>0</v>
      </c>
      <c r="K79" s="218">
        <f>Saldo_relativo_per_capita!K79*Saldo_relativo_per_capita!K$552/1000000</f>
        <v>0</v>
      </c>
      <c r="L79" s="218">
        <f>Saldo_relativo_per_capita!L79*Saldo_relativo_per_capita!L$552/1000000</f>
        <v>0</v>
      </c>
      <c r="M79" s="218">
        <f>Saldo_relativo_per_capita!M79*Saldo_relativo_per_capita!M$552/1000000</f>
        <v>0</v>
      </c>
      <c r="N79" s="218">
        <f>Saldo_relativo_per_capita!N79*Saldo_relativo_per_capita!N$552/1000000</f>
        <v>0</v>
      </c>
      <c r="O79" s="218">
        <f>Saldo_relativo_per_capita!O79*Saldo_relativo_per_capita!O$552/1000000</f>
        <v>0</v>
      </c>
      <c r="P79" s="218">
        <f>Saldo_relativo_per_capita!P79*Saldo_relativo_per_capita!P$552/1000000</f>
        <v>0</v>
      </c>
      <c r="Q79" s="218">
        <f>Saldo_relativo_per_capita!Q79*Saldo_relativo_per_capita!Q$552/1000000</f>
        <v>0</v>
      </c>
      <c r="R79" s="218">
        <f>Saldo_relativo_per_capita!R79*Saldo_relativo_per_capita!R$552/1000000</f>
        <v>0</v>
      </c>
      <c r="S79" s="218">
        <f>Saldo_relativo_per_capita!S79*Saldo_relativo_per_capita!S$552/1000000</f>
        <v>0</v>
      </c>
      <c r="T79" s="218">
        <f>Saldo_relativo_per_capita!T79*Saldo_relativo_per_capita!T$552/1000000</f>
        <v>0</v>
      </c>
      <c r="U79" s="218">
        <f>Saldo_relativo_per_capita!U79*Saldo_relativo_per_capita!U$552/1000000</f>
        <v>0</v>
      </c>
      <c r="V79" s="218">
        <f>Saldo_relativo_per_capita!V79*Saldo_relativo_per_capita!V$552/1000000</f>
        <v>0</v>
      </c>
      <c r="W79" s="148"/>
    </row>
    <row r="80" spans="1:23" s="115" customFormat="1">
      <c r="A80" s="351" t="str">
        <f>IF(B80="","",(IF(ISERROR(MATCH(B80,Tot_res!C:C,0)),"Eliminar!!!","")))</f>
        <v/>
      </c>
      <c r="B80" s="115" t="s">
        <v>178</v>
      </c>
      <c r="C80" s="329" t="str">
        <f>VLOOKUP(B80,Tot_res!C:D,2,FALSE)</f>
        <v>Investigación y estudios sociológicos y constitucionales</v>
      </c>
      <c r="D80" s="336">
        <f>Saldo_relativo_per_capita!D80*Saldo_relativo_per_capita!D$552/1000000</f>
        <v>0</v>
      </c>
      <c r="E80" s="336">
        <f>Saldo_relativo_per_capita!E80*Saldo_relativo_per_capita!E$552/1000000</f>
        <v>0</v>
      </c>
      <c r="F80" s="336">
        <f>Saldo_relativo_per_capita!F80*Saldo_relativo_per_capita!F$552/1000000</f>
        <v>0</v>
      </c>
      <c r="G80" s="336">
        <f>Saldo_relativo_per_capita!G80*Saldo_relativo_per_capita!G$552/1000000</f>
        <v>0</v>
      </c>
      <c r="H80" s="336">
        <f>Saldo_relativo_per_capita!H80*Saldo_relativo_per_capita!H$552/1000000</f>
        <v>0</v>
      </c>
      <c r="I80" s="336">
        <f>Saldo_relativo_per_capita!I80*Saldo_relativo_per_capita!I$552/1000000</f>
        <v>0</v>
      </c>
      <c r="J80" s="336">
        <f>Saldo_relativo_per_capita!J80*Saldo_relativo_per_capita!J$552/1000000</f>
        <v>0</v>
      </c>
      <c r="K80" s="336">
        <f>Saldo_relativo_per_capita!K80*Saldo_relativo_per_capita!K$552/1000000</f>
        <v>0</v>
      </c>
      <c r="L80" s="336">
        <f>Saldo_relativo_per_capita!L80*Saldo_relativo_per_capita!L$552/1000000</f>
        <v>0</v>
      </c>
      <c r="M80" s="336">
        <f>Saldo_relativo_per_capita!M80*Saldo_relativo_per_capita!M$552/1000000</f>
        <v>0</v>
      </c>
      <c r="N80" s="336">
        <f>Saldo_relativo_per_capita!N80*Saldo_relativo_per_capita!N$552/1000000</f>
        <v>0</v>
      </c>
      <c r="O80" s="336">
        <f>Saldo_relativo_per_capita!O80*Saldo_relativo_per_capita!O$552/1000000</f>
        <v>0</v>
      </c>
      <c r="P80" s="336">
        <f>Saldo_relativo_per_capita!P80*Saldo_relativo_per_capita!P$552/1000000</f>
        <v>0</v>
      </c>
      <c r="Q80" s="336">
        <f>Saldo_relativo_per_capita!Q80*Saldo_relativo_per_capita!Q$552/1000000</f>
        <v>0</v>
      </c>
      <c r="R80" s="336">
        <f>Saldo_relativo_per_capita!R80*Saldo_relativo_per_capita!R$552/1000000</f>
        <v>0</v>
      </c>
      <c r="S80" s="336">
        <f>Saldo_relativo_per_capita!S80*Saldo_relativo_per_capita!S$552/1000000</f>
        <v>0</v>
      </c>
      <c r="T80" s="336">
        <f>Saldo_relativo_per_capita!T80*Saldo_relativo_per_capita!T$552/1000000</f>
        <v>0</v>
      </c>
      <c r="U80" s="336">
        <f>Saldo_relativo_per_capita!U80*Saldo_relativo_per_capita!U$552/1000000</f>
        <v>0</v>
      </c>
      <c r="V80" s="336">
        <f>Saldo_relativo_per_capita!V80*Saldo_relativo_per_capita!V$552/1000000</f>
        <v>0</v>
      </c>
      <c r="W80" s="148"/>
    </row>
    <row r="81" spans="1:23" s="115" customFormat="1">
      <c r="A81" s="351" t="str">
        <f>IF(B81="","",(IF(ISERROR(MATCH(B81,Tot_res!C:C,0)),"Eliminar!!!","")))</f>
        <v/>
      </c>
      <c r="B81" s="115" t="s">
        <v>180</v>
      </c>
      <c r="C81" s="329" t="str">
        <f>VLOOKUP(B81,Tot_res!C:D,2,FALSE)</f>
        <v>Investigación y estudios estadísticos y económicos</v>
      </c>
      <c r="D81" s="336">
        <f>Saldo_relativo_per_capita!D81*Saldo_relativo_per_capita!D$552/1000000</f>
        <v>0</v>
      </c>
      <c r="E81" s="336">
        <f>Saldo_relativo_per_capita!E81*Saldo_relativo_per_capita!E$552/1000000</f>
        <v>0</v>
      </c>
      <c r="F81" s="336">
        <f>Saldo_relativo_per_capita!F81*Saldo_relativo_per_capita!F$552/1000000</f>
        <v>0</v>
      </c>
      <c r="G81" s="336">
        <f>Saldo_relativo_per_capita!G81*Saldo_relativo_per_capita!G$552/1000000</f>
        <v>0</v>
      </c>
      <c r="H81" s="336">
        <f>Saldo_relativo_per_capita!H81*Saldo_relativo_per_capita!H$552/1000000</f>
        <v>0</v>
      </c>
      <c r="I81" s="336">
        <f>Saldo_relativo_per_capita!I81*Saldo_relativo_per_capita!I$552/1000000</f>
        <v>0</v>
      </c>
      <c r="J81" s="336">
        <f>Saldo_relativo_per_capita!J81*Saldo_relativo_per_capita!J$552/1000000</f>
        <v>0</v>
      </c>
      <c r="K81" s="336">
        <f>Saldo_relativo_per_capita!K81*Saldo_relativo_per_capita!K$552/1000000</f>
        <v>0</v>
      </c>
      <c r="L81" s="336">
        <f>Saldo_relativo_per_capita!L81*Saldo_relativo_per_capita!L$552/1000000</f>
        <v>0</v>
      </c>
      <c r="M81" s="336">
        <f>Saldo_relativo_per_capita!M81*Saldo_relativo_per_capita!M$552/1000000</f>
        <v>0</v>
      </c>
      <c r="N81" s="336">
        <f>Saldo_relativo_per_capita!N81*Saldo_relativo_per_capita!N$552/1000000</f>
        <v>0</v>
      </c>
      <c r="O81" s="336">
        <f>Saldo_relativo_per_capita!O81*Saldo_relativo_per_capita!O$552/1000000</f>
        <v>0</v>
      </c>
      <c r="P81" s="336">
        <f>Saldo_relativo_per_capita!P81*Saldo_relativo_per_capita!P$552/1000000</f>
        <v>0</v>
      </c>
      <c r="Q81" s="336">
        <f>Saldo_relativo_per_capita!Q81*Saldo_relativo_per_capita!Q$552/1000000</f>
        <v>0</v>
      </c>
      <c r="R81" s="336">
        <f>Saldo_relativo_per_capita!R81*Saldo_relativo_per_capita!R$552/1000000</f>
        <v>0</v>
      </c>
      <c r="S81" s="336">
        <f>Saldo_relativo_per_capita!S81*Saldo_relativo_per_capita!S$552/1000000</f>
        <v>0</v>
      </c>
      <c r="T81" s="336">
        <f>Saldo_relativo_per_capita!T81*Saldo_relativo_per_capita!T$552/1000000</f>
        <v>0</v>
      </c>
      <c r="U81" s="336">
        <f>Saldo_relativo_per_capita!U81*Saldo_relativo_per_capita!U$552/1000000</f>
        <v>0</v>
      </c>
      <c r="V81" s="336">
        <f>Saldo_relativo_per_capita!V81*Saldo_relativo_per_capita!V$552/1000000</f>
        <v>0</v>
      </c>
      <c r="W81" s="148"/>
    </row>
    <row r="82" spans="1:23" s="115" customFormat="1">
      <c r="A82" s="351" t="str">
        <f>IF(B82="","",(IF(ISERROR(MATCH(B82,Tot_res!C:C,0)),"Eliminar!!!","")))</f>
        <v/>
      </c>
      <c r="B82" s="115" t="s">
        <v>182</v>
      </c>
      <c r="C82" s="329" t="str">
        <f>VLOOKUP(B82,Tot_res!C:D,2,FALSE)</f>
        <v>Investigación científica</v>
      </c>
      <c r="D82" s="336">
        <f>Saldo_relativo_per_capita!D82*Saldo_relativo_per_capita!D$552/1000000</f>
        <v>0</v>
      </c>
      <c r="E82" s="336">
        <f>Saldo_relativo_per_capita!E82*Saldo_relativo_per_capita!E$552/1000000</f>
        <v>0</v>
      </c>
      <c r="F82" s="336">
        <f>Saldo_relativo_per_capita!F82*Saldo_relativo_per_capita!F$552/1000000</f>
        <v>0</v>
      </c>
      <c r="G82" s="336">
        <f>Saldo_relativo_per_capita!G82*Saldo_relativo_per_capita!G$552/1000000</f>
        <v>0</v>
      </c>
      <c r="H82" s="336">
        <f>Saldo_relativo_per_capita!H82*Saldo_relativo_per_capita!H$552/1000000</f>
        <v>0</v>
      </c>
      <c r="I82" s="336">
        <f>Saldo_relativo_per_capita!I82*Saldo_relativo_per_capita!I$552/1000000</f>
        <v>0</v>
      </c>
      <c r="J82" s="336">
        <f>Saldo_relativo_per_capita!J82*Saldo_relativo_per_capita!J$552/1000000</f>
        <v>0</v>
      </c>
      <c r="K82" s="336">
        <f>Saldo_relativo_per_capita!K82*Saldo_relativo_per_capita!K$552/1000000</f>
        <v>0</v>
      </c>
      <c r="L82" s="336">
        <f>Saldo_relativo_per_capita!L82*Saldo_relativo_per_capita!L$552/1000000</f>
        <v>0</v>
      </c>
      <c r="M82" s="336">
        <f>Saldo_relativo_per_capita!M82*Saldo_relativo_per_capita!M$552/1000000</f>
        <v>0</v>
      </c>
      <c r="N82" s="336">
        <f>Saldo_relativo_per_capita!N82*Saldo_relativo_per_capita!N$552/1000000</f>
        <v>0</v>
      </c>
      <c r="O82" s="336">
        <f>Saldo_relativo_per_capita!O82*Saldo_relativo_per_capita!O$552/1000000</f>
        <v>0</v>
      </c>
      <c r="P82" s="336">
        <f>Saldo_relativo_per_capita!P82*Saldo_relativo_per_capita!P$552/1000000</f>
        <v>0</v>
      </c>
      <c r="Q82" s="336">
        <f>Saldo_relativo_per_capita!Q82*Saldo_relativo_per_capita!Q$552/1000000</f>
        <v>0</v>
      </c>
      <c r="R82" s="336">
        <f>Saldo_relativo_per_capita!R82*Saldo_relativo_per_capita!R$552/1000000</f>
        <v>0</v>
      </c>
      <c r="S82" s="336">
        <f>Saldo_relativo_per_capita!S82*Saldo_relativo_per_capita!S$552/1000000</f>
        <v>0</v>
      </c>
      <c r="T82" s="336">
        <f>Saldo_relativo_per_capita!T82*Saldo_relativo_per_capita!T$552/1000000</f>
        <v>0</v>
      </c>
      <c r="U82" s="336">
        <f>Saldo_relativo_per_capita!U82*Saldo_relativo_per_capita!U$552/1000000</f>
        <v>0</v>
      </c>
      <c r="V82" s="336">
        <f>Saldo_relativo_per_capita!V82*Saldo_relativo_per_capita!V$552/1000000</f>
        <v>0</v>
      </c>
      <c r="W82" s="148"/>
    </row>
    <row r="83" spans="1:23" s="115" customFormat="1">
      <c r="A83" s="351" t="str">
        <f>IF(B83="","",(IF(ISERROR(MATCH(B83,Tot_res!C:C,0)),"Eliminar!!!","")))</f>
        <v/>
      </c>
      <c r="B83" s="115" t="s">
        <v>184</v>
      </c>
      <c r="C83" s="329" t="str">
        <f>VLOOKUP(B83,Tot_res!C:D,2,FALSE)</f>
        <v>Fomento y coordinación de la investigación científica y técnica</v>
      </c>
      <c r="D83" s="336">
        <f>Saldo_relativo_per_capita!D83*Saldo_relativo_per_capita!D$552/1000000</f>
        <v>0</v>
      </c>
      <c r="E83" s="336">
        <f>Saldo_relativo_per_capita!E83*Saldo_relativo_per_capita!E$552/1000000</f>
        <v>0</v>
      </c>
      <c r="F83" s="336">
        <f>Saldo_relativo_per_capita!F83*Saldo_relativo_per_capita!F$552/1000000</f>
        <v>0</v>
      </c>
      <c r="G83" s="336">
        <f>Saldo_relativo_per_capita!G83*Saldo_relativo_per_capita!G$552/1000000</f>
        <v>0</v>
      </c>
      <c r="H83" s="336">
        <f>Saldo_relativo_per_capita!H83*Saldo_relativo_per_capita!H$552/1000000</f>
        <v>0</v>
      </c>
      <c r="I83" s="336">
        <f>Saldo_relativo_per_capita!I83*Saldo_relativo_per_capita!I$552/1000000</f>
        <v>0</v>
      </c>
      <c r="J83" s="336">
        <f>Saldo_relativo_per_capita!J83*Saldo_relativo_per_capita!J$552/1000000</f>
        <v>0</v>
      </c>
      <c r="K83" s="336">
        <f>Saldo_relativo_per_capita!K83*Saldo_relativo_per_capita!K$552/1000000</f>
        <v>0</v>
      </c>
      <c r="L83" s="336">
        <f>Saldo_relativo_per_capita!L83*Saldo_relativo_per_capita!L$552/1000000</f>
        <v>0</v>
      </c>
      <c r="M83" s="336">
        <f>Saldo_relativo_per_capita!M83*Saldo_relativo_per_capita!M$552/1000000</f>
        <v>0</v>
      </c>
      <c r="N83" s="336">
        <f>Saldo_relativo_per_capita!N83*Saldo_relativo_per_capita!N$552/1000000</f>
        <v>0</v>
      </c>
      <c r="O83" s="336">
        <f>Saldo_relativo_per_capita!O83*Saldo_relativo_per_capita!O$552/1000000</f>
        <v>0</v>
      </c>
      <c r="P83" s="336">
        <f>Saldo_relativo_per_capita!P83*Saldo_relativo_per_capita!P$552/1000000</f>
        <v>0</v>
      </c>
      <c r="Q83" s="336">
        <f>Saldo_relativo_per_capita!Q83*Saldo_relativo_per_capita!Q$552/1000000</f>
        <v>0</v>
      </c>
      <c r="R83" s="336">
        <f>Saldo_relativo_per_capita!R83*Saldo_relativo_per_capita!R$552/1000000</f>
        <v>0</v>
      </c>
      <c r="S83" s="336">
        <f>Saldo_relativo_per_capita!S83*Saldo_relativo_per_capita!S$552/1000000</f>
        <v>0</v>
      </c>
      <c r="T83" s="336">
        <f>Saldo_relativo_per_capita!T83*Saldo_relativo_per_capita!T$552/1000000</f>
        <v>0</v>
      </c>
      <c r="U83" s="336">
        <f>Saldo_relativo_per_capita!U83*Saldo_relativo_per_capita!U$552/1000000</f>
        <v>0</v>
      </c>
      <c r="V83" s="336">
        <f>Saldo_relativo_per_capita!V83*Saldo_relativo_per_capita!V$552/1000000</f>
        <v>0</v>
      </c>
      <c r="W83" s="148"/>
    </row>
    <row r="84" spans="1:23" s="115" customFormat="1">
      <c r="A84" s="351" t="str">
        <f>IF(B84="","",(IF(ISERROR(MATCH(B84,Tot_res!C:C,0)),"Eliminar!!!","")))</f>
        <v/>
      </c>
      <c r="B84" s="115" t="s">
        <v>185</v>
      </c>
      <c r="C84" s="329" t="str">
        <f>VLOOKUP(B84,Tot_res!C:D,2,FALSE)</f>
        <v>Investigación sanitaria</v>
      </c>
      <c r="D84" s="336">
        <f>Saldo_relativo_per_capita!D84*Saldo_relativo_per_capita!D$552/1000000</f>
        <v>0</v>
      </c>
      <c r="E84" s="336">
        <f>Saldo_relativo_per_capita!E84*Saldo_relativo_per_capita!E$552/1000000</f>
        <v>0</v>
      </c>
      <c r="F84" s="336">
        <f>Saldo_relativo_per_capita!F84*Saldo_relativo_per_capita!F$552/1000000</f>
        <v>0</v>
      </c>
      <c r="G84" s="336">
        <f>Saldo_relativo_per_capita!G84*Saldo_relativo_per_capita!G$552/1000000</f>
        <v>0</v>
      </c>
      <c r="H84" s="336">
        <f>Saldo_relativo_per_capita!H84*Saldo_relativo_per_capita!H$552/1000000</f>
        <v>0</v>
      </c>
      <c r="I84" s="336">
        <f>Saldo_relativo_per_capita!I84*Saldo_relativo_per_capita!I$552/1000000</f>
        <v>0</v>
      </c>
      <c r="J84" s="336">
        <f>Saldo_relativo_per_capita!J84*Saldo_relativo_per_capita!J$552/1000000</f>
        <v>0</v>
      </c>
      <c r="K84" s="336">
        <f>Saldo_relativo_per_capita!K84*Saldo_relativo_per_capita!K$552/1000000</f>
        <v>0</v>
      </c>
      <c r="L84" s="336">
        <f>Saldo_relativo_per_capita!L84*Saldo_relativo_per_capita!L$552/1000000</f>
        <v>0</v>
      </c>
      <c r="M84" s="336">
        <f>Saldo_relativo_per_capita!M84*Saldo_relativo_per_capita!M$552/1000000</f>
        <v>0</v>
      </c>
      <c r="N84" s="336">
        <f>Saldo_relativo_per_capita!N84*Saldo_relativo_per_capita!N$552/1000000</f>
        <v>0</v>
      </c>
      <c r="O84" s="336">
        <f>Saldo_relativo_per_capita!O84*Saldo_relativo_per_capita!O$552/1000000</f>
        <v>0</v>
      </c>
      <c r="P84" s="336">
        <f>Saldo_relativo_per_capita!P84*Saldo_relativo_per_capita!P$552/1000000</f>
        <v>0</v>
      </c>
      <c r="Q84" s="336">
        <f>Saldo_relativo_per_capita!Q84*Saldo_relativo_per_capita!Q$552/1000000</f>
        <v>0</v>
      </c>
      <c r="R84" s="336">
        <f>Saldo_relativo_per_capita!R84*Saldo_relativo_per_capita!R$552/1000000</f>
        <v>0</v>
      </c>
      <c r="S84" s="336">
        <f>Saldo_relativo_per_capita!S84*Saldo_relativo_per_capita!S$552/1000000</f>
        <v>0</v>
      </c>
      <c r="T84" s="336">
        <f>Saldo_relativo_per_capita!T84*Saldo_relativo_per_capita!T$552/1000000</f>
        <v>0</v>
      </c>
      <c r="U84" s="336">
        <f>Saldo_relativo_per_capita!U84*Saldo_relativo_per_capita!U$552/1000000</f>
        <v>0</v>
      </c>
      <c r="V84" s="336">
        <f>Saldo_relativo_per_capita!V84*Saldo_relativo_per_capita!V$552/1000000</f>
        <v>0</v>
      </c>
      <c r="W84" s="148"/>
    </row>
    <row r="85" spans="1:23" s="115" customFormat="1">
      <c r="A85" s="351" t="str">
        <f>IF(B85="","",(IF(ISERROR(MATCH(B85,Tot_res!C:C,0)),"Eliminar!!!","")))</f>
        <v/>
      </c>
      <c r="B85" s="115" t="s">
        <v>709</v>
      </c>
      <c r="C85" s="329" t="str">
        <f>VLOOKUP(B85,Tot_res!C:D,2,FALSE)</f>
        <v>Investigación y desarrollo tecnológico-industrial</v>
      </c>
      <c r="D85" s="336">
        <f>Saldo_relativo_per_capita!D85*Saldo_relativo_per_capita!D$552/1000000</f>
        <v>0</v>
      </c>
      <c r="E85" s="336">
        <f>Saldo_relativo_per_capita!E85*Saldo_relativo_per_capita!E$552/1000000</f>
        <v>0</v>
      </c>
      <c r="F85" s="336">
        <f>Saldo_relativo_per_capita!F85*Saldo_relativo_per_capita!F$552/1000000</f>
        <v>0</v>
      </c>
      <c r="G85" s="336">
        <f>Saldo_relativo_per_capita!G85*Saldo_relativo_per_capita!G$552/1000000</f>
        <v>0</v>
      </c>
      <c r="H85" s="336">
        <f>Saldo_relativo_per_capita!H85*Saldo_relativo_per_capita!H$552/1000000</f>
        <v>0</v>
      </c>
      <c r="I85" s="336">
        <f>Saldo_relativo_per_capita!I85*Saldo_relativo_per_capita!I$552/1000000</f>
        <v>0</v>
      </c>
      <c r="J85" s="336">
        <f>Saldo_relativo_per_capita!J85*Saldo_relativo_per_capita!J$552/1000000</f>
        <v>0</v>
      </c>
      <c r="K85" s="336">
        <f>Saldo_relativo_per_capita!K85*Saldo_relativo_per_capita!K$552/1000000</f>
        <v>0</v>
      </c>
      <c r="L85" s="336">
        <f>Saldo_relativo_per_capita!L85*Saldo_relativo_per_capita!L$552/1000000</f>
        <v>0</v>
      </c>
      <c r="M85" s="336">
        <f>Saldo_relativo_per_capita!M85*Saldo_relativo_per_capita!M$552/1000000</f>
        <v>0</v>
      </c>
      <c r="N85" s="336">
        <f>Saldo_relativo_per_capita!N85*Saldo_relativo_per_capita!N$552/1000000</f>
        <v>0</v>
      </c>
      <c r="O85" s="336">
        <f>Saldo_relativo_per_capita!O85*Saldo_relativo_per_capita!O$552/1000000</f>
        <v>0</v>
      </c>
      <c r="P85" s="336">
        <f>Saldo_relativo_per_capita!P85*Saldo_relativo_per_capita!P$552/1000000</f>
        <v>0</v>
      </c>
      <c r="Q85" s="336">
        <f>Saldo_relativo_per_capita!Q85*Saldo_relativo_per_capita!Q$552/1000000</f>
        <v>0</v>
      </c>
      <c r="R85" s="336">
        <f>Saldo_relativo_per_capita!R85*Saldo_relativo_per_capita!R$552/1000000</f>
        <v>0</v>
      </c>
      <c r="S85" s="336">
        <f>Saldo_relativo_per_capita!S85*Saldo_relativo_per_capita!S$552/1000000</f>
        <v>0</v>
      </c>
      <c r="T85" s="336">
        <f>Saldo_relativo_per_capita!T85*Saldo_relativo_per_capita!T$552/1000000</f>
        <v>0</v>
      </c>
      <c r="U85" s="336">
        <f>Saldo_relativo_per_capita!U85*Saldo_relativo_per_capita!U$552/1000000</f>
        <v>0</v>
      </c>
      <c r="V85" s="336">
        <f>Saldo_relativo_per_capita!V85*Saldo_relativo_per_capita!V$552/1000000</f>
        <v>0</v>
      </c>
      <c r="W85" s="148"/>
    </row>
    <row r="86" spans="1:23" s="115" customFormat="1">
      <c r="A86" s="351" t="str">
        <f>IF(B86="","",(IF(ISERROR(MATCH(B86,Tot_res!C:C,0)),"Eliminar!!!","")))</f>
        <v/>
      </c>
      <c r="B86" s="115" t="s">
        <v>186</v>
      </c>
      <c r="C86" s="329" t="str">
        <f>VLOOKUP(B86,Tot_res!C:D,2,FALSE)</f>
        <v>Investigación y experimentación agraria</v>
      </c>
      <c r="D86" s="336">
        <f>Saldo_relativo_per_capita!D86*Saldo_relativo_per_capita!D$552/1000000</f>
        <v>0</v>
      </c>
      <c r="E86" s="336">
        <f>Saldo_relativo_per_capita!E86*Saldo_relativo_per_capita!E$552/1000000</f>
        <v>0</v>
      </c>
      <c r="F86" s="336">
        <f>Saldo_relativo_per_capita!F86*Saldo_relativo_per_capita!F$552/1000000</f>
        <v>0</v>
      </c>
      <c r="G86" s="336">
        <f>Saldo_relativo_per_capita!G86*Saldo_relativo_per_capita!G$552/1000000</f>
        <v>0</v>
      </c>
      <c r="H86" s="336">
        <f>Saldo_relativo_per_capita!H86*Saldo_relativo_per_capita!H$552/1000000</f>
        <v>0</v>
      </c>
      <c r="I86" s="336">
        <f>Saldo_relativo_per_capita!I86*Saldo_relativo_per_capita!I$552/1000000</f>
        <v>0</v>
      </c>
      <c r="J86" s="336">
        <f>Saldo_relativo_per_capita!J86*Saldo_relativo_per_capita!J$552/1000000</f>
        <v>0</v>
      </c>
      <c r="K86" s="336">
        <f>Saldo_relativo_per_capita!K86*Saldo_relativo_per_capita!K$552/1000000</f>
        <v>0</v>
      </c>
      <c r="L86" s="336">
        <f>Saldo_relativo_per_capita!L86*Saldo_relativo_per_capita!L$552/1000000</f>
        <v>0</v>
      </c>
      <c r="M86" s="336">
        <f>Saldo_relativo_per_capita!M86*Saldo_relativo_per_capita!M$552/1000000</f>
        <v>0</v>
      </c>
      <c r="N86" s="336">
        <f>Saldo_relativo_per_capita!N86*Saldo_relativo_per_capita!N$552/1000000</f>
        <v>0</v>
      </c>
      <c r="O86" s="336">
        <f>Saldo_relativo_per_capita!O86*Saldo_relativo_per_capita!O$552/1000000</f>
        <v>0</v>
      </c>
      <c r="P86" s="336">
        <f>Saldo_relativo_per_capita!P86*Saldo_relativo_per_capita!P$552/1000000</f>
        <v>0</v>
      </c>
      <c r="Q86" s="336">
        <f>Saldo_relativo_per_capita!Q86*Saldo_relativo_per_capita!Q$552/1000000</f>
        <v>0</v>
      </c>
      <c r="R86" s="336">
        <f>Saldo_relativo_per_capita!R86*Saldo_relativo_per_capita!R$552/1000000</f>
        <v>0</v>
      </c>
      <c r="S86" s="336">
        <f>Saldo_relativo_per_capita!S86*Saldo_relativo_per_capita!S$552/1000000</f>
        <v>0</v>
      </c>
      <c r="T86" s="336">
        <f>Saldo_relativo_per_capita!T86*Saldo_relativo_per_capita!T$552/1000000</f>
        <v>0</v>
      </c>
      <c r="U86" s="336">
        <f>Saldo_relativo_per_capita!U86*Saldo_relativo_per_capita!U$552/1000000</f>
        <v>0</v>
      </c>
      <c r="V86" s="336">
        <f>Saldo_relativo_per_capita!V86*Saldo_relativo_per_capita!V$552/1000000</f>
        <v>0</v>
      </c>
      <c r="W86" s="148"/>
    </row>
    <row r="87" spans="1:23" s="115" customFormat="1">
      <c r="A87" s="351" t="str">
        <f>IF(B87="","",(IF(ISERROR(MATCH(B87,Tot_res!C:C,0)),"Eliminar!!!","")))</f>
        <v/>
      </c>
      <c r="B87" s="115" t="s">
        <v>187</v>
      </c>
      <c r="C87" s="329" t="str">
        <f>VLOOKUP(B87,Tot_res!C:D,2,FALSE)</f>
        <v>Investigación oceanográfica y pesquera</v>
      </c>
      <c r="D87" s="336">
        <f>Saldo_relativo_per_capita!D87*Saldo_relativo_per_capita!D$552/1000000</f>
        <v>0</v>
      </c>
      <c r="E87" s="336">
        <f>Saldo_relativo_per_capita!E87*Saldo_relativo_per_capita!E$552/1000000</f>
        <v>0</v>
      </c>
      <c r="F87" s="336">
        <f>Saldo_relativo_per_capita!F87*Saldo_relativo_per_capita!F$552/1000000</f>
        <v>0</v>
      </c>
      <c r="G87" s="336">
        <f>Saldo_relativo_per_capita!G87*Saldo_relativo_per_capita!G$552/1000000</f>
        <v>0</v>
      </c>
      <c r="H87" s="336">
        <f>Saldo_relativo_per_capita!H87*Saldo_relativo_per_capita!H$552/1000000</f>
        <v>0</v>
      </c>
      <c r="I87" s="336">
        <f>Saldo_relativo_per_capita!I87*Saldo_relativo_per_capita!I$552/1000000</f>
        <v>0</v>
      </c>
      <c r="J87" s="336">
        <f>Saldo_relativo_per_capita!J87*Saldo_relativo_per_capita!J$552/1000000</f>
        <v>0</v>
      </c>
      <c r="K87" s="336">
        <f>Saldo_relativo_per_capita!K87*Saldo_relativo_per_capita!K$552/1000000</f>
        <v>0</v>
      </c>
      <c r="L87" s="336">
        <f>Saldo_relativo_per_capita!L87*Saldo_relativo_per_capita!L$552/1000000</f>
        <v>0</v>
      </c>
      <c r="M87" s="336">
        <f>Saldo_relativo_per_capita!M87*Saldo_relativo_per_capita!M$552/1000000</f>
        <v>0</v>
      </c>
      <c r="N87" s="336">
        <f>Saldo_relativo_per_capita!N87*Saldo_relativo_per_capita!N$552/1000000</f>
        <v>0</v>
      </c>
      <c r="O87" s="336">
        <f>Saldo_relativo_per_capita!O87*Saldo_relativo_per_capita!O$552/1000000</f>
        <v>0</v>
      </c>
      <c r="P87" s="336">
        <f>Saldo_relativo_per_capita!P87*Saldo_relativo_per_capita!P$552/1000000</f>
        <v>0</v>
      </c>
      <c r="Q87" s="336">
        <f>Saldo_relativo_per_capita!Q87*Saldo_relativo_per_capita!Q$552/1000000</f>
        <v>0</v>
      </c>
      <c r="R87" s="336">
        <f>Saldo_relativo_per_capita!R87*Saldo_relativo_per_capita!R$552/1000000</f>
        <v>0</v>
      </c>
      <c r="S87" s="336">
        <f>Saldo_relativo_per_capita!S87*Saldo_relativo_per_capita!S$552/1000000</f>
        <v>0</v>
      </c>
      <c r="T87" s="336">
        <f>Saldo_relativo_per_capita!T87*Saldo_relativo_per_capita!T$552/1000000</f>
        <v>0</v>
      </c>
      <c r="U87" s="336">
        <f>Saldo_relativo_per_capita!U87*Saldo_relativo_per_capita!U$552/1000000</f>
        <v>0</v>
      </c>
      <c r="V87" s="336">
        <f>Saldo_relativo_per_capita!V87*Saldo_relativo_per_capita!V$552/1000000</f>
        <v>0</v>
      </c>
      <c r="W87" s="148"/>
    </row>
    <row r="88" spans="1:23" s="115" customFormat="1">
      <c r="A88" s="351" t="str">
        <f>IF(B88="","",(IF(ISERROR(MATCH(B88,Tot_res!C:C,0)),"Eliminar!!!","")))</f>
        <v/>
      </c>
      <c r="B88" s="115" t="s">
        <v>188</v>
      </c>
      <c r="C88" s="329" t="str">
        <f>VLOOKUP(B88,Tot_res!C:D,2,FALSE)</f>
        <v>Investigación geológico-minera y medioambiental</v>
      </c>
      <c r="D88" s="336">
        <f>Saldo_relativo_per_capita!D88*Saldo_relativo_per_capita!D$552/1000000</f>
        <v>0</v>
      </c>
      <c r="E88" s="336">
        <f>Saldo_relativo_per_capita!E88*Saldo_relativo_per_capita!E$552/1000000</f>
        <v>0</v>
      </c>
      <c r="F88" s="336">
        <f>Saldo_relativo_per_capita!F88*Saldo_relativo_per_capita!F$552/1000000</f>
        <v>0</v>
      </c>
      <c r="G88" s="336">
        <f>Saldo_relativo_per_capita!G88*Saldo_relativo_per_capita!G$552/1000000</f>
        <v>0</v>
      </c>
      <c r="H88" s="336">
        <f>Saldo_relativo_per_capita!H88*Saldo_relativo_per_capita!H$552/1000000</f>
        <v>0</v>
      </c>
      <c r="I88" s="336">
        <f>Saldo_relativo_per_capita!I88*Saldo_relativo_per_capita!I$552/1000000</f>
        <v>0</v>
      </c>
      <c r="J88" s="336">
        <f>Saldo_relativo_per_capita!J88*Saldo_relativo_per_capita!J$552/1000000</f>
        <v>0</v>
      </c>
      <c r="K88" s="336">
        <f>Saldo_relativo_per_capita!K88*Saldo_relativo_per_capita!K$552/1000000</f>
        <v>0</v>
      </c>
      <c r="L88" s="336">
        <f>Saldo_relativo_per_capita!L88*Saldo_relativo_per_capita!L$552/1000000</f>
        <v>0</v>
      </c>
      <c r="M88" s="336">
        <f>Saldo_relativo_per_capita!M88*Saldo_relativo_per_capita!M$552/1000000</f>
        <v>0</v>
      </c>
      <c r="N88" s="336">
        <f>Saldo_relativo_per_capita!N88*Saldo_relativo_per_capita!N$552/1000000</f>
        <v>0</v>
      </c>
      <c r="O88" s="336">
        <f>Saldo_relativo_per_capita!O88*Saldo_relativo_per_capita!O$552/1000000</f>
        <v>0</v>
      </c>
      <c r="P88" s="336">
        <f>Saldo_relativo_per_capita!P88*Saldo_relativo_per_capita!P$552/1000000</f>
        <v>0</v>
      </c>
      <c r="Q88" s="336">
        <f>Saldo_relativo_per_capita!Q88*Saldo_relativo_per_capita!Q$552/1000000</f>
        <v>0</v>
      </c>
      <c r="R88" s="336">
        <f>Saldo_relativo_per_capita!R88*Saldo_relativo_per_capita!R$552/1000000</f>
        <v>0</v>
      </c>
      <c r="S88" s="336">
        <f>Saldo_relativo_per_capita!S88*Saldo_relativo_per_capita!S$552/1000000</f>
        <v>0</v>
      </c>
      <c r="T88" s="336">
        <f>Saldo_relativo_per_capita!T88*Saldo_relativo_per_capita!T$552/1000000</f>
        <v>0</v>
      </c>
      <c r="U88" s="336">
        <f>Saldo_relativo_per_capita!U88*Saldo_relativo_per_capita!U$552/1000000</f>
        <v>0</v>
      </c>
      <c r="V88" s="336">
        <f>Saldo_relativo_per_capita!V88*Saldo_relativo_per_capita!V$552/1000000</f>
        <v>0</v>
      </c>
      <c r="W88" s="148"/>
    </row>
    <row r="89" spans="1:23" s="115" customFormat="1">
      <c r="A89" s="351" t="str">
        <f>IF(B89="","",(IF(ISERROR(MATCH(B89,Tot_res!C:C,0)),"Eliminar!!!","")))</f>
        <v/>
      </c>
      <c r="B89" s="115" t="s">
        <v>190</v>
      </c>
      <c r="C89" s="329" t="str">
        <f>VLOOKUP(B89,Tot_res!C:D,2,FALSE)</f>
        <v>Investigación energética, medioambiental y tecnológica</v>
      </c>
      <c r="D89" s="336">
        <f>Saldo_relativo_per_capita!D89*Saldo_relativo_per_capita!D$552/1000000</f>
        <v>0</v>
      </c>
      <c r="E89" s="336">
        <f>Saldo_relativo_per_capita!E89*Saldo_relativo_per_capita!E$552/1000000</f>
        <v>0</v>
      </c>
      <c r="F89" s="336">
        <f>Saldo_relativo_per_capita!F89*Saldo_relativo_per_capita!F$552/1000000</f>
        <v>0</v>
      </c>
      <c r="G89" s="336">
        <f>Saldo_relativo_per_capita!G89*Saldo_relativo_per_capita!G$552/1000000</f>
        <v>0</v>
      </c>
      <c r="H89" s="336">
        <f>Saldo_relativo_per_capita!H89*Saldo_relativo_per_capita!H$552/1000000</f>
        <v>0</v>
      </c>
      <c r="I89" s="336">
        <f>Saldo_relativo_per_capita!I89*Saldo_relativo_per_capita!I$552/1000000</f>
        <v>0</v>
      </c>
      <c r="J89" s="336">
        <f>Saldo_relativo_per_capita!J89*Saldo_relativo_per_capita!J$552/1000000</f>
        <v>0</v>
      </c>
      <c r="K89" s="336">
        <f>Saldo_relativo_per_capita!K89*Saldo_relativo_per_capita!K$552/1000000</f>
        <v>0</v>
      </c>
      <c r="L89" s="336">
        <f>Saldo_relativo_per_capita!L89*Saldo_relativo_per_capita!L$552/1000000</f>
        <v>0</v>
      </c>
      <c r="M89" s="336">
        <f>Saldo_relativo_per_capita!M89*Saldo_relativo_per_capita!M$552/1000000</f>
        <v>0</v>
      </c>
      <c r="N89" s="336">
        <f>Saldo_relativo_per_capita!N89*Saldo_relativo_per_capita!N$552/1000000</f>
        <v>0</v>
      </c>
      <c r="O89" s="336">
        <f>Saldo_relativo_per_capita!O89*Saldo_relativo_per_capita!O$552/1000000</f>
        <v>0</v>
      </c>
      <c r="P89" s="336">
        <f>Saldo_relativo_per_capita!P89*Saldo_relativo_per_capita!P$552/1000000</f>
        <v>0</v>
      </c>
      <c r="Q89" s="336">
        <f>Saldo_relativo_per_capita!Q89*Saldo_relativo_per_capita!Q$552/1000000</f>
        <v>0</v>
      </c>
      <c r="R89" s="336">
        <f>Saldo_relativo_per_capita!R89*Saldo_relativo_per_capita!R$552/1000000</f>
        <v>0</v>
      </c>
      <c r="S89" s="336">
        <f>Saldo_relativo_per_capita!S89*Saldo_relativo_per_capita!S$552/1000000</f>
        <v>0</v>
      </c>
      <c r="T89" s="336">
        <f>Saldo_relativo_per_capita!T89*Saldo_relativo_per_capita!T$552/1000000</f>
        <v>0</v>
      </c>
      <c r="U89" s="336">
        <f>Saldo_relativo_per_capita!U89*Saldo_relativo_per_capita!U$552/1000000</f>
        <v>0</v>
      </c>
      <c r="V89" s="336">
        <f>Saldo_relativo_per_capita!V89*Saldo_relativo_per_capita!V$552/1000000</f>
        <v>0</v>
      </c>
      <c r="W89" s="148"/>
    </row>
    <row r="90" spans="1:23" s="115" customFormat="1">
      <c r="A90" s="351" t="str">
        <f>IF(B90="","",(IF(ISERROR(MATCH(B90,Tot_res!C:C,0)),"Eliminar!!!","")))</f>
        <v/>
      </c>
      <c r="B90" s="115" t="s">
        <v>191</v>
      </c>
      <c r="C90" s="329" t="str">
        <f>VLOOKUP(B90,Tot_res!C:D,2,FALSE)</f>
        <v>Desarrollo y aplicación de la información geográfica española</v>
      </c>
      <c r="D90" s="336">
        <f>Saldo_relativo_per_capita!D90*Saldo_relativo_per_capita!D$552/1000000</f>
        <v>0</v>
      </c>
      <c r="E90" s="336">
        <f>Saldo_relativo_per_capita!E90*Saldo_relativo_per_capita!E$552/1000000</f>
        <v>0</v>
      </c>
      <c r="F90" s="336">
        <f>Saldo_relativo_per_capita!F90*Saldo_relativo_per_capita!F$552/1000000</f>
        <v>0</v>
      </c>
      <c r="G90" s="336">
        <f>Saldo_relativo_per_capita!G90*Saldo_relativo_per_capita!G$552/1000000</f>
        <v>0</v>
      </c>
      <c r="H90" s="336">
        <f>Saldo_relativo_per_capita!H90*Saldo_relativo_per_capita!H$552/1000000</f>
        <v>0</v>
      </c>
      <c r="I90" s="336">
        <f>Saldo_relativo_per_capita!I90*Saldo_relativo_per_capita!I$552/1000000</f>
        <v>0</v>
      </c>
      <c r="J90" s="336">
        <f>Saldo_relativo_per_capita!J90*Saldo_relativo_per_capita!J$552/1000000</f>
        <v>0</v>
      </c>
      <c r="K90" s="336">
        <f>Saldo_relativo_per_capita!K90*Saldo_relativo_per_capita!K$552/1000000</f>
        <v>0</v>
      </c>
      <c r="L90" s="336">
        <f>Saldo_relativo_per_capita!L90*Saldo_relativo_per_capita!L$552/1000000</f>
        <v>0</v>
      </c>
      <c r="M90" s="336">
        <f>Saldo_relativo_per_capita!M90*Saldo_relativo_per_capita!M$552/1000000</f>
        <v>0</v>
      </c>
      <c r="N90" s="336">
        <f>Saldo_relativo_per_capita!N90*Saldo_relativo_per_capita!N$552/1000000</f>
        <v>0</v>
      </c>
      <c r="O90" s="336">
        <f>Saldo_relativo_per_capita!O90*Saldo_relativo_per_capita!O$552/1000000</f>
        <v>0</v>
      </c>
      <c r="P90" s="336">
        <f>Saldo_relativo_per_capita!P90*Saldo_relativo_per_capita!P$552/1000000</f>
        <v>0</v>
      </c>
      <c r="Q90" s="336">
        <f>Saldo_relativo_per_capita!Q90*Saldo_relativo_per_capita!Q$552/1000000</f>
        <v>0</v>
      </c>
      <c r="R90" s="336">
        <f>Saldo_relativo_per_capita!R90*Saldo_relativo_per_capita!R$552/1000000</f>
        <v>0</v>
      </c>
      <c r="S90" s="336">
        <f>Saldo_relativo_per_capita!S90*Saldo_relativo_per_capita!S$552/1000000</f>
        <v>0</v>
      </c>
      <c r="T90" s="336">
        <f>Saldo_relativo_per_capita!T90*Saldo_relativo_per_capita!T$552/1000000</f>
        <v>0</v>
      </c>
      <c r="U90" s="336">
        <f>Saldo_relativo_per_capita!U90*Saldo_relativo_per_capita!U$552/1000000</f>
        <v>0</v>
      </c>
      <c r="V90" s="336">
        <f>Saldo_relativo_per_capita!V90*Saldo_relativo_per_capita!V$552/1000000</f>
        <v>0</v>
      </c>
      <c r="W90" s="148"/>
    </row>
    <row r="91" spans="1:23" s="115" customFormat="1">
      <c r="A91" s="351" t="str">
        <f>IF(B91="","",(IF(ISERROR(MATCH(B91,Tot_res!C:C,0)),"Eliminar!!!","")))</f>
        <v/>
      </c>
      <c r="B91" s="115" t="s">
        <v>192</v>
      </c>
      <c r="C91" s="329" t="str">
        <f>VLOOKUP(B91,Tot_res!C:D,2,FALSE)</f>
        <v>Elaboración y difusión estadística</v>
      </c>
      <c r="D91" s="336">
        <f>Saldo_relativo_per_capita!D91*Saldo_relativo_per_capita!D$552/1000000</f>
        <v>0</v>
      </c>
      <c r="E91" s="336">
        <f>Saldo_relativo_per_capita!E91*Saldo_relativo_per_capita!E$552/1000000</f>
        <v>0</v>
      </c>
      <c r="F91" s="336">
        <f>Saldo_relativo_per_capita!F91*Saldo_relativo_per_capita!F$552/1000000</f>
        <v>0</v>
      </c>
      <c r="G91" s="336">
        <f>Saldo_relativo_per_capita!G91*Saldo_relativo_per_capita!G$552/1000000</f>
        <v>0</v>
      </c>
      <c r="H91" s="336">
        <f>Saldo_relativo_per_capita!H91*Saldo_relativo_per_capita!H$552/1000000</f>
        <v>0</v>
      </c>
      <c r="I91" s="336">
        <f>Saldo_relativo_per_capita!I91*Saldo_relativo_per_capita!I$552/1000000</f>
        <v>0</v>
      </c>
      <c r="J91" s="336">
        <f>Saldo_relativo_per_capita!J91*Saldo_relativo_per_capita!J$552/1000000</f>
        <v>0</v>
      </c>
      <c r="K91" s="336">
        <f>Saldo_relativo_per_capita!K91*Saldo_relativo_per_capita!K$552/1000000</f>
        <v>0</v>
      </c>
      <c r="L91" s="336">
        <f>Saldo_relativo_per_capita!L91*Saldo_relativo_per_capita!L$552/1000000</f>
        <v>0</v>
      </c>
      <c r="M91" s="336">
        <f>Saldo_relativo_per_capita!M91*Saldo_relativo_per_capita!M$552/1000000</f>
        <v>0</v>
      </c>
      <c r="N91" s="336">
        <f>Saldo_relativo_per_capita!N91*Saldo_relativo_per_capita!N$552/1000000</f>
        <v>0</v>
      </c>
      <c r="O91" s="336">
        <f>Saldo_relativo_per_capita!O91*Saldo_relativo_per_capita!O$552/1000000</f>
        <v>0</v>
      </c>
      <c r="P91" s="336">
        <f>Saldo_relativo_per_capita!P91*Saldo_relativo_per_capita!P$552/1000000</f>
        <v>0</v>
      </c>
      <c r="Q91" s="336">
        <f>Saldo_relativo_per_capita!Q91*Saldo_relativo_per_capita!Q$552/1000000</f>
        <v>0</v>
      </c>
      <c r="R91" s="336">
        <f>Saldo_relativo_per_capita!R91*Saldo_relativo_per_capita!R$552/1000000</f>
        <v>0</v>
      </c>
      <c r="S91" s="336">
        <f>Saldo_relativo_per_capita!S91*Saldo_relativo_per_capita!S$552/1000000</f>
        <v>0</v>
      </c>
      <c r="T91" s="336">
        <f>Saldo_relativo_per_capita!T91*Saldo_relativo_per_capita!T$552/1000000</f>
        <v>0</v>
      </c>
      <c r="U91" s="336">
        <f>Saldo_relativo_per_capita!U91*Saldo_relativo_per_capita!U$552/1000000</f>
        <v>0</v>
      </c>
      <c r="V91" s="336">
        <f>Saldo_relativo_per_capita!V91*Saldo_relativo_per_capita!V$552/1000000</f>
        <v>0</v>
      </c>
      <c r="W91" s="148"/>
    </row>
    <row r="92" spans="1:23" ht="13.5">
      <c r="A92" s="352"/>
      <c r="C92" s="41"/>
      <c r="D92" s="39"/>
      <c r="E92" s="39"/>
      <c r="F92" s="39"/>
      <c r="G92" s="39"/>
      <c r="H92" s="39"/>
      <c r="I92" s="39"/>
      <c r="J92" s="39"/>
      <c r="K92" s="39"/>
      <c r="L92" s="39"/>
      <c r="M92" s="39"/>
      <c r="N92" s="39"/>
      <c r="O92" s="39"/>
      <c r="P92" s="39"/>
      <c r="Q92" s="39"/>
      <c r="R92" s="39"/>
      <c r="S92" s="39"/>
      <c r="T92" s="39"/>
      <c r="U92" s="39"/>
      <c r="V92" s="39"/>
      <c r="W92" s="40"/>
    </row>
    <row r="93" spans="1:23" s="115" customFormat="1" ht="13.5">
      <c r="A93" s="352"/>
      <c r="C93" s="128" t="s">
        <v>21</v>
      </c>
      <c r="D93" s="218">
        <f>Saldo_relativo_per_capita!D93*Saldo_relativo_per_capita!D$552/1000000</f>
        <v>0</v>
      </c>
      <c r="E93" s="218">
        <f>Saldo_relativo_per_capita!E93*Saldo_relativo_per_capita!E$552/1000000</f>
        <v>0</v>
      </c>
      <c r="F93" s="218">
        <f>Saldo_relativo_per_capita!F93*Saldo_relativo_per_capita!F$552/1000000</f>
        <v>0</v>
      </c>
      <c r="G93" s="218">
        <f>Saldo_relativo_per_capita!G93*Saldo_relativo_per_capita!G$552/1000000</f>
        <v>0</v>
      </c>
      <c r="H93" s="218">
        <f>Saldo_relativo_per_capita!H93*Saldo_relativo_per_capita!H$552/1000000</f>
        <v>0</v>
      </c>
      <c r="I93" s="218">
        <f>Saldo_relativo_per_capita!I93*Saldo_relativo_per_capita!I$552/1000000</f>
        <v>0</v>
      </c>
      <c r="J93" s="218">
        <f>Saldo_relativo_per_capita!J93*Saldo_relativo_per_capita!J$552/1000000</f>
        <v>0</v>
      </c>
      <c r="K93" s="218">
        <f>Saldo_relativo_per_capita!K93*Saldo_relativo_per_capita!K$552/1000000</f>
        <v>0</v>
      </c>
      <c r="L93" s="218">
        <f>Saldo_relativo_per_capita!L93*Saldo_relativo_per_capita!L$552/1000000</f>
        <v>0</v>
      </c>
      <c r="M93" s="218">
        <f>Saldo_relativo_per_capita!M93*Saldo_relativo_per_capita!M$552/1000000</f>
        <v>0</v>
      </c>
      <c r="N93" s="218">
        <f>Saldo_relativo_per_capita!N93*Saldo_relativo_per_capita!N$552/1000000</f>
        <v>0</v>
      </c>
      <c r="O93" s="218">
        <f>Saldo_relativo_per_capita!O93*Saldo_relativo_per_capita!O$552/1000000</f>
        <v>0</v>
      </c>
      <c r="P93" s="218">
        <f>Saldo_relativo_per_capita!P93*Saldo_relativo_per_capita!P$552/1000000</f>
        <v>0</v>
      </c>
      <c r="Q93" s="218">
        <f>Saldo_relativo_per_capita!Q93*Saldo_relativo_per_capita!Q$552/1000000</f>
        <v>0</v>
      </c>
      <c r="R93" s="218">
        <f>Saldo_relativo_per_capita!R93*Saldo_relativo_per_capita!R$552/1000000</f>
        <v>0</v>
      </c>
      <c r="S93" s="218">
        <f>Saldo_relativo_per_capita!S93*Saldo_relativo_per_capita!S$552/1000000</f>
        <v>0</v>
      </c>
      <c r="T93" s="218">
        <f>Saldo_relativo_per_capita!T93*Saldo_relativo_per_capita!T$552/1000000</f>
        <v>0</v>
      </c>
      <c r="U93" s="218">
        <f>Saldo_relativo_per_capita!U93*Saldo_relativo_per_capita!U$552/1000000</f>
        <v>0</v>
      </c>
      <c r="V93" s="218">
        <f>Saldo_relativo_per_capita!V93*Saldo_relativo_per_capita!V$552/1000000</f>
        <v>0</v>
      </c>
      <c r="W93" s="148"/>
    </row>
    <row r="94" spans="1:23" s="115" customFormat="1">
      <c r="A94" s="351" t="str">
        <f>IF(B94="","",(IF(ISERROR(MATCH(B94,Tot_res!C:C,0)),"Eliminar!!!","")))</f>
        <v/>
      </c>
      <c r="B94" s="115" t="s">
        <v>1188</v>
      </c>
      <c r="C94" s="329" t="str">
        <f>VLOOKUP(B94,Tot_res!C:D,2,FALSE)</f>
        <v>Defensa de la competencia en los mercados y regulación de sectores productivos </v>
      </c>
      <c r="D94" s="336">
        <f>Saldo_relativo_per_capita!D94*Saldo_relativo_per_capita!D$552/1000000</f>
        <v>0</v>
      </c>
      <c r="E94" s="336">
        <f>Saldo_relativo_per_capita!E94*Saldo_relativo_per_capita!E$552/1000000</f>
        <v>0</v>
      </c>
      <c r="F94" s="336">
        <f>Saldo_relativo_per_capita!F94*Saldo_relativo_per_capita!F$552/1000000</f>
        <v>0</v>
      </c>
      <c r="G94" s="336">
        <f>Saldo_relativo_per_capita!G94*Saldo_relativo_per_capita!G$552/1000000</f>
        <v>0</v>
      </c>
      <c r="H94" s="336">
        <f>Saldo_relativo_per_capita!H94*Saldo_relativo_per_capita!H$552/1000000</f>
        <v>0</v>
      </c>
      <c r="I94" s="336">
        <f>Saldo_relativo_per_capita!I94*Saldo_relativo_per_capita!I$552/1000000</f>
        <v>0</v>
      </c>
      <c r="J94" s="336">
        <f>Saldo_relativo_per_capita!J94*Saldo_relativo_per_capita!J$552/1000000</f>
        <v>0</v>
      </c>
      <c r="K94" s="336">
        <f>Saldo_relativo_per_capita!K94*Saldo_relativo_per_capita!K$552/1000000</f>
        <v>0</v>
      </c>
      <c r="L94" s="336">
        <f>Saldo_relativo_per_capita!L94*Saldo_relativo_per_capita!L$552/1000000</f>
        <v>0</v>
      </c>
      <c r="M94" s="336">
        <f>Saldo_relativo_per_capita!M94*Saldo_relativo_per_capita!M$552/1000000</f>
        <v>0</v>
      </c>
      <c r="N94" s="336">
        <f>Saldo_relativo_per_capita!N94*Saldo_relativo_per_capita!N$552/1000000</f>
        <v>0</v>
      </c>
      <c r="O94" s="336">
        <f>Saldo_relativo_per_capita!O94*Saldo_relativo_per_capita!O$552/1000000</f>
        <v>0</v>
      </c>
      <c r="P94" s="336">
        <f>Saldo_relativo_per_capita!P94*Saldo_relativo_per_capita!P$552/1000000</f>
        <v>0</v>
      </c>
      <c r="Q94" s="336">
        <f>Saldo_relativo_per_capita!Q94*Saldo_relativo_per_capita!Q$552/1000000</f>
        <v>0</v>
      </c>
      <c r="R94" s="336">
        <f>Saldo_relativo_per_capita!R94*Saldo_relativo_per_capita!R$552/1000000</f>
        <v>0</v>
      </c>
      <c r="S94" s="336">
        <f>Saldo_relativo_per_capita!S94*Saldo_relativo_per_capita!S$552/1000000</f>
        <v>0</v>
      </c>
      <c r="T94" s="336">
        <f>Saldo_relativo_per_capita!T94*Saldo_relativo_per_capita!T$552/1000000</f>
        <v>0</v>
      </c>
      <c r="U94" s="336">
        <f>Saldo_relativo_per_capita!U94*Saldo_relativo_per_capita!U$552/1000000</f>
        <v>0</v>
      </c>
      <c r="V94" s="336">
        <f>Saldo_relativo_per_capita!V94*Saldo_relativo_per_capita!V$552/1000000</f>
        <v>0</v>
      </c>
      <c r="W94" s="148"/>
    </row>
    <row r="95" spans="1:23" s="115" customFormat="1">
      <c r="A95" s="351" t="str">
        <f>IF(B95="","",(IF(ISERROR(MATCH(B95,Tot_res!C:C,0)),"Eliminar!!!","")))</f>
        <v/>
      </c>
      <c r="B95" s="115" t="s">
        <v>194</v>
      </c>
      <c r="C95" s="329" t="str">
        <f>VLOOKUP(B95,Tot_res!C:D,2,FALSE)</f>
        <v>Dirección, control y gestión de seguros</v>
      </c>
      <c r="D95" s="336">
        <f>Saldo_relativo_per_capita!D95*Saldo_relativo_per_capita!D$552/1000000</f>
        <v>0</v>
      </c>
      <c r="E95" s="336">
        <f>Saldo_relativo_per_capita!E95*Saldo_relativo_per_capita!E$552/1000000</f>
        <v>0</v>
      </c>
      <c r="F95" s="336">
        <f>Saldo_relativo_per_capita!F95*Saldo_relativo_per_capita!F$552/1000000</f>
        <v>0</v>
      </c>
      <c r="G95" s="336">
        <f>Saldo_relativo_per_capita!G95*Saldo_relativo_per_capita!G$552/1000000</f>
        <v>0</v>
      </c>
      <c r="H95" s="336">
        <f>Saldo_relativo_per_capita!H95*Saldo_relativo_per_capita!H$552/1000000</f>
        <v>0</v>
      </c>
      <c r="I95" s="336">
        <f>Saldo_relativo_per_capita!I95*Saldo_relativo_per_capita!I$552/1000000</f>
        <v>0</v>
      </c>
      <c r="J95" s="336">
        <f>Saldo_relativo_per_capita!J95*Saldo_relativo_per_capita!J$552/1000000</f>
        <v>0</v>
      </c>
      <c r="K95" s="336">
        <f>Saldo_relativo_per_capita!K95*Saldo_relativo_per_capita!K$552/1000000</f>
        <v>0</v>
      </c>
      <c r="L95" s="336">
        <f>Saldo_relativo_per_capita!L95*Saldo_relativo_per_capita!L$552/1000000</f>
        <v>0</v>
      </c>
      <c r="M95" s="336">
        <f>Saldo_relativo_per_capita!M95*Saldo_relativo_per_capita!M$552/1000000</f>
        <v>0</v>
      </c>
      <c r="N95" s="336">
        <f>Saldo_relativo_per_capita!N95*Saldo_relativo_per_capita!N$552/1000000</f>
        <v>0</v>
      </c>
      <c r="O95" s="336">
        <f>Saldo_relativo_per_capita!O95*Saldo_relativo_per_capita!O$552/1000000</f>
        <v>0</v>
      </c>
      <c r="P95" s="336">
        <f>Saldo_relativo_per_capita!P95*Saldo_relativo_per_capita!P$552/1000000</f>
        <v>0</v>
      </c>
      <c r="Q95" s="336">
        <f>Saldo_relativo_per_capita!Q95*Saldo_relativo_per_capita!Q$552/1000000</f>
        <v>0</v>
      </c>
      <c r="R95" s="336">
        <f>Saldo_relativo_per_capita!R95*Saldo_relativo_per_capita!R$552/1000000</f>
        <v>0</v>
      </c>
      <c r="S95" s="336">
        <f>Saldo_relativo_per_capita!S95*Saldo_relativo_per_capita!S$552/1000000</f>
        <v>0</v>
      </c>
      <c r="T95" s="336">
        <f>Saldo_relativo_per_capita!T95*Saldo_relativo_per_capita!T$552/1000000</f>
        <v>0</v>
      </c>
      <c r="U95" s="336">
        <f>Saldo_relativo_per_capita!U95*Saldo_relativo_per_capita!U$552/1000000</f>
        <v>0</v>
      </c>
      <c r="V95" s="336">
        <f>Saldo_relativo_per_capita!V95*Saldo_relativo_per_capita!V$552/1000000</f>
        <v>0</v>
      </c>
      <c r="W95" s="148"/>
    </row>
    <row r="96" spans="1:23" s="115" customFormat="1">
      <c r="A96" s="351" t="str">
        <f>IF(B96="","",(IF(ISERROR(MATCH(B96,Tot_res!C:C,0)),"Eliminar!!!","")))</f>
        <v/>
      </c>
      <c r="B96" s="115" t="s">
        <v>196</v>
      </c>
      <c r="C96" s="329" t="str">
        <f>VLOOKUP(B96,Tot_res!C:D,2,FALSE)</f>
        <v>Regulación contable y de auditorias</v>
      </c>
      <c r="D96" s="336">
        <f>Saldo_relativo_per_capita!D96*Saldo_relativo_per_capita!D$552/1000000</f>
        <v>0</v>
      </c>
      <c r="E96" s="336">
        <f>Saldo_relativo_per_capita!E96*Saldo_relativo_per_capita!E$552/1000000</f>
        <v>0</v>
      </c>
      <c r="F96" s="336">
        <f>Saldo_relativo_per_capita!F96*Saldo_relativo_per_capita!F$552/1000000</f>
        <v>0</v>
      </c>
      <c r="G96" s="336">
        <f>Saldo_relativo_per_capita!G96*Saldo_relativo_per_capita!G$552/1000000</f>
        <v>0</v>
      </c>
      <c r="H96" s="336">
        <f>Saldo_relativo_per_capita!H96*Saldo_relativo_per_capita!H$552/1000000</f>
        <v>0</v>
      </c>
      <c r="I96" s="336">
        <f>Saldo_relativo_per_capita!I96*Saldo_relativo_per_capita!I$552/1000000</f>
        <v>0</v>
      </c>
      <c r="J96" s="336">
        <f>Saldo_relativo_per_capita!J96*Saldo_relativo_per_capita!J$552/1000000</f>
        <v>0</v>
      </c>
      <c r="K96" s="336">
        <f>Saldo_relativo_per_capita!K96*Saldo_relativo_per_capita!K$552/1000000</f>
        <v>0</v>
      </c>
      <c r="L96" s="336">
        <f>Saldo_relativo_per_capita!L96*Saldo_relativo_per_capita!L$552/1000000</f>
        <v>0</v>
      </c>
      <c r="M96" s="336">
        <f>Saldo_relativo_per_capita!M96*Saldo_relativo_per_capita!M$552/1000000</f>
        <v>0</v>
      </c>
      <c r="N96" s="336">
        <f>Saldo_relativo_per_capita!N96*Saldo_relativo_per_capita!N$552/1000000</f>
        <v>0</v>
      </c>
      <c r="O96" s="336">
        <f>Saldo_relativo_per_capita!O96*Saldo_relativo_per_capita!O$552/1000000</f>
        <v>0</v>
      </c>
      <c r="P96" s="336">
        <f>Saldo_relativo_per_capita!P96*Saldo_relativo_per_capita!P$552/1000000</f>
        <v>0</v>
      </c>
      <c r="Q96" s="336">
        <f>Saldo_relativo_per_capita!Q96*Saldo_relativo_per_capita!Q$552/1000000</f>
        <v>0</v>
      </c>
      <c r="R96" s="336">
        <f>Saldo_relativo_per_capita!R96*Saldo_relativo_per_capita!R$552/1000000</f>
        <v>0</v>
      </c>
      <c r="S96" s="336">
        <f>Saldo_relativo_per_capita!S96*Saldo_relativo_per_capita!S$552/1000000</f>
        <v>0</v>
      </c>
      <c r="T96" s="336">
        <f>Saldo_relativo_per_capita!T96*Saldo_relativo_per_capita!T$552/1000000</f>
        <v>0</v>
      </c>
      <c r="U96" s="336">
        <f>Saldo_relativo_per_capita!U96*Saldo_relativo_per_capita!U$552/1000000</f>
        <v>0</v>
      </c>
      <c r="V96" s="336">
        <f>Saldo_relativo_per_capita!V96*Saldo_relativo_per_capita!V$552/1000000</f>
        <v>0</v>
      </c>
      <c r="W96" s="148"/>
    </row>
    <row r="97" spans="1:23" s="115" customFormat="1">
      <c r="A97" s="351" t="str">
        <f>IF(B97="","",(IF(ISERROR(MATCH(B97,Tot_res!C:C,0)),"Eliminar!!!","")))</f>
        <v/>
      </c>
      <c r="B97" s="115" t="s">
        <v>468</v>
      </c>
      <c r="C97" s="329" t="str">
        <f>VLOOKUP(B97,Tot_res!C:D,2,FALSE)</f>
        <v>Regulación del juego</v>
      </c>
      <c r="D97" s="336">
        <f>Saldo_relativo_per_capita!D97*Saldo_relativo_per_capita!D$552/1000000</f>
        <v>0</v>
      </c>
      <c r="E97" s="336">
        <f>Saldo_relativo_per_capita!E97*Saldo_relativo_per_capita!E$552/1000000</f>
        <v>0</v>
      </c>
      <c r="F97" s="336">
        <f>Saldo_relativo_per_capita!F97*Saldo_relativo_per_capita!F$552/1000000</f>
        <v>0</v>
      </c>
      <c r="G97" s="336">
        <f>Saldo_relativo_per_capita!G97*Saldo_relativo_per_capita!G$552/1000000</f>
        <v>0</v>
      </c>
      <c r="H97" s="336">
        <f>Saldo_relativo_per_capita!H97*Saldo_relativo_per_capita!H$552/1000000</f>
        <v>0</v>
      </c>
      <c r="I97" s="336">
        <f>Saldo_relativo_per_capita!I97*Saldo_relativo_per_capita!I$552/1000000</f>
        <v>0</v>
      </c>
      <c r="J97" s="336">
        <f>Saldo_relativo_per_capita!J97*Saldo_relativo_per_capita!J$552/1000000</f>
        <v>0</v>
      </c>
      <c r="K97" s="336">
        <f>Saldo_relativo_per_capita!K97*Saldo_relativo_per_capita!K$552/1000000</f>
        <v>0</v>
      </c>
      <c r="L97" s="336">
        <f>Saldo_relativo_per_capita!L97*Saldo_relativo_per_capita!L$552/1000000</f>
        <v>0</v>
      </c>
      <c r="M97" s="336">
        <f>Saldo_relativo_per_capita!M97*Saldo_relativo_per_capita!M$552/1000000</f>
        <v>0</v>
      </c>
      <c r="N97" s="336">
        <f>Saldo_relativo_per_capita!N97*Saldo_relativo_per_capita!N$552/1000000</f>
        <v>0</v>
      </c>
      <c r="O97" s="336">
        <f>Saldo_relativo_per_capita!O97*Saldo_relativo_per_capita!O$552/1000000</f>
        <v>0</v>
      </c>
      <c r="P97" s="336">
        <f>Saldo_relativo_per_capita!P97*Saldo_relativo_per_capita!P$552/1000000</f>
        <v>0</v>
      </c>
      <c r="Q97" s="336">
        <f>Saldo_relativo_per_capita!Q97*Saldo_relativo_per_capita!Q$552/1000000</f>
        <v>0</v>
      </c>
      <c r="R97" s="336">
        <f>Saldo_relativo_per_capita!R97*Saldo_relativo_per_capita!R$552/1000000</f>
        <v>0</v>
      </c>
      <c r="S97" s="336">
        <f>Saldo_relativo_per_capita!S97*Saldo_relativo_per_capita!S$552/1000000</f>
        <v>0</v>
      </c>
      <c r="T97" s="336">
        <f>Saldo_relativo_per_capita!T97*Saldo_relativo_per_capita!T$552/1000000</f>
        <v>0</v>
      </c>
      <c r="U97" s="336">
        <f>Saldo_relativo_per_capita!U97*Saldo_relativo_per_capita!U$552/1000000</f>
        <v>0</v>
      </c>
      <c r="V97" s="336">
        <f>Saldo_relativo_per_capita!V97*Saldo_relativo_per_capita!V$552/1000000</f>
        <v>0</v>
      </c>
      <c r="W97" s="148"/>
    </row>
    <row r="98" spans="1:23" s="115" customFormat="1">
      <c r="A98" s="351" t="str">
        <f>IF(B98="","",(IF(ISERROR(MATCH(B98,Tot_res!C:C,0)),"Eliminar!!!","")))</f>
        <v/>
      </c>
      <c r="B98" s="115" t="s">
        <v>197</v>
      </c>
      <c r="C98" s="329" t="str">
        <f>VLOOKUP(B98,Tot_res!C:D,2,FALSE)</f>
        <v>Comisión Nacional del Mercado de Valores, CNMV</v>
      </c>
      <c r="D98" s="336">
        <f>Saldo_relativo_per_capita!D98*Saldo_relativo_per_capita!D$552/1000000</f>
        <v>0</v>
      </c>
      <c r="E98" s="336">
        <f>Saldo_relativo_per_capita!E98*Saldo_relativo_per_capita!E$552/1000000</f>
        <v>0</v>
      </c>
      <c r="F98" s="336">
        <f>Saldo_relativo_per_capita!F98*Saldo_relativo_per_capita!F$552/1000000</f>
        <v>0</v>
      </c>
      <c r="G98" s="336">
        <f>Saldo_relativo_per_capita!G98*Saldo_relativo_per_capita!G$552/1000000</f>
        <v>0</v>
      </c>
      <c r="H98" s="336">
        <f>Saldo_relativo_per_capita!H98*Saldo_relativo_per_capita!H$552/1000000</f>
        <v>0</v>
      </c>
      <c r="I98" s="336">
        <f>Saldo_relativo_per_capita!I98*Saldo_relativo_per_capita!I$552/1000000</f>
        <v>0</v>
      </c>
      <c r="J98" s="336">
        <f>Saldo_relativo_per_capita!J98*Saldo_relativo_per_capita!J$552/1000000</f>
        <v>0</v>
      </c>
      <c r="K98" s="336">
        <f>Saldo_relativo_per_capita!K98*Saldo_relativo_per_capita!K$552/1000000</f>
        <v>0</v>
      </c>
      <c r="L98" s="336">
        <f>Saldo_relativo_per_capita!L98*Saldo_relativo_per_capita!L$552/1000000</f>
        <v>0</v>
      </c>
      <c r="M98" s="336">
        <f>Saldo_relativo_per_capita!M98*Saldo_relativo_per_capita!M$552/1000000</f>
        <v>0</v>
      </c>
      <c r="N98" s="336">
        <f>Saldo_relativo_per_capita!N98*Saldo_relativo_per_capita!N$552/1000000</f>
        <v>0</v>
      </c>
      <c r="O98" s="336">
        <f>Saldo_relativo_per_capita!O98*Saldo_relativo_per_capita!O$552/1000000</f>
        <v>0</v>
      </c>
      <c r="P98" s="336">
        <f>Saldo_relativo_per_capita!P98*Saldo_relativo_per_capita!P$552/1000000</f>
        <v>0</v>
      </c>
      <c r="Q98" s="336">
        <f>Saldo_relativo_per_capita!Q98*Saldo_relativo_per_capita!Q$552/1000000</f>
        <v>0</v>
      </c>
      <c r="R98" s="336">
        <f>Saldo_relativo_per_capita!R98*Saldo_relativo_per_capita!R$552/1000000</f>
        <v>0</v>
      </c>
      <c r="S98" s="336">
        <f>Saldo_relativo_per_capita!S98*Saldo_relativo_per_capita!S$552/1000000</f>
        <v>0</v>
      </c>
      <c r="T98" s="336">
        <f>Saldo_relativo_per_capita!T98*Saldo_relativo_per_capita!T$552/1000000</f>
        <v>0</v>
      </c>
      <c r="U98" s="336">
        <f>Saldo_relativo_per_capita!U98*Saldo_relativo_per_capita!U$552/1000000</f>
        <v>0</v>
      </c>
      <c r="V98" s="336">
        <f>Saldo_relativo_per_capita!V98*Saldo_relativo_per_capita!V$552/1000000</f>
        <v>0</v>
      </c>
      <c r="W98" s="148"/>
    </row>
    <row r="99" spans="1:23" s="115" customFormat="1">
      <c r="A99" s="351" t="str">
        <f>IF(B99="","",(IF(ISERROR(MATCH(B99,Tot_res!C:C,0)),"Eliminar!!!","")))</f>
        <v/>
      </c>
      <c r="B99" s="115" t="s">
        <v>198</v>
      </c>
      <c r="C99" s="329" t="str">
        <f>VLOOKUP(B99,Tot_res!C:D,2,FALSE)</f>
        <v>Banco de España</v>
      </c>
      <c r="D99" s="336">
        <f>Saldo_relativo_per_capita!D99*Saldo_relativo_per_capita!D$552/1000000</f>
        <v>0</v>
      </c>
      <c r="E99" s="336">
        <f>Saldo_relativo_per_capita!E99*Saldo_relativo_per_capita!E$552/1000000</f>
        <v>0</v>
      </c>
      <c r="F99" s="336">
        <f>Saldo_relativo_per_capita!F99*Saldo_relativo_per_capita!F$552/1000000</f>
        <v>0</v>
      </c>
      <c r="G99" s="336">
        <f>Saldo_relativo_per_capita!G99*Saldo_relativo_per_capita!G$552/1000000</f>
        <v>0</v>
      </c>
      <c r="H99" s="336">
        <f>Saldo_relativo_per_capita!H99*Saldo_relativo_per_capita!H$552/1000000</f>
        <v>0</v>
      </c>
      <c r="I99" s="336">
        <f>Saldo_relativo_per_capita!I99*Saldo_relativo_per_capita!I$552/1000000</f>
        <v>0</v>
      </c>
      <c r="J99" s="336">
        <f>Saldo_relativo_per_capita!J99*Saldo_relativo_per_capita!J$552/1000000</f>
        <v>0</v>
      </c>
      <c r="K99" s="336">
        <f>Saldo_relativo_per_capita!K99*Saldo_relativo_per_capita!K$552/1000000</f>
        <v>0</v>
      </c>
      <c r="L99" s="336">
        <f>Saldo_relativo_per_capita!L99*Saldo_relativo_per_capita!L$552/1000000</f>
        <v>0</v>
      </c>
      <c r="M99" s="336">
        <f>Saldo_relativo_per_capita!M99*Saldo_relativo_per_capita!M$552/1000000</f>
        <v>0</v>
      </c>
      <c r="N99" s="336">
        <f>Saldo_relativo_per_capita!N99*Saldo_relativo_per_capita!N$552/1000000</f>
        <v>0</v>
      </c>
      <c r="O99" s="336">
        <f>Saldo_relativo_per_capita!O99*Saldo_relativo_per_capita!O$552/1000000</f>
        <v>0</v>
      </c>
      <c r="P99" s="336">
        <f>Saldo_relativo_per_capita!P99*Saldo_relativo_per_capita!P$552/1000000</f>
        <v>0</v>
      </c>
      <c r="Q99" s="336">
        <f>Saldo_relativo_per_capita!Q99*Saldo_relativo_per_capita!Q$552/1000000</f>
        <v>0</v>
      </c>
      <c r="R99" s="336">
        <f>Saldo_relativo_per_capita!R99*Saldo_relativo_per_capita!R$552/1000000</f>
        <v>0</v>
      </c>
      <c r="S99" s="336">
        <f>Saldo_relativo_per_capita!S99*Saldo_relativo_per_capita!S$552/1000000</f>
        <v>0</v>
      </c>
      <c r="T99" s="336">
        <f>Saldo_relativo_per_capita!T99*Saldo_relativo_per_capita!T$552/1000000</f>
        <v>0</v>
      </c>
      <c r="U99" s="336">
        <f>Saldo_relativo_per_capita!U99*Saldo_relativo_per_capita!U$552/1000000</f>
        <v>0</v>
      </c>
      <c r="V99" s="336">
        <f>Saldo_relativo_per_capita!V99*Saldo_relativo_per_capita!V$552/1000000</f>
        <v>0</v>
      </c>
      <c r="W99" s="148"/>
    </row>
    <row r="100" spans="1:23" s="115" customFormat="1">
      <c r="A100" s="351" t="str">
        <f>IF(B100="","",(IF(ISERROR(MATCH(B100,Tot_res!C:C,0)),"Eliminar!!!","")))</f>
        <v/>
      </c>
      <c r="B100" s="115" t="s">
        <v>1191</v>
      </c>
      <c r="C100" s="329" t="str">
        <f>VLOOKUP(B100,Tot_res!C:D,2,FALSE)</f>
        <v>Control y supervisión de la política fiscal</v>
      </c>
      <c r="D100" s="336">
        <f>Saldo_relativo_per_capita!D100*Saldo_relativo_per_capita!D$552/1000000</f>
        <v>0</v>
      </c>
      <c r="E100" s="336">
        <f>Saldo_relativo_per_capita!E100*Saldo_relativo_per_capita!E$552/1000000</f>
        <v>0</v>
      </c>
      <c r="F100" s="336">
        <f>Saldo_relativo_per_capita!F100*Saldo_relativo_per_capita!F$552/1000000</f>
        <v>0</v>
      </c>
      <c r="G100" s="336">
        <f>Saldo_relativo_per_capita!G100*Saldo_relativo_per_capita!G$552/1000000</f>
        <v>0</v>
      </c>
      <c r="H100" s="336">
        <f>Saldo_relativo_per_capita!H100*Saldo_relativo_per_capita!H$552/1000000</f>
        <v>0</v>
      </c>
      <c r="I100" s="336">
        <f>Saldo_relativo_per_capita!I100*Saldo_relativo_per_capita!I$552/1000000</f>
        <v>0</v>
      </c>
      <c r="J100" s="336">
        <f>Saldo_relativo_per_capita!J100*Saldo_relativo_per_capita!J$552/1000000</f>
        <v>0</v>
      </c>
      <c r="K100" s="336">
        <f>Saldo_relativo_per_capita!K100*Saldo_relativo_per_capita!K$552/1000000</f>
        <v>0</v>
      </c>
      <c r="L100" s="336">
        <f>Saldo_relativo_per_capita!L100*Saldo_relativo_per_capita!L$552/1000000</f>
        <v>0</v>
      </c>
      <c r="M100" s="336">
        <f>Saldo_relativo_per_capita!M100*Saldo_relativo_per_capita!M$552/1000000</f>
        <v>0</v>
      </c>
      <c r="N100" s="336">
        <f>Saldo_relativo_per_capita!N100*Saldo_relativo_per_capita!N$552/1000000</f>
        <v>0</v>
      </c>
      <c r="O100" s="336">
        <f>Saldo_relativo_per_capita!O100*Saldo_relativo_per_capita!O$552/1000000</f>
        <v>0</v>
      </c>
      <c r="P100" s="336">
        <f>Saldo_relativo_per_capita!P100*Saldo_relativo_per_capita!P$552/1000000</f>
        <v>0</v>
      </c>
      <c r="Q100" s="336">
        <f>Saldo_relativo_per_capita!Q100*Saldo_relativo_per_capita!Q$552/1000000</f>
        <v>0</v>
      </c>
      <c r="R100" s="336">
        <f>Saldo_relativo_per_capita!R100*Saldo_relativo_per_capita!R$552/1000000</f>
        <v>0</v>
      </c>
      <c r="S100" s="336">
        <f>Saldo_relativo_per_capita!S100*Saldo_relativo_per_capita!S$552/1000000</f>
        <v>0</v>
      </c>
      <c r="T100" s="336">
        <f>Saldo_relativo_per_capita!T100*Saldo_relativo_per_capita!T$552/1000000</f>
        <v>0</v>
      </c>
      <c r="U100" s="336">
        <f>Saldo_relativo_per_capita!U100*Saldo_relativo_per_capita!U$552/1000000</f>
        <v>0</v>
      </c>
      <c r="V100" s="336">
        <f>Saldo_relativo_per_capita!V100*Saldo_relativo_per_capita!V$552/1000000</f>
        <v>0</v>
      </c>
      <c r="W100" s="148"/>
    </row>
    <row r="101" spans="1:23" s="115" customFormat="1">
      <c r="A101" s="352"/>
      <c r="D101" s="217"/>
      <c r="E101" s="217"/>
      <c r="F101" s="217"/>
      <c r="G101" s="217"/>
      <c r="H101" s="217"/>
      <c r="I101" s="217"/>
      <c r="J101" s="217"/>
      <c r="K101" s="217"/>
      <c r="L101" s="217"/>
      <c r="M101" s="217"/>
      <c r="N101" s="217"/>
      <c r="O101" s="217"/>
      <c r="P101" s="217"/>
      <c r="Q101" s="217"/>
      <c r="R101" s="217"/>
      <c r="S101" s="217"/>
      <c r="T101" s="217"/>
      <c r="U101" s="217"/>
      <c r="V101" s="217"/>
      <c r="W101" s="216"/>
    </row>
    <row r="102" spans="1:23" ht="13.5">
      <c r="A102" s="352"/>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2"/>
      <c r="C103" s="134" t="s">
        <v>77</v>
      </c>
      <c r="D103" s="215">
        <f>Saldo_relativo_per_capita!D103*Saldo_relativo_per_capita!D$552/1000000</f>
        <v>0</v>
      </c>
      <c r="E103" s="215">
        <f>Saldo_relativo_per_capita!E103*Saldo_relativo_per_capita!E$552/1000000</f>
        <v>-2918.2948741260334</v>
      </c>
      <c r="F103" s="215">
        <f>Saldo_relativo_per_capita!F103*Saldo_relativo_per_capita!F$552/1000000</f>
        <v>503.65698126033186</v>
      </c>
      <c r="G103" s="215">
        <f>Saldo_relativo_per_capita!G103*Saldo_relativo_per_capita!G$552/1000000</f>
        <v>187.46839555102383</v>
      </c>
      <c r="H103" s="215">
        <f>Saldo_relativo_per_capita!H103*Saldo_relativo_per_capita!H$552/1000000</f>
        <v>284.46373480604319</v>
      </c>
      <c r="I103" s="215">
        <f>Saldo_relativo_per_capita!I103*Saldo_relativo_per_capita!I$552/1000000</f>
        <v>1442.9565415281236</v>
      </c>
      <c r="J103" s="215">
        <f>Saldo_relativo_per_capita!J103*Saldo_relativo_per_capita!J$552/1000000</f>
        <v>231.96155889120288</v>
      </c>
      <c r="K103" s="215">
        <f>Saldo_relativo_per_capita!K103*Saldo_relativo_per_capita!K$552/1000000</f>
        <v>1028.2974958752625</v>
      </c>
      <c r="L103" s="215">
        <f>Saldo_relativo_per_capita!L103*Saldo_relativo_per_capita!L$552/1000000</f>
        <v>-405.26796280825948</v>
      </c>
      <c r="M103" s="215">
        <f>Saldo_relativo_per_capita!M103*Saldo_relativo_per_capita!M$552/1000000</f>
        <v>-944.75101589262704</v>
      </c>
      <c r="N103" s="215">
        <f>Saldo_relativo_per_capita!N103*Saldo_relativo_per_capita!N$552/1000000</f>
        <v>-2860.3472439084144</v>
      </c>
      <c r="O103" s="215">
        <f>Saldo_relativo_per_capita!O103*Saldo_relativo_per_capita!O$552/1000000</f>
        <v>396.4573441674961</v>
      </c>
      <c r="P103" s="215">
        <f>Saldo_relativo_per_capita!P103*Saldo_relativo_per_capita!P$552/1000000</f>
        <v>341.76316629360934</v>
      </c>
      <c r="Q103" s="215">
        <f>Saldo_relativo_per_capita!Q103*Saldo_relativo_per_capita!Q$552/1000000</f>
        <v>-2244.18733330348</v>
      </c>
      <c r="R103" s="215">
        <f>Saldo_relativo_per_capita!R103*Saldo_relativo_per_capita!R$552/1000000</f>
        <v>-745.42558285707321</v>
      </c>
      <c r="S103" s="215">
        <f>Saldo_relativo_per_capita!S103*Saldo_relativo_per_capita!S$552/1000000</f>
        <v>560.89116963306753</v>
      </c>
      <c r="T103" s="215">
        <f>Saldo_relativo_per_capita!T103*Saldo_relativo_per_capita!T$552/1000000</f>
        <v>4600.9614315434292</v>
      </c>
      <c r="U103" s="215">
        <f>Saldo_relativo_per_capita!U103*Saldo_relativo_per_capita!U$552/1000000</f>
        <v>91.684999164203816</v>
      </c>
      <c r="V103" s="215">
        <f>Saldo_relativo_per_capita!V103*Saldo_relativo_per_capita!V$552/1000000</f>
        <v>447.71119418208087</v>
      </c>
      <c r="W103" s="148"/>
    </row>
    <row r="104" spans="1:23" s="115" customFormat="1" ht="13.5">
      <c r="A104" s="352"/>
      <c r="C104" s="134" t="s">
        <v>44</v>
      </c>
      <c r="D104" s="215">
        <f>Saldo_relativo_per_capita!D104*Saldo_relativo_per_capita!D$552/1000000</f>
        <v>0</v>
      </c>
      <c r="E104" s="215">
        <f>Saldo_relativo_per_capita!E104*Saldo_relativo_per_capita!E$552/1000000</f>
        <v>-3237.5802482847857</v>
      </c>
      <c r="F104" s="215">
        <f>Saldo_relativo_per_capita!F104*Saldo_relativo_per_capita!F$552/1000000</f>
        <v>420.41607647263089</v>
      </c>
      <c r="G104" s="215">
        <f>Saldo_relativo_per_capita!G104*Saldo_relativo_per_capita!G$552/1000000</f>
        <v>126.14143000743054</v>
      </c>
      <c r="H104" s="215">
        <f>Saldo_relativo_per_capita!H104*Saldo_relativo_per_capita!H$552/1000000</f>
        <v>123.54960777351407</v>
      </c>
      <c r="I104" s="215">
        <f>Saldo_relativo_per_capita!I104*Saldo_relativo_per_capita!I$552/1000000</f>
        <v>1412.6482618294115</v>
      </c>
      <c r="J104" s="215">
        <f>Saldo_relativo_per_capita!J104*Saldo_relativo_per_capita!J$552/1000000</f>
        <v>212.8853739578951</v>
      </c>
      <c r="K104" s="215">
        <f>Saldo_relativo_per_capita!K104*Saldo_relativo_per_capita!K$552/1000000</f>
        <v>952.06682900543126</v>
      </c>
      <c r="L104" s="215">
        <f>Saldo_relativo_per_capita!L104*Saldo_relativo_per_capita!L$552/1000000</f>
        <v>-356.25117584217168</v>
      </c>
      <c r="M104" s="215">
        <f>Saldo_relativo_per_capita!M104*Saldo_relativo_per_capita!M$552/1000000</f>
        <v>-1567.8044359057485</v>
      </c>
      <c r="N104" s="215">
        <f>Saldo_relativo_per_capita!N104*Saldo_relativo_per_capita!N$552/1000000</f>
        <v>-3231.5815726157807</v>
      </c>
      <c r="O104" s="215">
        <f>Saldo_relativo_per_capita!O104*Saldo_relativo_per_capita!O$552/1000000</f>
        <v>268.91014500945352</v>
      </c>
      <c r="P104" s="215">
        <f>Saldo_relativo_per_capita!P104*Saldo_relativo_per_capita!P$552/1000000</f>
        <v>175.14919227844493</v>
      </c>
      <c r="Q104" s="215">
        <f>Saldo_relativo_per_capita!Q104*Saldo_relativo_per_capita!Q$552/1000000</f>
        <v>-1548.5369624046095</v>
      </c>
      <c r="R104" s="215">
        <f>Saldo_relativo_per_capita!R104*Saldo_relativo_per_capita!R$552/1000000</f>
        <v>-868.13215591528649</v>
      </c>
      <c r="S104" s="215">
        <f>Saldo_relativo_per_capita!S104*Saldo_relativo_per_capita!S$552/1000000</f>
        <v>1017.4930740576774</v>
      </c>
      <c r="T104" s="215">
        <f>Saldo_relativo_per_capita!T104*Saldo_relativo_per_capita!T$552/1000000</f>
        <v>5564.4202784795825</v>
      </c>
      <c r="U104" s="215">
        <f>Saldo_relativo_per_capita!U104*Saldo_relativo_per_capita!U$552/1000000</f>
        <v>82.73416558154905</v>
      </c>
      <c r="V104" s="215">
        <f>Saldo_relativo_per_capita!V104*Saldo_relativo_per_capita!V$552/1000000</f>
        <v>453.47211651533667</v>
      </c>
      <c r="W104" s="219"/>
    </row>
    <row r="105" spans="1:23" s="115" customFormat="1">
      <c r="A105" s="352"/>
      <c r="C105" s="129"/>
      <c r="D105" s="217"/>
      <c r="E105" s="217"/>
      <c r="F105" s="217"/>
      <c r="G105" s="217"/>
      <c r="H105" s="217"/>
      <c r="I105" s="217"/>
      <c r="J105" s="217"/>
      <c r="K105" s="217"/>
      <c r="L105" s="217"/>
      <c r="M105" s="217"/>
      <c r="N105" s="217"/>
      <c r="O105" s="217"/>
      <c r="P105" s="217"/>
      <c r="Q105" s="217"/>
      <c r="R105" s="217"/>
      <c r="S105" s="217"/>
      <c r="T105" s="217"/>
      <c r="U105" s="217"/>
      <c r="V105" s="217"/>
      <c r="W105" s="148"/>
    </row>
    <row r="106" spans="1:23" s="115" customFormat="1" ht="13.5">
      <c r="A106" s="352"/>
      <c r="C106" s="128" t="s">
        <v>43</v>
      </c>
      <c r="D106" s="218">
        <f>Saldo_relativo_per_capita!D106*Saldo_relativo_per_capita!D$552/1000000</f>
        <v>0</v>
      </c>
      <c r="E106" s="218">
        <f>Saldo_relativo_per_capita!E106*Saldo_relativo_per_capita!E$552/1000000</f>
        <v>-1826.8171342529654</v>
      </c>
      <c r="F106" s="218">
        <f>Saldo_relativo_per_capita!F106*Saldo_relativo_per_capita!F$552/1000000</f>
        <v>224.76106661031574</v>
      </c>
      <c r="G106" s="218">
        <f>Saldo_relativo_per_capita!G106*Saldo_relativo_per_capita!G$552/1000000</f>
        <v>143.85859006114512</v>
      </c>
      <c r="H106" s="218">
        <f>Saldo_relativo_per_capita!H106*Saldo_relativo_per_capita!H$552/1000000</f>
        <v>55.100461882031865</v>
      </c>
      <c r="I106" s="218">
        <f>Saldo_relativo_per_capita!I106*Saldo_relativo_per_capita!I$552/1000000</f>
        <v>185.70690885160585</v>
      </c>
      <c r="J106" s="218">
        <f>Saldo_relativo_per_capita!J106*Saldo_relativo_per_capita!J$552/1000000</f>
        <v>222.89590846159481</v>
      </c>
      <c r="K106" s="218">
        <f>Saldo_relativo_per_capita!K106*Saldo_relativo_per_capita!K$552/1000000</f>
        <v>497.31154584677319</v>
      </c>
      <c r="L106" s="218">
        <f>Saldo_relativo_per_capita!L106*Saldo_relativo_per_capita!L$552/1000000</f>
        <v>-135.51649308405533</v>
      </c>
      <c r="M106" s="218">
        <f>Saldo_relativo_per_capita!M106*Saldo_relativo_per_capita!M$552/1000000</f>
        <v>-1241.9397903544443</v>
      </c>
      <c r="N106" s="218">
        <f>Saldo_relativo_per_capita!N106*Saldo_relativo_per_capita!N$552/1000000</f>
        <v>-1489.7603460372716</v>
      </c>
      <c r="O106" s="218">
        <f>Saldo_relativo_per_capita!O106*Saldo_relativo_per_capita!O$552/1000000</f>
        <v>383.18857020965055</v>
      </c>
      <c r="P106" s="218">
        <f>Saldo_relativo_per_capita!P106*Saldo_relativo_per_capita!P$552/1000000</f>
        <v>472.13794377259842</v>
      </c>
      <c r="Q106" s="218">
        <f>Saldo_relativo_per_capita!Q106*Saldo_relativo_per_capita!Q$552/1000000</f>
        <v>-2549.8838720267668</v>
      </c>
      <c r="R106" s="218">
        <f>Saldo_relativo_per_capita!R106*Saldo_relativo_per_capita!R$552/1000000</f>
        <v>-362.72634456004806</v>
      </c>
      <c r="S106" s="218">
        <f>Saldo_relativo_per_capita!S106*Saldo_relativo_per_capita!S$552/1000000</f>
        <v>544.84702742287334</v>
      </c>
      <c r="T106" s="218">
        <f>Saldo_relativo_per_capita!T106*Saldo_relativo_per_capita!T$552/1000000</f>
        <v>4473.6733083849722</v>
      </c>
      <c r="U106" s="218">
        <f>Saldo_relativo_per_capita!U106*Saldo_relativo_per_capita!U$552/1000000</f>
        <v>88.008272122090801</v>
      </c>
      <c r="V106" s="218">
        <f>Saldo_relativo_per_capita!V106*Saldo_relativo_per_capita!V$552/1000000</f>
        <v>315.15437668990734</v>
      </c>
      <c r="W106" s="219"/>
    </row>
    <row r="107" spans="1:23" s="115" customFormat="1">
      <c r="A107" s="352"/>
      <c r="C107" s="129"/>
      <c r="D107" s="217"/>
      <c r="E107" s="217"/>
      <c r="F107" s="217"/>
      <c r="G107" s="217"/>
      <c r="H107" s="217"/>
      <c r="I107" s="217"/>
      <c r="J107" s="217"/>
      <c r="K107" s="217"/>
      <c r="L107" s="217"/>
      <c r="M107" s="217"/>
      <c r="N107" s="217"/>
      <c r="O107" s="217"/>
      <c r="P107" s="217"/>
      <c r="Q107" s="217"/>
      <c r="R107" s="217"/>
      <c r="S107" s="217"/>
      <c r="T107" s="217"/>
      <c r="U107" s="217"/>
      <c r="V107" s="217"/>
      <c r="W107" s="148"/>
    </row>
    <row r="108" spans="1:23" s="115" customFormat="1" ht="27">
      <c r="A108" s="352"/>
      <c r="B108" s="137"/>
      <c r="C108" s="128" t="s">
        <v>200</v>
      </c>
      <c r="D108" s="218">
        <f>Saldo_relativo_per_capita!D108*Saldo_relativo_per_capita!D$552/1000000</f>
        <v>0</v>
      </c>
      <c r="E108" s="218">
        <f>Saldo_relativo_per_capita!E108*Saldo_relativo_per_capita!E$552/1000000</f>
        <v>112.14445092440401</v>
      </c>
      <c r="F108" s="218">
        <f>Saldo_relativo_per_capita!F108*Saldo_relativo_per_capita!F$552/1000000</f>
        <v>454.6805012131893</v>
      </c>
      <c r="G108" s="218">
        <f>Saldo_relativo_per_capita!G108*Saldo_relativo_per_capita!G$552/1000000</f>
        <v>340.25059108934727</v>
      </c>
      <c r="H108" s="218">
        <f>Saldo_relativo_per_capita!H108*Saldo_relativo_per_capita!H$552/1000000</f>
        <v>140.48803730146983</v>
      </c>
      <c r="I108" s="218">
        <f>Saldo_relativo_per_capita!I108*Saldo_relativo_per_capita!I$552/1000000</f>
        <v>794.17953657327689</v>
      </c>
      <c r="J108" s="218">
        <f>Saldo_relativo_per_capita!J108*Saldo_relativo_per_capita!J$552/1000000</f>
        <v>438.51515046610677</v>
      </c>
      <c r="K108" s="218">
        <f>Saldo_relativo_per_capita!K108*Saldo_relativo_per_capita!K$552/1000000</f>
        <v>863.61935279625447</v>
      </c>
      <c r="L108" s="218">
        <f>Saldo_relativo_per_capita!L108*Saldo_relativo_per_capita!L$552/1000000</f>
        <v>280.71084936583503</v>
      </c>
      <c r="M108" s="218">
        <f>Saldo_relativo_per_capita!M108*Saldo_relativo_per_capita!M$552/1000000</f>
        <v>1573.8365472574167</v>
      </c>
      <c r="N108" s="218">
        <f>Saldo_relativo_per_capita!N108*Saldo_relativo_per_capita!N$552/1000000</f>
        <v>-787.5286480928022</v>
      </c>
      <c r="O108" s="218">
        <f>Saldo_relativo_per_capita!O108*Saldo_relativo_per_capita!O$552/1000000</f>
        <v>452.03593530686396</v>
      </c>
      <c r="P108" s="218">
        <f>Saldo_relativo_per_capita!P108*Saldo_relativo_per_capita!P$552/1000000</f>
        <v>1004.5450140021525</v>
      </c>
      <c r="Q108" s="218">
        <f>Saldo_relativo_per_capita!Q108*Saldo_relativo_per_capita!Q$552/1000000</f>
        <v>266.21838421950838</v>
      </c>
      <c r="R108" s="218">
        <f>Saldo_relativo_per_capita!R108*Saldo_relativo_per_capita!R$552/1000000</f>
        <v>-214.89609689619229</v>
      </c>
      <c r="S108" s="218">
        <f>Saldo_relativo_per_capita!S108*Saldo_relativo_per_capita!S$552/1000000</f>
        <v>-1280.3887174948661</v>
      </c>
      <c r="T108" s="218">
        <f>Saldo_relativo_per_capita!T108*Saldo_relativo_per_capita!T$552/1000000</f>
        <v>-4375.2442188133909</v>
      </c>
      <c r="U108" s="218">
        <f>Saldo_relativo_per_capita!U108*Saldo_relativo_per_capita!U$552/1000000</f>
        <v>203.36951914820574</v>
      </c>
      <c r="V108" s="218">
        <f>Saldo_relativo_per_capita!V108*Saldo_relativo_per_capita!V$552/1000000</f>
        <v>-266.5361883667876</v>
      </c>
      <c r="W108" s="148"/>
    </row>
    <row r="109" spans="1:23" s="115" customFormat="1">
      <c r="A109" s="351" t="str">
        <f>IF(B109="","",(IF(ISERROR(MATCH(B109,Tot_res!C:C,0)),"Eliminar!!!","")))</f>
        <v/>
      </c>
      <c r="B109" s="115" t="s">
        <v>981</v>
      </c>
      <c r="C109" s="329" t="str">
        <f>VLOOKUP(B109,Tot_res!C:D,2,FALSE)</f>
        <v>Transferencias a Comunidades Autónomas por participación en ingresos del Estado</v>
      </c>
      <c r="D109" s="336">
        <f>Saldo_relativo_per_capita!D109*Saldo_relativo_per_capita!D$552/1000000</f>
        <v>0</v>
      </c>
      <c r="E109" s="336">
        <f>Saldo_relativo_per_capita!E109*Saldo_relativo_per_capita!E$552/1000000</f>
        <v>2054.5591723727189</v>
      </c>
      <c r="F109" s="336">
        <f>Saldo_relativo_per_capita!F109*Saldo_relativo_per_capita!F$552/1000000</f>
        <v>-33.67866194202611</v>
      </c>
      <c r="G109" s="336">
        <f>Saldo_relativo_per_capita!G109*Saldo_relativo_per_capita!G$552/1000000</f>
        <v>9.342712198181248</v>
      </c>
      <c r="H109" s="336">
        <f>Saldo_relativo_per_capita!H109*Saldo_relativo_per_capita!H$552/1000000</f>
        <v>-42.282153302889434</v>
      </c>
      <c r="I109" s="336">
        <f>Saldo_relativo_per_capita!I109*Saldo_relativo_per_capita!I$552/1000000</f>
        <v>1998.7397183761941</v>
      </c>
      <c r="J109" s="336">
        <f>Saldo_relativo_per_capita!J109*Saldo_relativo_per_capita!J$552/1000000</f>
        <v>262.97636369004988</v>
      </c>
      <c r="K109" s="336">
        <f>Saldo_relativo_per_capita!K109*Saldo_relativo_per_capita!K$552/1000000</f>
        <v>491.16439622948917</v>
      </c>
      <c r="L109" s="336">
        <f>Saldo_relativo_per_capita!L109*Saldo_relativo_per_capita!L$552/1000000</f>
        <v>466.19966959826218</v>
      </c>
      <c r="M109" s="336">
        <f>Saldo_relativo_per_capita!M109*Saldo_relativo_per_capita!M$552/1000000</f>
        <v>-2086.0270043857527</v>
      </c>
      <c r="N109" s="336">
        <f>Saldo_relativo_per_capita!N109*Saldo_relativo_per_capita!N$552/1000000</f>
        <v>500.78484608280053</v>
      </c>
      <c r="O109" s="336">
        <f>Saldo_relativo_per_capita!O109*Saldo_relativo_per_capita!O$552/1000000</f>
        <v>786.36767744378437</v>
      </c>
      <c r="P109" s="336">
        <f>Saldo_relativo_per_capita!P109*Saldo_relativo_per_capita!P$552/1000000</f>
        <v>877.52971779925815</v>
      </c>
      <c r="Q109" s="336">
        <f>Saldo_relativo_per_capita!Q109*Saldo_relativo_per_capita!Q$552/1000000</f>
        <v>-4706.208755493898</v>
      </c>
      <c r="R109" s="336">
        <f>Saldo_relativo_per_capita!R109*Saldo_relativo_per_capita!R$552/1000000</f>
        <v>232.21581241002582</v>
      </c>
      <c r="S109" s="336">
        <f>Saldo_relativo_per_capita!S109*Saldo_relativo_per_capita!S$552/1000000</f>
        <v>-218.99685832462387</v>
      </c>
      <c r="T109" s="336">
        <f>Saldo_relativo_per_capita!T109*Saldo_relativo_per_capita!T$552/1000000</f>
        <v>-748.33894209704931</v>
      </c>
      <c r="U109" s="336">
        <f>Saldo_relativo_per_capita!U109*Saldo_relativo_per_capita!U$552/1000000</f>
        <v>139.92582384515941</v>
      </c>
      <c r="V109" s="336">
        <f>Saldo_relativo_per_capita!V109*Saldo_relativo_per_capita!V$552/1000000</f>
        <v>15.726465500315266</v>
      </c>
      <c r="W109" s="148"/>
    </row>
    <row r="110" spans="1:23" s="115" customFormat="1">
      <c r="A110" s="351" t="str">
        <f>IF(B110="","",(IF(ISERROR(MATCH(B110,Tot_res!C:C,0)),"Eliminar!!!","")))</f>
        <v/>
      </c>
      <c r="B110" s="115" t="s">
        <v>201</v>
      </c>
      <c r="C110" s="329" t="str">
        <f>VLOOKUP(B110,Tot_res!C:D,2,FALSE)</f>
        <v>Transferencias al Estado por Fondos de Suficiencia negativos</v>
      </c>
      <c r="D110" s="336">
        <f>Saldo_relativo_per_capita!D110*Saldo_relativo_per_capita!D$552/1000000</f>
        <v>0</v>
      </c>
      <c r="E110" s="336">
        <f>Saldo_relativo_per_capita!E110*Saldo_relativo_per_capita!E$552/1000000</f>
        <v>472.84978228721025</v>
      </c>
      <c r="F110" s="336">
        <f>Saldo_relativo_per_capita!F110*Saldo_relativo_per_capita!F$552/1000000</f>
        <v>72.497261510009835</v>
      </c>
      <c r="G110" s="336">
        <f>Saldo_relativo_per_capita!G110*Saldo_relativo_per_capita!G$552/1000000</f>
        <v>56.416394111457613</v>
      </c>
      <c r="H110" s="336">
        <f>Saldo_relativo_per_capita!H110*Saldo_relativo_per_capita!H$552/1000000</f>
        <v>-571.97457499969937</v>
      </c>
      <c r="I110" s="336">
        <f>Saldo_relativo_per_capita!I110*Saldo_relativo_per_capita!I$552/1000000</f>
        <v>125.69305416464577</v>
      </c>
      <c r="J110" s="336">
        <f>Saldo_relativo_per_capita!J110*Saldo_relativo_per_capita!J$552/1000000</f>
        <v>40.957298549748131</v>
      </c>
      <c r="K110" s="336">
        <f>Saldo_relativo_per_capita!K110*Saldo_relativo_per_capita!K$552/1000000</f>
        <v>130.18692783025898</v>
      </c>
      <c r="L110" s="336">
        <f>Saldo_relativo_per_capita!L110*Saldo_relativo_per_capita!L$552/1000000</f>
        <v>109.9192648341397</v>
      </c>
      <c r="M110" s="336">
        <f>Saldo_relativo_per_capita!M110*Saldo_relativo_per_capita!M$552/1000000</f>
        <v>396.46298359686142</v>
      </c>
      <c r="N110" s="336">
        <f>Saldo_relativo_per_capita!N110*Saldo_relativo_per_capita!N$552/1000000</f>
        <v>-1003.5520217336457</v>
      </c>
      <c r="O110" s="336">
        <f>Saldo_relativo_per_capita!O110*Saldo_relativo_per_capita!O$552/1000000</f>
        <v>62.332315408706052</v>
      </c>
      <c r="P110" s="336">
        <f>Saldo_relativo_per_capita!P110*Saldo_relativo_per_capita!P$552/1000000</f>
        <v>146.38349565035324</v>
      </c>
      <c r="Q110" s="336">
        <f>Saldo_relativo_per_capita!Q110*Saldo_relativo_per_capita!Q$552/1000000</f>
        <v>-242.29193927066078</v>
      </c>
      <c r="R110" s="336">
        <f>Saldo_relativo_per_capita!R110*Saldo_relativo_per_capita!R$552/1000000</f>
        <v>-87.28121270765574</v>
      </c>
      <c r="S110" s="336">
        <f>Saldo_relativo_per_capita!S110*Saldo_relativo_per_capita!S$552/1000000</f>
        <v>57.965503711978265</v>
      </c>
      <c r="T110" s="336">
        <f>Saldo_relativo_per_capita!T110*Saldo_relativo_per_capita!T$552/1000000</f>
        <v>198.07518727800405</v>
      </c>
      <c r="U110" s="336">
        <f>Saldo_relativo_per_capita!U110*Saldo_relativo_per_capita!U$552/1000000</f>
        <v>20.009215476227148</v>
      </c>
      <c r="V110" s="336">
        <f>Saldo_relativo_per_capita!V110*Saldo_relativo_per_capita!V$552/1000000</f>
        <v>15.351064302061205</v>
      </c>
      <c r="W110" s="148"/>
    </row>
    <row r="111" spans="1:23" s="115" customFormat="1">
      <c r="A111" s="351" t="str">
        <f>IF(B111="","",(IF(ISERROR(MATCH(B111,Tot_res!C:C,0)),"Eliminar!!!","")))</f>
        <v/>
      </c>
      <c r="B111" s="115" t="s">
        <v>202</v>
      </c>
      <c r="C111" s="329" t="str">
        <f>VLOOKUP(B111,Tot_res!C:D,2,FALSE)</f>
        <v>Otros Flujos de financiación regional, en parte extrapresupuestarios</v>
      </c>
      <c r="D111" s="336">
        <f>Saldo_relativo_per_capita!D111*Saldo_relativo_per_capita!D$552/1000000</f>
        <v>0</v>
      </c>
      <c r="E111" s="336">
        <f>Saldo_relativo_per_capita!E111*Saldo_relativo_per_capita!E$552/1000000</f>
        <v>-165.19538584405595</v>
      </c>
      <c r="F111" s="336">
        <f>Saldo_relativo_per_capita!F111*Saldo_relativo_per_capita!F$552/1000000</f>
        <v>-20.366942008632357</v>
      </c>
      <c r="G111" s="336">
        <f>Saldo_relativo_per_capita!G111*Saldo_relativo_per_capita!G$552/1000000</f>
        <v>-20.103376050908928</v>
      </c>
      <c r="H111" s="336">
        <f>Saldo_relativo_per_capita!H111*Saldo_relativo_per_capita!H$552/1000000</f>
        <v>23.948393637876805</v>
      </c>
      <c r="I111" s="336">
        <f>Saldo_relativo_per_capita!I111*Saldo_relativo_per_capita!I$552/1000000</f>
        <v>-33.163629519672952</v>
      </c>
      <c r="J111" s="336">
        <f>Saldo_relativo_per_capita!J111*Saldo_relativo_per_capita!J$552/1000000</f>
        <v>-17.316491235360722</v>
      </c>
      <c r="K111" s="336">
        <f>Saldo_relativo_per_capita!K111*Saldo_relativo_per_capita!K$552/1000000</f>
        <v>-56.24281179805466</v>
      </c>
      <c r="L111" s="336">
        <f>Saldo_relativo_per_capita!L111*Saldo_relativo_per_capita!L$552/1000000</f>
        <v>-21.975814147836847</v>
      </c>
      <c r="M111" s="336">
        <f>Saldo_relativo_per_capita!M111*Saldo_relativo_per_capita!M$552/1000000</f>
        <v>69.559950463410388</v>
      </c>
      <c r="N111" s="336">
        <f>Saldo_relativo_per_capita!N111*Saldo_relativo_per_capita!N$552/1000000</f>
        <v>26.036741906522387</v>
      </c>
      <c r="O111" s="336">
        <f>Saldo_relativo_per_capita!O111*Saldo_relativo_per_capita!O$552/1000000</f>
        <v>-42.254741580974979</v>
      </c>
      <c r="P111" s="336">
        <f>Saldo_relativo_per_capita!P111*Saldo_relativo_per_capita!P$552/1000000</f>
        <v>-70.045262882178505</v>
      </c>
      <c r="Q111" s="336">
        <f>Saldo_relativo_per_capita!Q111*Saldo_relativo_per_capita!Q$552/1000000</f>
        <v>186.04948871603114</v>
      </c>
      <c r="R111" s="336">
        <f>Saldo_relativo_per_capita!R111*Saldo_relativo_per_capita!R$552/1000000</f>
        <v>1.7189910460556312</v>
      </c>
      <c r="S111" s="336">
        <f>Saldo_relativo_per_capita!S111*Saldo_relativo_per_capita!S$552/1000000</f>
        <v>31.771845824047087</v>
      </c>
      <c r="T111" s="336">
        <f>Saldo_relativo_per_capita!T111*Saldo_relativo_per_capita!T$552/1000000</f>
        <v>108.56826748260517</v>
      </c>
      <c r="U111" s="336">
        <f>Saldo_relativo_per_capita!U111*Saldo_relativo_per_capita!U$552/1000000</f>
        <v>-8.2302448002379958</v>
      </c>
      <c r="V111" s="336">
        <f>Saldo_relativo_per_capita!V111*Saldo_relativo_per_capita!V$552/1000000</f>
        <v>7.2410207913655986</v>
      </c>
      <c r="W111" s="148"/>
    </row>
    <row r="112" spans="1:23" s="115" customFormat="1">
      <c r="A112" s="351" t="str">
        <f>IF(B112="","",(IF(ISERROR(MATCH(B112,Tot_res!C:C,0)),"Eliminar!!!","")))</f>
        <v/>
      </c>
      <c r="B112" s="115" t="s">
        <v>1193</v>
      </c>
      <c r="C112" s="329" t="str">
        <f>VLOOKUP(B112,Tot_res!C:D,2,FALSE)</f>
        <v xml:space="preserve"> Compensación  a CC.AA por Impuesto de Depósito de Entidades de Crédito y otros</v>
      </c>
      <c r="D112" s="336">
        <f>Saldo_relativo_per_capita!D112*Saldo_relativo_per_capita!D$552/1000000</f>
        <v>0</v>
      </c>
      <c r="E112" s="336">
        <f>Saldo_relativo_per_capita!E112*Saldo_relativo_per_capita!E$552/1000000</f>
        <v>217.45368486593318</v>
      </c>
      <c r="F112" s="336">
        <f>Saldo_relativo_per_capita!F112*Saldo_relativo_per_capita!F$552/1000000</f>
        <v>-10.752787769115292</v>
      </c>
      <c r="G112" s="336">
        <f>Saldo_relativo_per_capita!G112*Saldo_relativo_per_capita!G$552/1000000</f>
        <v>-8.595718901830816</v>
      </c>
      <c r="H112" s="336">
        <f>Saldo_relativo_per_capita!H112*Saldo_relativo_per_capita!H$552/1000000</f>
        <v>-8.9819228595797878</v>
      </c>
      <c r="I112" s="336">
        <f>Saldo_relativo_per_capita!I112*Saldo_relativo_per_capita!I$552/1000000</f>
        <v>77.029086614807113</v>
      </c>
      <c r="J112" s="336">
        <f>Saldo_relativo_per_capita!J112*Saldo_relativo_per_capita!J$552/1000000</f>
        <v>-4.775214067837954</v>
      </c>
      <c r="K112" s="336">
        <f>Saldo_relativo_per_capita!K112*Saldo_relativo_per_capita!K$552/1000000</f>
        <v>-20.20533873255474</v>
      </c>
      <c r="L112" s="336">
        <f>Saldo_relativo_per_capita!L112*Saldo_relativo_per_capita!L$552/1000000</f>
        <v>-16.832766377155238</v>
      </c>
      <c r="M112" s="336">
        <f>Saldo_relativo_per_capita!M112*Saldo_relativo_per_capita!M$552/1000000</f>
        <v>-61.130554783532212</v>
      </c>
      <c r="N112" s="336">
        <f>Saldo_relativo_per_capita!N112*Saldo_relativo_per_capita!N$552/1000000</f>
        <v>-40.621601550865428</v>
      </c>
      <c r="O112" s="336">
        <f>Saldo_relativo_per_capita!O112*Saldo_relativo_per_capita!O$552/1000000</f>
        <v>-8.9197143093786302</v>
      </c>
      <c r="P112" s="336">
        <f>Saldo_relativo_per_capita!P112*Saldo_relativo_per_capita!P$552/1000000</f>
        <v>-22.297127675363804</v>
      </c>
      <c r="Q112" s="336">
        <f>Saldo_relativo_per_capita!Q112*Saldo_relativo_per_capita!Q$552/1000000</f>
        <v>-52.442946872288381</v>
      </c>
      <c r="R112" s="336">
        <f>Saldo_relativo_per_capita!R112*Saldo_relativo_per_capita!R$552/1000000</f>
        <v>-11.936076405736534</v>
      </c>
      <c r="S112" s="336">
        <f>Saldo_relativo_per_capita!S112*Saldo_relativo_per_capita!S$552/1000000</f>
        <v>-5.2122482528144607</v>
      </c>
      <c r="T112" s="336">
        <f>Saldo_relativo_per_capita!T112*Saldo_relativo_per_capita!T$552/1000000</f>
        <v>-17.810887212256386</v>
      </c>
      <c r="U112" s="336">
        <f>Saldo_relativo_per_capita!U112*Saldo_relativo_per_capita!U$552/1000000</f>
        <v>-2.5875006145826878</v>
      </c>
      <c r="V112" s="336">
        <f>Saldo_relativo_per_capita!V112*Saldo_relativo_per_capita!V$552/1000000</f>
        <v>-1.3803650958479738</v>
      </c>
      <c r="W112" s="148"/>
    </row>
    <row r="113" spans="1:23" s="115" customFormat="1">
      <c r="A113" s="351" t="str">
        <f>IF(B113="","",(IF(ISERROR(MATCH(B113,Tot_res!C:C,0)),"Eliminar!!!","")))</f>
        <v/>
      </c>
      <c r="B113" s="115" t="s">
        <v>935</v>
      </c>
      <c r="C113" s="329" t="str">
        <f>VLOOKUP(B113,Tot_res!C:D,2,FALSE)</f>
        <v>Participación CCAARC en IRPF, sin ejercicio de la capacidad normativa</v>
      </c>
      <c r="D113" s="336">
        <f>Saldo_relativo_per_capita!D113*Saldo_relativo_per_capita!D$552/1000000</f>
        <v>0</v>
      </c>
      <c r="E113" s="336">
        <f>Saldo_relativo_per_capita!E113*Saldo_relativo_per_capita!E$552/1000000</f>
        <v>-1913.165864069869</v>
      </c>
      <c r="F113" s="336">
        <f>Saldo_relativo_per_capita!F113*Saldo_relativo_per_capita!F$552/1000000</f>
        <v>137.93908162851787</v>
      </c>
      <c r="G113" s="336">
        <f>Saldo_relativo_per_capita!G113*Saldo_relativo_per_capita!G$552/1000000</f>
        <v>110.26026852817965</v>
      </c>
      <c r="H113" s="336">
        <f>Saldo_relativo_per_capita!H113*Saldo_relativo_per_capita!H$552/1000000</f>
        <v>1.6313580496681335</v>
      </c>
      <c r="I113" s="336">
        <f>Saldo_relativo_per_capita!I113*Saldo_relativo_per_capita!I$552/1000000</f>
        <v>-392.11283432031769</v>
      </c>
      <c r="J113" s="336">
        <f>Saldo_relativo_per_capita!J113*Saldo_relativo_per_capita!J$552/1000000</f>
        <v>40.777520553940448</v>
      </c>
      <c r="K113" s="336">
        <f>Saldo_relativo_per_capita!K113*Saldo_relativo_per_capita!K$552/1000000</f>
        <v>5.4890783361204472</v>
      </c>
      <c r="L113" s="336">
        <f>Saldo_relativo_per_capita!L113*Saldo_relativo_per_capita!L$552/1000000</f>
        <v>-360.34737232120483</v>
      </c>
      <c r="M113" s="336">
        <f>Saldo_relativo_per_capita!M113*Saldo_relativo_per_capita!M$552/1000000</f>
        <v>1801.3353547993722</v>
      </c>
      <c r="N113" s="336">
        <f>Saldo_relativo_per_capita!N113*Saldo_relativo_per_capita!N$552/1000000</f>
        <v>-601.9647755513912</v>
      </c>
      <c r="O113" s="336">
        <f>Saldo_relativo_per_capita!O113*Saldo_relativo_per_capita!O$552/1000000</f>
        <v>-299.28600880736394</v>
      </c>
      <c r="P113" s="336">
        <f>Saldo_relativo_per_capita!P113*Saldo_relativo_per_capita!P$552/1000000</f>
        <v>-164.41700257564415</v>
      </c>
      <c r="Q113" s="336">
        <f>Saldo_relativo_per_capita!Q113*Saldo_relativo_per_capita!Q$552/1000000</f>
        <v>3992.509590882863</v>
      </c>
      <c r="R113" s="336">
        <f>Saldo_relativo_per_capita!R113*Saldo_relativo_per_capita!R$552/1000000</f>
        <v>-319.13756026213247</v>
      </c>
      <c r="S113" s="336">
        <f>Saldo_relativo_per_capita!S113*Saldo_relativo_per_capita!S$552/1000000</f>
        <v>-438.67289930135075</v>
      </c>
      <c r="T113" s="336">
        <f>Saldo_relativo_per_capita!T113*Saldo_relativo_per_capita!T$552/1000000</f>
        <v>-1498.9987340512778</v>
      </c>
      <c r="U113" s="336">
        <f>Saldo_relativo_per_capita!U113*Saldo_relativo_per_capita!U$552/1000000</f>
        <v>14.33499612549781</v>
      </c>
      <c r="V113" s="336">
        <f>Saldo_relativo_per_capita!V113*Saldo_relativo_per_capita!V$552/1000000</f>
        <v>-116.17419764360798</v>
      </c>
      <c r="W113" s="148"/>
    </row>
    <row r="114" spans="1:23" s="115" customFormat="1">
      <c r="A114" s="351" t="str">
        <f>IF(B114="","",(IF(ISERROR(MATCH(B114,Tot_res!C:C,0)),"Eliminar!!!","")))</f>
        <v/>
      </c>
      <c r="B114" s="115" t="s">
        <v>203</v>
      </c>
      <c r="C114" s="329" t="str">
        <f>VLOOKUP(B114,Tot_res!C:D,2,FALSE)</f>
        <v>Participación CCAARC en el IVA</v>
      </c>
      <c r="D114" s="336">
        <f>Saldo_relativo_per_capita!D114*Saldo_relativo_per_capita!D$552/1000000</f>
        <v>0</v>
      </c>
      <c r="E114" s="336">
        <f>Saldo_relativo_per_capita!E114*Saldo_relativo_per_capita!E$552/1000000</f>
        <v>-144.09492770170885</v>
      </c>
      <c r="F114" s="336">
        <f>Saldo_relativo_per_capita!F114*Saldo_relativo_per_capita!F$552/1000000</f>
        <v>173.48913449136077</v>
      </c>
      <c r="G114" s="336">
        <f>Saldo_relativo_per_capita!G114*Saldo_relativo_per_capita!G$552/1000000</f>
        <v>144.53761630894221</v>
      </c>
      <c r="H114" s="336">
        <f>Saldo_relativo_per_capita!H114*Saldo_relativo_per_capita!H$552/1000000</f>
        <v>426.96843854293149</v>
      </c>
      <c r="I114" s="336">
        <f>Saldo_relativo_per_capita!I114*Saldo_relativo_per_capita!I$552/1000000</f>
        <v>-1293.9737822672639</v>
      </c>
      <c r="J114" s="336">
        <f>Saldo_relativo_per_capita!J114*Saldo_relativo_per_capita!J$552/1000000</f>
        <v>67.512136022739071</v>
      </c>
      <c r="K114" s="336">
        <f>Saldo_relativo_per_capita!K114*Saldo_relativo_per_capita!K$552/1000000</f>
        <v>238.14485067868418</v>
      </c>
      <c r="L114" s="336">
        <f>Saldo_relativo_per_capita!L114*Saldo_relativo_per_capita!L$552/1000000</f>
        <v>43.881573353470898</v>
      </c>
      <c r="M114" s="336">
        <f>Saldo_relativo_per_capita!M114*Saldo_relativo_per_capita!M$552/1000000</f>
        <v>1026.5894668721701</v>
      </c>
      <c r="N114" s="336">
        <f>Saldo_relativo_per_capita!N114*Saldo_relativo_per_capita!N$552/1000000</f>
        <v>197.12157829583307</v>
      </c>
      <c r="O114" s="336">
        <f>Saldo_relativo_per_capita!O114*Saldo_relativo_per_capita!O$552/1000000</f>
        <v>-13.033541955111142</v>
      </c>
      <c r="P114" s="336">
        <f>Saldo_relativo_per_capita!P114*Saldo_relativo_per_capita!P$552/1000000</f>
        <v>215.33912228563273</v>
      </c>
      <c r="Q114" s="336">
        <f>Saldo_relativo_per_capita!Q114*Saldo_relativo_per_capita!Q$552/1000000</f>
        <v>788.35075998450816</v>
      </c>
      <c r="R114" s="336">
        <f>Saldo_relativo_per_capita!R114*Saldo_relativo_per_capita!R$552/1000000</f>
        <v>-59.798990746174162</v>
      </c>
      <c r="S114" s="336">
        <f>Saldo_relativo_per_capita!S114*Saldo_relativo_per_capita!S$552/1000000</f>
        <v>-394.26323573339459</v>
      </c>
      <c r="T114" s="336">
        <f>Saldo_relativo_per_capita!T114*Saldo_relativo_per_capita!T$552/1000000</f>
        <v>-1347.2455038562243</v>
      </c>
      <c r="U114" s="336">
        <f>Saldo_relativo_per_capita!U114*Saldo_relativo_per_capita!U$552/1000000</f>
        <v>34.888445931364537</v>
      </c>
      <c r="V114" s="336">
        <f>Saldo_relativo_per_capita!V114*Saldo_relativo_per_capita!V$552/1000000</f>
        <v>-104.41314050776319</v>
      </c>
      <c r="W114" s="148"/>
    </row>
    <row r="115" spans="1:23" s="115"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6">
        <f>Saldo_relativo_per_capita!D115*Saldo_relativo_per_capita!D$552/1000000</f>
        <v>0</v>
      </c>
      <c r="E115" s="336">
        <f>Saldo_relativo_per_capita!E115*Saldo_relativo_per_capita!E$552/1000000</f>
        <v>-143.46544024360765</v>
      </c>
      <c r="F115" s="336">
        <f>Saldo_relativo_per_capita!F115*Saldo_relativo_per_capita!F$552/1000000</f>
        <v>135.37711045846137</v>
      </c>
      <c r="G115" s="336">
        <f>Saldo_relativo_per_capita!G115*Saldo_relativo_per_capita!G$552/1000000</f>
        <v>43.066266443283055</v>
      </c>
      <c r="H115" s="336">
        <f>Saldo_relativo_per_capita!H115*Saldo_relativo_per_capita!H$552/1000000</f>
        <v>109.37335788403608</v>
      </c>
      <c r="I115" s="336">
        <f>Saldo_relativo_per_capita!I115*Saldo_relativo_per_capita!I$552/1000000</f>
        <v>-458.13478329284169</v>
      </c>
      <c r="J115" s="336">
        <f>Saldo_relativo_per_capita!J115*Saldo_relativo_per_capita!J$552/1000000</f>
        <v>32.0823210516171</v>
      </c>
      <c r="K115" s="336">
        <f>Saldo_relativo_per_capita!K115*Saldo_relativo_per_capita!K$552/1000000</f>
        <v>152.97188448905169</v>
      </c>
      <c r="L115" s="336">
        <f>Saldo_relativo_per_capita!L115*Saldo_relativo_per_capita!L$552/1000000</f>
        <v>122.45168033507552</v>
      </c>
      <c r="M115" s="336">
        <f>Saldo_relativo_per_capita!M115*Saldo_relativo_per_capita!M$552/1000000</f>
        <v>307.58004342734677</v>
      </c>
      <c r="N115" s="336">
        <f>Saldo_relativo_per_capita!N115*Saldo_relativo_per_capita!N$552/1000000</f>
        <v>119.20092517629591</v>
      </c>
      <c r="O115" s="336">
        <f>Saldo_relativo_per_capita!O115*Saldo_relativo_per_capita!O$552/1000000</f>
        <v>62.375507734124589</v>
      </c>
      <c r="P115" s="336">
        <f>Saldo_relativo_per_capita!P115*Saldo_relativo_per_capita!P$552/1000000</f>
        <v>121.63939499418348</v>
      </c>
      <c r="Q115" s="336">
        <f>Saldo_relativo_per_capita!Q115*Saldo_relativo_per_capita!Q$552/1000000</f>
        <v>-22.394575159945944</v>
      </c>
      <c r="R115" s="336">
        <f>Saldo_relativo_per_capita!R115*Saldo_relativo_per_capita!R$552/1000000</f>
        <v>98.196938519234862</v>
      </c>
      <c r="S115" s="336">
        <f>Saldo_relativo_per_capita!S115*Saldo_relativo_per_capita!S$552/1000000</f>
        <v>-147.99324852102617</v>
      </c>
      <c r="T115" s="336">
        <f>Saldo_relativo_per_capita!T115*Saldo_relativo_per_capita!T$552/1000000</f>
        <v>-505.71095806116347</v>
      </c>
      <c r="U115" s="336">
        <f>Saldo_relativo_per_capita!U115*Saldo_relativo_per_capita!U$552/1000000</f>
        <v>12.576779841874121</v>
      </c>
      <c r="V115" s="336">
        <f>Saldo_relativo_per_capita!V115*Saldo_relativo_per_capita!V$552/1000000</f>
        <v>-39.193205075999892</v>
      </c>
      <c r="W115" s="148"/>
    </row>
    <row r="116" spans="1:23" s="115" customFormat="1">
      <c r="A116" s="351" t="str">
        <f>IF(B116="","",(IF(ISERROR(MATCH(B116,Tot_res!C:C,0)),"Eliminar!!!","")))</f>
        <v/>
      </c>
      <c r="B116" s="115" t="s">
        <v>204</v>
      </c>
      <c r="C116" s="329" t="str">
        <f>VLOOKUP(B116,Tot_res!C:D,2,FALSE)</f>
        <v>Participación de las CCAARC en el impuesto sobre la electricidad</v>
      </c>
      <c r="D116" s="336">
        <f>Saldo_relativo_per_capita!D116*Saldo_relativo_per_capita!D$552/1000000</f>
        <v>0</v>
      </c>
      <c r="E116" s="336">
        <f>Saldo_relativo_per_capita!E116*Saldo_relativo_per_capita!E$552/1000000</f>
        <v>-28.683609379073189</v>
      </c>
      <c r="F116" s="336">
        <f>Saldo_relativo_per_capita!F116*Saldo_relativo_per_capita!F$552/1000000</f>
        <v>30.173157799175019</v>
      </c>
      <c r="G116" s="336">
        <f>Saldo_relativo_per_capita!G116*Saldo_relativo_per_capita!G$552/1000000</f>
        <v>39.022511919941124</v>
      </c>
      <c r="H116" s="336">
        <f>Saldo_relativo_per_capita!H116*Saldo_relativo_per_capita!H$552/1000000</f>
        <v>-0.15273360395443503</v>
      </c>
      <c r="I116" s="336">
        <f>Saldo_relativo_per_capita!I116*Saldo_relativo_per_capita!I$552/1000000</f>
        <v>-18.981414938792856</v>
      </c>
      <c r="J116" s="336">
        <f>Saldo_relativo_per_capita!J116*Saldo_relativo_per_capita!J$552/1000000</f>
        <v>14.744595034107716</v>
      </c>
      <c r="K116" s="336">
        <f>Saldo_relativo_per_capita!K116*Saldo_relativo_per_capita!K$552/1000000</f>
        <v>3.6470927863350928</v>
      </c>
      <c r="L116" s="336">
        <f>Saldo_relativo_per_capita!L116*Saldo_relativo_per_capita!L$552/1000000</f>
        <v>11.024473152164477</v>
      </c>
      <c r="M116" s="336">
        <f>Saldo_relativo_per_capita!M116*Saldo_relativo_per_capita!M$552/1000000</f>
        <v>58.772220695959817</v>
      </c>
      <c r="N116" s="336">
        <f>Saldo_relativo_per_capita!N116*Saldo_relativo_per_capita!N$552/1000000</f>
        <v>-7.8719571734794984</v>
      </c>
      <c r="O116" s="336">
        <f>Saldo_relativo_per_capita!O116*Saldo_relativo_per_capita!O$552/1000000</f>
        <v>-5.921152736934431</v>
      </c>
      <c r="P116" s="336">
        <f>Saldo_relativo_per_capita!P116*Saldo_relativo_per_capita!P$552/1000000</f>
        <v>43.536105042306474</v>
      </c>
      <c r="Q116" s="336">
        <f>Saldo_relativo_per_capita!Q116*Saldo_relativo_per_capita!Q$552/1000000</f>
        <v>-27.311544795505771</v>
      </c>
      <c r="R116" s="336">
        <f>Saldo_relativo_per_capita!R116*Saldo_relativo_per_capita!R$552/1000000</f>
        <v>2.4237827878242357</v>
      </c>
      <c r="S116" s="336">
        <f>Saldo_relativo_per_capita!S116*Saldo_relativo_per_capita!S$552/1000000</f>
        <v>-24.361889422132531</v>
      </c>
      <c r="T116" s="336">
        <f>Saldo_relativo_per_capita!T116*Saldo_relativo_per_capita!T$552/1000000</f>
        <v>-83.247543810056911</v>
      </c>
      <c r="U116" s="336">
        <f>Saldo_relativo_per_capita!U116*Saldo_relativo_per_capita!U$552/1000000</f>
        <v>-0.36030898459375937</v>
      </c>
      <c r="V116" s="336">
        <f>Saldo_relativo_per_capita!V116*Saldo_relativo_per_capita!V$552/1000000</f>
        <v>-6.4517843732906277</v>
      </c>
      <c r="W116" s="148"/>
    </row>
    <row r="117" spans="1:23" s="115" customFormat="1">
      <c r="A117" s="351" t="str">
        <f>IF(B117="","",(IF(ISERROR(MATCH(B117,Tot_res!C:C,0)),"Eliminar!!!","")))</f>
        <v/>
      </c>
      <c r="B117" s="115" t="s">
        <v>936</v>
      </c>
      <c r="C117" s="329" t="str">
        <f>VLOOKUP(B117,Tot_res!C:D,2,FALSE)</f>
        <v>Sucesiones y donaciones, ingresos homogeneizados de las CCAARC</v>
      </c>
      <c r="D117" s="336">
        <f>Saldo_relativo_per_capita!D117*Saldo_relativo_per_capita!D$552/1000000</f>
        <v>0</v>
      </c>
      <c r="E117" s="336">
        <f>Saldo_relativo_per_capita!E117*Saldo_relativo_per_capita!E$552/1000000</f>
        <v>-75.611171993781838</v>
      </c>
      <c r="F117" s="336">
        <f>Saldo_relativo_per_capita!F117*Saldo_relativo_per_capita!F$552/1000000</f>
        <v>31.490425288653885</v>
      </c>
      <c r="G117" s="336">
        <f>Saldo_relativo_per_capita!G117*Saldo_relativo_per_capita!G$552/1000000</f>
        <v>31.080526543021236</v>
      </c>
      <c r="H117" s="336">
        <f>Saldo_relativo_per_capita!H117*Saldo_relativo_per_capita!H$552/1000000</f>
        <v>-5.8749901142916121</v>
      </c>
      <c r="I117" s="336">
        <f>Saldo_relativo_per_capita!I117*Saldo_relativo_per_capita!I$552/1000000</f>
        <v>-29.437067466596201</v>
      </c>
      <c r="J117" s="336">
        <f>Saldo_relativo_per_capita!J117*Saldo_relativo_per_capita!J$552/1000000</f>
        <v>14.314381612444437</v>
      </c>
      <c r="K117" s="336">
        <f>Saldo_relativo_per_capita!K117*Saldo_relativo_per_capita!K$552/1000000</f>
        <v>51.779173228757664</v>
      </c>
      <c r="L117" s="336">
        <f>Saldo_relativo_per_capita!L117*Saldo_relativo_per_capita!L$552/1000000</f>
        <v>-6.9366287123066801</v>
      </c>
      <c r="M117" s="336">
        <f>Saldo_relativo_per_capita!M117*Saldo_relativo_per_capita!M$552/1000000</f>
        <v>53.888288198644034</v>
      </c>
      <c r="N117" s="336">
        <f>Saldo_relativo_per_capita!N117*Saldo_relativo_per_capita!N$552/1000000</f>
        <v>1.1308310844328198</v>
      </c>
      <c r="O117" s="336">
        <f>Saldo_relativo_per_capita!O117*Saldo_relativo_per_capita!O$552/1000000</f>
        <v>0.39946058870831658</v>
      </c>
      <c r="P117" s="336">
        <f>Saldo_relativo_per_capita!P117*Saldo_relativo_per_capita!P$552/1000000</f>
        <v>57.848480463426405</v>
      </c>
      <c r="Q117" s="336">
        <f>Saldo_relativo_per_capita!Q117*Saldo_relativo_per_capita!Q$552/1000000</f>
        <v>40.089203798241911</v>
      </c>
      <c r="R117" s="336">
        <f>Saldo_relativo_per_capita!R117*Saldo_relativo_per_capita!R$552/1000000</f>
        <v>-18.249582541465514</v>
      </c>
      <c r="S117" s="336">
        <f>Saldo_relativo_per_capita!S117*Saldo_relativo_per_capita!S$552/1000000</f>
        <v>-32.259269303049344</v>
      </c>
      <c r="T117" s="336">
        <f>Saldo_relativo_per_capita!T117*Saldo_relativo_per_capita!T$552/1000000</f>
        <v>-110.23385288606843</v>
      </c>
      <c r="U117" s="336">
        <f>Saldo_relativo_per_capita!U117*Saldo_relativo_per_capita!U$552/1000000</f>
        <v>5.1250478666837305</v>
      </c>
      <c r="V117" s="336">
        <f>Saldo_relativo_per_capita!V117*Saldo_relativo_per_capita!V$552/1000000</f>
        <v>-8.5432556554543719</v>
      </c>
      <c r="W117" s="148"/>
    </row>
    <row r="118" spans="1:23" s="115" customFormat="1">
      <c r="A118" s="351" t="str">
        <f>IF(B118="","",(IF(ISERROR(MATCH(B118,Tot_res!C:C,0)),"Eliminar!!!","")))</f>
        <v/>
      </c>
      <c r="B118" s="115" t="s">
        <v>937</v>
      </c>
      <c r="C118" s="329" t="str">
        <f>VLOOKUP(B118,Tot_res!C:D,2,FALSE)</f>
        <v>ITP y AJD, ingresos homogeneizados de las CCAARC</v>
      </c>
      <c r="D118" s="336">
        <f>Saldo_relativo_per_capita!D118*Saldo_relativo_per_capita!D$552/1000000</f>
        <v>0</v>
      </c>
      <c r="E118" s="336">
        <f>Saldo_relativo_per_capita!E118*Saldo_relativo_per_capita!E$552/1000000</f>
        <v>76.90179547035055</v>
      </c>
      <c r="F118" s="336">
        <f>Saldo_relativo_per_capita!F118*Saldo_relativo_per_capita!F$552/1000000</f>
        <v>-33.302111663982366</v>
      </c>
      <c r="G118" s="336">
        <f>Saldo_relativo_per_capita!G118*Saldo_relativo_per_capita!G$552/1000000</f>
        <v>-41.098647611628635</v>
      </c>
      <c r="H118" s="336">
        <f>Saldo_relativo_per_capita!H118*Saldo_relativo_per_capita!H$552/1000000</f>
        <v>206.25660045850501</v>
      </c>
      <c r="I118" s="336">
        <f>Saldo_relativo_per_capita!I118*Saldo_relativo_per_capita!I$552/1000000</f>
        <v>-15.437892102133281</v>
      </c>
      <c r="J118" s="336">
        <f>Saldo_relativo_per_capita!J118*Saldo_relativo_per_capita!J$552/1000000</f>
        <v>-3.2279232675055649</v>
      </c>
      <c r="K118" s="336">
        <f>Saldo_relativo_per_capita!K118*Saldo_relativo_per_capita!K$552/1000000</f>
        <v>-88.00246130935065</v>
      </c>
      <c r="L118" s="336">
        <f>Saldo_relativo_per_capita!L118*Saldo_relativo_per_capita!L$552/1000000</f>
        <v>-16.511863056144719</v>
      </c>
      <c r="M118" s="336">
        <f>Saldo_relativo_per_capita!M118*Saldo_relativo_per_capita!M$552/1000000</f>
        <v>162.75244492317574</v>
      </c>
      <c r="N118" s="336">
        <f>Saldo_relativo_per_capita!N118*Saldo_relativo_per_capita!N$552/1000000</f>
        <v>95.305198474826483</v>
      </c>
      <c r="O118" s="336">
        <f>Saldo_relativo_per_capita!O118*Saldo_relativo_per_capita!O$552/1000000</f>
        <v>-56.741523324590005</v>
      </c>
      <c r="P118" s="336">
        <f>Saldo_relativo_per_capita!P118*Saldo_relativo_per_capita!P$552/1000000</f>
        <v>-136.88790690659832</v>
      </c>
      <c r="Q118" s="336">
        <f>Saldo_relativo_per_capita!Q118*Saldo_relativo_per_capita!Q$552/1000000</f>
        <v>214.87626322165548</v>
      </c>
      <c r="R118" s="336">
        <f>Saldo_relativo_per_capita!R118*Saldo_relativo_per_capita!R$552/1000000</f>
        <v>-9.2023127586809039</v>
      </c>
      <c r="S118" s="336">
        <f>Saldo_relativo_per_capita!S118*Saldo_relativo_per_capita!S$552/1000000</f>
        <v>-75.071870733732055</v>
      </c>
      <c r="T118" s="336">
        <f>Saldo_relativo_per_capita!T118*Saldo_relativo_per_capita!T$552/1000000</f>
        <v>-256.52972721120869</v>
      </c>
      <c r="U118" s="336">
        <f>Saldo_relativo_per_capita!U118*Saldo_relativo_per_capita!U$552/1000000</f>
        <v>-4.1967014293237632</v>
      </c>
      <c r="V118" s="336">
        <f>Saldo_relativo_per_capita!V118*Saldo_relativo_per_capita!V$552/1000000</f>
        <v>-19.881361173635472</v>
      </c>
      <c r="W118" s="148"/>
    </row>
    <row r="119" spans="1:23" s="115" customFormat="1">
      <c r="A119" s="351" t="str">
        <f>IF(B119="","",(IF(ISERROR(MATCH(B119,Tot_res!C:C,0)),"Eliminar!!!","")))</f>
        <v/>
      </c>
      <c r="B119" s="115" t="s">
        <v>938</v>
      </c>
      <c r="C119" s="329" t="str">
        <f>VLOOKUP(B119,Tot_res!C:D,2,FALSE)</f>
        <v>Tasas sobre el juego, ingresos homogeneizados de las CCAARC</v>
      </c>
      <c r="D119" s="336">
        <f>Saldo_relativo_per_capita!D119*Saldo_relativo_per_capita!D$552/1000000</f>
        <v>0</v>
      </c>
      <c r="E119" s="336">
        <f>Saldo_relativo_per_capita!E119*Saldo_relativo_per_capita!E$552/1000000</f>
        <v>-37.11969211307872</v>
      </c>
      <c r="F119" s="336">
        <f>Saldo_relativo_per_capita!F119*Saldo_relativo_per_capita!F$552/1000000</f>
        <v>-0.32528039510703788</v>
      </c>
      <c r="G119" s="336">
        <f>Saldo_relativo_per_capita!G119*Saldo_relativo_per_capita!G$552/1000000</f>
        <v>-2.3441279424703683</v>
      </c>
      <c r="H119" s="336">
        <f>Saldo_relativo_per_capita!H119*Saldo_relativo_per_capita!H$552/1000000</f>
        <v>12.318856717768439</v>
      </c>
      <c r="I119" s="336">
        <f>Saldo_relativo_per_capita!I119*Saldo_relativo_per_capita!I$552/1000000</f>
        <v>-7.5940901625836554</v>
      </c>
      <c r="J119" s="336">
        <f>Saldo_relativo_per_capita!J119*Saldo_relativo_per_capita!J$552/1000000</f>
        <v>1.0921449817708853</v>
      </c>
      <c r="K119" s="336">
        <f>Saldo_relativo_per_capita!K119*Saldo_relativo_per_capita!K$552/1000000</f>
        <v>5.5647252191486727</v>
      </c>
      <c r="L119" s="336">
        <f>Saldo_relativo_per_capita!L119*Saldo_relativo_per_capita!L$552/1000000</f>
        <v>-2.0170238428933498</v>
      </c>
      <c r="M119" s="336">
        <f>Saldo_relativo_per_capita!M119*Saldo_relativo_per_capita!M$552/1000000</f>
        <v>-22.363660272334855</v>
      </c>
      <c r="N119" s="336">
        <f>Saldo_relativo_per_capita!N119*Saldo_relativo_per_capita!N$552/1000000</f>
        <v>29.562465215761851</v>
      </c>
      <c r="O119" s="336">
        <f>Saldo_relativo_per_capita!O119*Saldo_relativo_per_capita!O$552/1000000</f>
        <v>-6.3363183949338691</v>
      </c>
      <c r="P119" s="336">
        <f>Saldo_relativo_per_capita!P119*Saldo_relativo_per_capita!P$552/1000000</f>
        <v>-12.170544103873622</v>
      </c>
      <c r="Q119" s="336">
        <f>Saldo_relativo_per_capita!Q119*Saldo_relativo_per_capita!Q$552/1000000</f>
        <v>118.50072504691981</v>
      </c>
      <c r="R119" s="336">
        <f>Saldo_relativo_per_capita!R119*Saldo_relativo_per_capita!R$552/1000000</f>
        <v>-10.336006076125624</v>
      </c>
      <c r="S119" s="336">
        <f>Saldo_relativo_per_capita!S119*Saldo_relativo_per_capita!S$552/1000000</f>
        <v>-13.726293468813344</v>
      </c>
      <c r="T119" s="336">
        <f>Saldo_relativo_per_capita!T119*Saldo_relativo_per_capita!T$552/1000000</f>
        <v>-46.904416857611352</v>
      </c>
      <c r="U119" s="336">
        <f>Saldo_relativo_per_capita!U119*Saldo_relativo_per_capita!U$552/1000000</f>
        <v>-2.1663150550222441</v>
      </c>
      <c r="V119" s="336">
        <f>Saldo_relativo_per_capita!V119*Saldo_relativo_per_capita!V$552/1000000</f>
        <v>-3.6351484965216234</v>
      </c>
      <c r="W119" s="148"/>
    </row>
    <row r="120" spans="1:23" s="115" customFormat="1">
      <c r="A120" s="351" t="str">
        <f>IF(B120="","",(IF(ISERROR(MATCH(B120,Tot_res!C:C,0)),"Eliminar!!!","")))</f>
        <v/>
      </c>
      <c r="B120" s="115" t="s">
        <v>939</v>
      </c>
      <c r="C120" s="329" t="str">
        <f>VLOOKUP(B120,Tot_res!C:D,2,FALSE)</f>
        <v>Impuesto sobre la venta minorista de hidrocarburos (IVMH),  sin ejercicio capacidad normativa</v>
      </c>
      <c r="D120" s="336">
        <f>Saldo_relativo_per_capita!D120*Saldo_relativo_per_capita!D$552/1000000</f>
        <v>0</v>
      </c>
      <c r="E120" s="336">
        <f>Saldo_relativo_per_capita!E120*Saldo_relativo_per_capita!E$552/1000000</f>
        <v>0.29437387853035396</v>
      </c>
      <c r="F120" s="336">
        <f>Saldo_relativo_per_capita!F120*Saldo_relativo_per_capita!F$552/1000000</f>
        <v>-6.6963612995391941E-2</v>
      </c>
      <c r="G120" s="336">
        <f>Saldo_relativo_per_capita!G120*Saldo_relativo_per_capita!G$552/1000000</f>
        <v>-2.3241538404584063E-2</v>
      </c>
      <c r="H120" s="336">
        <f>Saldo_relativo_per_capita!H120*Saldo_relativo_per_capita!H$552/1000000</f>
        <v>-4.9979004962814905E-2</v>
      </c>
      <c r="I120" s="336">
        <f>Saldo_relativo_per_capita!I120*Saldo_relativo_per_capita!I$552/1000000</f>
        <v>-0.16334357565011154</v>
      </c>
      <c r="J120" s="336">
        <f>Saldo_relativo_per_capita!J120*Saldo_relativo_per_capita!J$552/1000000</f>
        <v>2.9745179841185482E-2</v>
      </c>
      <c r="K120" s="336">
        <f>Saldo_relativo_per_capita!K120*Saldo_relativo_per_capita!K$552/1000000</f>
        <v>8.597968987245834E-2</v>
      </c>
      <c r="L120" s="336">
        <f>Saldo_relativo_per_capita!L120*Saldo_relativo_per_capita!L$552/1000000</f>
        <v>5.543214124083545E-3</v>
      </c>
      <c r="M120" s="336">
        <f>Saldo_relativo_per_capita!M120*Saldo_relativo_per_capita!M$552/1000000</f>
        <v>-0.29761446133641356</v>
      </c>
      <c r="N120" s="336">
        <f>Saldo_relativo_per_capita!N120*Saldo_relativo_per_capita!N$552/1000000</f>
        <v>0.20610402980113612</v>
      </c>
      <c r="O120" s="336">
        <f>Saldo_relativo_per_capita!O120*Saldo_relativo_per_capita!O$552/1000000</f>
        <v>0.11087485659497837</v>
      </c>
      <c r="P120" s="336">
        <f>Saldo_relativo_per_capita!P120*Saldo_relativo_per_capita!P$552/1000000</f>
        <v>0.14512944627760332</v>
      </c>
      <c r="Q120" s="336">
        <f>Saldo_relativo_per_capita!Q120*Saldo_relativo_per_capita!Q$552/1000000</f>
        <v>-0.14457686039921985</v>
      </c>
      <c r="R120" s="336">
        <f>Saldo_relativo_per_capita!R120*Saldo_relativo_per_capita!R$552/1000000</f>
        <v>0.12569388716239016</v>
      </c>
      <c r="S120" s="336">
        <f>Saldo_relativo_per_capita!S120*Saldo_relativo_per_capita!S$552/1000000</f>
        <v>-4.9769452483986974E-2</v>
      </c>
      <c r="T120" s="336">
        <f>Saldo_relativo_per_capita!T120*Saldo_relativo_per_capita!T$552/1000000</f>
        <v>-0.17006828182625319</v>
      </c>
      <c r="U120" s="336">
        <f>Saldo_relativo_per_capita!U120*Saldo_relativo_per_capita!U$552/1000000</f>
        <v>-2.470689856727825E-2</v>
      </c>
      <c r="V120" s="336">
        <f>Saldo_relativo_per_capita!V120*Saldo_relativo_per_capita!V$552/1000000</f>
        <v>-1.3180495578134421E-2</v>
      </c>
      <c r="W120" s="148"/>
    </row>
    <row r="121" spans="1:23" s="115" customFormat="1" ht="13.5">
      <c r="A121" s="351" t="str">
        <f>IF(B121="","",(IF(ISERROR(MATCH(B121,Tot_res!C:C,0)),"Eliminar!!!","")))</f>
        <v/>
      </c>
      <c r="B121" s="115" t="s">
        <v>940</v>
      </c>
      <c r="C121" s="329" t="str">
        <f>VLOOKUP(B121,Tot_res!C:D,2,FALSE)</f>
        <v>Impuesto de matriculación, ingresos de las CCAARC sin ej cap normativa</v>
      </c>
      <c r="D121" s="336">
        <f>Saldo_relativo_per_capita!D121*Saldo_relativo_per_capita!D$552/1000000</f>
        <v>0</v>
      </c>
      <c r="E121" s="336">
        <f>Saldo_relativo_per_capita!E121*Saldo_relativo_per_capita!E$552/1000000</f>
        <v>-19.156121786995637</v>
      </c>
      <c r="F121" s="336">
        <f>Saldo_relativo_per_capita!F121*Saldo_relativo_per_capita!F$552/1000000</f>
        <v>-2.3694706754746138</v>
      </c>
      <c r="G121" s="336">
        <f>Saldo_relativo_per_capita!G121*Saldo_relativo_per_capita!G$552/1000000</f>
        <v>-2.0247852765507259</v>
      </c>
      <c r="H121" s="336">
        <f>Saldo_relativo_per_capita!H121*Saldo_relativo_per_capita!H$552/1000000</f>
        <v>11.431121611574547</v>
      </c>
      <c r="I121" s="336">
        <f>Saldo_relativo_per_capita!I121*Saldo_relativo_per_capita!I$552/1000000</f>
        <v>-13.00803667607402</v>
      </c>
      <c r="J121" s="336">
        <f>Saldo_relativo_per_capita!J121*Saldo_relativo_per_capita!J$552/1000000</f>
        <v>0.84549243366615412</v>
      </c>
      <c r="K121" s="336">
        <f>Saldo_relativo_per_capita!K121*Saldo_relativo_per_capita!K$552/1000000</f>
        <v>-5.140579088334162</v>
      </c>
      <c r="L121" s="336">
        <f>Saldo_relativo_per_capita!L121*Saldo_relativo_per_capita!L$552/1000000</f>
        <v>-5.2927834362251254</v>
      </c>
      <c r="M121" s="336">
        <f>Saldo_relativo_per_capita!M121*Saldo_relativo_per_capita!M$552/1000000</f>
        <v>7.3258827681856538</v>
      </c>
      <c r="N121" s="336">
        <f>Saldo_relativo_per_capita!N121*Saldo_relativo_per_capita!N$552/1000000</f>
        <v>-1.5707468298409129</v>
      </c>
      <c r="O121" s="336">
        <f>Saldo_relativo_per_capita!O121*Saldo_relativo_per_capita!O$552/1000000</f>
        <v>-3.4932544233670093</v>
      </c>
      <c r="P121" s="336">
        <f>Saldo_relativo_per_capita!P121*Saldo_relativo_per_capita!P$552/1000000</f>
        <v>-0.61812502039349093</v>
      </c>
      <c r="Q121" s="336">
        <f>Saldo_relativo_per_capita!Q121*Saldo_relativo_per_capita!Q$552/1000000</f>
        <v>54.18848130936756</v>
      </c>
      <c r="R121" s="336">
        <f>Saldo_relativo_per_capita!R121*Saldo_relativo_per_capita!R$552/1000000</f>
        <v>-2.4649344534244886</v>
      </c>
      <c r="S121" s="336">
        <f>Saldo_relativo_per_capita!S121*Saldo_relativo_per_capita!S$552/1000000</f>
        <v>-3.9634424597548219</v>
      </c>
      <c r="T121" s="336">
        <f>Saldo_relativo_per_capita!T121*Saldo_relativo_per_capita!T$552/1000000</f>
        <v>-13.543565693526459</v>
      </c>
      <c r="U121" s="336">
        <f>Saldo_relativo_per_capita!U121*Saldo_relativo_per_capita!U$552/1000000</f>
        <v>-9.5489736806684225E-2</v>
      </c>
      <c r="V121" s="336">
        <f>Saldo_relativo_per_capita!V121*Saldo_relativo_per_capita!V$552/1000000</f>
        <v>-1.0496425660257482</v>
      </c>
      <c r="W121" s="219"/>
    </row>
    <row r="122" spans="1:23" s="115" customFormat="1" ht="13.5">
      <c r="A122" s="351" t="str">
        <f>IF(B122="","",(IF(ISERROR(MATCH(B122,Tot_res!C:C,0)),"Eliminar!!!","")))</f>
        <v/>
      </c>
      <c r="B122" s="115" t="s">
        <v>941</v>
      </c>
      <c r="C122" s="329" t="str">
        <f>VLOOKUP(B122,Tot_res!C:D,2,FALSE)</f>
        <v>Recursos REF de la comunidad autónoma de Canarias, neto de compensación por supresión del IGTE</v>
      </c>
      <c r="D122" s="336">
        <f>Saldo_relativo_per_capita!D122*Saldo_relativo_per_capita!D$552/1000000</f>
        <v>0</v>
      </c>
      <c r="E122" s="336">
        <f>Saldo_relativo_per_capita!E122*Saldo_relativo_per_capita!E$552/1000000</f>
        <v>-162.01231458253119</v>
      </c>
      <c r="F122" s="336">
        <f>Saldo_relativo_per_capita!F122*Saldo_relativo_per_capita!F$552/1000000</f>
        <v>-25.488200964506724</v>
      </c>
      <c r="G122" s="336">
        <f>Saldo_relativo_per_capita!G122*Saldo_relativo_per_capita!G$552/1000000</f>
        <v>-20.375126479623518</v>
      </c>
      <c r="H122" s="336">
        <f>Saldo_relativo_per_capita!H122*Saldo_relativo_per_capita!H$552/1000000</f>
        <v>-21.290576900459229</v>
      </c>
      <c r="I122" s="336">
        <f>Saldo_relativo_per_capita!I122*Saldo_relativo_per_capita!I$552/1000000</f>
        <v>860.04860259006227</v>
      </c>
      <c r="J122" s="336">
        <f>Saldo_relativo_per_capita!J122*Saldo_relativo_per_capita!J$552/1000000</f>
        <v>-11.319075427042254</v>
      </c>
      <c r="K122" s="336">
        <f>Saldo_relativo_per_capita!K122*Saldo_relativo_per_capita!K$552/1000000</f>
        <v>-47.894345655225308</v>
      </c>
      <c r="L122" s="336">
        <f>Saldo_relativo_per_capita!L122*Saldo_relativo_per_capita!L$552/1000000</f>
        <v>-39.900065120026483</v>
      </c>
      <c r="M122" s="336">
        <f>Saldo_relativo_per_capita!M122*Saldo_relativo_per_capita!M$552/1000000</f>
        <v>-144.90268931650766</v>
      </c>
      <c r="N122" s="336">
        <f>Saldo_relativo_per_capita!N122*Saldo_relativo_per_capita!N$552/1000000</f>
        <v>-96.288661699659244</v>
      </c>
      <c r="O122" s="336">
        <f>Saldo_relativo_per_capita!O122*Saldo_relativo_per_capita!O$552/1000000</f>
        <v>-21.143118951573456</v>
      </c>
      <c r="P122" s="336">
        <f>Saldo_relativo_per_capita!P122*Saldo_relativo_per_capita!P$552/1000000</f>
        <v>-52.852681864816205</v>
      </c>
      <c r="Q122" s="336">
        <f>Saldo_relativo_per_capita!Q122*Saldo_relativo_per_capita!Q$552/1000000</f>
        <v>-124.30975089930686</v>
      </c>
      <c r="R122" s="336">
        <f>Saldo_relativo_per_capita!R122*Saldo_relativo_per_capita!R$552/1000000</f>
        <v>-28.293045551493385</v>
      </c>
      <c r="S122" s="336">
        <f>Saldo_relativo_per_capita!S122*Saldo_relativo_per_capita!S$552/1000000</f>
        <v>-12.355012839202033</v>
      </c>
      <c r="T122" s="336">
        <f>Saldo_relativo_per_capita!T122*Saldo_relativo_per_capita!T$552/1000000</f>
        <v>-42.218583903056505</v>
      </c>
      <c r="U122" s="336">
        <f>Saldo_relativo_per_capita!U122*Saldo_relativo_per_capita!U$552/1000000</f>
        <v>-6.1333616059730369</v>
      </c>
      <c r="V122" s="336">
        <f>Saldo_relativo_per_capita!V122*Saldo_relativo_per_capita!V$552/1000000</f>
        <v>-3.2719908290590674</v>
      </c>
      <c r="W122" s="219"/>
    </row>
    <row r="123" spans="1:23" s="115" customFormat="1" ht="13.5">
      <c r="A123" s="351" t="str">
        <f>IF(B123="","",(IF(ISERROR(MATCH(B123,Tot_res!C:C,0)),"Eliminar!!!","")))</f>
        <v/>
      </c>
      <c r="B123" s="115" t="s">
        <v>1195</v>
      </c>
      <c r="C123" s="329" t="str">
        <f>VLOOKUP(B123,Tot_res!C:D,2,FALSE)</f>
        <v xml:space="preserve"> Impuesto sobre la actividad de juego. Ingresos homogeneizados de las CCAARC</v>
      </c>
      <c r="D123" s="336">
        <f>Saldo_relativo_per_capita!D123*Saldo_relativo_per_capita!D$552/1000000</f>
        <v>0</v>
      </c>
      <c r="E123" s="336">
        <f>Saldo_relativo_per_capita!E123*Saldo_relativo_per_capita!E$552/1000000</f>
        <v>-5.733637744464807</v>
      </c>
      <c r="F123" s="336">
        <f>Saldo_relativo_per_capita!F123*Saldo_relativo_per_capita!F$552/1000000</f>
        <v>0.26277572902262369</v>
      </c>
      <c r="G123" s="336">
        <f>Saldo_relativo_per_capita!G123*Saldo_relativo_per_capita!G$552/1000000</f>
        <v>0.82453196416692476</v>
      </c>
      <c r="H123" s="336">
        <f>Saldo_relativo_per_capita!H123*Saldo_relativo_per_capita!H$552/1000000</f>
        <v>0.29234160320371438</v>
      </c>
      <c r="I123" s="336">
        <f>Saldo_relativo_per_capita!I123*Saldo_relativo_per_capita!I$552/1000000</f>
        <v>-0.69541380039158707</v>
      </c>
      <c r="J123" s="336">
        <f>Saldo_relativo_per_capita!J123*Saldo_relativo_per_capita!J$552/1000000</f>
        <v>0.27466022487517983</v>
      </c>
      <c r="K123" s="336">
        <f>Saldo_relativo_per_capita!K123*Saldo_relativo_per_capita!K$552/1000000</f>
        <v>1.1261920450910801</v>
      </c>
      <c r="L123" s="336">
        <f>Saldo_relativo_per_capita!L123*Saldo_relativo_per_capita!L$552/1000000</f>
        <v>-0.7633335404303252</v>
      </c>
      <c r="M123" s="336">
        <f>Saldo_relativo_per_capita!M123*Saldo_relativo_per_capita!M$552/1000000</f>
        <v>2.1111874831738295</v>
      </c>
      <c r="N123" s="336">
        <f>Saldo_relativo_per_capita!N123*Saldo_relativo_per_capita!N$552/1000000</f>
        <v>-0.29282670377989273</v>
      </c>
      <c r="O123" s="336">
        <f>Saldo_relativo_per_capita!O123*Saldo_relativo_per_capita!O$552/1000000</f>
        <v>-0.72567671650799226</v>
      </c>
      <c r="P123" s="336">
        <f>Saldo_relativo_per_capita!P123*Saldo_relativo_per_capita!P$552/1000000</f>
        <v>0.6982798397392358</v>
      </c>
      <c r="Q123" s="336">
        <f>Saldo_relativo_per_capita!Q123*Saldo_relativo_per_capita!Q$552/1000000</f>
        <v>5.8972254270864211</v>
      </c>
      <c r="R123" s="336">
        <f>Saldo_relativo_per_capita!R123*Saldo_relativo_per_capita!R$552/1000000</f>
        <v>-0.69654697253224296</v>
      </c>
      <c r="S123" s="336">
        <f>Saldo_relativo_per_capita!S123*Saldo_relativo_per_capita!S$552/1000000</f>
        <v>-0.63189239708739109</v>
      </c>
      <c r="T123" s="336">
        <f>Saldo_relativo_per_capita!T123*Saldo_relativo_per_capita!T$552/1000000</f>
        <v>-2.1592532951071002</v>
      </c>
      <c r="U123" s="336">
        <f>Saldo_relativo_per_capita!U123*Saldo_relativo_per_capita!U$552/1000000</f>
        <v>0.37873157103254074</v>
      </c>
      <c r="V123" s="336">
        <f>Saldo_relativo_per_capita!V123*Saldo_relativo_per_capita!V$552/1000000</f>
        <v>-0.16734471709020335</v>
      </c>
      <c r="W123" s="219"/>
    </row>
    <row r="124" spans="1:23" s="115" customFormat="1">
      <c r="A124" s="351" t="str">
        <f>IF(B124="","",(IF(ISERROR(MATCH(B124,Tot_res!C:C,0)),"Eliminar!!!","")))</f>
        <v/>
      </c>
      <c r="B124" s="115" t="s">
        <v>1197</v>
      </c>
      <c r="C124" s="329" t="str">
        <f>VLOOKUP(B124,Tot_res!C:D,2,FALSE)</f>
        <v xml:space="preserve"> Impuesto sobre depósito de entidades de crédito. Ingresos homogeneizados de las CCAARC</v>
      </c>
      <c r="D124" s="336">
        <f>Saldo_relativo_per_capita!D124*Saldo_relativo_per_capita!D$552/1000000</f>
        <v>0</v>
      </c>
      <c r="E124" s="336">
        <f>Saldo_relativo_per_capita!E124*Saldo_relativo_per_capita!E$552/1000000</f>
        <v>-15.67619249117007</v>
      </c>
      <c r="F124" s="336">
        <f>Saldo_relativo_per_capita!F124*Saldo_relativo_per_capita!F$552/1000000</f>
        <v>-0.19802666017157933</v>
      </c>
      <c r="G124" s="336">
        <f>Saldo_relativo_per_capita!G124*Saldo_relativo_per_capita!G$552/1000000</f>
        <v>0.2647868735916315</v>
      </c>
      <c r="H124" s="336">
        <f>Saldo_relativo_per_capita!H124*Saldo_relativo_per_capita!H$552/1000000</f>
        <v>-1.1255004182579107</v>
      </c>
      <c r="I124" s="336">
        <f>Saldo_relativo_per_capita!I124*Saldo_relativo_per_capita!I$552/1000000</f>
        <v>-4.6286370501141683</v>
      </c>
      <c r="J124" s="336">
        <f>Saldo_relativo_per_capita!J124*Saldo_relativo_per_capita!J$552/1000000</f>
        <v>-0.45280487094682037</v>
      </c>
      <c r="K124" s="336">
        <f>Saldo_relativo_per_capita!K124*Saldo_relativo_per_capita!K$552/1000000</f>
        <v>0.94458884696465217</v>
      </c>
      <c r="L124" s="336">
        <f>Saldo_relativo_per_capita!L124*Saldo_relativo_per_capita!L$552/1000000</f>
        <v>-2.1937045671780919</v>
      </c>
      <c r="M124" s="336">
        <f>Saldo_relativo_per_capita!M124*Saldo_relativo_per_capita!M$552/1000000</f>
        <v>2.1802472485811752</v>
      </c>
      <c r="N124" s="336">
        <f>Saldo_relativo_per_capita!N124*Saldo_relativo_per_capita!N$552/1000000</f>
        <v>-4.7147471164177377</v>
      </c>
      <c r="O124" s="336">
        <f>Saldo_relativo_per_capita!O124*Saldo_relativo_per_capita!O$552/1000000</f>
        <v>-1.6948495243192239</v>
      </c>
      <c r="P124" s="336">
        <f>Saldo_relativo_per_capita!P124*Saldo_relativo_per_capita!P$552/1000000</f>
        <v>0.7139395098424377</v>
      </c>
      <c r="Q124" s="336">
        <f>Saldo_relativo_per_capita!Q124*Saldo_relativo_per_capita!Q$552/1000000</f>
        <v>40.860735184843527</v>
      </c>
      <c r="R124" s="336">
        <f>Saldo_relativo_per_capita!R124*Saldo_relativo_per_capita!R$552/1000000</f>
        <v>-2.1810470710741212</v>
      </c>
      <c r="S124" s="336">
        <f>Saldo_relativo_per_capita!S124*Saldo_relativo_per_capita!S$552/1000000</f>
        <v>-2.5681368214259659</v>
      </c>
      <c r="T124" s="336">
        <f>Saldo_relativo_per_capita!T124*Saldo_relativo_per_capita!T$552/1000000</f>
        <v>-8.7756363575663947</v>
      </c>
      <c r="U124" s="336">
        <f>Saldo_relativo_per_capita!U124*Saldo_relativo_per_capita!U$552/1000000</f>
        <v>-7.4892384526002262E-2</v>
      </c>
      <c r="V124" s="336">
        <f>Saldo_relativo_per_capita!V124*Saldo_relativo_per_capita!V$552/1000000</f>
        <v>-0.68012233065533412</v>
      </c>
      <c r="W124" s="148"/>
    </row>
    <row r="125" spans="1:23" s="115" customFormat="1">
      <c r="A125" s="352"/>
      <c r="C125" s="138"/>
      <c r="D125" s="217"/>
      <c r="E125" s="217"/>
      <c r="F125" s="217"/>
      <c r="G125" s="217"/>
      <c r="H125" s="217"/>
      <c r="I125" s="217"/>
      <c r="J125" s="217"/>
      <c r="K125" s="217"/>
      <c r="L125" s="217"/>
      <c r="M125" s="217"/>
      <c r="N125" s="217"/>
      <c r="O125" s="217"/>
      <c r="P125" s="217"/>
      <c r="Q125" s="217"/>
      <c r="R125" s="217"/>
      <c r="S125" s="217"/>
      <c r="T125" s="217"/>
      <c r="U125" s="217"/>
      <c r="V125" s="217"/>
      <c r="W125" s="148"/>
    </row>
    <row r="126" spans="1:23" s="115" customFormat="1" ht="13.5">
      <c r="A126" s="352"/>
      <c r="B126" s="137"/>
      <c r="C126" s="128" t="s">
        <v>36</v>
      </c>
      <c r="D126" s="218">
        <f>Saldo_relativo_per_capita!D126*Saldo_relativo_per_capita!D$552/1000000</f>
        <v>0</v>
      </c>
      <c r="E126" s="218">
        <f>Saldo_relativo_per_capita!E126*Saldo_relativo_per_capita!E$552/1000000</f>
        <v>115.86881749459663</v>
      </c>
      <c r="F126" s="218">
        <f>Saldo_relativo_per_capita!F126*Saldo_relativo_per_capita!F$552/1000000</f>
        <v>60.341762525522391</v>
      </c>
      <c r="G126" s="218">
        <f>Saldo_relativo_per_capita!G126*Saldo_relativo_per_capita!G$552/1000000</f>
        <v>40.856542054456149</v>
      </c>
      <c r="H126" s="218">
        <f>Saldo_relativo_per_capita!H126*Saldo_relativo_per_capita!H$552/1000000</f>
        <v>65.688744986883435</v>
      </c>
      <c r="I126" s="218">
        <f>Saldo_relativo_per_capita!I126*Saldo_relativo_per_capita!I$552/1000000</f>
        <v>-44.57595972319907</v>
      </c>
      <c r="J126" s="218">
        <f>Saldo_relativo_per_capita!J126*Saldo_relativo_per_capita!J$552/1000000</f>
        <v>-68.826581598976176</v>
      </c>
      <c r="K126" s="218">
        <f>Saldo_relativo_per_capita!K126*Saldo_relativo_per_capita!K$552/1000000</f>
        <v>259.30151861613803</v>
      </c>
      <c r="L126" s="218">
        <f>Saldo_relativo_per_capita!L126*Saldo_relativo_per_capita!L$552/1000000</f>
        <v>217.4818757188433</v>
      </c>
      <c r="M126" s="218">
        <f>Saldo_relativo_per_capita!M126*Saldo_relativo_per_capita!M$552/1000000</f>
        <v>-1315.4370902344133</v>
      </c>
      <c r="N126" s="218">
        <f>Saldo_relativo_per_capita!N126*Saldo_relativo_per_capita!N$552/1000000</f>
        <v>337.54048516874815</v>
      </c>
      <c r="O126" s="218">
        <f>Saldo_relativo_per_capita!O126*Saldo_relativo_per_capita!O$552/1000000</f>
        <v>113.43504594248269</v>
      </c>
      <c r="P126" s="218">
        <f>Saldo_relativo_per_capita!P126*Saldo_relativo_per_capita!P$552/1000000</f>
        <v>75.478018906152528</v>
      </c>
      <c r="Q126" s="218">
        <f>Saldo_relativo_per_capita!Q126*Saldo_relativo_per_capita!Q$552/1000000</f>
        <v>-298.82652566772435</v>
      </c>
      <c r="R126" s="218">
        <f>Saldo_relativo_per_capita!R126*Saldo_relativo_per_capita!R$552/1000000</f>
        <v>144.0672542303482</v>
      </c>
      <c r="S126" s="218">
        <f>Saldo_relativo_per_capita!S126*Saldo_relativo_per_capita!S$552/1000000</f>
        <v>70.919204430645877</v>
      </c>
      <c r="T126" s="218">
        <f>Saldo_relativo_per_capita!T126*Saldo_relativo_per_capita!T$552/1000000</f>
        <v>242.33956059463054</v>
      </c>
      <c r="U126" s="218">
        <f>Saldo_relativo_per_capita!U126*Saldo_relativo_per_capita!U$552/1000000</f>
        <v>-34.434279706600286</v>
      </c>
      <c r="V126" s="218">
        <f>Saldo_relativo_per_capita!V126*Saldo_relativo_per_capita!V$552/1000000</f>
        <v>18.78160626146509</v>
      </c>
      <c r="W126" s="219"/>
    </row>
    <row r="127" spans="1:23" s="115" customFormat="1">
      <c r="A127" s="351" t="str">
        <f>IF(B127="","",(IF(ISERROR(MATCH(B127,Tot_res!C:C,0)),"Eliminar!!!","")))</f>
        <v/>
      </c>
      <c r="B127" s="115" t="s">
        <v>942</v>
      </c>
      <c r="C127" s="329" t="str">
        <f>VLOOKUP(B127,Tot_res!C:D,2,FALSE)</f>
        <v>Financiación para competencias no homogéneas de las comunidades de régimen común (caja)</v>
      </c>
      <c r="D127" s="338">
        <f>Saldo_relativo_per_capita!D127*Saldo_relativo_per_capita!D$552/1000000</f>
        <v>0</v>
      </c>
      <c r="E127" s="338">
        <f>Saldo_relativo_per_capita!E127*Saldo_relativo_per_capita!E$552/1000000</f>
        <v>115.86881749459663</v>
      </c>
      <c r="F127" s="338">
        <f>Saldo_relativo_per_capita!F127*Saldo_relativo_per_capita!F$552/1000000</f>
        <v>60.341762525522391</v>
      </c>
      <c r="G127" s="338">
        <f>Saldo_relativo_per_capita!G127*Saldo_relativo_per_capita!G$552/1000000</f>
        <v>40.856542054456149</v>
      </c>
      <c r="H127" s="338">
        <f>Saldo_relativo_per_capita!H127*Saldo_relativo_per_capita!H$552/1000000</f>
        <v>65.688744986883435</v>
      </c>
      <c r="I127" s="338">
        <f>Saldo_relativo_per_capita!I127*Saldo_relativo_per_capita!I$552/1000000</f>
        <v>-44.57595972319907</v>
      </c>
      <c r="J127" s="338">
        <f>Saldo_relativo_per_capita!J127*Saldo_relativo_per_capita!J$552/1000000</f>
        <v>-68.826581598976176</v>
      </c>
      <c r="K127" s="338">
        <f>Saldo_relativo_per_capita!K127*Saldo_relativo_per_capita!K$552/1000000</f>
        <v>259.30151861613803</v>
      </c>
      <c r="L127" s="338">
        <f>Saldo_relativo_per_capita!L127*Saldo_relativo_per_capita!L$552/1000000</f>
        <v>217.4818757188433</v>
      </c>
      <c r="M127" s="338">
        <f>Saldo_relativo_per_capita!M127*Saldo_relativo_per_capita!M$552/1000000</f>
        <v>-1315.4370902344133</v>
      </c>
      <c r="N127" s="338">
        <f>Saldo_relativo_per_capita!N127*Saldo_relativo_per_capita!N$552/1000000</f>
        <v>337.54048516874815</v>
      </c>
      <c r="O127" s="338">
        <f>Saldo_relativo_per_capita!O127*Saldo_relativo_per_capita!O$552/1000000</f>
        <v>113.43504594248269</v>
      </c>
      <c r="P127" s="338">
        <f>Saldo_relativo_per_capita!P127*Saldo_relativo_per_capita!P$552/1000000</f>
        <v>75.478018906152528</v>
      </c>
      <c r="Q127" s="338">
        <f>Saldo_relativo_per_capita!Q127*Saldo_relativo_per_capita!Q$552/1000000</f>
        <v>-298.82652566772435</v>
      </c>
      <c r="R127" s="338">
        <f>Saldo_relativo_per_capita!R127*Saldo_relativo_per_capita!R$552/1000000</f>
        <v>144.0672542303482</v>
      </c>
      <c r="S127" s="338">
        <f>Saldo_relativo_per_capita!S127*Saldo_relativo_per_capita!S$552/1000000</f>
        <v>70.919204430645877</v>
      </c>
      <c r="T127" s="338">
        <f>Saldo_relativo_per_capita!T127*Saldo_relativo_per_capita!T$552/1000000</f>
        <v>242.33956059463054</v>
      </c>
      <c r="U127" s="338">
        <f>Saldo_relativo_per_capita!U127*Saldo_relativo_per_capita!U$552/1000000</f>
        <v>-34.434279706600286</v>
      </c>
      <c r="V127" s="338">
        <f>Saldo_relativo_per_capita!V127*Saldo_relativo_per_capita!V$552/1000000</f>
        <v>18.78160626146509</v>
      </c>
      <c r="W127" s="148"/>
    </row>
    <row r="128" spans="1:23" s="115" customFormat="1">
      <c r="A128" s="352"/>
      <c r="C128" s="129"/>
      <c r="D128" s="217"/>
      <c r="E128" s="217"/>
      <c r="F128" s="217"/>
      <c r="G128" s="217"/>
      <c r="H128" s="217"/>
      <c r="I128" s="217"/>
      <c r="J128" s="217"/>
      <c r="K128" s="217"/>
      <c r="L128" s="217"/>
      <c r="M128" s="217"/>
      <c r="N128" s="217"/>
      <c r="O128" s="217"/>
      <c r="P128" s="217"/>
      <c r="Q128" s="217"/>
      <c r="R128" s="217"/>
      <c r="S128" s="217"/>
      <c r="T128" s="217"/>
      <c r="U128" s="217"/>
      <c r="V128" s="217"/>
      <c r="W128" s="148"/>
    </row>
    <row r="129" spans="1:23" s="115" customFormat="1" ht="13.5">
      <c r="A129" s="352"/>
      <c r="B129" s="137"/>
      <c r="C129" s="128" t="s">
        <v>70</v>
      </c>
      <c r="D129" s="218">
        <f>Saldo_relativo_per_capita!D129*Saldo_relativo_per_capita!D$552/1000000</f>
        <v>0</v>
      </c>
      <c r="E129" s="218">
        <f>Saldo_relativo_per_capita!E129*Saldo_relativo_per_capita!E$552/1000000</f>
        <v>-110.92588427455874</v>
      </c>
      <c r="F129" s="218">
        <f>Saldo_relativo_per_capita!F129*Saldo_relativo_per_capita!F$552/1000000</f>
        <v>-17.451150166213477</v>
      </c>
      <c r="G129" s="218">
        <f>Saldo_relativo_per_capita!G129*Saldo_relativo_per_capita!G$552/1000000</f>
        <v>-13.950352649315905</v>
      </c>
      <c r="H129" s="218">
        <f>Saldo_relativo_per_capita!H129*Saldo_relativo_per_capita!H$552/1000000</f>
        <v>-14.577139247003753</v>
      </c>
      <c r="I129" s="218">
        <f>Saldo_relativo_per_capita!I129*Saldo_relativo_per_capita!I$552/1000000</f>
        <v>-27.763056000418342</v>
      </c>
      <c r="J129" s="218">
        <f>Saldo_relativo_per_capita!J129*Saldo_relativo_per_capita!J$552/1000000</f>
        <v>-7.7498951493312704</v>
      </c>
      <c r="K129" s="218">
        <f>Saldo_relativo_per_capita!K129*Saldo_relativo_per_capita!K$552/1000000</f>
        <v>-32.7920914977785</v>
      </c>
      <c r="L129" s="218">
        <f>Saldo_relativo_per_capita!L129*Saldo_relativo_per_capita!L$552/1000000</f>
        <v>-27.318602400416779</v>
      </c>
      <c r="M129" s="218">
        <f>Saldo_relativo_per_capita!M129*Saldo_relativo_per_capita!M$552/1000000</f>
        <v>-99.211340740442523</v>
      </c>
      <c r="N129" s="218">
        <f>Saldo_relativo_per_capita!N129*Saldo_relativo_per_capita!N$552/1000000</f>
        <v>-65.926500538991718</v>
      </c>
      <c r="O129" s="218">
        <f>Saldo_relativo_per_capita!O129*Saldo_relativo_per_capita!O$552/1000000</f>
        <v>-14.476178382296554</v>
      </c>
      <c r="P129" s="218">
        <f>Saldo_relativo_per_capita!P129*Saldo_relativo_per_capita!P$552/1000000</f>
        <v>-36.186943487867516</v>
      </c>
      <c r="Q129" s="218">
        <f>Saldo_relativo_per_capita!Q129*Saldo_relativo_per_capita!Q$552/1000000</f>
        <v>-85.111857564576383</v>
      </c>
      <c r="R129" s="218">
        <f>Saldo_relativo_per_capita!R129*Saldo_relativo_per_capita!R$552/1000000</f>
        <v>-19.371558913325789</v>
      </c>
      <c r="S129" s="218">
        <f>Saldo_relativo_per_capita!S129*Saldo_relativo_per_capita!S$552/1000000</f>
        <v>-8.4591762542461932</v>
      </c>
      <c r="T129" s="218">
        <f>Saldo_relativo_per_capita!T129*Saldo_relativo_per_capita!T$552/1000000</f>
        <v>-28.906035719158524</v>
      </c>
      <c r="U129" s="218">
        <f>Saldo_relativo_per_capita!U129*Saldo_relativo_per_capita!U$552/1000000</f>
        <v>-4.1993632488449411</v>
      </c>
      <c r="V129" s="218">
        <f>Saldo_relativo_per_capita!V129*Saldo_relativo_per_capita!V$552/1000000</f>
        <v>614.37712623478683</v>
      </c>
      <c r="W129" s="148"/>
    </row>
    <row r="130" spans="1:23" s="115" customFormat="1">
      <c r="A130" s="351" t="str">
        <f>IF(B130="","",(IF(ISERROR(MATCH(B130,Tot_res!C:C,0)),"Eliminar!!!","")))</f>
        <v/>
      </c>
      <c r="B130" s="115" t="s">
        <v>943</v>
      </c>
      <c r="C130" s="329" t="str">
        <f>VLOOKUP(B130,Tot_res!C:D,2,FALSE)</f>
        <v>Dirección y Servicios Generales de la Educación, gasto directo en Ceuta y Melilla</v>
      </c>
      <c r="D130" s="336">
        <f>Saldo_relativo_per_capita!D130*Saldo_relativo_per_capita!D$552/1000000</f>
        <v>0</v>
      </c>
      <c r="E130" s="336">
        <f>Saldo_relativo_per_capita!E130*Saldo_relativo_per_capita!E$552/1000000</f>
        <v>-0.85275443579761001</v>
      </c>
      <c r="F130" s="336">
        <f>Saldo_relativo_per_capita!F130*Saldo_relativo_per_capita!F$552/1000000</f>
        <v>-0.13415755764610007</v>
      </c>
      <c r="G130" s="336">
        <f>Saldo_relativo_per_capita!G130*Saldo_relativo_per_capita!G$552/1000000</f>
        <v>-0.10724480747162744</v>
      </c>
      <c r="H130" s="336">
        <f>Saldo_relativo_per_capita!H130*Saldo_relativo_per_capita!H$552/1000000</f>
        <v>-0.11206329555465994</v>
      </c>
      <c r="I130" s="336">
        <f>Saldo_relativo_per_capita!I130*Saldo_relativo_per_capita!I$552/1000000</f>
        <v>-0.2134314214440223</v>
      </c>
      <c r="J130" s="336">
        <f>Saldo_relativo_per_capita!J130*Saldo_relativo_per_capita!J$552/1000000</f>
        <v>-5.9578136417654547E-2</v>
      </c>
      <c r="K130" s="336">
        <f>Saldo_relativo_per_capita!K130*Saldo_relativo_per_capita!K$552/1000000</f>
        <v>-0.25209266229149424</v>
      </c>
      <c r="L130" s="336">
        <f>Saldo_relativo_per_capita!L130*Saldo_relativo_per_capita!L$552/1000000</f>
        <v>-0.21001463751314609</v>
      </c>
      <c r="M130" s="336">
        <f>Saldo_relativo_per_capita!M130*Saldo_relativo_per_capita!M$552/1000000</f>
        <v>-0.76269764673171492</v>
      </c>
      <c r="N130" s="336">
        <f>Saldo_relativo_per_capita!N130*Saldo_relativo_per_capita!N$552/1000000</f>
        <v>-0.5068169268057191</v>
      </c>
      <c r="O130" s="336">
        <f>Saldo_relativo_per_capita!O130*Saldo_relativo_per_capita!O$552/1000000</f>
        <v>-0.1112871482578944</v>
      </c>
      <c r="P130" s="336">
        <f>Saldo_relativo_per_capita!P130*Saldo_relativo_per_capita!P$552/1000000</f>
        <v>-0.2781909450535161</v>
      </c>
      <c r="Q130" s="336">
        <f>Saldo_relativo_per_capita!Q130*Saldo_relativo_per_capita!Q$552/1000000</f>
        <v>-0.65430638260697871</v>
      </c>
      <c r="R130" s="336">
        <f>Saldo_relativo_per_capita!R130*Saldo_relativo_per_capita!R$552/1000000</f>
        <v>-0.14892090245380202</v>
      </c>
      <c r="S130" s="336">
        <f>Saldo_relativo_per_capita!S130*Saldo_relativo_per_capita!S$552/1000000</f>
        <v>-6.5030809726496983E-2</v>
      </c>
      <c r="T130" s="336">
        <f>Saldo_relativo_per_capita!T130*Saldo_relativo_per_capita!T$552/1000000</f>
        <v>-0.22221819859307712</v>
      </c>
      <c r="U130" s="336">
        <f>Saldo_relativo_per_capita!U130*Saldo_relativo_per_capita!U$552/1000000</f>
        <v>-3.2283047923371909E-2</v>
      </c>
      <c r="V130" s="336">
        <f>Saldo_relativo_per_capita!V130*Saldo_relativo_per_capita!V$552/1000000</f>
        <v>4.7230889622888865</v>
      </c>
      <c r="W130" s="148"/>
    </row>
    <row r="131" spans="1:23" s="115" customFormat="1">
      <c r="A131" s="351" t="str">
        <f>IF(B131="","",(IF(ISERROR(MATCH(B131,Tot_res!C:C,0)),"Eliminar!!!","")))</f>
        <v/>
      </c>
      <c r="B131" s="115" t="s">
        <v>944</v>
      </c>
      <c r="C131" s="329" t="str">
        <f>VLOOKUP(B131,Tot_res!C:D,2,FALSE)</f>
        <v>Formación permanente del profesorado de Educación, gasto directo del Estado en Ceuta y Melilla</v>
      </c>
      <c r="D131" s="336">
        <f>Saldo_relativo_per_capita!D131*Saldo_relativo_per_capita!D$552/1000000</f>
        <v>0</v>
      </c>
      <c r="E131" s="336">
        <f>Saldo_relativo_per_capita!E131*Saldo_relativo_per_capita!E$552/1000000</f>
        <v>-8.3173506987181414E-2</v>
      </c>
      <c r="F131" s="336">
        <f>Saldo_relativo_per_capita!F131*Saldo_relativo_per_capita!F$552/1000000</f>
        <v>-1.3085073603662132E-2</v>
      </c>
      <c r="G131" s="336">
        <f>Saldo_relativo_per_capita!G131*Saldo_relativo_per_capita!G$552/1000000</f>
        <v>-1.0460135261843842E-2</v>
      </c>
      <c r="H131" s="336">
        <f>Saldo_relativo_per_capita!H131*Saldo_relativo_per_capita!H$552/1000000</f>
        <v>-1.093010707954175E-2</v>
      </c>
      <c r="I131" s="336">
        <f>Saldo_relativo_per_capita!I131*Saldo_relativo_per_capita!I$552/1000000</f>
        <v>-2.0817059492812325E-2</v>
      </c>
      <c r="J131" s="336">
        <f>Saldo_relativo_per_capita!J131*Saldo_relativo_per_capita!J$552/1000000</f>
        <v>-5.8109607380490008E-3</v>
      </c>
      <c r="K131" s="336">
        <f>Saldo_relativo_per_capita!K131*Saldo_relativo_per_capita!K$552/1000000</f>
        <v>-2.4587888292726644E-2</v>
      </c>
      <c r="L131" s="336">
        <f>Saldo_relativo_per_capita!L131*Saldo_relativo_per_capita!L$552/1000000</f>
        <v>-2.0483803059050575E-2</v>
      </c>
      <c r="M131" s="336">
        <f>Saldo_relativo_per_capita!M131*Saldo_relativo_per_capita!M$552/1000000</f>
        <v>-7.4389807178444137E-2</v>
      </c>
      <c r="N131" s="336">
        <f>Saldo_relativo_per_capita!N131*Saldo_relativo_per_capita!N$552/1000000</f>
        <v>-4.9432450226388418E-2</v>
      </c>
      <c r="O131" s="336">
        <f>Saldo_relativo_per_capita!O131*Saldo_relativo_per_capita!O$552/1000000</f>
        <v>-1.0854405459121294E-2</v>
      </c>
      <c r="P131" s="336">
        <f>Saldo_relativo_per_capita!P131*Saldo_relativo_per_capita!P$552/1000000</f>
        <v>-2.7133387457008499E-2</v>
      </c>
      <c r="Q131" s="336">
        <f>Saldo_relativo_per_capita!Q131*Saldo_relativo_per_capita!Q$552/1000000</f>
        <v>-6.3817852128341263E-2</v>
      </c>
      <c r="R131" s="336">
        <f>Saldo_relativo_per_capita!R131*Saldo_relativo_per_capita!R$552/1000000</f>
        <v>-1.4525018224259801E-2</v>
      </c>
      <c r="S131" s="336">
        <f>Saldo_relativo_per_capita!S131*Saldo_relativo_per_capita!S$552/1000000</f>
        <v>-6.3427878884145484E-3</v>
      </c>
      <c r="T131" s="336">
        <f>Saldo_relativo_per_capita!T131*Saldo_relativo_per_capita!T$552/1000000</f>
        <v>-2.1674078864301314E-2</v>
      </c>
      <c r="U131" s="336">
        <f>Saldo_relativo_per_capita!U131*Saldo_relativo_per_capita!U$552/1000000</f>
        <v>-3.1487309819861883E-3</v>
      </c>
      <c r="V131" s="336">
        <f>Saldo_relativo_per_capita!V131*Saldo_relativo_per_capita!V$552/1000000</f>
        <v>0.46066705292313315</v>
      </c>
      <c r="W131" s="148"/>
    </row>
    <row r="132" spans="1:23" s="115" customFormat="1">
      <c r="A132" s="351" t="str">
        <f>IF(B132="","",(IF(ISERROR(MATCH(B132,Tot_res!C:C,0)),"Eliminar!!!","")))</f>
        <v/>
      </c>
      <c r="B132" s="115" t="s">
        <v>945</v>
      </c>
      <c r="C132" s="329" t="str">
        <f>VLOOKUP(B132,Tot_res!C:D,2,FALSE)</f>
        <v xml:space="preserve">Educación infantil y primaria, gasto directo del Estado en Ceuta y Melilla  </v>
      </c>
      <c r="D132" s="336">
        <f>Saldo_relativo_per_capita!D132*Saldo_relativo_per_capita!D$552/1000000</f>
        <v>0</v>
      </c>
      <c r="E132" s="336">
        <f>Saldo_relativo_per_capita!E132*Saldo_relativo_per_capita!E$552/1000000</f>
        <v>-10.652563084580688</v>
      </c>
      <c r="F132" s="336">
        <f>Saldo_relativo_per_capita!F132*Saldo_relativo_per_capita!F$552/1000000</f>
        <v>-1.67588907908951</v>
      </c>
      <c r="G132" s="336">
        <f>Saldo_relativo_per_capita!G132*Saldo_relativo_per_capita!G$552/1000000</f>
        <v>-1.3396964344332802</v>
      </c>
      <c r="H132" s="336">
        <f>Saldo_relativo_per_capita!H132*Saldo_relativo_per_capita!H$552/1000000</f>
        <v>-1.3998887314440769</v>
      </c>
      <c r="I132" s="336">
        <f>Saldo_relativo_per_capita!I132*Saldo_relativo_per_capita!I$552/1000000</f>
        <v>-2.6661739719214808</v>
      </c>
      <c r="J132" s="336">
        <f>Saldo_relativo_per_capita!J132*Saldo_relativo_per_capita!J$552/1000000</f>
        <v>-0.74424691330652593</v>
      </c>
      <c r="K132" s="336">
        <f>Saldo_relativo_per_capita!K132*Saldo_relativo_per_capita!K$552/1000000</f>
        <v>-3.1491281375842526</v>
      </c>
      <c r="L132" s="336">
        <f>Saldo_relativo_per_capita!L132*Saldo_relativo_per_capita!L$552/1000000</f>
        <v>-2.6234916886730835</v>
      </c>
      <c r="M132" s="336">
        <f>Saldo_relativo_per_capita!M132*Saldo_relativo_per_capita!M$552/1000000</f>
        <v>-9.5275784624579973</v>
      </c>
      <c r="N132" s="336">
        <f>Saldo_relativo_per_capita!N132*Saldo_relativo_per_capita!N$552/1000000</f>
        <v>-6.3311301102543824</v>
      </c>
      <c r="O132" s="336">
        <f>Saldo_relativo_per_capita!O132*Saldo_relativo_per_capita!O$552/1000000</f>
        <v>-1.3901931406683004</v>
      </c>
      <c r="P132" s="336">
        <f>Saldo_relativo_per_capita!P132*Saldo_relativo_per_capita!P$552/1000000</f>
        <v>-3.4751464986164384</v>
      </c>
      <c r="Q132" s="336">
        <f>Saldo_relativo_per_capita!Q132*Saldo_relativo_per_capita!Q$552/1000000</f>
        <v>-8.1735605524529653</v>
      </c>
      <c r="R132" s="336">
        <f>Saldo_relativo_per_capita!R132*Saldo_relativo_per_capita!R$552/1000000</f>
        <v>-1.8603119976948697</v>
      </c>
      <c r="S132" s="336">
        <f>Saldo_relativo_per_capita!S132*Saldo_relativo_per_capita!S$552/1000000</f>
        <v>-0.81236141844858878</v>
      </c>
      <c r="T132" s="336">
        <f>Saldo_relativo_per_capita!T132*Saldo_relativo_per_capita!T$552/1000000</f>
        <v>-2.7759379250141549</v>
      </c>
      <c r="U132" s="336">
        <f>Saldo_relativo_per_capita!U132*Saldo_relativo_per_capita!U$552/1000000</f>
        <v>-0.40327811868208252</v>
      </c>
      <c r="V132" s="336">
        <f>Saldo_relativo_per_capita!V132*Saldo_relativo_per_capita!V$552/1000000</f>
        <v>59.000576265322678</v>
      </c>
      <c r="W132" s="148"/>
    </row>
    <row r="133" spans="1:23" s="115" customFormat="1">
      <c r="A133" s="351" t="str">
        <f>IF(B133="","",(IF(ISERROR(MATCH(B133,Tot_res!C:C,0)),"Eliminar!!!","")))</f>
        <v/>
      </c>
      <c r="B133" s="115" t="s">
        <v>946</v>
      </c>
      <c r="C133" s="329" t="str">
        <f>VLOOKUP(B133,Tot_res!C:D,2,FALSE)</f>
        <v>Educ. secundaria, formación profesional y EE.OO de Idiomas, gasto directo del Estado en Ceuta y Melilla</v>
      </c>
      <c r="D133" s="336">
        <f>Saldo_relativo_per_capita!D133*Saldo_relativo_per_capita!D$552/1000000</f>
        <v>0</v>
      </c>
      <c r="E133" s="336">
        <f>Saldo_relativo_per_capita!E133*Saldo_relativo_per_capita!E$552/1000000</f>
        <v>-11.679997611241339</v>
      </c>
      <c r="F133" s="336">
        <f>Saldo_relativo_per_capita!F133*Saldo_relativo_per_capita!F$552/1000000</f>
        <v>-1.8375277653886264</v>
      </c>
      <c r="G133" s="336">
        <f>Saldo_relativo_per_capita!G133*Saldo_relativo_per_capita!G$552/1000000</f>
        <v>-1.4689095037248665</v>
      </c>
      <c r="H133" s="336">
        <f>Saldo_relativo_per_capita!H133*Saldo_relativo_per_capita!H$552/1000000</f>
        <v>-1.5349073184966817</v>
      </c>
      <c r="I133" s="336">
        <f>Saldo_relativo_per_capita!I133*Saldo_relativo_per_capita!I$552/1000000</f>
        <v>-2.9233251543257595</v>
      </c>
      <c r="J133" s="336">
        <f>Saldo_relativo_per_capita!J133*Saldo_relativo_per_capita!J$552/1000000</f>
        <v>-0.81602916599260233</v>
      </c>
      <c r="K133" s="336">
        <f>Saldo_relativo_per_capita!K133*Saldo_relativo_per_capita!K$552/1000000</f>
        <v>-3.4528600142924937</v>
      </c>
      <c r="L133" s="336">
        <f>Saldo_relativo_per_capita!L133*Saldo_relativo_per_capita!L$552/1000000</f>
        <v>-2.8765261856244888</v>
      </c>
      <c r="M133" s="336">
        <f>Saldo_relativo_per_capita!M133*Saldo_relativo_per_capita!M$552/1000000</f>
        <v>-10.446508769659561</v>
      </c>
      <c r="N133" s="336">
        <f>Saldo_relativo_per_capita!N133*Saldo_relativo_per_capita!N$552/1000000</f>
        <v>-6.9417645290706176</v>
      </c>
      <c r="O133" s="336">
        <f>Saldo_relativo_per_capita!O133*Saldo_relativo_per_capita!O$552/1000000</f>
        <v>-1.5242765927078283</v>
      </c>
      <c r="P133" s="336">
        <f>Saldo_relativo_per_capita!P133*Saldo_relativo_per_capita!P$552/1000000</f>
        <v>-3.8103226876268175</v>
      </c>
      <c r="Q133" s="336">
        <f>Saldo_relativo_per_capita!Q133*Saldo_relativo_per_capita!Q$552/1000000</f>
        <v>-8.961896491011947</v>
      </c>
      <c r="R133" s="336">
        <f>Saldo_relativo_per_capita!R133*Saldo_relativo_per_capita!R$552/1000000</f>
        <v>-2.0397381847652269</v>
      </c>
      <c r="S133" s="336">
        <f>Saldo_relativo_per_capita!S133*Saldo_relativo_per_capita!S$552/1000000</f>
        <v>-0.89071328201551114</v>
      </c>
      <c r="T133" s="336">
        <f>Saldo_relativo_per_capita!T133*Saldo_relativo_per_capita!T$552/1000000</f>
        <v>-3.0436757872901925</v>
      </c>
      <c r="U133" s="336">
        <f>Saldo_relativo_per_capita!U133*Saldo_relativo_per_capita!U$552/1000000</f>
        <v>-0.44217409701995997</v>
      </c>
      <c r="V133" s="336">
        <f>Saldo_relativo_per_capita!V133*Saldo_relativo_per_capita!V$552/1000000</f>
        <v>64.691153140254514</v>
      </c>
      <c r="W133" s="148"/>
    </row>
    <row r="134" spans="1:23" s="115" customFormat="1">
      <c r="A134" s="351" t="str">
        <f>IF(B134="","",(IF(ISERROR(MATCH(B134,Tot_res!C:C,0)),"Eliminar!!!","")))</f>
        <v/>
      </c>
      <c r="B134" s="115" t="s">
        <v>947</v>
      </c>
      <c r="C134" s="329" t="str">
        <f>VLOOKUP(B134,Tot_res!C:D,2,FALSE)</f>
        <v>Enseñanzas universitarias, gasto directo del Estado en Ceuta y Melilla</v>
      </c>
      <c r="D134" s="336">
        <f>Saldo_relativo_per_capita!D134*Saldo_relativo_per_capita!D$552/1000000</f>
        <v>0</v>
      </c>
      <c r="E134" s="336">
        <f>Saldo_relativo_per_capita!E134*Saldo_relativo_per_capita!E$552/1000000</f>
        <v>-1.4781905646364557</v>
      </c>
      <c r="F134" s="336">
        <f>Saldo_relativo_per_capita!F134*Saldo_relativo_per_capita!F$552/1000000</f>
        <v>-0.23255280484310828</v>
      </c>
      <c r="G134" s="336">
        <f>Saldo_relativo_per_capita!G134*Saldo_relativo_per_capita!G$552/1000000</f>
        <v>-0.18590142232744428</v>
      </c>
      <c r="H134" s="336">
        <f>Saldo_relativo_per_capita!H134*Saldo_relativo_per_capita!H$552/1000000</f>
        <v>-0.19425393662834003</v>
      </c>
      <c r="I134" s="336">
        <f>Saldo_relativo_per_capita!I134*Saldo_relativo_per_capita!I$552/1000000</f>
        <v>-0.36996853974779981</v>
      </c>
      <c r="J134" s="336">
        <f>Saldo_relativo_per_capita!J134*Saldo_relativo_per_capita!J$552/1000000</f>
        <v>-0.10327455996030996</v>
      </c>
      <c r="K134" s="336">
        <f>Saldo_relativo_per_capita!K134*Saldo_relativo_per_capita!K$552/1000000</f>
        <v>-0.43698511455390737</v>
      </c>
      <c r="L134" s="336">
        <f>Saldo_relativo_per_capita!L134*Saldo_relativo_per_capita!L$552/1000000</f>
        <v>-0.36404578220353839</v>
      </c>
      <c r="M134" s="336">
        <f>Saldo_relativo_per_capita!M134*Saldo_relativo_per_capita!M$552/1000000</f>
        <v>-1.3220833779829511</v>
      </c>
      <c r="N134" s="336">
        <f>Saldo_relativo_per_capita!N134*Saldo_relativo_per_capita!N$552/1000000</f>
        <v>-0.87853192871583641</v>
      </c>
      <c r="O134" s="336">
        <f>Saldo_relativo_per_capita!O134*Saldo_relativo_per_capita!O$552/1000000</f>
        <v>-0.19290853921651208</v>
      </c>
      <c r="P134" s="336">
        <f>Saldo_relativo_per_capita!P134*Saldo_relativo_per_capita!P$552/1000000</f>
        <v>-0.48222467439970457</v>
      </c>
      <c r="Q134" s="336">
        <f>Saldo_relativo_per_capita!Q134*Saldo_relativo_per_capita!Q$552/1000000</f>
        <v>-1.1341946527037432</v>
      </c>
      <c r="R134" s="336">
        <f>Saldo_relativo_per_capita!R134*Saldo_relativo_per_capita!R$552/1000000</f>
        <v>-0.25814403730243624</v>
      </c>
      <c r="S134" s="336">
        <f>Saldo_relativo_per_capita!S134*Saldo_relativo_per_capita!S$552/1000000</f>
        <v>-0.11272639028663015</v>
      </c>
      <c r="T134" s="336">
        <f>Saldo_relativo_per_capita!T134*Saldo_relativo_per_capita!T$552/1000000</f>
        <v>-0.38519980742587107</v>
      </c>
      <c r="U134" s="336">
        <f>Saldo_relativo_per_capita!U134*Saldo_relativo_per_capita!U$552/1000000</f>
        <v>-5.5960420532319234E-2</v>
      </c>
      <c r="V134" s="336">
        <f>Saldo_relativo_per_capita!V134*Saldo_relativo_per_capita!V$552/1000000</f>
        <v>8.1871465534669081</v>
      </c>
      <c r="W134" s="148"/>
    </row>
    <row r="135" spans="1:23" s="115" customFormat="1">
      <c r="A135" s="351" t="str">
        <f>IF(B135="","",(IF(ISERROR(MATCH(B135,Tot_res!C:C,0)),"Eliminar!!!","")))</f>
        <v/>
      </c>
      <c r="B135" s="115" t="s">
        <v>948</v>
      </c>
      <c r="C135" s="329" t="str">
        <f>VLOOKUP(B135,Tot_res!C:D,2,FALSE)</f>
        <v>Enseñanzas artísticas, gasto directo del Estado en Ceuta y Melilla</v>
      </c>
      <c r="D135" s="336">
        <f>Saldo_relativo_per_capita!D135*Saldo_relativo_per_capita!D$552/1000000</f>
        <v>0</v>
      </c>
      <c r="E135" s="336">
        <f>Saldo_relativo_per_capita!E135*Saldo_relativo_per_capita!E$552/1000000</f>
        <v>-0.95062272227633715</v>
      </c>
      <c r="F135" s="336">
        <f>Saldo_relativo_per_capita!F135*Saldo_relativo_per_capita!F$552/1000000</f>
        <v>-0.14955445238369727</v>
      </c>
      <c r="G135" s="336">
        <f>Saldo_relativo_per_capita!G135*Saldo_relativo_per_capita!G$552/1000000</f>
        <v>-0.11955299972532359</v>
      </c>
      <c r="H135" s="336">
        <f>Saldo_relativo_per_capita!H135*Saldo_relativo_per_capita!H$552/1000000</f>
        <v>-0.12492449246281266</v>
      </c>
      <c r="I135" s="336">
        <f>Saldo_relativo_per_capita!I135*Saldo_relativo_per_capita!I$552/1000000</f>
        <v>-0.23792635998738867</v>
      </c>
      <c r="J135" s="336">
        <f>Saldo_relativo_per_capita!J135*Saldo_relativo_per_capita!J$552/1000000</f>
        <v>-6.6415755640752416E-2</v>
      </c>
      <c r="K135" s="336">
        <f>Saldo_relativo_per_capita!K135*Saldo_relativo_per_capita!K$552/1000000</f>
        <v>-0.28102464535324467</v>
      </c>
      <c r="L135" s="336">
        <f>Saldo_relativo_per_capita!L135*Saldo_relativo_per_capita!L$552/1000000</f>
        <v>-0.23411744114106034</v>
      </c>
      <c r="M135" s="336">
        <f>Saldo_relativo_per_capita!M135*Saldo_relativo_per_capita!M$552/1000000</f>
        <v>-0.85023036266203267</v>
      </c>
      <c r="N135" s="336">
        <f>Saldo_relativo_per_capita!N135*Saldo_relativo_per_capita!N$552/1000000</f>
        <v>-0.56498291469471373</v>
      </c>
      <c r="O135" s="336">
        <f>Saldo_relativo_per_capita!O135*Saldo_relativo_per_capita!O$552/1000000</f>
        <v>-0.12405926887069078</v>
      </c>
      <c r="P135" s="336">
        <f>Saldo_relativo_per_capita!P135*Saldo_relativo_per_capita!P$552/1000000</f>
        <v>-0.31011815640929169</v>
      </c>
      <c r="Q135" s="336">
        <f>Saldo_relativo_per_capita!Q135*Saldo_relativo_per_capita!Q$552/1000000</f>
        <v>-0.7293993305996147</v>
      </c>
      <c r="R135" s="336">
        <f>Saldo_relativo_per_capita!R135*Saldo_relativo_per_capita!R$552/1000000</f>
        <v>-0.16601214576159809</v>
      </c>
      <c r="S135" s="336">
        <f>Saldo_relativo_per_capita!S135*Saldo_relativo_per_capita!S$552/1000000</f>
        <v>-7.2494217302094655E-2</v>
      </c>
      <c r="T135" s="336">
        <f>Saldo_relativo_per_capita!T135*Saldo_relativo_per_capita!T$552/1000000</f>
        <v>-0.2477215714372796</v>
      </c>
      <c r="U135" s="336">
        <f>Saldo_relativo_per_capita!U135*Saldo_relativo_per_capita!U$552/1000000</f>
        <v>-3.5988084742812038E-2</v>
      </c>
      <c r="V135" s="336">
        <f>Saldo_relativo_per_capita!V135*Saldo_relativo_per_capita!V$552/1000000</f>
        <v>5.2651449214507444</v>
      </c>
      <c r="W135" s="148"/>
    </row>
    <row r="136" spans="1:23" s="115" customFormat="1">
      <c r="A136" s="351" t="str">
        <f>IF(B136="","",(IF(ISERROR(MATCH(B136,Tot_res!C:C,0)),"Eliminar!!!","")))</f>
        <v/>
      </c>
      <c r="B136" s="115" t="s">
        <v>949</v>
      </c>
      <c r="C136" s="329" t="str">
        <f>VLOOKUP(B136,Tot_res!C:D,2,FALSE)</f>
        <v>Educación compensatoria, gasto directo del Estado en Ceuta y Melilla</v>
      </c>
      <c r="D136" s="336">
        <f>Saldo_relativo_per_capita!D136*Saldo_relativo_per_capita!D$552/1000000</f>
        <v>0</v>
      </c>
      <c r="E136" s="336">
        <f>Saldo_relativo_per_capita!E136*Saldo_relativo_per_capita!E$552/1000000</f>
        <v>-0.61776717093170364</v>
      </c>
      <c r="F136" s="336">
        <f>Saldo_relativo_per_capita!F136*Saldo_relativo_per_capita!F$552/1000000</f>
        <v>-9.7188746686048572E-2</v>
      </c>
      <c r="G136" s="336">
        <f>Saldo_relativo_per_capita!G136*Saldo_relativo_per_capita!G$552/1000000</f>
        <v>-7.7692145039262667E-2</v>
      </c>
      <c r="H136" s="336">
        <f>Saldo_relativo_per_capita!H136*Saldo_relativo_per_capita!H$552/1000000</f>
        <v>-8.1182837818173759E-2</v>
      </c>
      <c r="I136" s="336">
        <f>Saldo_relativo_per_capita!I136*Saldo_relativo_per_capita!I$552/1000000</f>
        <v>-0.1546176951751429</v>
      </c>
      <c r="J136" s="336">
        <f>Saldo_relativo_per_capita!J136*Saldo_relativo_per_capita!J$552/1000000</f>
        <v>-4.3160627771689296E-2</v>
      </c>
      <c r="K136" s="336">
        <f>Saldo_relativo_per_capita!K136*Saldo_relativo_per_capita!K$552/1000000</f>
        <v>-0.1826253423716219</v>
      </c>
      <c r="L136" s="336">
        <f>Saldo_relativo_per_capita!L136*Saldo_relativo_per_capita!L$552/1000000</f>
        <v>-0.15214244924964029</v>
      </c>
      <c r="M136" s="336">
        <f>Saldo_relativo_per_capita!M136*Saldo_relativo_per_capita!M$552/1000000</f>
        <v>-0.5525266685444078</v>
      </c>
      <c r="N136" s="336">
        <f>Saldo_relativo_per_capita!N136*Saldo_relativo_per_capita!N$552/1000000</f>
        <v>-0.36715711570614262</v>
      </c>
      <c r="O136" s="336">
        <f>Saldo_relativo_per_capita!O136*Saldo_relativo_per_capita!O$552/1000000</f>
        <v>-8.062056772068589E-2</v>
      </c>
      <c r="P136" s="336">
        <f>Saldo_relativo_per_capita!P136*Saldo_relativo_per_capita!P$552/1000000</f>
        <v>-0.20153191339753496</v>
      </c>
      <c r="Q136" s="336">
        <f>Saldo_relativo_per_capita!Q136*Saldo_relativo_per_capita!Q$552/1000000</f>
        <v>-0.47400398747571437</v>
      </c>
      <c r="R136" s="336">
        <f>Saldo_relativo_per_capita!R136*Saldo_relativo_per_capita!R$552/1000000</f>
        <v>-0.10788386520139559</v>
      </c>
      <c r="S136" s="336">
        <f>Saldo_relativo_per_capita!S136*Saldo_relativo_per_capita!S$552/1000000</f>
        <v>-4.7110748020395762E-2</v>
      </c>
      <c r="T136" s="336">
        <f>Saldo_relativo_per_capita!T136*Saldo_relativo_per_capita!T$552/1000000</f>
        <v>-0.16098316480286964</v>
      </c>
      <c r="U136" s="336">
        <f>Saldo_relativo_per_capita!U136*Saldo_relativo_per_capita!U$552/1000000</f>
        <v>-2.3387045962440917E-2</v>
      </c>
      <c r="V136" s="336">
        <f>Saldo_relativo_per_capita!V136*Saldo_relativo_per_capita!V$552/1000000</f>
        <v>3.4215820918748703</v>
      </c>
      <c r="W136" s="148"/>
    </row>
    <row r="137" spans="1:23" s="115" customFormat="1">
      <c r="A137" s="351" t="str">
        <f>IF(B137="","",(IF(ISERROR(MATCH(B137,Tot_res!C:C,0)),"Eliminar!!!","")))</f>
        <v/>
      </c>
      <c r="B137" s="115" t="s">
        <v>950</v>
      </c>
      <c r="C137" s="329" t="str">
        <f>VLOOKUP(B137,Tot_res!C:D,2,FALSE)</f>
        <v>Otras enseñanzas y actividades educativas, gasto directo en Ceuta y Melilla</v>
      </c>
      <c r="D137" s="336">
        <f>Saldo_relativo_per_capita!D137*Saldo_relativo_per_capita!D$552/1000000</f>
        <v>0</v>
      </c>
      <c r="E137" s="336">
        <f>Saldo_relativo_per_capita!E137*Saldo_relativo_per_capita!E$552/1000000</f>
        <v>-2.7600617840871959</v>
      </c>
      <c r="F137" s="336">
        <f>Saldo_relativo_per_capita!F137*Saldo_relativo_per_capita!F$552/1000000</f>
        <v>-0.43422013696022282</v>
      </c>
      <c r="G137" s="336">
        <f>Saldo_relativo_per_capita!G137*Saldo_relativo_per_capita!G$552/1000000</f>
        <v>-0.34711316906533235</v>
      </c>
      <c r="H137" s="336">
        <f>Saldo_relativo_per_capita!H137*Saldo_relativo_per_capita!H$552/1000000</f>
        <v>-0.36270889540432028</v>
      </c>
      <c r="I137" s="336">
        <f>Saldo_relativo_per_capita!I137*Saldo_relativo_per_capita!I$552/1000000</f>
        <v>-0.69080134341378641</v>
      </c>
      <c r="J137" s="336">
        <f>Saldo_relativo_per_capita!J137*Saldo_relativo_per_capita!J$552/1000000</f>
        <v>-0.19283316578669721</v>
      </c>
      <c r="K137" s="336">
        <f>Saldo_relativo_per_capita!K137*Saldo_relativo_per_capita!K$552/1000000</f>
        <v>-0.81593398290418218</v>
      </c>
      <c r="L137" s="336">
        <f>Saldo_relativo_per_capita!L137*Saldo_relativo_per_capita!L$552/1000000</f>
        <v>-0.67974243318569239</v>
      </c>
      <c r="M137" s="336">
        <f>Saldo_relativo_per_capita!M137*Saldo_relativo_per_capita!M$552/1000000</f>
        <v>-2.4685800966704785</v>
      </c>
      <c r="N137" s="336">
        <f>Saldo_relativo_per_capita!N137*Saldo_relativo_per_capita!N$552/1000000</f>
        <v>-1.640385523056934</v>
      </c>
      <c r="O137" s="336">
        <f>Saldo_relativo_per_capita!O137*Saldo_relativo_per_capita!O$552/1000000</f>
        <v>-0.36019678359030022</v>
      </c>
      <c r="P137" s="336">
        <f>Saldo_relativo_per_capita!P137*Saldo_relativo_per_capita!P$552/1000000</f>
        <v>-0.90040481044597442</v>
      </c>
      <c r="Q137" s="336">
        <f>Saldo_relativo_per_capita!Q137*Saldo_relativo_per_capita!Q$552/1000000</f>
        <v>-2.1177562565578607</v>
      </c>
      <c r="R137" s="336">
        <f>Saldo_relativo_per_capita!R137*Saldo_relativo_per_capita!R$552/1000000</f>
        <v>-0.48200381547129106</v>
      </c>
      <c r="S137" s="336">
        <f>Saldo_relativo_per_capita!S137*Saldo_relativo_per_capita!S$552/1000000</f>
        <v>-0.21048152337837805</v>
      </c>
      <c r="T137" s="336">
        <f>Saldo_relativo_per_capita!T137*Saldo_relativo_per_capita!T$552/1000000</f>
        <v>-0.71924100528633128</v>
      </c>
      <c r="U137" s="336">
        <f>Saldo_relativo_per_capita!U137*Saldo_relativo_per_capita!U$552/1000000</f>
        <v>-0.10448870519660573</v>
      </c>
      <c r="V137" s="336">
        <f>Saldo_relativo_per_capita!V137*Saldo_relativo_per_capita!V$552/1000000</f>
        <v>15.286953430461583</v>
      </c>
      <c r="W137" s="148"/>
    </row>
    <row r="138" spans="1:23" s="115" customFormat="1">
      <c r="A138" s="351" t="str">
        <f>IF(B138="","",(IF(ISERROR(MATCH(B138,Tot_res!C:C,0)),"Eliminar!!!","")))</f>
        <v/>
      </c>
      <c r="B138" s="115" t="s">
        <v>951</v>
      </c>
      <c r="C138" s="329" t="str">
        <f>VLOOKUP(B138,Tot_res!C:D,2,FALSE)</f>
        <v>Servicios complementarios de la enseñanza, gasto directo del Estado en Ceuta y Melilla</v>
      </c>
      <c r="D138" s="336">
        <f>Saldo_relativo_per_capita!D138*Saldo_relativo_per_capita!D$552/1000000</f>
        <v>0</v>
      </c>
      <c r="E138" s="336">
        <f>Saldo_relativo_per_capita!E138*Saldo_relativo_per_capita!E$552/1000000</f>
        <v>-0.44933227979537776</v>
      </c>
      <c r="F138" s="336">
        <f>Saldo_relativo_per_capita!F138*Saldo_relativo_per_capita!F$552/1000000</f>
        <v>-7.0690129184164022E-2</v>
      </c>
      <c r="G138" s="336">
        <f>Saldo_relativo_per_capita!G138*Saldo_relativo_per_capita!G$552/1000000</f>
        <v>-5.6509297183978111E-2</v>
      </c>
      <c r="H138" s="336">
        <f>Saldo_relativo_per_capita!H138*Saldo_relativo_per_capita!H$552/1000000</f>
        <v>-5.9048248779686618E-2</v>
      </c>
      <c r="I138" s="336">
        <f>Saldo_relativo_per_capita!I138*Saldo_relativo_per_capita!I$552/1000000</f>
        <v>-0.11246101239885148</v>
      </c>
      <c r="J138" s="336">
        <f>Saldo_relativo_per_capita!J138*Saldo_relativo_per_capita!J$552/1000000</f>
        <v>-3.1392835661377128E-2</v>
      </c>
      <c r="K138" s="336">
        <f>Saldo_relativo_per_capita!K138*Saldo_relativo_per_capita!K$552/1000000</f>
        <v>-0.13283234412164033</v>
      </c>
      <c r="L138" s="336">
        <f>Saldo_relativo_per_capita!L138*Saldo_relativo_per_capita!L$552/1000000</f>
        <v>-0.11066064496740818</v>
      </c>
      <c r="M138" s="336">
        <f>Saldo_relativo_per_capita!M138*Saldo_relativo_per_capita!M$552/1000000</f>
        <v>-0.40187967134992136</v>
      </c>
      <c r="N138" s="336">
        <f>Saldo_relativo_per_capita!N138*Saldo_relativo_per_capita!N$552/1000000</f>
        <v>-0.26705132873040771</v>
      </c>
      <c r="O138" s="336">
        <f>Saldo_relativo_per_capita!O138*Saldo_relativo_per_capita!O$552/1000000</f>
        <v>-5.8639282235893174E-2</v>
      </c>
      <c r="P138" s="336">
        <f>Saldo_relativo_per_capita!P138*Saldo_relativo_per_capita!P$552/1000000</f>
        <v>-0.1465840179915455</v>
      </c>
      <c r="Q138" s="336">
        <f>Saldo_relativo_per_capita!Q138*Saldo_relativo_per_capita!Q$552/1000000</f>
        <v>-0.34476628468835985</v>
      </c>
      <c r="R138" s="336">
        <f>Saldo_relativo_per_capita!R138*Saldo_relativo_per_capita!R$552/1000000</f>
        <v>-7.8469212002590299E-2</v>
      </c>
      <c r="S138" s="336">
        <f>Saldo_relativo_per_capita!S138*Saldo_relativo_per_capita!S$552/1000000</f>
        <v>-3.4265951327494944E-2</v>
      </c>
      <c r="T138" s="336">
        <f>Saldo_relativo_per_capita!T138*Saldo_relativo_per_capita!T$552/1000000</f>
        <v>-0.11709092980848168</v>
      </c>
      <c r="U138" s="336">
        <f>Saldo_relativo_per_capita!U138*Saldo_relativo_per_capita!U$552/1000000</f>
        <v>-1.7010542441311789E-2</v>
      </c>
      <c r="V138" s="336">
        <f>Saldo_relativo_per_capita!V138*Saldo_relativo_per_capita!V$552/1000000</f>
        <v>2.4886840126684899</v>
      </c>
      <c r="W138" s="148"/>
    </row>
    <row r="139" spans="1:23" s="115" customFormat="1">
      <c r="A139" s="351" t="str">
        <f>IF(B139="","",(IF(ISERROR(MATCH(B139,Tot_res!C:C,0)),"Eliminar!!!","")))</f>
        <v/>
      </c>
      <c r="B139" s="115" t="s">
        <v>982</v>
      </c>
      <c r="C139" s="329" t="str">
        <f>VLOOKUP(B139,Tot_res!C:D,2,FALSE)</f>
        <v xml:space="preserve">Atención Primaria de Salud, gasto directo del INGESA en Ceuta y Melilla </v>
      </c>
      <c r="D139" s="336">
        <f>Saldo_relativo_per_capita!D139*Saldo_relativo_per_capita!D$552/1000000</f>
        <v>0</v>
      </c>
      <c r="E139" s="336">
        <f>Saldo_relativo_per_capita!E139*Saldo_relativo_per_capita!E$552/1000000</f>
        <v>-10.457279843583951</v>
      </c>
      <c r="F139" s="336">
        <f>Saldo_relativo_per_capita!F139*Saldo_relativo_per_capita!F$552/1000000</f>
        <v>-1.6451666089837609</v>
      </c>
      <c r="G139" s="336">
        <f>Saldo_relativo_per_capita!G139*Saldo_relativo_per_capita!G$552/1000000</f>
        <v>-1.3151370622342466</v>
      </c>
      <c r="H139" s="336">
        <f>Saldo_relativo_per_capita!H139*Saldo_relativo_per_capita!H$552/1000000</f>
        <v>-1.3742259114879187</v>
      </c>
      <c r="I139" s="336">
        <f>Saldo_relativo_per_capita!I139*Saldo_relativo_per_capita!I$552/1000000</f>
        <v>-2.6172975569062427</v>
      </c>
      <c r="J139" s="336">
        <f>Saldo_relativo_per_capita!J139*Saldo_relativo_per_capita!J$552/1000000</f>
        <v>-0.73060334713579922</v>
      </c>
      <c r="K139" s="336">
        <f>Saldo_relativo_per_capita!K139*Saldo_relativo_per_capita!K$552/1000000</f>
        <v>-3.0913981861970954</v>
      </c>
      <c r="L139" s="336">
        <f>Saldo_relativo_per_capita!L139*Saldo_relativo_per_capita!L$552/1000000</f>
        <v>-2.5753977270955493</v>
      </c>
      <c r="M139" s="336">
        <f>Saldo_relativo_per_capita!M139*Saldo_relativo_per_capita!M$552/1000000</f>
        <v>-9.3529184875555593</v>
      </c>
      <c r="N139" s="336">
        <f>Saldo_relativo_per_capita!N139*Saldo_relativo_per_capita!N$552/1000000</f>
        <v>-6.2150675629325915</v>
      </c>
      <c r="O139" s="336">
        <f>Saldo_relativo_per_capita!O139*Saldo_relativo_per_capita!O$552/1000000</f>
        <v>-1.3647080606959414</v>
      </c>
      <c r="P139" s="336">
        <f>Saldo_relativo_per_capita!P139*Saldo_relativo_per_capita!P$552/1000000</f>
        <v>-3.4114399647240843</v>
      </c>
      <c r="Q139" s="336">
        <f>Saldo_relativo_per_capita!Q139*Saldo_relativo_per_capita!Q$552/1000000</f>
        <v>-8.023722491650819</v>
      </c>
      <c r="R139" s="336">
        <f>Saldo_relativo_per_capita!R139*Saldo_relativo_per_capita!R$552/1000000</f>
        <v>-1.8262086787761751</v>
      </c>
      <c r="S139" s="336">
        <f>Saldo_relativo_per_capita!S139*Saldo_relativo_per_capita!S$552/1000000</f>
        <v>-0.79746917426324571</v>
      </c>
      <c r="T139" s="336">
        <f>Saldo_relativo_per_capita!T139*Saldo_relativo_per_capita!T$552/1000000</f>
        <v>-2.7250493125273452</v>
      </c>
      <c r="U139" s="336">
        <f>Saldo_relativo_per_capita!U139*Saldo_relativo_per_capita!U$552/1000000</f>
        <v>-0.39588520700308033</v>
      </c>
      <c r="V139" s="336">
        <f>Saldo_relativo_per_capita!V139*Saldo_relativo_per_capita!V$552/1000000</f>
        <v>57.91897518375341</v>
      </c>
      <c r="W139" s="148"/>
    </row>
    <row r="140" spans="1:23" s="115" customFormat="1">
      <c r="A140" s="351" t="str">
        <f>IF(B140="","",(IF(ISERROR(MATCH(B140,Tot_res!C:C,0)),"Eliminar!!!","")))</f>
        <v/>
      </c>
      <c r="B140" s="115" t="s">
        <v>983</v>
      </c>
      <c r="C140" s="329" t="str">
        <f>VLOOKUP(B140,Tot_res!C:D,2,FALSE)</f>
        <v>Atención Especializada, gasto directo del INGESA en Ceuta y Melilla</v>
      </c>
      <c r="D140" s="336">
        <f>Saldo_relativo_per_capita!D140*Saldo_relativo_per_capita!D$552/1000000</f>
        <v>0</v>
      </c>
      <c r="E140" s="336">
        <f>Saldo_relativo_per_capita!E140*Saldo_relativo_per_capita!E$552/1000000</f>
        <v>-25.266126555434735</v>
      </c>
      <c r="F140" s="336">
        <f>Saldo_relativo_per_capita!F140*Saldo_relativo_per_capita!F$552/1000000</f>
        <v>-3.9749330962833973</v>
      </c>
      <c r="G140" s="336">
        <f>Saldo_relativo_per_capita!G140*Saldo_relativo_per_capita!G$552/1000000</f>
        <v>-3.1775394700315274</v>
      </c>
      <c r="H140" s="336">
        <f>Saldo_relativo_per_capita!H140*Saldo_relativo_per_capita!H$552/1000000</f>
        <v>-3.3203056927576293</v>
      </c>
      <c r="I140" s="336">
        <f>Saldo_relativo_per_capita!I140*Saldo_relativo_per_capita!I$552/1000000</f>
        <v>-6.323725891929401</v>
      </c>
      <c r="J140" s="336">
        <f>Saldo_relativo_per_capita!J140*Saldo_relativo_per_capita!J$552/1000000</f>
        <v>-1.7652311984251936</v>
      </c>
      <c r="K140" s="336">
        <f>Saldo_relativo_per_capita!K140*Saldo_relativo_per_capita!K$552/1000000</f>
        <v>-7.4692136936184257</v>
      </c>
      <c r="L140" s="336">
        <f>Saldo_relativo_per_capita!L140*Saldo_relativo_per_capita!L$552/1000000</f>
        <v>-6.2224905402430188</v>
      </c>
      <c r="M140" s="336">
        <f>Saldo_relativo_per_capita!M140*Saldo_relativo_per_capita!M$552/1000000</f>
        <v>-22.597848169305031</v>
      </c>
      <c r="N140" s="336">
        <f>Saldo_relativo_per_capita!N140*Saldo_relativo_per_capita!N$552/1000000</f>
        <v>-15.016398714047817</v>
      </c>
      <c r="O140" s="336">
        <f>Saldo_relativo_per_capita!O140*Saldo_relativo_per_capita!O$552/1000000</f>
        <v>-3.2973093470307444</v>
      </c>
      <c r="P140" s="336">
        <f>Saldo_relativo_per_capita!P140*Saldo_relativo_per_capita!P$552/1000000</f>
        <v>-8.2424755934853025</v>
      </c>
      <c r="Q140" s="336">
        <f>Saldo_relativo_per_capita!Q140*Saldo_relativo_per_capita!Q$552/1000000</f>
        <v>-19.3863405160876</v>
      </c>
      <c r="R140" s="336">
        <f>Saldo_relativo_per_capita!R140*Saldo_relativo_per_capita!R$552/1000000</f>
        <v>-4.4123539089280452</v>
      </c>
      <c r="S140" s="336">
        <f>Saldo_relativo_per_capita!S140*Saldo_relativo_per_capita!S$552/1000000</f>
        <v>-1.9267875950891344</v>
      </c>
      <c r="T140" s="336">
        <f>Saldo_relativo_per_capita!T140*Saldo_relativo_per_capita!T$552/1000000</f>
        <v>-6.5840679249260043</v>
      </c>
      <c r="U140" s="336">
        <f>Saldo_relativo_per_capita!U140*Saldo_relativo_per_capita!U$552/1000000</f>
        <v>-0.95650933045473729</v>
      </c>
      <c r="V140" s="336">
        <f>Saldo_relativo_per_capita!V140*Saldo_relativo_per_capita!V$552/1000000</f>
        <v>139.93965723807773</v>
      </c>
      <c r="W140" s="148"/>
    </row>
    <row r="141" spans="1:23" s="115" customFormat="1">
      <c r="A141" s="351" t="str">
        <f>IF(B141="","",(IF(ISERROR(MATCH(B141,Tot_res!C:C,0)),"Eliminar!!!","")))</f>
        <v/>
      </c>
      <c r="B141" s="115" t="s">
        <v>952</v>
      </c>
      <c r="C141" s="329" t="str">
        <f>VLOOKUP(B141,Tot_res!C:D,2,FALSE)</f>
        <v>Admón.,Ser.Grales.y Cont.Int.Asist.San, gasto directo del INGESA en Ceuta y Melila</v>
      </c>
      <c r="D141" s="336">
        <f>Saldo_relativo_per_capita!D141*Saldo_relativo_per_capita!D$552/1000000</f>
        <v>0</v>
      </c>
      <c r="E141" s="336">
        <f>Saldo_relativo_per_capita!E141*Saldo_relativo_per_capita!E$552/1000000</f>
        <v>-2.5178213866242625</v>
      </c>
      <c r="F141" s="336">
        <f>Saldo_relativo_per_capita!F141*Saldo_relativo_per_capita!F$552/1000000</f>
        <v>-0.3961102442143109</v>
      </c>
      <c r="G141" s="336">
        <f>Saldo_relativo_per_capita!G141*Saldo_relativo_per_capita!G$552/1000000</f>
        <v>-0.3166483321824099</v>
      </c>
      <c r="H141" s="336">
        <f>Saldo_relativo_per_capita!H141*Saldo_relativo_per_capita!H$552/1000000</f>
        <v>-0.33087527939882139</v>
      </c>
      <c r="I141" s="336">
        <f>Saldo_relativo_per_capita!I141*Saldo_relativo_per_capita!I$552/1000000</f>
        <v>-0.63017226874550814</v>
      </c>
      <c r="J141" s="336">
        <f>Saldo_relativo_per_capita!J141*Saldo_relativo_per_capita!J$552/1000000</f>
        <v>-0.1759089132233968</v>
      </c>
      <c r="K141" s="336">
        <f>Saldo_relativo_per_capita!K141*Saldo_relativo_per_capita!K$552/1000000</f>
        <v>-0.74432248005241164</v>
      </c>
      <c r="L141" s="336">
        <f>Saldo_relativo_per_capita!L141*Saldo_relativo_per_capita!L$552/1000000</f>
        <v>-0.62008395809768646</v>
      </c>
      <c r="M141" s="336">
        <f>Saldo_relativo_per_capita!M141*Saldo_relativo_per_capita!M$552/1000000</f>
        <v>-2.2519219670466488</v>
      </c>
      <c r="N141" s="336">
        <f>Saldo_relativo_per_capita!N141*Saldo_relativo_per_capita!N$552/1000000</f>
        <v>-1.4964149629090675</v>
      </c>
      <c r="O141" s="336">
        <f>Saldo_relativo_per_capita!O141*Saldo_relativo_per_capita!O$552/1000000</f>
        <v>-0.32858364633198306</v>
      </c>
      <c r="P141" s="336">
        <f>Saldo_relativo_per_capita!P141*Saldo_relativo_per_capita!P$552/1000000</f>
        <v>-0.82137961600377674</v>
      </c>
      <c r="Q141" s="336">
        <f>Saldo_relativo_per_capita!Q141*Saldo_relativo_per_capita!Q$552/1000000</f>
        <v>-1.9318886356676821</v>
      </c>
      <c r="R141" s="336">
        <f>Saldo_relativo_per_capita!R141*Saldo_relativo_per_capita!R$552/1000000</f>
        <v>-0.43970012628882932</v>
      </c>
      <c r="S141" s="336">
        <f>Saldo_relativo_per_capita!S141*Saldo_relativo_per_capita!S$552/1000000</f>
        <v>-0.19200833985192872</v>
      </c>
      <c r="T141" s="336">
        <f>Saldo_relativo_per_capita!T141*Saldo_relativo_per_capita!T$552/1000000</f>
        <v>-0.65611588685720845</v>
      </c>
      <c r="U141" s="336">
        <f>Saldo_relativo_per_capita!U141*Saldo_relativo_per_capita!U$552/1000000</f>
        <v>-9.5318118645557212E-2</v>
      </c>
      <c r="V141" s="336">
        <f>Saldo_relativo_per_capita!V141*Saldo_relativo_per_capita!V$552/1000000</f>
        <v>13.945274162141491</v>
      </c>
      <c r="W141" s="148"/>
    </row>
    <row r="142" spans="1:23" s="115" customFormat="1">
      <c r="A142" s="351" t="str">
        <f>IF(B142="","",(IF(ISERROR(MATCH(B142,Tot_res!C:C,0)),"Eliminar!!!","")))</f>
        <v/>
      </c>
      <c r="B142" s="115" t="s">
        <v>953</v>
      </c>
      <c r="C142" s="329" t="str">
        <f>VLOOKUP(B142,Tot_res!C:D,2,FALSE)</f>
        <v>Formación del Personal Sanitario, gasto directo del INGESA en Ceuta y Melilla</v>
      </c>
      <c r="D142" s="336">
        <f>Saldo_relativo_per_capita!D142*Saldo_relativo_per_capita!D$552/1000000</f>
        <v>0</v>
      </c>
      <c r="E142" s="336">
        <f>Saldo_relativo_per_capita!E142*Saldo_relativo_per_capita!E$552/1000000</f>
        <v>-0.34498243640885734</v>
      </c>
      <c r="F142" s="336">
        <f>Saldo_relativo_per_capita!F142*Saldo_relativo_per_capita!F$552/1000000</f>
        <v>-5.4273538965674474E-2</v>
      </c>
      <c r="G142" s="336">
        <f>Saldo_relativo_per_capita!G142*Saldo_relativo_per_capita!G$552/1000000</f>
        <v>-4.3385966018641448E-2</v>
      </c>
      <c r="H142" s="336">
        <f>Saldo_relativo_per_capita!H142*Saldo_relativo_per_capita!H$552/1000000</f>
        <v>-4.5335288929095496E-2</v>
      </c>
      <c r="I142" s="336">
        <f>Saldo_relativo_per_capita!I142*Saldo_relativo_per_capita!I$552/1000000</f>
        <v>-8.6343839076129525E-2</v>
      </c>
      <c r="J142" s="336">
        <f>Saldo_relativo_per_capita!J142*Saldo_relativo_per_capita!J$552/1000000</f>
        <v>-2.4102379061608097E-2</v>
      </c>
      <c r="K142" s="336">
        <f>Saldo_relativo_per_capita!K142*Saldo_relativo_per_capita!K$552/1000000</f>
        <v>-0.10198427259633226</v>
      </c>
      <c r="L142" s="336">
        <f>Saldo_relativo_per_capita!L142*Saldo_relativo_per_capita!L$552/1000000</f>
        <v>-8.4961576615009859E-2</v>
      </c>
      <c r="M142" s="336">
        <f>Saldo_relativo_per_capita!M142*Saldo_relativo_per_capita!M$552/1000000</f>
        <v>-0.30854989592250737</v>
      </c>
      <c r="N142" s="336">
        <f>Saldo_relativo_per_capita!N142*Saldo_relativo_per_capita!N$552/1000000</f>
        <v>-0.20503316181422149</v>
      </c>
      <c r="O142" s="336">
        <f>Saldo_relativo_per_capita!O142*Saldo_relativo_per_capita!O$552/1000000</f>
        <v>-4.5021297967324798E-2</v>
      </c>
      <c r="P142" s="336">
        <f>Saldo_relativo_per_capita!P142*Saldo_relativo_per_capita!P$552/1000000</f>
        <v>-0.11254235215051056</v>
      </c>
      <c r="Q142" s="336">
        <f>Saldo_relativo_per_capita!Q142*Saldo_relativo_per_capita!Q$552/1000000</f>
        <v>-0.26470013001866605</v>
      </c>
      <c r="R142" s="336">
        <f>Saldo_relativo_per_capita!R142*Saldo_relativo_per_capita!R$552/1000000</f>
        <v>-6.0246061004262684E-2</v>
      </c>
      <c r="S142" s="336">
        <f>Saldo_relativo_per_capita!S142*Saldo_relativo_per_capita!S$552/1000000</f>
        <v>-2.63082620732474E-2</v>
      </c>
      <c r="T142" s="336">
        <f>Saldo_relativo_per_capita!T142*Saldo_relativo_per_capita!T$552/1000000</f>
        <v>-8.9898536257185344E-2</v>
      </c>
      <c r="U142" s="336">
        <f>Saldo_relativo_per_capita!U142*Saldo_relativo_per_capita!U$552/1000000</f>
        <v>-1.3060130865097001E-2</v>
      </c>
      <c r="V142" s="336">
        <f>Saldo_relativo_per_capita!V142*Saldo_relativo_per_capita!V$552/1000000</f>
        <v>1.9107291257443715</v>
      </c>
      <c r="W142" s="148"/>
    </row>
    <row r="143" spans="1:23" s="115" customFormat="1">
      <c r="A143" s="351" t="str">
        <f>IF(B143="","",(IF(ISERROR(MATCH(B143,Tot_res!C:C,0)),"Eliminar!!!","")))</f>
        <v/>
      </c>
      <c r="B143" s="115" t="s">
        <v>954</v>
      </c>
      <c r="C143" s="329" t="str">
        <f>VLOOKUP(B143,Tot_res!C:D,2,FALSE)</f>
        <v>Servicios Sociales Generales, gasto directo del IMSERSO en Ceuta y Melilla</v>
      </c>
      <c r="D143" s="336">
        <f>Saldo_relativo_per_capita!D143*Saldo_relativo_per_capita!D$552/1000000</f>
        <v>0</v>
      </c>
      <c r="E143" s="336">
        <f>Saldo_relativo_per_capita!E143*Saldo_relativo_per_capita!E$552/1000000</f>
        <v>-4.4210502121474473</v>
      </c>
      <c r="F143" s="336">
        <f>Saldo_relativo_per_capita!F143*Saldo_relativo_per_capita!F$552/1000000</f>
        <v>-0.6955311796621868</v>
      </c>
      <c r="G143" s="336">
        <f>Saldo_relativo_per_capita!G143*Saldo_relativo_per_capita!G$552/1000000</f>
        <v>-0.55600376722834222</v>
      </c>
      <c r="H143" s="336">
        <f>Saldo_relativo_per_capita!H143*Saldo_relativo_per_capita!H$552/1000000</f>
        <v>-0.58098490701191385</v>
      </c>
      <c r="I143" s="336">
        <f>Saldo_relativo_per_capita!I143*Saldo_relativo_per_capita!I$552/1000000</f>
        <v>-1.1065213987089422</v>
      </c>
      <c r="J143" s="336">
        <f>Saldo_relativo_per_capita!J143*Saldo_relativo_per_capita!J$552/1000000</f>
        <v>-0.30887899445783157</v>
      </c>
      <c r="K143" s="336">
        <f>Saldo_relativo_per_capita!K143*Saldo_relativo_per_capita!K$552/1000000</f>
        <v>-1.3069581010882492</v>
      </c>
      <c r="L143" s="336">
        <f>Saldo_relativo_per_capita!L143*Saldo_relativo_per_capita!L$552/1000000</f>
        <v>-1.0888073034332799</v>
      </c>
      <c r="M143" s="336">
        <f>Saldo_relativo_per_capita!M143*Saldo_relativo_per_capita!M$552/1000000</f>
        <v>-3.9541566145401905</v>
      </c>
      <c r="N143" s="336">
        <f>Saldo_relativo_per_capita!N143*Saldo_relativo_per_capita!N$552/1000000</f>
        <v>-2.6275595736755966</v>
      </c>
      <c r="O143" s="336">
        <f>Saldo_relativo_per_capita!O143*Saldo_relativo_per_capita!O$552/1000000</f>
        <v>-0.5769610215567611</v>
      </c>
      <c r="P143" s="336">
        <f>Saldo_relativo_per_capita!P143*Saldo_relativo_per_capita!P$552/1000000</f>
        <v>-1.4422629599058998</v>
      </c>
      <c r="Q143" s="336">
        <f>Saldo_relativo_per_capita!Q143*Saldo_relativo_per_capita!Q$552/1000000</f>
        <v>-3.3922091169521185</v>
      </c>
      <c r="R143" s="336">
        <f>Saldo_relativo_per_capita!R143*Saldo_relativo_per_capita!R$552/1000000</f>
        <v>-0.77207078585379574</v>
      </c>
      <c r="S143" s="336">
        <f>Saldo_relativo_per_capita!S143*Saldo_relativo_per_capita!S$552/1000000</f>
        <v>-0.33714802652247372</v>
      </c>
      <c r="T143" s="336">
        <f>Saldo_relativo_per_capita!T143*Saldo_relativo_per_capita!T$552/1000000</f>
        <v>-1.1520758764673444</v>
      </c>
      <c r="U143" s="336">
        <f>Saldo_relativo_per_capita!U143*Saldo_relativo_per_capita!U$552/1000000</f>
        <v>-0.16736937373640762</v>
      </c>
      <c r="V143" s="336">
        <f>Saldo_relativo_per_capita!V143*Saldo_relativo_per_capita!V$552/1000000</f>
        <v>24.486549212948788</v>
      </c>
      <c r="W143" s="148"/>
    </row>
    <row r="144" spans="1:23" s="115" customFormat="1">
      <c r="A144" s="351" t="str">
        <f>IF(B144="","",(IF(ISERROR(MATCH(B144,Tot_res!C:C,0)),"Eliminar!!!","")))</f>
        <v/>
      </c>
      <c r="B144" s="115" t="s">
        <v>955</v>
      </c>
      <c r="C144" s="329" t="str">
        <f>VLOOKUP(B144,Tot_res!C:D,2,FALSE)</f>
        <v>Administración y Servicios Generales de Servicios Sociales, gasto directo del IMSERSO en Ceuta y Melilla</v>
      </c>
      <c r="D144" s="336">
        <f>Saldo_relativo_per_capita!D144*Saldo_relativo_per_capita!D$552/1000000</f>
        <v>0</v>
      </c>
      <c r="E144" s="336">
        <f>Saldo_relativo_per_capita!E144*Saldo_relativo_per_capita!E$552/1000000</f>
        <v>-0.35191567904592286</v>
      </c>
      <c r="F144" s="336">
        <f>Saldo_relativo_per_capita!F144*Saldo_relativo_per_capita!F$552/1000000</f>
        <v>-5.5364294826576586E-2</v>
      </c>
      <c r="G144" s="336">
        <f>Saldo_relativo_per_capita!G144*Saldo_relativo_per_capita!G$552/1000000</f>
        <v>-4.4257910203922293E-2</v>
      </c>
      <c r="H144" s="336">
        <f>Saldo_relativo_per_capita!H144*Saldo_relativo_per_capita!H$552/1000000</f>
        <v>-4.6246409394933859E-2</v>
      </c>
      <c r="I144" s="336">
        <f>Saldo_relativo_per_capita!I144*Saldo_relativo_per_capita!I$552/1000000</f>
        <v>-8.8079123900372189E-2</v>
      </c>
      <c r="J144" s="336">
        <f>Saldo_relativo_per_capita!J144*Saldo_relativo_per_capita!J$552/1000000</f>
        <v>-2.4586773698924091E-2</v>
      </c>
      <c r="K144" s="336">
        <f>Saldo_relativo_per_capita!K144*Saldo_relativo_per_capita!K$552/1000000</f>
        <v>-0.10403388913459859</v>
      </c>
      <c r="L144" s="336">
        <f>Saldo_relativo_per_capita!L144*Saldo_relativo_per_capita!L$552/1000000</f>
        <v>-8.6669081587237989E-2</v>
      </c>
      <c r="M144" s="336">
        <f>Saldo_relativo_per_capita!M144*Saldo_relativo_per_capita!M$552/1000000</f>
        <v>-0.3147509399998259</v>
      </c>
      <c r="N144" s="336">
        <f>Saldo_relativo_per_capita!N144*Saldo_relativo_per_capita!N$552/1000000</f>
        <v>-0.20915379089406821</v>
      </c>
      <c r="O144" s="336">
        <f>Saldo_relativo_per_capita!O144*Saldo_relativo_per_capita!O$552/1000000</f>
        <v>-4.5926108037925462E-2</v>
      </c>
      <c r="P144" s="336">
        <f>Saldo_relativo_per_capita!P144*Saldo_relativo_per_capita!P$552/1000000</f>
        <v>-0.11480415841093365</v>
      </c>
      <c r="Q144" s="336">
        <f>Saldo_relativo_per_capita!Q144*Saldo_relativo_per_capita!Q$552/1000000</f>
        <v>-0.27001990874881326</v>
      </c>
      <c r="R144" s="336">
        <f>Saldo_relativo_per_capita!R144*Saldo_relativo_per_capita!R$552/1000000</f>
        <v>-6.1456848901809344E-2</v>
      </c>
      <c r="S144" s="336">
        <f>Saldo_relativo_per_capita!S144*Saldo_relativo_per_capita!S$552/1000000</f>
        <v>-2.6836989176609725E-2</v>
      </c>
      <c r="T144" s="336">
        <f>Saldo_relativo_per_capita!T144*Saldo_relativo_per_capita!T$552/1000000</f>
        <v>-9.170526117650675E-2</v>
      </c>
      <c r="U144" s="336">
        <f>Saldo_relativo_per_capita!U144*Saldo_relativo_per_capita!U$552/1000000</f>
        <v>-1.3322605259741925E-2</v>
      </c>
      <c r="V144" s="336">
        <f>Saldo_relativo_per_capita!V144*Saldo_relativo_per_capita!V$552/1000000</f>
        <v>1.9491297723987229</v>
      </c>
      <c r="W144" s="148"/>
    </row>
    <row r="145" spans="1:23" s="115" customFormat="1" ht="13.5">
      <c r="A145" s="351" t="str">
        <f>IF(B145="","",(IF(ISERROR(MATCH(B145,Tot_res!C:C,0)),"Eliminar!!!","")))</f>
        <v/>
      </c>
      <c r="B145" s="115" t="s">
        <v>212</v>
      </c>
      <c r="C145" s="329" t="str">
        <f>VLOOKUP(B145,Tot_res!C:D,2,FALSE)</f>
        <v>Recaudación IPSI</v>
      </c>
      <c r="D145" s="336">
        <f>Saldo_relativo_per_capita!D145*Saldo_relativo_per_capita!D$552/1000000</f>
        <v>0</v>
      </c>
      <c r="E145" s="336">
        <f>Saldo_relativo_per_capita!E145*Saldo_relativo_per_capita!E$552/1000000</f>
        <v>-25.095419490976049</v>
      </c>
      <c r="F145" s="336">
        <f>Saldo_relativo_per_capita!F145*Saldo_relativo_per_capita!F$552/1000000</f>
        <v>-3.9480770145330961</v>
      </c>
      <c r="G145" s="336">
        <f>Saldo_relativo_per_capita!G145*Saldo_relativo_per_capita!G$552/1000000</f>
        <v>-3.1560708672387494</v>
      </c>
      <c r="H145" s="336">
        <f>Saldo_relativo_per_capita!H145*Saldo_relativo_per_capita!H$552/1000000</f>
        <v>-3.2978725098685731</v>
      </c>
      <c r="I145" s="336">
        <f>Saldo_relativo_per_capita!I145*Saldo_relativo_per_capita!I$552/1000000</f>
        <v>-6.2810005188460298</v>
      </c>
      <c r="J145" s="336">
        <f>Saldo_relativo_per_capita!J145*Saldo_relativo_per_capita!J$552/1000000</f>
        <v>-1.7533046597326518</v>
      </c>
      <c r="K145" s="336">
        <f>Saldo_relativo_per_capita!K145*Saldo_relativo_per_capita!K$552/1000000</f>
        <v>-7.4187489917712837</v>
      </c>
      <c r="L145" s="336">
        <f>Saldo_relativo_per_capita!L145*Saldo_relativo_per_capita!L$552/1000000</f>
        <v>-6.1804491497110643</v>
      </c>
      <c r="M145" s="336">
        <f>Saldo_relativo_per_capita!M145*Saldo_relativo_per_capita!M$552/1000000</f>
        <v>-22.445168956066649</v>
      </c>
      <c r="N145" s="336">
        <f>Saldo_relativo_per_capita!N145*Saldo_relativo_per_capita!N$552/1000000</f>
        <v>-14.914942507945467</v>
      </c>
      <c r="O145" s="336">
        <f>Saldo_relativo_per_capita!O145*Saldo_relativo_per_capita!O$552/1000000</f>
        <v>-3.275031535748163</v>
      </c>
      <c r="P145" s="336">
        <f>Saldo_relativo_per_capita!P145*Saldo_relativo_per_capita!P$552/1000000</f>
        <v>-8.1867864553283667</v>
      </c>
      <c r="Q145" s="336">
        <f>Saldo_relativo_per_capita!Q145*Saldo_relativo_per_capita!Q$552/1000000</f>
        <v>-19.255359406939867</v>
      </c>
      <c r="R145" s="336">
        <f>Saldo_relativo_per_capita!R145*Saldo_relativo_per_capita!R$552/1000000</f>
        <v>-4.3825424543905509</v>
      </c>
      <c r="S145" s="336">
        <f>Saldo_relativo_per_capita!S145*Saldo_relativo_per_capita!S$552/1000000</f>
        <v>-1.9137695231076053</v>
      </c>
      <c r="T145" s="336">
        <f>Saldo_relativo_per_capita!T145*Saldo_relativo_per_capita!T$552/1000000</f>
        <v>-6.5395835871627659</v>
      </c>
      <c r="U145" s="336">
        <f>Saldo_relativo_per_capita!U145*Saldo_relativo_per_capita!U$552/1000000</f>
        <v>-0.95004680840684752</v>
      </c>
      <c r="V145" s="336">
        <f>Saldo_relativo_per_capita!V145*Saldo_relativo_per_capita!V$552/1000000</f>
        <v>138.99417443777375</v>
      </c>
      <c r="W145" s="219"/>
    </row>
    <row r="146" spans="1:23" s="115" customFormat="1">
      <c r="A146" s="351" t="str">
        <f>IF(B146="","",(IF(ISERROR(MATCH(B146,Tot_res!C:C,0)),"Eliminar!!!","")))</f>
        <v/>
      </c>
      <c r="B146" s="115" t="s">
        <v>956</v>
      </c>
      <c r="C146" s="329" t="str">
        <f>VLOOKUP(B146,Tot_res!C:D,2,FALSE)</f>
        <v xml:space="preserve">Otras aportaciones a Corporaciones Locales, compensaciones IPSI Ceuta y Melilla </v>
      </c>
      <c r="D146" s="336">
        <f>Saldo_relativo_per_capita!D146*Saldo_relativo_per_capita!D$552/1000000</f>
        <v>0</v>
      </c>
      <c r="E146" s="336">
        <f>Saldo_relativo_per_capita!E146*Saldo_relativo_per_capita!E$552/1000000</f>
        <v>-12.946825510003617</v>
      </c>
      <c r="F146" s="336">
        <f>Saldo_relativo_per_capita!F146*Saldo_relativo_per_capita!F$552/1000000</f>
        <v>-2.0368284429593313</v>
      </c>
      <c r="G146" s="336">
        <f>Saldo_relativo_per_capita!G146*Saldo_relativo_per_capita!G$552/1000000</f>
        <v>-1.6282293599451063</v>
      </c>
      <c r="H146" s="336">
        <f>Saldo_relativo_per_capita!H146*Saldo_relativo_per_capita!H$552/1000000</f>
        <v>-1.7013853844865718</v>
      </c>
      <c r="I146" s="336">
        <f>Saldo_relativo_per_capita!I146*Saldo_relativo_per_capita!I$552/1000000</f>
        <v>-3.2403928443986709</v>
      </c>
      <c r="J146" s="336">
        <f>Saldo_relativo_per_capita!J146*Saldo_relativo_per_capita!J$552/1000000</f>
        <v>-0.90453676232020752</v>
      </c>
      <c r="K146" s="336">
        <f>Saldo_relativo_per_capita!K146*Saldo_relativo_per_capita!K$552/1000000</f>
        <v>-3.8273617515545406</v>
      </c>
      <c r="L146" s="336">
        <f>Saldo_relativo_per_capita!L146*Saldo_relativo_per_capita!L$552/1000000</f>
        <v>-3.1885179980168248</v>
      </c>
      <c r="M146" s="336">
        <f>Saldo_relativo_per_capita!M146*Saldo_relativo_per_capita!M$552/1000000</f>
        <v>-11.579550846768601</v>
      </c>
      <c r="N146" s="336">
        <f>Saldo_relativo_per_capita!N146*Saldo_relativo_per_capita!N$552/1000000</f>
        <v>-7.6946774375117366</v>
      </c>
      <c r="O146" s="336">
        <f>Saldo_relativo_per_capita!O146*Saldo_relativo_per_capita!O$552/1000000</f>
        <v>-1.6896016362004833</v>
      </c>
      <c r="P146" s="336">
        <f>Saldo_relativo_per_capita!P146*Saldo_relativo_per_capita!P$552/1000000</f>
        <v>-4.2235952964608101</v>
      </c>
      <c r="Q146" s="336">
        <f>Saldo_relativo_per_capita!Q146*Saldo_relativo_per_capita!Q$552/1000000</f>
        <v>-9.9339155682852933</v>
      </c>
      <c r="R146" s="336">
        <f>Saldo_relativo_per_capita!R146*Saldo_relativo_per_capita!R$552/1000000</f>
        <v>-2.2609708703048512</v>
      </c>
      <c r="S146" s="336">
        <f>Saldo_relativo_per_capita!S146*Saldo_relativo_per_capita!S$552/1000000</f>
        <v>-0.98732121576794274</v>
      </c>
      <c r="T146" s="336">
        <f>Saldo_relativo_per_capita!T146*Saldo_relativo_per_capita!T$552/1000000</f>
        <v>-3.3737968652615997</v>
      </c>
      <c r="U146" s="336">
        <f>Saldo_relativo_per_capita!U146*Saldo_relativo_per_capita!U$552/1000000</f>
        <v>-0.49013288099058183</v>
      </c>
      <c r="V146" s="336">
        <f>Saldo_relativo_per_capita!V146*Saldo_relativo_per_capita!V$552/1000000</f>
        <v>71.707640671236774</v>
      </c>
      <c r="W146" s="148"/>
    </row>
    <row r="147" spans="1:23">
      <c r="A147" s="352"/>
      <c r="C147" s="43"/>
      <c r="D147" s="39"/>
      <c r="E147" s="39"/>
      <c r="F147" s="39"/>
      <c r="G147" s="39"/>
      <c r="H147" s="39"/>
      <c r="I147" s="39"/>
      <c r="J147" s="39"/>
      <c r="K147" s="39"/>
      <c r="L147" s="39"/>
      <c r="M147" s="39"/>
      <c r="N147" s="39"/>
      <c r="O147" s="39"/>
      <c r="P147" s="39"/>
      <c r="Q147" s="39"/>
      <c r="R147" s="39"/>
      <c r="S147" s="39"/>
      <c r="T147" s="39"/>
      <c r="U147" s="39"/>
      <c r="V147" s="39"/>
      <c r="W147" s="35"/>
    </row>
    <row r="148" spans="1:23" s="115" customFormat="1" ht="27">
      <c r="A148" s="352"/>
      <c r="B148" s="137"/>
      <c r="C148" s="117" t="s">
        <v>213</v>
      </c>
      <c r="D148" s="218">
        <f>Saldo_relativo_per_capita!D148*Saldo_relativo_per_capita!D$552/1000000</f>
        <v>0</v>
      </c>
      <c r="E148" s="218">
        <f>Saldo_relativo_per_capita!E148*Saldo_relativo_per_capita!E$552/1000000</f>
        <v>-2979.1598953246189</v>
      </c>
      <c r="F148" s="218">
        <f>Saldo_relativo_per_capita!F148*Saldo_relativo_per_capita!F$552/1000000</f>
        <v>-468.68922472403301</v>
      </c>
      <c r="G148" s="218">
        <f>Saldo_relativo_per_capita!G148*Saldo_relativo_per_capita!G$552/1000000</f>
        <v>-374.66756663944403</v>
      </c>
      <c r="H148" s="218">
        <f>Saldo_relativo_per_capita!H148*Saldo_relativo_per_capita!H$552/1000000</f>
        <v>-391.50130663593347</v>
      </c>
      <c r="I148" s="218">
        <f>Saldo_relativo_per_capita!I148*Saldo_relativo_per_capita!I$552/1000000</f>
        <v>-745.6382570129108</v>
      </c>
      <c r="J148" s="218">
        <f>Saldo_relativo_per_capita!J148*Saldo_relativo_per_capita!J$552/1000000</f>
        <v>-208.1405703713996</v>
      </c>
      <c r="K148" s="218">
        <f>Saldo_relativo_per_capita!K148*Saldo_relativo_per_capita!K$552/1000000</f>
        <v>-880.704125217448</v>
      </c>
      <c r="L148" s="218">
        <f>Saldo_relativo_per_capita!L148*Saldo_relativo_per_capita!L$552/1000000</f>
        <v>-733.70147283384631</v>
      </c>
      <c r="M148" s="218">
        <f>Saldo_relativo_per_capita!M148*Saldo_relativo_per_capita!M$552/1000000</f>
        <v>-2664.5399261703346</v>
      </c>
      <c r="N148" s="218">
        <f>Saldo_relativo_per_capita!N148*Saldo_relativo_per_capita!N$552/1000000</f>
        <v>-1770.6019449773034</v>
      </c>
      <c r="O148" s="218">
        <f>Saldo_relativo_per_capita!O148*Saldo_relativo_per_capita!O$552/1000000</f>
        <v>-388.78977937518607</v>
      </c>
      <c r="P148" s="218">
        <f>Saldo_relativo_per_capita!P148*Saldo_relativo_per_capita!P$552/1000000</f>
        <v>-971.8803819187508</v>
      </c>
      <c r="Q148" s="218">
        <f>Saldo_relativo_per_capita!Q148*Saldo_relativo_per_capita!Q$552/1000000</f>
        <v>-2285.8671294912779</v>
      </c>
      <c r="R148" s="218">
        <f>Saldo_relativo_per_capita!R148*Saldo_relativo_per_capita!R$552/1000000</f>
        <v>-520.26604792849571</v>
      </c>
      <c r="S148" s="218">
        <f>Saldo_relativo_per_capita!S148*Saldo_relativo_per_capita!S$552/1000000</f>
        <v>3173.4472561192724</v>
      </c>
      <c r="T148" s="218">
        <f>Saldo_relativo_per_capita!T148*Saldo_relativo_per_capita!T$552/1000000</f>
        <v>12383.650489584121</v>
      </c>
      <c r="U148" s="218">
        <f>Saldo_relativo_per_capita!U148*Saldo_relativo_per_capita!U$552/1000000</f>
        <v>-112.78318544563808</v>
      </c>
      <c r="V148" s="218">
        <f>Saldo_relativo_per_capita!V148*Saldo_relativo_per_capita!V$552/1000000</f>
        <v>-60.166931636774287</v>
      </c>
      <c r="W148" s="148"/>
    </row>
    <row r="149" spans="1:23" s="115" customFormat="1">
      <c r="A149" s="351" t="str">
        <f>IF(B149="","",(IF(ISERROR(MATCH(B149,Tot_res!C:C,0)),"Eliminar!!!","")))</f>
        <v/>
      </c>
      <c r="B149" s="115" t="s">
        <v>957</v>
      </c>
      <c r="C149" s="329" t="str">
        <f>VLOOKUP(B149,Tot_res!C:D,2,FALSE)</f>
        <v>IRPF, ingresos homogeneizados de las comunidades forales</v>
      </c>
      <c r="D149" s="336">
        <f>Saldo_relativo_per_capita!D149*Saldo_relativo_per_capita!D$552/1000000</f>
        <v>0</v>
      </c>
      <c r="E149" s="336">
        <f>Saldo_relativo_per_capita!E149*Saldo_relativo_per_capita!E$552/1000000</f>
        <v>-1198.857056989664</v>
      </c>
      <c r="F149" s="336">
        <f>Saldo_relativo_per_capita!F149*Saldo_relativo_per_capita!F$552/1000000</f>
        <v>-188.6073270109579</v>
      </c>
      <c r="G149" s="336">
        <f>Saldo_relativo_per_capita!G149*Saldo_relativo_per_capita!G$552/1000000</f>
        <v>-150.77165109390657</v>
      </c>
      <c r="H149" s="336">
        <f>Saldo_relativo_per_capita!H149*Saldo_relativo_per_capita!H$552/1000000</f>
        <v>-157.54579169038556</v>
      </c>
      <c r="I149" s="336">
        <f>Saldo_relativo_per_capita!I149*Saldo_relativo_per_capita!I$552/1000000</f>
        <v>-300.0556256763108</v>
      </c>
      <c r="J149" s="336">
        <f>Saldo_relativo_per_capita!J149*Saldo_relativo_per_capita!J$552/1000000</f>
        <v>-83.758777777322535</v>
      </c>
      <c r="K149" s="336">
        <f>Saldo_relativo_per_capita!K149*Saldo_relativo_per_capita!K$552/1000000</f>
        <v>-354.40808574720648</v>
      </c>
      <c r="L149" s="336">
        <f>Saldo_relativo_per_capita!L149*Saldo_relativo_per_capita!L$552/1000000</f>
        <v>-295.25209097067363</v>
      </c>
      <c r="M149" s="336">
        <f>Saldo_relativo_per_capita!M149*Saldo_relativo_per_capita!M$552/1000000</f>
        <v>-1072.2494281469078</v>
      </c>
      <c r="N149" s="336">
        <f>Saldo_relativo_per_capita!N149*Saldo_relativo_per_capita!N$552/1000000</f>
        <v>-712.51584723161329</v>
      </c>
      <c r="O149" s="336">
        <f>Saldo_relativo_per_capita!O149*Saldo_relativo_per_capita!O$552/1000000</f>
        <v>-156.45463387879295</v>
      </c>
      <c r="P149" s="336">
        <f>Saldo_relativo_per_capita!P149*Saldo_relativo_per_capita!P$552/1000000</f>
        <v>-391.09873096829745</v>
      </c>
      <c r="Q149" s="336">
        <f>Saldo_relativo_per_capita!Q149*Saldo_relativo_per_capita!Q$552/1000000</f>
        <v>-919.86601452041862</v>
      </c>
      <c r="R149" s="336">
        <f>Saldo_relativo_per_capita!R149*Saldo_relativo_per_capita!R$552/1000000</f>
        <v>-209.36258710049427</v>
      </c>
      <c r="S149" s="336">
        <f>Saldo_relativo_per_capita!S149*Saldo_relativo_per_capita!S$552/1000000</f>
        <v>1314.5345321196673</v>
      </c>
      <c r="T149" s="336">
        <f>Saldo_relativo_per_capita!T149*Saldo_relativo_per_capita!T$552/1000000</f>
        <v>4945.8667467725027</v>
      </c>
      <c r="U149" s="336">
        <f>Saldo_relativo_per_capita!U149*Saldo_relativo_per_capita!U$552/1000000</f>
        <v>-45.385586048426639</v>
      </c>
      <c r="V149" s="336">
        <f>Saldo_relativo_per_capita!V149*Saldo_relativo_per_capita!V$552/1000000</f>
        <v>-24.21204404079219</v>
      </c>
      <c r="W149" s="148"/>
    </row>
    <row r="150" spans="1:23" s="115" customFormat="1">
      <c r="A150" s="351" t="str">
        <f>IF(B150="","",(IF(ISERROR(MATCH(B150,Tot_res!C:C,0)),"Eliminar!!!","")))</f>
        <v/>
      </c>
      <c r="B150" s="115" t="s">
        <v>958</v>
      </c>
      <c r="C150" s="329" t="str">
        <f>VLOOKUP(B150,Tot_res!C:D,2,FALSE)</f>
        <v>Sociedades, ingresos homogeneizados de las comunidades forales</v>
      </c>
      <c r="D150" s="336">
        <f>Saldo_relativo_per_capita!D150*Saldo_relativo_per_capita!D$552/1000000</f>
        <v>0</v>
      </c>
      <c r="E150" s="336">
        <f>Saldo_relativo_per_capita!E150*Saldo_relativo_per_capita!E$552/1000000</f>
        <v>-283.43116149038701</v>
      </c>
      <c r="F150" s="336">
        <f>Saldo_relativo_per_capita!F150*Saldo_relativo_per_capita!F$552/1000000</f>
        <v>-44.590131449485995</v>
      </c>
      <c r="G150" s="336">
        <f>Saldo_relativo_per_capita!G150*Saldo_relativo_per_capita!G$552/1000000</f>
        <v>-35.645103759636754</v>
      </c>
      <c r="H150" s="336">
        <f>Saldo_relativo_per_capita!H150*Saldo_relativo_per_capita!H$552/1000000</f>
        <v>-37.246631252981416</v>
      </c>
      <c r="I150" s="336">
        <f>Saldo_relativo_per_capita!I150*Saldo_relativo_per_capita!I$552/1000000</f>
        <v>-70.938494294482666</v>
      </c>
      <c r="J150" s="336">
        <f>Saldo_relativo_per_capita!J150*Saldo_relativo_per_capita!J$552/1000000</f>
        <v>-19.8020669203488</v>
      </c>
      <c r="K150" s="336">
        <f>Saldo_relativo_per_capita!K150*Saldo_relativo_per_capita!K$552/1000000</f>
        <v>-83.788383943909551</v>
      </c>
      <c r="L150" s="336">
        <f>Saldo_relativo_per_capita!L150*Saldo_relativo_per_capita!L$552/1000000</f>
        <v>-69.802853132810924</v>
      </c>
      <c r="M150" s="336">
        <f>Saldo_relativo_per_capita!M150*Saldo_relativo_per_capita!M$552/1000000</f>
        <v>-253.49886298388077</v>
      </c>
      <c r="N150" s="336">
        <f>Saldo_relativo_per_capita!N150*Saldo_relativo_per_capita!N$552/1000000</f>
        <v>-168.451437128175</v>
      </c>
      <c r="O150" s="336">
        <f>Saldo_relativo_per_capita!O150*Saldo_relativo_per_capita!O$552/1000000</f>
        <v>-36.988662111367837</v>
      </c>
      <c r="P150" s="336">
        <f>Saldo_relativo_per_capita!P150*Saldo_relativo_per_capita!P$552/1000000</f>
        <v>-92.46270598273388</v>
      </c>
      <c r="Q150" s="336">
        <f>Saldo_relativo_per_capita!Q150*Saldo_relativo_per_capita!Q$552/1000000</f>
        <v>-217.47270985393487</v>
      </c>
      <c r="R150" s="336">
        <f>Saldo_relativo_per_capita!R150*Saldo_relativo_per_capita!R$552/1000000</f>
        <v>-49.497044613081847</v>
      </c>
      <c r="S150" s="336">
        <f>Saldo_relativo_per_capita!S150*Saldo_relativo_per_capita!S$552/1000000</f>
        <v>330.19238049451184</v>
      </c>
      <c r="T150" s="336">
        <f>Saldo_relativo_per_capita!T150*Saldo_relativo_per_capita!T$552/1000000</f>
        <v>1149.8779878009555</v>
      </c>
      <c r="U150" s="336">
        <f>Saldo_relativo_per_capita!U150*Saldo_relativo_per_capita!U$552/1000000</f>
        <v>-10.729960918717243</v>
      </c>
      <c r="V150" s="336">
        <f>Saldo_relativo_per_capita!V150*Saldo_relativo_per_capita!V$552/1000000</f>
        <v>-5.7241584595329273</v>
      </c>
      <c r="W150" s="148"/>
    </row>
    <row r="151" spans="1:23" s="115" customFormat="1">
      <c r="A151" s="351" t="str">
        <f>IF(B151="","",(IF(ISERROR(MATCH(B151,Tot_res!C:C,0)),"Eliminar!!!","")))</f>
        <v/>
      </c>
      <c r="B151" s="115" t="s">
        <v>214</v>
      </c>
      <c r="C151" s="329" t="str">
        <f>VLOOKUP(B151,Tot_res!C:D,2,FALSE)</f>
        <v>No residentes, ingresos comunidades forales</v>
      </c>
      <c r="D151" s="336">
        <f>Saldo_relativo_per_capita!D151*Saldo_relativo_per_capita!D$552/1000000</f>
        <v>0</v>
      </c>
      <c r="E151" s="336">
        <f>Saldo_relativo_per_capita!E151*Saldo_relativo_per_capita!E$552/1000000</f>
        <v>-2.7581377311678397</v>
      </c>
      <c r="F151" s="336">
        <f>Saldo_relativo_per_capita!F151*Saldo_relativo_per_capita!F$552/1000000</f>
        <v>-0.43391743992388176</v>
      </c>
      <c r="G151" s="336">
        <f>Saldo_relativo_per_capita!G151*Saldo_relativo_per_capita!G$552/1000000</f>
        <v>-0.34687119473340339</v>
      </c>
      <c r="H151" s="336">
        <f>Saldo_relativo_per_capita!H151*Saldo_relativo_per_capita!H$552/1000000</f>
        <v>-0.36245604921330282</v>
      </c>
      <c r="I151" s="336">
        <f>Saldo_relativo_per_capita!I151*Saldo_relativo_per_capita!I$552/1000000</f>
        <v>-0.69031978233093183</v>
      </c>
      <c r="J151" s="336">
        <f>Saldo_relativo_per_capita!J151*Saldo_relativo_per_capita!J$552/1000000</f>
        <v>-0.1926987408192129</v>
      </c>
      <c r="K151" s="336">
        <f>Saldo_relativo_per_capita!K151*Saldo_relativo_per_capita!K$552/1000000</f>
        <v>-0.81536519123043782</v>
      </c>
      <c r="L151" s="336">
        <f>Saldo_relativo_per_capita!L151*Saldo_relativo_per_capita!L$552/1000000</f>
        <v>-0.67926858132465018</v>
      </c>
      <c r="M151" s="336">
        <f>Saldo_relativo_per_capita!M151*Saldo_relativo_per_capita!M$552/1000000</f>
        <v>-2.4668592370980416</v>
      </c>
      <c r="N151" s="336">
        <f>Saldo_relativo_per_capita!N151*Saldo_relativo_per_capita!N$552/1000000</f>
        <v>-1.6392420020775471</v>
      </c>
      <c r="O151" s="336">
        <f>Saldo_relativo_per_capita!O151*Saldo_relativo_per_capita!O$552/1000000</f>
        <v>-0.3599456886050339</v>
      </c>
      <c r="P151" s="336">
        <f>Saldo_relativo_per_capita!P151*Saldo_relativo_per_capita!P$552/1000000</f>
        <v>-0.89977713373448598</v>
      </c>
      <c r="Q151" s="336">
        <f>Saldo_relativo_per_capita!Q151*Saldo_relativo_per_capita!Q$552/1000000</f>
        <v>-2.11627995804476</v>
      </c>
      <c r="R151" s="336">
        <f>Saldo_relativo_per_capita!R151*Saldo_relativo_per_capita!R$552/1000000</f>
        <v>-0.48166780819288701</v>
      </c>
      <c r="S151" s="336">
        <f>Saldo_relativo_per_capita!S151*Saldo_relativo_per_capita!S$552/1000000</f>
        <v>5.5286652043477398</v>
      </c>
      <c r="T151" s="336">
        <f>Saldo_relativo_per_capita!T151*Saldo_relativo_per_capita!T$552/1000000</f>
        <v>8.874260381227522</v>
      </c>
      <c r="U151" s="336">
        <f>Saldo_relativo_per_capita!U151*Saldo_relativo_per_capita!U$552/1000000</f>
        <v>-0.10441586559590101</v>
      </c>
      <c r="V151" s="336">
        <f>Saldo_relativo_per_capita!V151*Saldo_relativo_per_capita!V$552/1000000</f>
        <v>-5.57031814829465E-2</v>
      </c>
      <c r="W151" s="148"/>
    </row>
    <row r="152" spans="1:23" s="115" customFormat="1">
      <c r="A152" s="351" t="str">
        <f>IF(B152="","",(IF(ISERROR(MATCH(B152,Tot_res!C:C,0)),"Eliminar!!!","")))</f>
        <v/>
      </c>
      <c r="B152" s="115" t="s">
        <v>215</v>
      </c>
      <c r="C152" s="329" t="str">
        <f>VLOOKUP(B152,Tot_res!C:D,2,FALSE)</f>
        <v xml:space="preserve"> IVA, ingresos comunidades forales</v>
      </c>
      <c r="D152" s="336">
        <f>Saldo_relativo_per_capita!D152*Saldo_relativo_per_capita!D$552/1000000</f>
        <v>0</v>
      </c>
      <c r="E152" s="336">
        <f>Saldo_relativo_per_capita!E152*Saldo_relativo_per_capita!E$552/1000000</f>
        <v>-1059.2087194612971</v>
      </c>
      <c r="F152" s="336">
        <f>Saldo_relativo_per_capita!F152*Saldo_relativo_per_capita!F$552/1000000</f>
        <v>-166.63748539457208</v>
      </c>
      <c r="G152" s="336">
        <f>Saldo_relativo_per_capita!G152*Saldo_relativo_per_capita!G$552/1000000</f>
        <v>-133.20908156243945</v>
      </c>
      <c r="H152" s="336">
        <f>Saldo_relativo_per_capita!H152*Saldo_relativo_per_capita!H$552/1000000</f>
        <v>-139.19413936796656</v>
      </c>
      <c r="I152" s="336">
        <f>Saldo_relativo_per_capita!I152*Saldo_relativo_per_capita!I$552/1000000</f>
        <v>-265.10377795816197</v>
      </c>
      <c r="J152" s="336">
        <f>Saldo_relativo_per_capita!J152*Saldo_relativo_per_capita!J$552/1000000</f>
        <v>-74.002173349950937</v>
      </c>
      <c r="K152" s="336">
        <f>Saldo_relativo_per_capita!K152*Saldo_relativo_per_capita!K$552/1000000</f>
        <v>-313.12501559914045</v>
      </c>
      <c r="L152" s="336">
        <f>Saldo_relativo_per_capita!L152*Saldo_relativo_per_capita!L$552/1000000</f>
        <v>-260.85978088212886</v>
      </c>
      <c r="M152" s="336">
        <f>Saldo_relativo_per_capita!M152*Saldo_relativo_per_capita!M$552/1000000</f>
        <v>-947.34892463529627</v>
      </c>
      <c r="N152" s="336">
        <f>Saldo_relativo_per_capita!N152*Saldo_relativo_per_capita!N$552/1000000</f>
        <v>-629.51875183280072</v>
      </c>
      <c r="O152" s="336">
        <f>Saldo_relativo_per_capita!O152*Saldo_relativo_per_capita!O$552/1000000</f>
        <v>-138.23008459462326</v>
      </c>
      <c r="P152" s="336">
        <f>Saldo_relativo_per_capita!P152*Saldo_relativo_per_capita!P$552/1000000</f>
        <v>-345.54176713282686</v>
      </c>
      <c r="Q152" s="336">
        <f>Saldo_relativo_per_capita!Q152*Saldo_relativo_per_capita!Q$552/1000000</f>
        <v>-812.71582599070416</v>
      </c>
      <c r="R152" s="336">
        <f>Saldo_relativo_per_capita!R152*Saldo_relativo_per_capita!R$552/1000000</f>
        <v>-184.97507813204683</v>
      </c>
      <c r="S152" s="336">
        <f>Saldo_relativo_per_capita!S152*Saldo_relativo_per_capita!S$552/1000000</f>
        <v>1015.5080455648382</v>
      </c>
      <c r="T152" s="336">
        <f>Saldo_relativo_per_capita!T152*Saldo_relativo_per_capita!T$552/1000000</f>
        <v>4515.6531410572743</v>
      </c>
      <c r="U152" s="336">
        <f>Saldo_relativo_per_capita!U152*Saldo_relativo_per_capita!U$552/1000000</f>
        <v>-40.09886599914217</v>
      </c>
      <c r="V152" s="336">
        <f>Saldo_relativo_per_capita!V152*Saldo_relativo_per_capita!V$552/1000000</f>
        <v>-21.391714729013874</v>
      </c>
      <c r="W152" s="148"/>
    </row>
    <row r="153" spans="1:23" s="115" customFormat="1">
      <c r="A153" s="351" t="str">
        <f>IF(B153="","",(IF(ISERROR(MATCH(B153,Tot_res!C:C,0)),"Eliminar!!!","")))</f>
        <v/>
      </c>
      <c r="B153" s="115" t="s">
        <v>1091</v>
      </c>
      <c r="C153" s="329" t="str">
        <f>VLOOKUP(B153,Tot_res!C:D,2,FALSE)</f>
        <v>Imp. Especiales (incl. Matriculación y electricidad),  sin ejercicio de la capacidad normativa en el IH</v>
      </c>
      <c r="D153" s="336">
        <f>Saldo_relativo_per_capita!D153*Saldo_relativo_per_capita!D$552/1000000</f>
        <v>0</v>
      </c>
      <c r="E153" s="336">
        <f>Saldo_relativo_per_capita!E153*Saldo_relativo_per_capita!E$552/1000000</f>
        <v>-314.79060730077373</v>
      </c>
      <c r="F153" s="336">
        <f>Saldo_relativo_per_capita!F153*Saldo_relativo_per_capita!F$552/1000000</f>
        <v>-49.523681463941983</v>
      </c>
      <c r="G153" s="336">
        <f>Saldo_relativo_per_capita!G153*Saldo_relativo_per_capita!G$552/1000000</f>
        <v>-39.588956277045476</v>
      </c>
      <c r="H153" s="336">
        <f>Saldo_relativo_per_capita!H153*Saldo_relativo_per_capita!H$552/1000000</f>
        <v>-41.367680287446674</v>
      </c>
      <c r="I153" s="336">
        <f>Saldo_relativo_per_capita!I153*Saldo_relativo_per_capita!I$552/1000000</f>
        <v>-78.787285006133857</v>
      </c>
      <c r="J153" s="336">
        <f>Saldo_relativo_per_capita!J153*Saldo_relativo_per_capita!J$552/1000000</f>
        <v>-21.993011067975246</v>
      </c>
      <c r="K153" s="336">
        <f>Saldo_relativo_per_capita!K153*Saldo_relativo_per_capita!K$552/1000000</f>
        <v>-93.058914650597657</v>
      </c>
      <c r="L153" s="336">
        <f>Saldo_relativo_per_capita!L153*Saldo_relativo_per_capita!L$552/1000000</f>
        <v>-77.525994013715817</v>
      </c>
      <c r="M153" s="336">
        <f>Saldo_relativo_per_capita!M153*Saldo_relativo_per_capita!M$552/1000000</f>
        <v>-281.54653358910201</v>
      </c>
      <c r="N153" s="336">
        <f>Saldo_relativo_per_capita!N153*Saldo_relativo_per_capita!N$552/1000000</f>
        <v>-187.0892738661158</v>
      </c>
      <c r="O153" s="336">
        <f>Saldo_relativo_per_capita!O153*Saldo_relativo_per_capita!O$552/1000000</f>
        <v>-41.081168873788478</v>
      </c>
      <c r="P153" s="336">
        <f>Saldo_relativo_per_capita!P153*Saldo_relativo_per_capita!P$552/1000000</f>
        <v>-102.69298271906798</v>
      </c>
      <c r="Q153" s="336">
        <f>Saldo_relativo_per_capita!Q153*Saldo_relativo_per_capita!Q$552/1000000</f>
        <v>-241.53436780305111</v>
      </c>
      <c r="R153" s="336">
        <f>Saldo_relativo_per_capita!R153*Saldo_relativo_per_capita!R$552/1000000</f>
        <v>-54.973506270142373</v>
      </c>
      <c r="S153" s="336">
        <f>Saldo_relativo_per_capita!S153*Saldo_relativo_per_capita!S$552/1000000</f>
        <v>371.9294881917217</v>
      </c>
      <c r="T153" s="336">
        <f>Saldo_relativo_per_capita!T153*Saldo_relativo_per_capita!T$552/1000000</f>
        <v>1271.8991142585851</v>
      </c>
      <c r="U153" s="336">
        <f>Saldo_relativo_per_capita!U153*Saldo_relativo_per_capita!U$552/1000000</f>
        <v>-11.917147345956623</v>
      </c>
      <c r="V153" s="336">
        <f>Saldo_relativo_per_capita!V153*Saldo_relativo_per_capita!V$552/1000000</f>
        <v>-6.3574919154517389</v>
      </c>
      <c r="W153" s="148"/>
    </row>
    <row r="154" spans="1:23" s="115" customFormat="1">
      <c r="A154" s="351" t="str">
        <f>IF(B154="","",(IF(ISERROR(MATCH(B154,Tot_res!C:C,0)),"Eliminar!!!","")))</f>
        <v/>
      </c>
      <c r="B154" s="115" t="s">
        <v>216</v>
      </c>
      <c r="C154" s="329" t="str">
        <f>VLOOKUP(B154,Tot_res!C:D,2,FALSE)</f>
        <v>Primas de seguross, ingresos comunidades forales</v>
      </c>
      <c r="D154" s="336">
        <f>Saldo_relativo_per_capita!D154*Saldo_relativo_per_capita!D$552/1000000</f>
        <v>0</v>
      </c>
      <c r="E154" s="336">
        <f>Saldo_relativo_per_capita!E154*Saldo_relativo_per_capita!E$552/1000000</f>
        <v>-16.174466576247823</v>
      </c>
      <c r="F154" s="336">
        <f>Saldo_relativo_per_capita!F154*Saldo_relativo_per_capita!F$552/1000000</f>
        <v>-2.5446093752280281</v>
      </c>
      <c r="G154" s="336">
        <f>Saldo_relativo_per_capita!G154*Saldo_relativo_per_capita!G$552/1000000</f>
        <v>-2.0341466207719172</v>
      </c>
      <c r="H154" s="336">
        <f>Saldo_relativo_per_capita!H154*Saldo_relativo_per_capita!H$552/1000000</f>
        <v>-2.1255404279165977</v>
      </c>
      <c r="I154" s="336">
        <f>Saldo_relativo_per_capita!I154*Saldo_relativo_per_capita!I$552/1000000</f>
        <v>-4.0482221464359771</v>
      </c>
      <c r="J154" s="336">
        <f>Saldo_relativo_per_capita!J154*Saldo_relativo_per_capita!J$552/1000000</f>
        <v>-1.1300376001693355</v>
      </c>
      <c r="K154" s="336">
        <f>Saldo_relativo_per_capita!K154*Saldo_relativo_per_capita!K$552/1000000</f>
        <v>-4.7815222872893219</v>
      </c>
      <c r="L154" s="336">
        <f>Saldo_relativo_per_capita!L154*Saldo_relativo_per_capita!L$552/1000000</f>
        <v>-3.9834149110018666</v>
      </c>
      <c r="M154" s="336">
        <f>Saldo_relativo_per_capita!M154*Saldo_relativo_per_capita!M$552/1000000</f>
        <v>-14.466330607012914</v>
      </c>
      <c r="N154" s="336">
        <f>Saldo_relativo_per_capita!N154*Saldo_relativo_per_capita!N$552/1000000</f>
        <v>-9.6129590170098034</v>
      </c>
      <c r="O154" s="336">
        <f>Saldo_relativo_per_capita!O154*Saldo_relativo_per_capita!O$552/1000000</f>
        <v>-2.110818993488599</v>
      </c>
      <c r="P154" s="336">
        <f>Saldo_relativo_per_capita!P154*Saldo_relativo_per_capita!P$552/1000000</f>
        <v>-5.2765367774068199</v>
      </c>
      <c r="Q154" s="336">
        <f>Saldo_relativo_per_capita!Q154*Saldo_relativo_per_capita!Q$552/1000000</f>
        <v>-12.410438775617166</v>
      </c>
      <c r="R154" s="336">
        <f>Saldo_relativo_per_capita!R154*Saldo_relativo_per_capita!R$552/1000000</f>
        <v>-2.8246304658512038</v>
      </c>
      <c r="S154" s="336">
        <f>Saldo_relativo_per_capita!S154*Saldo_relativo_per_capita!S$552/1000000</f>
        <v>18.462539798337449</v>
      </c>
      <c r="T154" s="336">
        <f>Saldo_relativo_per_capita!T154*Saldo_relativo_per_capita!T$552/1000000</f>
        <v>66.000116236404111</v>
      </c>
      <c r="U154" s="336">
        <f>Saldo_relativo_per_capita!U154*Saldo_relativo_per_capita!U$552/1000000</f>
        <v>-0.61232291231366132</v>
      </c>
      <c r="V154" s="336">
        <f>Saldo_relativo_per_capita!V154*Saldo_relativo_per_capita!V$552/1000000</f>
        <v>-0.3266585409805115</v>
      </c>
      <c r="W154" s="148"/>
    </row>
    <row r="155" spans="1:23" s="115" customFormat="1">
      <c r="A155" s="351" t="str">
        <f>IF(B155="","",(IF(ISERROR(MATCH(B155,Tot_res!C:C,0)),"Eliminar!!!","")))</f>
        <v/>
      </c>
      <c r="B155" s="115" t="s">
        <v>959</v>
      </c>
      <c r="C155" s="329" t="str">
        <f>VLOOKUP(B155,Tot_res!C:D,2,FALSE)</f>
        <v>Sucesiones y donaciones, ingresos homogeneizados de las comunidades forales</v>
      </c>
      <c r="D155" s="336">
        <f>Saldo_relativo_per_capita!D155*Saldo_relativo_per_capita!D$552/1000000</f>
        <v>0</v>
      </c>
      <c r="E155" s="336">
        <f>Saldo_relativo_per_capita!E155*Saldo_relativo_per_capita!E$552/1000000</f>
        <v>-37.476566375295555</v>
      </c>
      <c r="F155" s="336">
        <f>Saldo_relativo_per_capita!F155*Saldo_relativo_per_capita!F$552/1000000</f>
        <v>-5.8959114169473326</v>
      </c>
      <c r="G155" s="336">
        <f>Saldo_relativo_per_capita!G155*Saldo_relativo_per_capita!G$552/1000000</f>
        <v>-4.7131588847813815</v>
      </c>
      <c r="H155" s="336">
        <f>Saldo_relativo_per_capita!H155*Saldo_relativo_per_capita!H$552/1000000</f>
        <v>-4.9249201854463669</v>
      </c>
      <c r="I155" s="336">
        <f>Saldo_relativo_per_capita!I155*Saldo_relativo_per_capita!I$552/1000000</f>
        <v>-9.379812636024754</v>
      </c>
      <c r="J155" s="336">
        <f>Saldo_relativo_per_capita!J155*Saldo_relativo_per_capita!J$552/1000000</f>
        <v>-2.6183199878453238</v>
      </c>
      <c r="K155" s="336">
        <f>Saldo_relativo_per_capita!K155*Saldo_relativo_per_capita!K$552/1000000</f>
        <v>-11.078883901970588</v>
      </c>
      <c r="L155" s="336">
        <f>Saldo_relativo_per_capita!L155*Saldo_relativo_per_capita!L$552/1000000</f>
        <v>-9.2296529600381287</v>
      </c>
      <c r="M155" s="336">
        <f>Saldo_relativo_per_capita!M155*Saldo_relativo_per_capita!M$552/1000000</f>
        <v>-33.518780767511259</v>
      </c>
      <c r="N155" s="336">
        <f>Saldo_relativo_per_capita!N155*Saldo_relativo_per_capita!N$552/1000000</f>
        <v>-22.273420577158699</v>
      </c>
      <c r="O155" s="336">
        <f>Saldo_relativo_per_capita!O155*Saldo_relativo_per_capita!O$552/1000000</f>
        <v>-4.8908103239631684</v>
      </c>
      <c r="P155" s="336">
        <f>Saldo_relativo_per_capita!P155*Saldo_relativo_per_capita!P$552/1000000</f>
        <v>-12.225842493041791</v>
      </c>
      <c r="Q155" s="336">
        <f>Saldo_relativo_per_capita!Q155*Saldo_relativo_per_capita!Q$552/1000000</f>
        <v>-28.755237789662747</v>
      </c>
      <c r="R155" s="336">
        <f>Saldo_relativo_per_capita!R155*Saldo_relativo_per_capita!R$552/1000000</f>
        <v>-6.5447259506292559</v>
      </c>
      <c r="S155" s="336">
        <f>Saldo_relativo_per_capita!S155*Saldo_relativo_per_capita!S$552/1000000</f>
        <v>39.839550909872152</v>
      </c>
      <c r="T155" s="336">
        <f>Saldo_relativo_per_capita!T155*Saldo_relativo_per_capita!T$552/1000000</f>
        <v>155.86213236963027</v>
      </c>
      <c r="U155" s="336">
        <f>Saldo_relativo_per_capita!U155*Saldo_relativo_per_capita!U$552/1000000</f>
        <v>-1.4187645792372501</v>
      </c>
      <c r="V155" s="336">
        <f>Saldo_relativo_per_capita!V155*Saldo_relativo_per_capita!V$552/1000000</f>
        <v>-0.75687444994883224</v>
      </c>
      <c r="W155" s="148"/>
    </row>
    <row r="156" spans="1:23" s="115" customFormat="1">
      <c r="A156" s="351" t="str">
        <f>IF(B156="","",(IF(ISERROR(MATCH(B156,Tot_res!C:C,0)),"Eliminar!!!","")))</f>
        <v/>
      </c>
      <c r="B156" s="115" t="s">
        <v>1081</v>
      </c>
      <c r="C156" s="329" t="str">
        <f>VLOOKUP(B156,Tot_res!C:D,2,FALSE)</f>
        <v>Venta minorista de hidrocarburos (IVMH), ingresos de las comunidades forales</v>
      </c>
      <c r="D156" s="336">
        <f>Saldo_relativo_per_capita!D156*Saldo_relativo_per_capita!D$552/1000000</f>
        <v>0</v>
      </c>
      <c r="E156" s="336">
        <f>Saldo_relativo_per_capita!E156*Saldo_relativo_per_capita!E$552/1000000</f>
        <v>0.13176733868044704</v>
      </c>
      <c r="F156" s="336">
        <f>Saldo_relativo_per_capita!F156*Saldo_relativo_per_capita!F$552/1000000</f>
        <v>2.0729982270172333E-2</v>
      </c>
      <c r="G156" s="336">
        <f>Saldo_relativo_per_capita!G156*Saldo_relativo_per_capita!G$552/1000000</f>
        <v>1.6571432847037295E-2</v>
      </c>
      <c r="H156" s="336">
        <f>Saldo_relativo_per_capita!H156*Saldo_relativo_per_capita!H$552/1000000</f>
        <v>1.7315984061914043E-2</v>
      </c>
      <c r="I156" s="336">
        <f>Saldo_relativo_per_capita!I156*Saldo_relativo_per_capita!I$552/1000000</f>
        <v>3.2979353977982011E-2</v>
      </c>
      <c r="J156" s="336">
        <f>Saldo_relativo_per_capita!J156*Saldo_relativo_per_capita!J$552/1000000</f>
        <v>9.2059943047404624E-3</v>
      </c>
      <c r="K156" s="336">
        <f>Saldo_relativo_per_capita!K156*Saldo_relativo_per_capita!K$552/1000000</f>
        <v>3.895327636724559E-2</v>
      </c>
      <c r="L156" s="336">
        <f>Saldo_relativo_per_capita!L156*Saldo_relativo_per_capita!L$552/1000000</f>
        <v>3.2451393633810284E-2</v>
      </c>
      <c r="M156" s="336">
        <f>Saldo_relativo_per_capita!M156*Saldo_relativo_per_capita!M$552/1000000</f>
        <v>0.11785179285954471</v>
      </c>
      <c r="N156" s="336">
        <f>Saldo_relativo_per_capita!N156*Saldo_relativo_per_capita!N$552/1000000</f>
        <v>7.8313187055930308E-2</v>
      </c>
      <c r="O156" s="336">
        <f>Saldo_relativo_per_capita!O156*Saldo_relativo_per_capita!O$552/1000000</f>
        <v>1.7196054033496E-2</v>
      </c>
      <c r="P156" s="336">
        <f>Saldo_relativo_per_capita!P156*Saldo_relativo_per_capita!P$552/1000000</f>
        <v>4.2985974550122694E-2</v>
      </c>
      <c r="Q156" s="336">
        <f>Saldo_relativo_per_capita!Q156*Saldo_relativo_per_capita!Q$552/1000000</f>
        <v>0.10110320990252136</v>
      </c>
      <c r="R156" s="336">
        <f>Saldo_relativo_per_capita!R156*Saldo_relativo_per_capita!R$552/1000000</f>
        <v>2.3011209518803595E-2</v>
      </c>
      <c r="S156" s="336">
        <f>Saldo_relativo_per_capita!S156*Saldo_relativo_per_capita!S$552/1000000</f>
        <v>-0.92442279922328108</v>
      </c>
      <c r="T156" s="336">
        <f>Saldo_relativo_per_capita!T156*Saldo_relativo_per_capita!T$552/1000000</f>
        <v>0.2363370839315368</v>
      </c>
      <c r="U156" s="336">
        <f>Saldo_relativo_per_capita!U156*Saldo_relativo_per_capita!U$552/1000000</f>
        <v>4.9883660885062173E-3</v>
      </c>
      <c r="V156" s="336">
        <f>Saldo_relativo_per_capita!V156*Saldo_relativo_per_capita!V$552/1000000</f>
        <v>2.6611651394703932E-3</v>
      </c>
      <c r="W156" s="148"/>
    </row>
    <row r="157" spans="1:23" s="115" customFormat="1" ht="13.5">
      <c r="A157" s="351" t="str">
        <f>IF(B157="","",(IF(ISERROR(MATCH(B157,Tot_res!C:C,0)),"Eliminar!!!","")))</f>
        <v/>
      </c>
      <c r="B157" s="115" t="s">
        <v>960</v>
      </c>
      <c r="C157" s="329" t="str">
        <f>VLOOKUP(B157,Tot_res!C:D,2,FALSE)</f>
        <v>ITP y AJD, ingresos homogeneizados de las comunidades forales</v>
      </c>
      <c r="D157" s="336">
        <f>Saldo_relativo_per_capita!D157*Saldo_relativo_per_capita!D$552/1000000</f>
        <v>0</v>
      </c>
      <c r="E157" s="336">
        <f>Saldo_relativo_per_capita!E157*Saldo_relativo_per_capita!E$552/1000000</f>
        <v>-48.280512400745877</v>
      </c>
      <c r="F157" s="336">
        <f>Saldo_relativo_per_capita!F157*Saldo_relativo_per_capita!F$552/1000000</f>
        <v>-7.5956164561348487</v>
      </c>
      <c r="G157" s="336">
        <f>Saldo_relativo_per_capita!G157*Saldo_relativo_per_capita!G$552/1000000</f>
        <v>-6.0718936656207605</v>
      </c>
      <c r="H157" s="336">
        <f>Saldo_relativo_per_capita!H157*Saldo_relativo_per_capita!H$552/1000000</f>
        <v>-6.3447026524518888</v>
      </c>
      <c r="I157" s="336">
        <f>Saldo_relativo_per_capita!I157*Saldo_relativo_per_capita!I$552/1000000</f>
        <v>-12.083875447799599</v>
      </c>
      <c r="J157" s="336">
        <f>Saldo_relativo_per_capita!J157*Saldo_relativo_per_capita!J$552/1000000</f>
        <v>-3.3731433498032142</v>
      </c>
      <c r="K157" s="336">
        <f>Saldo_relativo_per_capita!K157*Saldo_relativo_per_capita!K$552/1000000</f>
        <v>-14.272764112352499</v>
      </c>
      <c r="L157" s="336">
        <f>Saldo_relativo_per_capita!L157*Saldo_relativo_per_capita!L$552/1000000</f>
        <v>-11.890426933174117</v>
      </c>
      <c r="M157" s="336">
        <f>Saldo_relativo_per_capita!M157*Saldo_relativo_per_capita!M$552/1000000</f>
        <v>-43.181755081236332</v>
      </c>
      <c r="N157" s="336">
        <f>Saldo_relativo_per_capita!N157*Saldo_relativo_per_capita!N$552/1000000</f>
        <v>-28.694522001124977</v>
      </c>
      <c r="O157" s="336">
        <f>Saldo_relativo_per_capita!O157*Saldo_relativo_per_capita!O$552/1000000</f>
        <v>-6.3007594167286474</v>
      </c>
      <c r="P157" s="336">
        <f>Saldo_relativo_per_capita!P157*Saldo_relativo_per_capita!P$552/1000000</f>
        <v>-15.750374092007913</v>
      </c>
      <c r="Q157" s="336">
        <f>Saldo_relativo_per_capita!Q157*Saldo_relativo_per_capita!Q$552/1000000</f>
        <v>-37.044952325338528</v>
      </c>
      <c r="R157" s="336">
        <f>Saldo_relativo_per_capita!R157*Saldo_relativo_per_capita!R$552/1000000</f>
        <v>-8.4314747315574259</v>
      </c>
      <c r="S157" s="336">
        <f>Saldo_relativo_per_capita!S157*Saldo_relativo_per_capita!S$552/1000000</f>
        <v>55.076450540416083</v>
      </c>
      <c r="T157" s="336">
        <f>Saldo_relativo_per_capita!T157*Saldo_relativo_per_capita!T$552/1000000</f>
        <v>197.0431660702277</v>
      </c>
      <c r="U157" s="336">
        <f>Saldo_relativo_per_capita!U157*Saldo_relativo_per_capita!U$552/1000000</f>
        <v>-1.8277736592954574</v>
      </c>
      <c r="V157" s="336">
        <f>Saldo_relativo_per_capita!V157*Saldo_relativo_per_capita!V$552/1000000</f>
        <v>-0.97507028527167516</v>
      </c>
      <c r="W157" s="219"/>
    </row>
    <row r="158" spans="1:23" s="115" customFormat="1" ht="13.5">
      <c r="A158" s="351" t="str">
        <f>IF(B158="","",(IF(ISERROR(MATCH(B158,Tot_res!C:C,0)),"Eliminar!!!","")))</f>
        <v/>
      </c>
      <c r="B158" s="115" t="s">
        <v>961</v>
      </c>
      <c r="C158" s="329" t="str">
        <f>VLOOKUP(B158,Tot_res!C:D,2,FALSE)</f>
        <v>Tasas juego, ingresos homogeneizados de las comunidades forales</v>
      </c>
      <c r="D158" s="336">
        <f>Saldo_relativo_per_capita!D158*Saldo_relativo_per_capita!D$552/1000000</f>
        <v>0</v>
      </c>
      <c r="E158" s="336">
        <f>Saldo_relativo_per_capita!E158*Saldo_relativo_per_capita!E$552/1000000</f>
        <v>-6.882139812411757</v>
      </c>
      <c r="F158" s="336">
        <f>Saldo_relativo_per_capita!F158*Saldo_relativo_per_capita!F$552/1000000</f>
        <v>-1.0827162309024703</v>
      </c>
      <c r="G158" s="336">
        <f>Saldo_relativo_per_capita!G158*Saldo_relativo_per_capita!G$552/1000000</f>
        <v>-0.86551734965128135</v>
      </c>
      <c r="H158" s="336">
        <f>Saldo_relativo_per_capita!H158*Saldo_relativo_per_capita!H$552/1000000</f>
        <v>-0.90440487374941458</v>
      </c>
      <c r="I158" s="336">
        <f>Saldo_relativo_per_capita!I158*Saldo_relativo_per_capita!I$552/1000000</f>
        <v>-1.7224945671090641</v>
      </c>
      <c r="J158" s="336">
        <f>Saldo_relativo_per_capita!J158*Saldo_relativo_per_capita!J$552/1000000</f>
        <v>-0.48082431163870631</v>
      </c>
      <c r="K158" s="336">
        <f>Saldo_relativo_per_capita!K158*Saldo_relativo_per_capita!K$552/1000000</f>
        <v>-2.0345094375855339</v>
      </c>
      <c r="L158" s="336">
        <f>Saldo_relativo_per_capita!L158*Saldo_relativo_per_capita!L$552/1000000</f>
        <v>-1.6949194719421914</v>
      </c>
      <c r="M158" s="336">
        <f>Saldo_relativo_per_capita!M158*Saldo_relativo_per_capita!M$552/1000000</f>
        <v>-6.1553380657534023</v>
      </c>
      <c r="N158" s="336">
        <f>Saldo_relativo_per_capita!N158*Saldo_relativo_per_capita!N$552/1000000</f>
        <v>-4.0902571750463963</v>
      </c>
      <c r="O158" s="336">
        <f>Saldo_relativo_per_capita!O158*Saldo_relativo_per_capita!O$552/1000000</f>
        <v>-0.89814099051746199</v>
      </c>
      <c r="P158" s="336">
        <f>Saldo_relativo_per_capita!P158*Saldo_relativo_per_capita!P$552/1000000</f>
        <v>-2.2451351737789706</v>
      </c>
      <c r="Q158" s="336">
        <f>Saldo_relativo_per_capita!Q158*Saldo_relativo_per_capita!Q$552/1000000</f>
        <v>-5.2805682576635027</v>
      </c>
      <c r="R158" s="336">
        <f>Saldo_relativo_per_capita!R158*Saldo_relativo_per_capita!R$552/1000000</f>
        <v>-1.2018635478793851</v>
      </c>
      <c r="S158" s="336">
        <f>Saldo_relativo_per_capita!S158*Saldo_relativo_per_capita!S$552/1000000</f>
        <v>9.6327456102101312</v>
      </c>
      <c r="T158" s="336">
        <f>Saldo_relativo_per_capita!T158*Saldo_relativo_per_capita!T$552/1000000</f>
        <v>26.305614707177352</v>
      </c>
      <c r="U158" s="336">
        <f>Saldo_relativo_per_capita!U158*Saldo_relativo_per_capita!U$552/1000000</f>
        <v>-0.26053977564083314</v>
      </c>
      <c r="V158" s="336">
        <f>Saldo_relativo_per_capita!V158*Saldo_relativo_per_capita!V$552/1000000</f>
        <v>-0.13899127611711543</v>
      </c>
      <c r="W158" s="219"/>
    </row>
    <row r="159" spans="1:23" s="115" customFormat="1" ht="13.5">
      <c r="A159" s="351" t="str">
        <f>IF(B159="","",(IF(ISERROR(MATCH(B159,Tot_res!C:C,0)),"Eliminar!!!","")))</f>
        <v/>
      </c>
      <c r="B159" s="115" t="s">
        <v>1201</v>
      </c>
      <c r="C159" s="329" t="str">
        <f>VLOOKUP(B159,Tot_res!C:D,2,FALSE)</f>
        <v xml:space="preserve"> Impuesto sobre la actividad de juego. Ingresos homogeneizados. Régimen foral</v>
      </c>
      <c r="D159" s="336">
        <f>Saldo_relativo_per_capita!D159*Saldo_relativo_per_capita!D$552/1000000</f>
        <v>0</v>
      </c>
      <c r="E159" s="336">
        <f>Saldo_relativo_per_capita!E159*Saldo_relativo_per_capita!E$552/1000000</f>
        <v>-1.6679976447764315</v>
      </c>
      <c r="F159" s="336">
        <f>Saldo_relativo_per_capita!F159*Saldo_relativo_per_capita!F$552/1000000</f>
        <v>-0.26241375100365144</v>
      </c>
      <c r="G159" s="336">
        <f>Saldo_relativo_per_capita!G159*Saldo_relativo_per_capita!G$552/1000000</f>
        <v>-0.20977209706315994</v>
      </c>
      <c r="H159" s="336">
        <f>Saldo_relativo_per_capita!H159*Saldo_relativo_per_capita!H$552/1000000</f>
        <v>-0.21919711607975884</v>
      </c>
      <c r="I159" s="336">
        <f>Saldo_relativo_per_capita!I159*Saldo_relativo_per_capita!I$552/1000000</f>
        <v>-0.41747435527196464</v>
      </c>
      <c r="J159" s="336">
        <f>Saldo_relativo_per_capita!J159*Saldo_relativo_per_capita!J$552/1000000</f>
        <v>-0.1165355312773798</v>
      </c>
      <c r="K159" s="336">
        <f>Saldo_relativo_per_capita!K159*Saldo_relativo_per_capita!K$552/1000000</f>
        <v>-0.49309619430397261</v>
      </c>
      <c r="L159" s="336">
        <f>Saldo_relativo_per_capita!L159*Saldo_relativo_per_capita!L$552/1000000</f>
        <v>-0.4107910859623411</v>
      </c>
      <c r="M159" s="336">
        <f>Saldo_relativo_per_capita!M159*Saldo_relativo_per_capita!M$552/1000000</f>
        <v>-1.4918455126359051</v>
      </c>
      <c r="N159" s="336">
        <f>Saldo_relativo_per_capita!N159*Saldo_relativo_per_capita!N$552/1000000</f>
        <v>-0.99133983331797748</v>
      </c>
      <c r="O159" s="336">
        <f>Saldo_relativo_per_capita!O159*Saldo_relativo_per_capita!O$552/1000000</f>
        <v>-0.21767896289443575</v>
      </c>
      <c r="P159" s="336">
        <f>Saldo_relativo_per_capita!P159*Saldo_relativo_per_capita!P$552/1000000</f>
        <v>-0.54414474046491401</v>
      </c>
      <c r="Q159" s="336">
        <f>Saldo_relativo_per_capita!Q159*Saldo_relativo_per_capita!Q$552/1000000</f>
        <v>-1.2798309329576474</v>
      </c>
      <c r="R159" s="336">
        <f>Saldo_relativo_per_capita!R159*Saldo_relativo_per_capita!R$552/1000000</f>
        <v>-0.29129102602507828</v>
      </c>
      <c r="S159" s="336">
        <f>Saldo_relativo_per_capita!S159*Saldo_relativo_per_capita!S$552/1000000</f>
        <v>1.4709029759909671</v>
      </c>
      <c r="T159" s="336">
        <f>Saldo_relativo_per_capita!T159*Saldo_relativo_per_capita!T$552/1000000</f>
        <v>7.2393386059105937</v>
      </c>
      <c r="U159" s="336">
        <f>Saldo_relativo_per_capita!U159*Saldo_relativo_per_capita!U$552/1000000</f>
        <v>-6.3146019113958785E-2</v>
      </c>
      <c r="V159" s="336">
        <f>Saldo_relativo_per_capita!V159*Saldo_relativo_per_capita!V$552/1000000</f>
        <v>-3.3686778752984224E-2</v>
      </c>
      <c r="W159" s="219"/>
    </row>
    <row r="160" spans="1:23" s="115" customFormat="1" ht="13.5">
      <c r="A160" s="351" t="str">
        <f>IF(B160="","",(IF(ISERROR(MATCH(B160,Tot_res!C:C,0)),"Eliminar!!!","")))</f>
        <v/>
      </c>
      <c r="B160" s="115" t="s">
        <v>1203</v>
      </c>
      <c r="C160" s="329" t="str">
        <f>VLOOKUP(B160,Tot_res!C:D,2,FALSE)</f>
        <v>Impuestos medioambientales. Ingresos homogeneizados. Régimen foral</v>
      </c>
      <c r="D160" s="336">
        <f>Saldo_relativo_per_capita!D160*Saldo_relativo_per_capita!D$552/1000000</f>
        <v>0</v>
      </c>
      <c r="E160" s="336">
        <f>Saldo_relativo_per_capita!E160*Saldo_relativo_per_capita!E$552/1000000</f>
        <v>-7.4040850991003087</v>
      </c>
      <c r="F160" s="336">
        <f>Saldo_relativo_per_capita!F160*Saldo_relativo_per_capita!F$552/1000000</f>
        <v>-1.1648300282016126</v>
      </c>
      <c r="G160" s="336">
        <f>Saldo_relativo_per_capita!G160*Saldo_relativo_per_capita!G$552/1000000</f>
        <v>-0.93115866376450662</v>
      </c>
      <c r="H160" s="336">
        <f>Saldo_relativo_per_capita!H160*Saldo_relativo_per_capita!H$552/1000000</f>
        <v>-0.97299543918087128</v>
      </c>
      <c r="I160" s="336">
        <f>Saldo_relativo_per_capita!I160*Saldo_relativo_per_capita!I$552/1000000</f>
        <v>-1.853129506990379</v>
      </c>
      <c r="J160" s="336">
        <f>Saldo_relativo_per_capita!J160*Saldo_relativo_per_capita!J$552/1000000</f>
        <v>-0.51729029315400232</v>
      </c>
      <c r="K160" s="336">
        <f>Saldo_relativo_per_capita!K160*Saldo_relativo_per_capita!K$552/1000000</f>
        <v>-2.188807757674299</v>
      </c>
      <c r="L160" s="336">
        <f>Saldo_relativo_per_capita!L160*Saldo_relativo_per_capita!L$552/1000000</f>
        <v>-1.8234631013670721</v>
      </c>
      <c r="M160" s="336">
        <f>Saldo_relativo_per_capita!M160*Saldo_relativo_per_capita!M$552/1000000</f>
        <v>-6.6221623063188879</v>
      </c>
      <c r="N160" s="336">
        <f>Saldo_relativo_per_capita!N160*Saldo_relativo_per_capita!N$552/1000000</f>
        <v>-4.4004645396235107</v>
      </c>
      <c r="O160" s="336">
        <f>Saldo_relativo_per_capita!O160*Saldo_relativo_per_capita!O$552/1000000</f>
        <v>-0.96625649958296256</v>
      </c>
      <c r="P160" s="336">
        <f>Saldo_relativo_per_capita!P160*Saldo_relativo_per_capita!P$552/1000000</f>
        <v>-2.4154074660999196</v>
      </c>
      <c r="Q160" s="336">
        <f>Saldo_relativo_per_capita!Q160*Saldo_relativo_per_capita!Q$552/1000000</f>
        <v>-5.6810494725545402</v>
      </c>
      <c r="R160" s="336">
        <f>Saldo_relativo_per_capita!R160*Saldo_relativo_per_capita!R$552/1000000</f>
        <v>-1.2930135435431021</v>
      </c>
      <c r="S160" s="336">
        <f>Saldo_relativo_per_capita!S160*Saldo_relativo_per_capita!S$552/1000000</f>
        <v>12.37636658495593</v>
      </c>
      <c r="T160" s="336">
        <f>Saldo_relativo_per_capita!T160*Saldo_relativo_per_capita!T$552/1000000</f>
        <v>26.287578839718385</v>
      </c>
      <c r="U160" s="336">
        <f>Saldo_relativo_per_capita!U160*Saldo_relativo_per_capita!U$552/1000000</f>
        <v>-0.28029925620898077</v>
      </c>
      <c r="V160" s="336">
        <f>Saldo_relativo_per_capita!V160*Saldo_relativo_per_capita!V$552/1000000</f>
        <v>-0.14953245130936027</v>
      </c>
      <c r="W160" s="219"/>
    </row>
    <row r="161" spans="1:23" s="115" customFormat="1" ht="13.5">
      <c r="A161" s="351" t="str">
        <f>IF(B161="","",(IF(ISERROR(MATCH(B161,Tot_res!C:C,0)),"Eliminar!!!","")))</f>
        <v/>
      </c>
      <c r="B161" s="115" t="s">
        <v>1205</v>
      </c>
      <c r="C161" s="329" t="str">
        <f>VLOOKUP(B161,Tot_res!C:D,2,FALSE)</f>
        <v>Impuestos sobre gases fluorados. Ingresos homogeneizados. Régimen foral</v>
      </c>
      <c r="D161" s="336">
        <f>Saldo_relativo_per_capita!D161*Saldo_relativo_per_capita!D$552/1000000</f>
        <v>0</v>
      </c>
      <c r="E161" s="336">
        <f>Saldo_relativo_per_capita!E161*Saldo_relativo_per_capita!E$552/1000000</f>
        <v>-0.14769313053018499</v>
      </c>
      <c r="F161" s="336">
        <f>Saldo_relativo_per_capita!F161*Saldo_relativo_per_capita!F$552/1000000</f>
        <v>-2.3235469487184118E-2</v>
      </c>
      <c r="G161" s="336">
        <f>Saldo_relativo_per_capita!G161*Saldo_relativo_per_capita!G$552/1000000</f>
        <v>-1.8574305431523882E-2</v>
      </c>
      <c r="H161" s="336">
        <f>Saldo_relativo_per_capita!H161*Saldo_relativo_per_capita!H$552/1000000</f>
        <v>-1.9408845317252912E-2</v>
      </c>
      <c r="I161" s="336">
        <f>Saldo_relativo_per_capita!I161*Saldo_relativo_per_capita!I$552/1000000</f>
        <v>-3.6965336635383185E-2</v>
      </c>
      <c r="J161" s="336">
        <f>Saldo_relativo_per_capita!J161*Saldo_relativo_per_capita!J$552/1000000</f>
        <v>-1.0318658114569121E-2</v>
      </c>
      <c r="K161" s="336">
        <f>Saldo_relativo_per_capita!K161*Saldo_relativo_per_capita!K$552/1000000</f>
        <v>-4.3661285024797124E-2</v>
      </c>
      <c r="L161" s="336">
        <f>Saldo_relativo_per_capita!L161*Saldo_relativo_per_capita!L$552/1000000</f>
        <v>-3.6373565436181698E-2</v>
      </c>
      <c r="M161" s="336">
        <f>Saldo_relativo_per_capita!M161*Saldo_relativo_per_capita!M$552/1000000</f>
        <v>-0.13209571051770755</v>
      </c>
      <c r="N161" s="336">
        <f>Saldo_relativo_per_capita!N161*Saldo_relativo_per_capita!N$552/1000000</f>
        <v>-8.7778351402665405E-2</v>
      </c>
      <c r="O161" s="336">
        <f>Saldo_relativo_per_capita!O161*Saldo_relativo_per_capita!O$552/1000000</f>
        <v>-1.927442018945557E-2</v>
      </c>
      <c r="P161" s="336">
        <f>Saldo_relativo_per_capita!P161*Saldo_relativo_per_capita!P$552/1000000</f>
        <v>-4.8181387085573499E-2</v>
      </c>
      <c r="Q161" s="336">
        <f>Saldo_relativo_per_capita!Q161*Saldo_relativo_per_capita!Q$552/1000000</f>
        <v>-0.11332284408783901</v>
      </c>
      <c r="R161" s="336">
        <f>Saldo_relativo_per_capita!R161*Saldo_relativo_per_capita!R$552/1000000</f>
        <v>-2.5792412635426573E-2</v>
      </c>
      <c r="S161" s="336">
        <f>Saldo_relativo_per_capita!S161*Saldo_relativo_per_capita!S$552/1000000</f>
        <v>-1.1263035952941871E-2</v>
      </c>
      <c r="T161" s="336">
        <f>Saldo_relativo_per_capita!T161*Saldo_relativo_per_capita!T$552/1000000</f>
        <v>0.78251283413695505</v>
      </c>
      <c r="U161" s="336">
        <f>Saldo_relativo_per_capita!U161*Saldo_relativo_per_capita!U$552/1000000</f>
        <v>-5.5912748274350851E-3</v>
      </c>
      <c r="V161" s="336">
        <f>Saldo_relativo_per_capita!V161*Saldo_relativo_per_capita!V$552/1000000</f>
        <v>-2.9828014608334901E-3</v>
      </c>
      <c r="W161" s="219"/>
    </row>
    <row r="162" spans="1:23" s="115" customFormat="1">
      <c r="A162" s="351" t="str">
        <f>IF(B162="","",(IF(ISERROR(MATCH(B162,Tot_res!C:C,0)),"Eliminar!!!","")))</f>
        <v/>
      </c>
      <c r="B162" s="115" t="s">
        <v>1207</v>
      </c>
      <c r="C162" s="329" t="str">
        <f>VLOOKUP(B162,Tot_res!C:D,2,FALSE)</f>
        <v>Impuesto sobre depósitos de entidades de crédito. Régimen foral</v>
      </c>
      <c r="D162" s="336">
        <f>Saldo_relativo_per_capita!D162*Saldo_relativo_per_capita!D$552/1000000</f>
        <v>0</v>
      </c>
      <c r="E162" s="336">
        <f>Saldo_relativo_per_capita!E162*Saldo_relativo_per_capita!E$552/1000000</f>
        <v>-2.2125186509022474</v>
      </c>
      <c r="F162" s="336">
        <f>Saldo_relativo_per_capita!F162*Saldo_relativo_per_capita!F$552/1000000</f>
        <v>-0.34807921951629411</v>
      </c>
      <c r="G162" s="336">
        <f>Saldo_relativo_per_capita!G162*Saldo_relativo_per_capita!G$552/1000000</f>
        <v>-0.27825259744496011</v>
      </c>
      <c r="H162" s="336">
        <f>Saldo_relativo_per_capita!H162*Saldo_relativo_per_capita!H$552/1000000</f>
        <v>-0.29075443185979727</v>
      </c>
      <c r="I162" s="336">
        <f>Saldo_relativo_per_capita!I162*Saldo_relativo_per_capita!I$552/1000000</f>
        <v>-0.55375965320167819</v>
      </c>
      <c r="J162" s="336">
        <f>Saldo_relativo_per_capita!J162*Saldo_relativo_per_capita!J$552/1000000</f>
        <v>-0.15457877728512256</v>
      </c>
      <c r="K162" s="336">
        <f>Saldo_relativo_per_capita!K162*Saldo_relativo_per_capita!K$552/1000000</f>
        <v>-0.65406838552981705</v>
      </c>
      <c r="L162" s="336">
        <f>Saldo_relativo_per_capita!L162*Saldo_relativo_per_capita!L$552/1000000</f>
        <v>-0.54489461790450511</v>
      </c>
      <c r="M162" s="336">
        <f>Saldo_relativo_per_capita!M162*Saldo_relativo_per_capita!M$552/1000000</f>
        <v>-1.9788613199236116</v>
      </c>
      <c r="N162" s="336">
        <f>Saldo_relativo_per_capita!N162*Saldo_relativo_per_capita!N$552/1000000</f>
        <v>-1.3149646088932787</v>
      </c>
      <c r="O162" s="336">
        <f>Saldo_relativo_per_capita!O162*Saldo_relativo_per_capita!O$552/1000000</f>
        <v>-0.28874067467736186</v>
      </c>
      <c r="P162" s="336">
        <f>Saldo_relativo_per_capita!P162*Saldo_relativo_per_capita!P$552/1000000</f>
        <v>-0.72178182675452929</v>
      </c>
      <c r="Q162" s="336">
        <f>Saldo_relativo_per_capita!Q162*Saldo_relativo_per_capita!Q$552/1000000</f>
        <v>-1.6976341771453496</v>
      </c>
      <c r="R162" s="336">
        <f>Saldo_relativo_per_capita!R162*Saldo_relativo_per_capita!R$552/1000000</f>
        <v>-0.38638353593558028</v>
      </c>
      <c r="S162" s="336">
        <f>Saldo_relativo_per_capita!S162*Saldo_relativo_per_capita!S$552/1000000</f>
        <v>-0.16872604042050193</v>
      </c>
      <c r="T162" s="336">
        <f>Saldo_relativo_per_capita!T162*Saldo_relativo_per_capita!T$552/1000000</f>
        <v>11.72244256644386</v>
      </c>
      <c r="U162" s="336">
        <f>Saldo_relativo_per_capita!U162*Saldo_relativo_per_capita!U$552/1000000</f>
        <v>-8.3760157250455686E-2</v>
      </c>
      <c r="V162" s="336">
        <f>Saldo_relativo_per_capita!V162*Saldo_relativo_per_capita!V$552/1000000</f>
        <v>-4.4683891798771129E-2</v>
      </c>
      <c r="W162" s="148"/>
    </row>
    <row r="163" spans="1:23">
      <c r="A163" s="352"/>
      <c r="C163" s="43"/>
      <c r="D163" s="39"/>
      <c r="E163" s="39"/>
      <c r="F163" s="39"/>
      <c r="G163" s="39"/>
      <c r="H163" s="39"/>
      <c r="I163" s="39"/>
      <c r="J163" s="39"/>
      <c r="K163" s="39"/>
      <c r="L163" s="39"/>
      <c r="M163" s="39"/>
      <c r="N163" s="39"/>
      <c r="O163" s="39"/>
      <c r="P163" s="39"/>
      <c r="Q163" s="39"/>
      <c r="R163" s="39"/>
      <c r="S163" s="39"/>
      <c r="T163" s="39"/>
      <c r="U163" s="39"/>
      <c r="V163" s="39"/>
      <c r="W163" s="35"/>
    </row>
    <row r="164" spans="1:23" s="115" customFormat="1" ht="13.5">
      <c r="A164" s="352"/>
      <c r="B164" s="137"/>
      <c r="C164" s="117" t="s">
        <v>5</v>
      </c>
      <c r="D164" s="218">
        <f>Saldo_relativo_per_capita!D164*Saldo_relativo_per_capita!D$552/1000000</f>
        <v>0</v>
      </c>
      <c r="E164" s="218">
        <f>Saldo_relativo_per_capita!E164*Saldo_relativo_per_capita!E$552/1000000</f>
        <v>268.06231233552313</v>
      </c>
      <c r="F164" s="218">
        <f>Saldo_relativo_per_capita!F164*Saldo_relativo_per_capita!F$552/1000000</f>
        <v>42.172263913541315</v>
      </c>
      <c r="G164" s="218">
        <f>Saldo_relativo_per_capita!G164*Saldo_relativo_per_capita!G$552/1000000</f>
        <v>33.712273862208875</v>
      </c>
      <c r="H164" s="218">
        <f>Saldo_relativo_per_capita!H164*Saldo_relativo_per_capita!H$552/1000000</f>
        <v>35.226959688839287</v>
      </c>
      <c r="I164" s="218">
        <f>Saldo_relativo_per_capita!I164*Saldo_relativo_per_capita!I$552/1000000</f>
        <v>67.091905894138222</v>
      </c>
      <c r="J164" s="218">
        <f>Saldo_relativo_per_capita!J164*Saldo_relativo_per_capita!J$552/1000000</f>
        <v>18.728314204334605</v>
      </c>
      <c r="K164" s="218">
        <f>Saldo_relativo_per_capita!K164*Saldo_relativo_per_capita!K$552/1000000</f>
        <v>79.245019597546246</v>
      </c>
      <c r="L164" s="218">
        <f>Saldo_relativo_per_capita!L164*Saldo_relativo_per_capita!L$552/1000000</f>
        <v>66.017844050760232</v>
      </c>
      <c r="M164" s="218">
        <f>Saldo_relativo_per_capita!M164*Saldo_relativo_per_capita!M$552/1000000</f>
        <v>239.75307100517873</v>
      </c>
      <c r="N164" s="218">
        <f>Saldo_relativo_per_capita!N164*Saldo_relativo_per_capita!N$552/1000000</f>
        <v>159.31728013030107</v>
      </c>
      <c r="O164" s="218">
        <f>Saldo_relativo_per_capita!O164*Saldo_relativo_per_capita!O$552/1000000</f>
        <v>34.982978736820748</v>
      </c>
      <c r="P164" s="218">
        <f>Saldo_relativo_per_capita!P164*Saldo_relativo_per_capita!P$552/1000000</f>
        <v>87.448982815433652</v>
      </c>
      <c r="Q164" s="218">
        <f>Saldo_relativo_per_capita!Q164*Saldo_relativo_per_capita!Q$552/1000000</f>
        <v>205.68040989838477</v>
      </c>
      <c r="R164" s="218">
        <f>Saldo_relativo_per_capita!R164*Saldo_relativo_per_capita!R$552/1000000</f>
        <v>46.813103269900274</v>
      </c>
      <c r="S164" s="218">
        <f>Saldo_relativo_per_capita!S164*Saldo_relativo_per_capita!S$552/1000000</f>
        <v>-517.34564462012895</v>
      </c>
      <c r="T164" s="218">
        <f>Saldo_relativo_per_capita!T164*Saldo_relativo_per_capita!T$552/1000000</f>
        <v>-882.46898147217121</v>
      </c>
      <c r="U164" s="218">
        <f>Saldo_relativo_per_capita!U164*Saldo_relativo_per_capita!U$552/1000000</f>
        <v>10.148136570504413</v>
      </c>
      <c r="V164" s="218">
        <f>Saldo_relativo_per_capita!V164*Saldo_relativo_per_capita!V$552/1000000</f>
        <v>5.4137701188843526</v>
      </c>
      <c r="W164" s="148"/>
    </row>
    <row r="165" spans="1:23" s="115" customFormat="1">
      <c r="A165" s="351" t="str">
        <f>IF(B165="","",(IF(ISERROR(MATCH(B165,Tot_res!C:C,0)),"Eliminar!!!","")))</f>
        <v/>
      </c>
      <c r="B165" s="115" t="s">
        <v>984</v>
      </c>
      <c r="C165" s="329" t="str">
        <f>VLOOKUP(B165,Tot_res!C:D,2,FALSE)</f>
        <v xml:space="preserve"> Cupo y aportación, antes descuento por Y vasca</v>
      </c>
      <c r="D165" s="336">
        <f>Saldo_relativo_per_capita!D165*Saldo_relativo_per_capita!D$552/1000000</f>
        <v>0</v>
      </c>
      <c r="E165" s="336">
        <f>Saldo_relativo_per_capita!E165*Saldo_relativo_per_capita!E$552/1000000</f>
        <v>281.60189388639054</v>
      </c>
      <c r="F165" s="336">
        <f>Saldo_relativo_per_capita!F165*Saldo_relativo_per_capita!F$552/1000000</f>
        <v>44.3023462868046</v>
      </c>
      <c r="G165" s="336">
        <f>Saldo_relativo_per_capita!G165*Saldo_relativo_per_capita!G$552/1000000</f>
        <v>35.415049896802032</v>
      </c>
      <c r="H165" s="336">
        <f>Saldo_relativo_per_capita!H165*Saldo_relativo_per_capita!H$552/1000000</f>
        <v>37.006241115387482</v>
      </c>
      <c r="I165" s="336">
        <f>Saldo_relativo_per_capita!I165*Saldo_relativo_per_capita!I$552/1000000</f>
        <v>70.480656529549449</v>
      </c>
      <c r="J165" s="336">
        <f>Saldo_relativo_per_capita!J165*Saldo_relativo_per_capita!J$552/1000000</f>
        <v>19.674264178691569</v>
      </c>
      <c r="K165" s="336">
        <f>Saldo_relativo_per_capita!K165*Saldo_relativo_per_capita!K$552/1000000</f>
        <v>83.24761286025786</v>
      </c>
      <c r="L165" s="336">
        <f>Saldo_relativo_per_capita!L165*Saldo_relativo_per_capita!L$552/1000000</f>
        <v>69.352344807505602</v>
      </c>
      <c r="M165" s="336">
        <f>Saldo_relativo_per_capita!M165*Saldo_relativo_per_capita!M$552/1000000</f>
        <v>251.86277873941043</v>
      </c>
      <c r="N165" s="336">
        <f>Saldo_relativo_per_capita!N165*Saldo_relativo_per_capita!N$552/1000000</f>
        <v>167.36424983668283</v>
      </c>
      <c r="O165" s="336">
        <f>Saldo_relativo_per_capita!O165*Saldo_relativo_per_capita!O$552/1000000</f>
        <v>36.749936909242194</v>
      </c>
      <c r="P165" s="336">
        <f>Saldo_relativo_per_capita!P165*Saldo_relativo_per_capita!P$552/1000000</f>
        <v>91.865950736265319</v>
      </c>
      <c r="Q165" s="336">
        <f>Saldo_relativo_per_capita!Q165*Saldo_relativo_per_capita!Q$552/1000000</f>
        <v>216.06913876881754</v>
      </c>
      <c r="R165" s="336">
        <f>Saldo_relativo_per_capita!R165*Saldo_relativo_per_capita!R$552/1000000</f>
        <v>49.177590182848533</v>
      </c>
      <c r="S165" s="336">
        <f>Saldo_relativo_per_capita!S165*Saldo_relativo_per_capita!S$552/1000000</f>
        <v>-516.3131199979764</v>
      </c>
      <c r="T165" s="336">
        <f>Saldo_relativo_per_capita!T165*Saldo_relativo_per_capita!T$552/1000000</f>
        <v>-954.20485906081967</v>
      </c>
      <c r="U165" s="336">
        <f>Saldo_relativo_per_capita!U165*Saldo_relativo_per_capita!U$552/1000000</f>
        <v>10.660709641625669</v>
      </c>
      <c r="V165" s="336">
        <f>Saldo_relativo_per_capita!V165*Saldo_relativo_per_capita!V$552/1000000</f>
        <v>5.6872146825145311</v>
      </c>
      <c r="W165" s="148"/>
    </row>
    <row r="166" spans="1:23" s="115" customFormat="1" ht="13.5">
      <c r="A166" s="351" t="str">
        <f>IF(B166="","",(IF(ISERROR(MATCH(B166,Tot_res!C:C,0)),"Eliminar!!!","")))</f>
        <v/>
      </c>
      <c r="B166" s="115" t="s">
        <v>962</v>
      </c>
      <c r="C166" s="329" t="str">
        <f>VLOOKUP(B166,Tot_res!C:D,2,FALSE)</f>
        <v>Otras transferencias a CCAA: Compensaciones financieras al País Vasco por IE sobre las labores de tabaco</v>
      </c>
      <c r="D166" s="336">
        <f>Saldo_relativo_per_capita!D166*Saldo_relativo_per_capita!D$552/1000000</f>
        <v>0</v>
      </c>
      <c r="E166" s="336">
        <f>Saldo_relativo_per_capita!E166*Saldo_relativo_per_capita!E$552/1000000</f>
        <v>-24.494382206336365</v>
      </c>
      <c r="F166" s="336">
        <f>Saldo_relativo_per_capita!F166*Saldo_relativo_per_capita!F$552/1000000</f>
        <v>-3.8535202573042882</v>
      </c>
      <c r="G166" s="336">
        <f>Saldo_relativo_per_capita!G166*Saldo_relativo_per_capita!G$552/1000000</f>
        <v>-3.0804827199731619</v>
      </c>
      <c r="H166" s="336">
        <f>Saldo_relativo_per_capita!H166*Saldo_relativo_per_capita!H$552/1000000</f>
        <v>-3.2188882020297651</v>
      </c>
      <c r="I166" s="336">
        <f>Saldo_relativo_per_capita!I166*Saldo_relativo_per_capita!I$552/1000000</f>
        <v>-6.1305700588959517</v>
      </c>
      <c r="J166" s="336">
        <f>Saldo_relativo_per_capita!J166*Saldo_relativo_per_capita!J$552/1000000</f>
        <v>-1.7113128742512118</v>
      </c>
      <c r="K166" s="336">
        <f>Saldo_relativo_per_capita!K166*Saldo_relativo_per_capita!K$552/1000000</f>
        <v>-7.2410693657725629</v>
      </c>
      <c r="L166" s="336">
        <f>Saldo_relativo_per_capita!L166*Saldo_relativo_per_capita!L$552/1000000</f>
        <v>-6.0324269030165327</v>
      </c>
      <c r="M166" s="336">
        <f>Saldo_relativo_per_capita!M166*Saldo_relativo_per_capita!M$552/1000000</f>
        <v>-21.90760538166678</v>
      </c>
      <c r="N166" s="336">
        <f>Saldo_relativo_per_capita!N166*Saldo_relativo_per_capita!N$552/1000000</f>
        <v>-14.557728453454125</v>
      </c>
      <c r="O166" s="336">
        <f>Saldo_relativo_per_capita!O166*Saldo_relativo_per_capita!O$552/1000000</f>
        <v>-3.1965942710487929</v>
      </c>
      <c r="P166" s="336">
        <f>Saldo_relativo_per_capita!P166*Saldo_relativo_per_capita!P$552/1000000</f>
        <v>-7.9907122712405148</v>
      </c>
      <c r="Q166" s="336">
        <f>Saldo_relativo_per_capita!Q166*Saldo_relativo_per_capita!Q$552/1000000</f>
        <v>-18.794192023909275</v>
      </c>
      <c r="R166" s="336">
        <f>Saldo_relativo_per_capita!R166*Saldo_relativo_per_capita!R$552/1000000</f>
        <v>-4.2775802154627574</v>
      </c>
      <c r="S166" s="336">
        <f>Saldo_relativo_per_capita!S166*Saldo_relativo_per_capita!S$552/1000000</f>
        <v>-1.8679345914377685</v>
      </c>
      <c r="T166" s="336">
        <f>Saldo_relativo_per_capita!T166*Saldo_relativo_per_capita!T$552/1000000</f>
        <v>129.77697995775608</v>
      </c>
      <c r="U166" s="336">
        <f>Saldo_relativo_per_capita!U166*Saldo_relativo_per_capita!U$552/1000000</f>
        <v>-0.92729311209143905</v>
      </c>
      <c r="V166" s="336">
        <f>Saldo_relativo_per_capita!V166*Saldo_relativo_per_capita!V$552/1000000</f>
        <v>-0.4946870498647995</v>
      </c>
      <c r="W166" s="219"/>
    </row>
    <row r="167" spans="1:23" s="115" customFormat="1">
      <c r="A167" s="351" t="str">
        <f>IF(B167="","",(IF(ISERROR(MATCH(B167,Tot_res!C:C,0)),"Eliminar!!!","")))</f>
        <v/>
      </c>
      <c r="B167" s="115" t="s">
        <v>218</v>
      </c>
      <c r="C167" s="329" t="str">
        <f>VLOOKUP(B167,Tot_res!C:D,2,FALSE)</f>
        <v>compensaciones financieras IE bebidas alcohólicas e hidrocarburos</v>
      </c>
      <c r="D167" s="336">
        <f>Saldo_relativo_per_capita!D167*Saldo_relativo_per_capita!D$552/1000000</f>
        <v>0</v>
      </c>
      <c r="E167" s="336">
        <f>Saldo_relativo_per_capita!E167*Saldo_relativo_per_capita!E$552/1000000</f>
        <v>10.954800655468988</v>
      </c>
      <c r="F167" s="336">
        <f>Saldo_relativo_per_capita!F167*Saldo_relativo_per_capita!F$552/1000000</f>
        <v>1.723437884041007</v>
      </c>
      <c r="G167" s="336">
        <f>Saldo_relativo_per_capita!G167*Saldo_relativo_per_capita!G$552/1000000</f>
        <v>1.3777066853800146</v>
      </c>
      <c r="H167" s="336">
        <f>Saldo_relativo_per_capita!H167*Saldo_relativo_per_capita!H$552/1000000</f>
        <v>1.4396067754815709</v>
      </c>
      <c r="I167" s="336">
        <f>Saldo_relativo_per_capita!I167*Saldo_relativo_per_capita!I$552/1000000</f>
        <v>2.7418194234847353</v>
      </c>
      <c r="J167" s="336">
        <f>Saldo_relativo_per_capita!J167*Saldo_relativo_per_capita!J$552/1000000</f>
        <v>0.76536289989424888</v>
      </c>
      <c r="K167" s="336">
        <f>Saldo_relativo_per_capita!K167*Saldo_relativo_per_capita!K$552/1000000</f>
        <v>3.2384761030609504</v>
      </c>
      <c r="L167" s="336">
        <f>Saldo_relativo_per_capita!L167*Saldo_relativo_per_capita!L$552/1000000</f>
        <v>2.6979261462711732</v>
      </c>
      <c r="M167" s="336">
        <f>Saldo_relativo_per_capita!M167*Saldo_relativo_per_capita!M$552/1000000</f>
        <v>9.7978976474350965</v>
      </c>
      <c r="N167" s="336">
        <f>Saldo_relativo_per_capita!N167*Saldo_relativo_per_capita!N$552/1000000</f>
        <v>6.5107587470723907</v>
      </c>
      <c r="O167" s="336">
        <f>Saldo_relativo_per_capita!O167*Saldo_relativo_per_capita!O$552/1000000</f>
        <v>1.4296360986273429</v>
      </c>
      <c r="P167" s="336">
        <f>Saldo_relativo_per_capita!P167*Saldo_relativo_per_capita!P$552/1000000</f>
        <v>3.5737443504088513</v>
      </c>
      <c r="Q167" s="336">
        <f>Saldo_relativo_per_capita!Q167*Saldo_relativo_per_capita!Q$552/1000000</f>
        <v>8.405463153476525</v>
      </c>
      <c r="R167" s="336">
        <f>Saldo_relativo_per_capita!R167*Saldo_relativo_per_capita!R$552/1000000</f>
        <v>1.913093302514506</v>
      </c>
      <c r="S167" s="336">
        <f>Saldo_relativo_per_capita!S167*Saldo_relativo_per_capita!S$552/1000000</f>
        <v>0.83540996928521027</v>
      </c>
      <c r="T167" s="336">
        <f>Saldo_relativo_per_capita!T167*Saldo_relativo_per_capita!T$552/1000000</f>
        <v>-58.041102369107421</v>
      </c>
      <c r="U167" s="336">
        <f>Saldo_relativo_per_capita!U167*Saldo_relativo_per_capita!U$552/1000000</f>
        <v>0.4147200409701845</v>
      </c>
      <c r="V167" s="336">
        <f>Saldo_relativo_per_capita!V167*Saldo_relativo_per_capita!V$552/1000000</f>
        <v>0.22124248623462126</v>
      </c>
      <c r="W167" s="148"/>
    </row>
    <row r="168" spans="1:23">
      <c r="A168" s="352"/>
      <c r="C168" s="43"/>
      <c r="D168" s="39"/>
      <c r="E168" s="39"/>
      <c r="F168" s="39"/>
      <c r="G168" s="39"/>
      <c r="H168" s="39"/>
      <c r="I168" s="39"/>
      <c r="J168" s="39"/>
      <c r="K168" s="39"/>
      <c r="L168" s="39"/>
      <c r="M168" s="39"/>
      <c r="N168" s="39"/>
      <c r="O168" s="39"/>
      <c r="P168" s="39"/>
      <c r="Q168" s="39"/>
      <c r="R168" s="39"/>
      <c r="S168" s="39"/>
      <c r="T168" s="39"/>
      <c r="U168" s="39"/>
      <c r="V168" s="39"/>
      <c r="W168" s="35"/>
    </row>
    <row r="169" spans="1:23" s="115" customFormat="1" ht="13.5">
      <c r="A169" s="352"/>
      <c r="B169" s="137"/>
      <c r="C169" s="117" t="s">
        <v>52</v>
      </c>
      <c r="D169" s="218">
        <f>Saldo_relativo_per_capita!D169*Saldo_relativo_per_capita!D$552/1000000</f>
        <v>0</v>
      </c>
      <c r="E169" s="218">
        <f>Saldo_relativo_per_capita!E169*Saldo_relativo_per_capita!E$552/1000000</f>
        <v>447.90769043293744</v>
      </c>
      <c r="F169" s="218">
        <f>Saldo_relativo_per_capita!F169*Saldo_relativo_per_capita!F$552/1000000</f>
        <v>70.466009060608357</v>
      </c>
      <c r="G169" s="218">
        <f>Saldo_relativo_per_capita!G169*Saldo_relativo_per_capita!G$552/1000000</f>
        <v>56.330136800299613</v>
      </c>
      <c r="H169" s="218">
        <f>Saldo_relativo_per_capita!H169*Saldo_relativo_per_capita!H$552/1000000</f>
        <v>58.861038755246412</v>
      </c>
      <c r="I169" s="218">
        <f>Saldo_relativo_per_capita!I169*Saldo_relativo_per_capita!I$552/1000000</f>
        <v>112.10445942200855</v>
      </c>
      <c r="J169" s="218">
        <f>Saldo_relativo_per_capita!J169*Saldo_relativo_per_capita!J$552/1000000</f>
        <v>31.293305977552944</v>
      </c>
      <c r="K169" s="218">
        <f>Saldo_relativo_per_capita!K169*Saldo_relativo_per_capita!K$552/1000000</f>
        <v>132.41120468222621</v>
      </c>
      <c r="L169" s="218">
        <f>Saldo_relativo_per_capita!L169*Saldo_relativo_per_capita!L$552/1000000</f>
        <v>110.30979998085806</v>
      </c>
      <c r="M169" s="218">
        <f>Saldo_relativo_per_capita!M169*Saldo_relativo_per_capita!M$552/1000000</f>
        <v>400.60552851503138</v>
      </c>
      <c r="N169" s="218">
        <f>Saldo_relativo_per_capita!N169*Saldo_relativo_per_capita!N$552/1000000</f>
        <v>266.20465356540922</v>
      </c>
      <c r="O169" s="218">
        <f>Saldo_relativo_per_capita!O169*Saldo_relativo_per_capita!O$552/1000000</f>
        <v>58.453368822923096</v>
      </c>
      <c r="P169" s="218">
        <f>Saldo_relativo_per_capita!P169*Saldo_relativo_per_capita!P$552/1000000</f>
        <v>146.11927944031208</v>
      </c>
      <c r="Q169" s="218">
        <f>Saldo_relativo_per_capita!Q169*Saldo_relativo_per_capita!Q$552/1000000</f>
        <v>343.67321747778965</v>
      </c>
      <c r="R169" s="218">
        <f>Saldo_relativo_per_capita!R169*Saldo_relativo_per_capita!R$552/1000000</f>
        <v>78.220428619502698</v>
      </c>
      <c r="S169" s="218">
        <f>Saldo_relativo_per_capita!S169*Saldo_relativo_per_capita!S$552/1000000</f>
        <v>-436.72399033319374</v>
      </c>
      <c r="T169" s="218">
        <f>Saldo_relativo_per_capita!T169*Saldo_relativo_per_capita!T$552/1000000</f>
        <v>-1902.2386588529102</v>
      </c>
      <c r="U169" s="218">
        <f>Saldo_relativo_per_capita!U169*Saldo_relativo_per_capita!U$552/1000000</f>
        <v>16.956611221809226</v>
      </c>
      <c r="V169" s="218">
        <f>Saldo_relativo_per_capita!V169*Saldo_relativo_per_capita!V$552/1000000</f>
        <v>9.0459164115887543</v>
      </c>
      <c r="W169" s="148"/>
    </row>
    <row r="170" spans="1:23" s="115" customFormat="1">
      <c r="A170" s="352"/>
      <c r="B170" s="115" t="s">
        <v>1097</v>
      </c>
      <c r="C170" s="331" t="str">
        <f>VLOOKUP(B170,Tot_res!C:D,2,FALSE)</f>
        <v>gestión tributaria (prog. 932A)</v>
      </c>
      <c r="D170" s="337">
        <f>Saldo_relativo_per_capita!D170*Saldo_relativo_per_capita!D$552/1000000</f>
        <v>0</v>
      </c>
      <c r="E170" s="337">
        <f>Saldo_relativo_per_capita!E170*Saldo_relativo_per_capita!E$552/1000000</f>
        <v>14.440104777255071</v>
      </c>
      <c r="F170" s="337">
        <f>Saldo_relativo_per_capita!F170*Saldo_relativo_per_capita!F$552/1000000</f>
        <v>2.2717550419521979</v>
      </c>
      <c r="G170" s="337">
        <f>Saldo_relativo_per_capita!G170*Saldo_relativo_per_capita!G$552/1000000</f>
        <v>1.8160283801495158</v>
      </c>
      <c r="H170" s="337">
        <f>Saldo_relativo_per_capita!H170*Saldo_relativo_per_capita!H$552/1000000</f>
        <v>1.8976221776908491</v>
      </c>
      <c r="I170" s="337">
        <f>Saldo_relativo_per_capita!I170*Saldo_relativo_per_capita!I$552/1000000</f>
        <v>3.6141378561431874</v>
      </c>
      <c r="J170" s="337">
        <f>Saldo_relativo_per_capita!J170*Saldo_relativo_per_capita!J$552/1000000</f>
        <v>1.0088655024114259</v>
      </c>
      <c r="K170" s="337">
        <f>Saldo_relativo_per_capita!K170*Saldo_relativo_per_capita!K$552/1000000</f>
        <v>4.2688074130760896</v>
      </c>
      <c r="L170" s="337">
        <f>Saldo_relativo_per_capita!L170*Saldo_relativo_per_capita!L$552/1000000</f>
        <v>3.5562797953792513</v>
      </c>
      <c r="M170" s="337">
        <f>Saldo_relativo_per_capita!M170*Saldo_relativo_per_capita!M$552/1000000</f>
        <v>12.915129455610048</v>
      </c>
      <c r="N170" s="337">
        <f>Saldo_relativo_per_capita!N170*Saldo_relativo_per_capita!N$552/1000000</f>
        <v>8.5821770239351132</v>
      </c>
      <c r="O170" s="337">
        <f>Saldo_relativo_per_capita!O170*Saldo_relativo_per_capita!O$552/1000000</f>
        <v>1.8844792987829317</v>
      </c>
      <c r="P170" s="337">
        <f>Saldo_relativo_per_capita!P170*Saldo_relativo_per_capita!P$552/1000000</f>
        <v>4.7107423028518713</v>
      </c>
      <c r="Q170" s="337">
        <f>Saldo_relativo_per_capita!Q170*Saldo_relativo_per_capita!Q$552/1000000</f>
        <v>11.079687568478317</v>
      </c>
      <c r="R170" s="337">
        <f>Saldo_relativo_per_capita!R170*Saldo_relativo_per_capita!R$552/1000000</f>
        <v>2.5217499255162603</v>
      </c>
      <c r="S170" s="337">
        <f>Saldo_relativo_per_capita!S170*Saldo_relativo_per_capita!S$552/1000000</f>
        <v>-17.071266237548123</v>
      </c>
      <c r="T170" s="337">
        <f>Saldo_relativo_per_capita!T170*Saldo_relativo_per_capita!T$552/1000000</f>
        <v>-58.334596277755885</v>
      </c>
      <c r="U170" s="337">
        <f>Saldo_relativo_per_capita!U170*Saldo_relativo_per_capita!U$552/1000000</f>
        <v>0.54666452025736112</v>
      </c>
      <c r="V170" s="337">
        <f>Saldo_relativo_per_capita!V170*Saldo_relativo_per_capita!V$552/1000000</f>
        <v>0.29163147581452475</v>
      </c>
      <c r="W170" s="148"/>
    </row>
    <row r="171" spans="1:23" s="115" customFormat="1">
      <c r="A171" s="352"/>
      <c r="B171" s="115" t="s">
        <v>1098</v>
      </c>
      <c r="C171" s="331" t="str">
        <f>VLOOKUP(B171,Tot_res!C:D,2,FALSE)</f>
        <v>Gestión del catastro inmobiliario (programa 932M)</v>
      </c>
      <c r="D171" s="337">
        <f>Saldo_relativo_per_capita!D171*Saldo_relativo_per_capita!D$552/1000000</f>
        <v>0</v>
      </c>
      <c r="E171" s="337">
        <f>Saldo_relativo_per_capita!E171*Saldo_relativo_per_capita!E$552/1000000</f>
        <v>1.4355461065990534</v>
      </c>
      <c r="F171" s="337">
        <f>Saldo_relativo_per_capita!F171*Saldo_relativo_per_capita!F$552/1000000</f>
        <v>0.22584386719672903</v>
      </c>
      <c r="G171" s="337">
        <f>Saldo_relativo_per_capita!G171*Saldo_relativo_per_capita!G$552/1000000</f>
        <v>0.18053833478433998</v>
      </c>
      <c r="H171" s="337">
        <f>Saldo_relativo_per_capita!H171*Saldo_relativo_per_capita!H$552/1000000</f>
        <v>0.18864988661792423</v>
      </c>
      <c r="I171" s="337">
        <f>Saldo_relativo_per_capita!I171*Saldo_relativo_per_capita!I$552/1000000</f>
        <v>0.35929528269564548</v>
      </c>
      <c r="J171" s="337">
        <f>Saldo_relativo_per_capita!J171*Saldo_relativo_per_capita!J$552/1000000</f>
        <v>0.10029518250795709</v>
      </c>
      <c r="K171" s="337">
        <f>Saldo_relativo_per_capita!K171*Saldo_relativo_per_capita!K$552/1000000</f>
        <v>0.42437849005881284</v>
      </c>
      <c r="L171" s="337">
        <f>Saldo_relativo_per_capita!L171*Saldo_relativo_per_capita!L$552/1000000</f>
        <v>0.35354339133846735</v>
      </c>
      <c r="M171" s="337">
        <f>Saldo_relativo_per_capita!M171*Saldo_relativo_per_capita!M$552/1000000</f>
        <v>1.2839424707933513</v>
      </c>
      <c r="N171" s="337">
        <f>Saldo_relativo_per_capita!N171*Saldo_relativo_per_capita!N$552/1000000</f>
        <v>0.85318707882643496</v>
      </c>
      <c r="O171" s="337">
        <f>Saldo_relativo_per_capita!O171*Saldo_relativo_per_capita!O$552/1000000</f>
        <v>0.18734330270203173</v>
      </c>
      <c r="P171" s="337">
        <f>Saldo_relativo_per_capita!P171*Saldo_relativo_per_capita!P$552/1000000</f>
        <v>0.46831292960576065</v>
      </c>
      <c r="Q171" s="337">
        <f>Saldo_relativo_per_capita!Q171*Saldo_relativo_per_capita!Q$552/1000000</f>
        <v>1.1014741649462219</v>
      </c>
      <c r="R171" s="337">
        <f>Saldo_relativo_per_capita!R171*Saldo_relativo_per_capita!R$552/1000000</f>
        <v>0.2506968157941209</v>
      </c>
      <c r="S171" s="337">
        <f>Saldo_relativo_per_capita!S171*Saldo_relativo_per_capita!S$552/1000000</f>
        <v>-1.6971199419985477</v>
      </c>
      <c r="T171" s="337">
        <f>Saldo_relativo_per_capita!T171*Saldo_relativo_per_capita!T$552/1000000</f>
        <v>-5.7992655772459472</v>
      </c>
      <c r="U171" s="337">
        <f>Saldo_relativo_per_capita!U171*Saldo_relativo_per_capita!U$552/1000000</f>
        <v>5.4346013119474755E-2</v>
      </c>
      <c r="V171" s="337">
        <f>Saldo_relativo_per_capita!V171*Saldo_relativo_per_capita!V$552/1000000</f>
        <v>2.899220165816958E-2</v>
      </c>
      <c r="W171" s="148"/>
    </row>
    <row r="172" spans="1:23" s="115" customFormat="1">
      <c r="A172" s="352"/>
      <c r="B172" s="115" t="s">
        <v>1099</v>
      </c>
      <c r="C172" s="331" t="str">
        <f>VLOOKUP(B172,Tot_res!C:D,2,FALSE)</f>
        <v>Pensiones no contributivas y otras prestaciones económicas (sección 3.1)</v>
      </c>
      <c r="D172" s="337">
        <f>Saldo_relativo_per_capita!D172*Saldo_relativo_per_capita!D$552/1000000</f>
        <v>0</v>
      </c>
      <c r="E172" s="337">
        <f>Saldo_relativo_per_capita!E172*Saldo_relativo_per_capita!E$552/1000000</f>
        <v>29.387236333078089</v>
      </c>
      <c r="F172" s="337">
        <f>Saldo_relativo_per_capita!F172*Saldo_relativo_per_capita!F$552/1000000</f>
        <v>4.6232768624966676</v>
      </c>
      <c r="G172" s="337">
        <f>Saldo_relativo_per_capita!G172*Saldo_relativo_per_capita!G$552/1000000</f>
        <v>3.6958218806758247</v>
      </c>
      <c r="H172" s="337">
        <f>Saldo_relativo_per_capita!H172*Saldo_relativo_per_capita!H$552/1000000</f>
        <v>3.8618744300615711</v>
      </c>
      <c r="I172" s="337">
        <f>Saldo_relativo_per_capita!I172*Saldo_relativo_per_capita!I$552/1000000</f>
        <v>7.3551767772555907</v>
      </c>
      <c r="J172" s="337">
        <f>Saldo_relativo_per_capita!J172*Saldo_relativo_per_capita!J$552/1000000</f>
        <v>2.0531546969349552</v>
      </c>
      <c r="K172" s="337">
        <f>Saldo_relativo_per_capita!K172*Saldo_relativo_per_capita!K$552/1000000</f>
        <v>8.6875029124483483</v>
      </c>
      <c r="L172" s="337">
        <f>Saldo_relativo_per_capita!L172*Saldo_relativo_per_capita!L$552/1000000</f>
        <v>7.2374291201803089</v>
      </c>
      <c r="M172" s="337">
        <f>Saldo_relativo_per_capita!M172*Saldo_relativo_per_capita!M$552/1000000</f>
        <v>26.283740141701216</v>
      </c>
      <c r="N172" s="337">
        <f>Saldo_relativo_per_capita!N172*Saldo_relativo_per_capita!N$552/1000000</f>
        <v>17.46569490631051</v>
      </c>
      <c r="O172" s="337">
        <f>Saldo_relativo_per_capita!O172*Saldo_relativo_per_capita!O$552/1000000</f>
        <v>3.8351271941846976</v>
      </c>
      <c r="P172" s="337">
        <f>Saldo_relativo_per_capita!P172*Saldo_relativo_per_capita!P$552/1000000</f>
        <v>9.5868900879576451</v>
      </c>
      <c r="Q172" s="337">
        <f>Saldo_relativo_per_capita!Q172*Saldo_relativo_per_capita!Q$552/1000000</f>
        <v>22.548409592179798</v>
      </c>
      <c r="R172" s="337">
        <f>Saldo_relativo_per_capita!R172*Saldo_relativo_per_capita!R$552/1000000</f>
        <v>5.1320445507290504</v>
      </c>
      <c r="S172" s="337">
        <f>Saldo_relativo_per_capita!S172*Saldo_relativo_per_capita!S$552/1000000</f>
        <v>-25.788905898776182</v>
      </c>
      <c r="T172" s="337">
        <f>Saldo_relativo_per_capita!T172*Saldo_relativo_per_capita!T$552/1000000</f>
        <v>-127.6705001664247</v>
      </c>
      <c r="U172" s="337">
        <f>Saldo_relativo_per_capita!U172*Saldo_relativo_per_capita!U$552/1000000</f>
        <v>1.1125237454658987</v>
      </c>
      <c r="V172" s="337">
        <f>Saldo_relativo_per_capita!V172*Saldo_relativo_per_capita!V$552/1000000</f>
        <v>0.59350283354072086</v>
      </c>
      <c r="W172" s="148"/>
    </row>
    <row r="173" spans="1:23" s="115" customFormat="1">
      <c r="A173" s="352"/>
      <c r="B173" s="115" t="s">
        <v>1100</v>
      </c>
      <c r="C173" s="331" t="str">
        <f>VLOOKUP(B173,Tot_res!C:D,2,FALSE)</f>
        <v>Financiación provincias</v>
      </c>
      <c r="D173" s="337">
        <f>Saldo_relativo_per_capita!D173*Saldo_relativo_per_capita!D$552/1000000</f>
        <v>0</v>
      </c>
      <c r="E173" s="337">
        <f>Saldo_relativo_per_capita!E173*Saldo_relativo_per_capita!E$552/1000000</f>
        <v>79.550708394996732</v>
      </c>
      <c r="F173" s="337">
        <f>Saldo_relativo_per_capita!F173*Saldo_relativo_per_capita!F$552/1000000</f>
        <v>12.5151254561434</v>
      </c>
      <c r="G173" s="337">
        <f>Saldo_relativo_per_capita!G173*Saldo_relativo_per_capita!G$552/1000000</f>
        <v>10.004521873959289</v>
      </c>
      <c r="H173" s="337">
        <f>Saldo_relativo_per_capita!H173*Saldo_relativo_per_capita!H$552/1000000</f>
        <v>10.45402307185052</v>
      </c>
      <c r="I173" s="337">
        <f>Saldo_relativo_per_capita!I173*Saldo_relativo_per_capita!I$552/1000000</f>
        <v>19.910328292508261</v>
      </c>
      <c r="J173" s="337">
        <f>Saldo_relativo_per_capita!J173*Saldo_relativo_per_capita!J$552/1000000</f>
        <v>5.5578520121624164</v>
      </c>
      <c r="K173" s="337">
        <f>Saldo_relativo_per_capita!K173*Saldo_relativo_per_capita!K$552/1000000</f>
        <v>23.51691064229027</v>
      </c>
      <c r="L173" s="337">
        <f>Saldo_relativo_per_capita!L173*Saldo_relativo_per_capita!L$552/1000000</f>
        <v>19.591587549893866</v>
      </c>
      <c r="M173" s="337">
        <f>Saldo_relativo_per_capita!M173*Saldo_relativo_per_capita!M$552/1000000</f>
        <v>71.149601270564219</v>
      </c>
      <c r="N173" s="337">
        <f>Saldo_relativo_per_capita!N173*Saldo_relativo_per_capita!N$552/1000000</f>
        <v>47.279314960419654</v>
      </c>
      <c r="O173" s="337">
        <f>Saldo_relativo_per_capita!O173*Saldo_relativo_per_capita!O$552/1000000</f>
        <v>10.381618796147386</v>
      </c>
      <c r="P173" s="337">
        <f>Saldo_relativo_per_capita!P173*Saldo_relativo_per_capita!P$552/1000000</f>
        <v>25.951535188886609</v>
      </c>
      <c r="Q173" s="337">
        <f>Saldo_relativo_per_capita!Q173*Saldo_relativo_per_capita!Q$552/1000000</f>
        <v>61.038130156506675</v>
      </c>
      <c r="R173" s="337">
        <f>Saldo_relativo_per_capita!R173*Saldo_relativo_per_capita!R$552/1000000</f>
        <v>13.89235023320809</v>
      </c>
      <c r="S173" s="337">
        <f>Saldo_relativo_per_capita!S173*Saldo_relativo_per_capita!S$552/1000000</f>
        <v>-94.037539719750669</v>
      </c>
      <c r="T173" s="337">
        <f>Saldo_relativo_per_capita!T173*Saldo_relativo_per_capita!T$552/1000000</f>
        <v>-321.3742507595453</v>
      </c>
      <c r="U173" s="337">
        <f>Saldo_relativo_per_capita!U173*Saldo_relativo_per_capita!U$552/1000000</f>
        <v>3.0115813224141088</v>
      </c>
      <c r="V173" s="337">
        <f>Saldo_relativo_per_capita!V173*Saldo_relativo_per_capita!V$552/1000000</f>
        <v>1.6066012573444641</v>
      </c>
      <c r="W173" s="148"/>
    </row>
    <row r="174" spans="1:23" s="115" customFormat="1">
      <c r="A174" s="352"/>
      <c r="B174" s="115" t="s">
        <v>1101</v>
      </c>
      <c r="C174" s="331" t="str">
        <f>VLOOKUP(B174,Tot_res!C:D,2,FALSE)</f>
        <v>Financiación municipios</v>
      </c>
      <c r="D174" s="337">
        <f>Saldo_relativo_per_capita!D174*Saldo_relativo_per_capita!D$552/1000000</f>
        <v>0</v>
      </c>
      <c r="E174" s="337">
        <f>Saldo_relativo_per_capita!E174*Saldo_relativo_per_capita!E$552/1000000</f>
        <v>126.60749114032831</v>
      </c>
      <c r="F174" s="337">
        <f>Saldo_relativo_per_capita!F174*Saldo_relativo_per_capita!F$552/1000000</f>
        <v>19.918221563045552</v>
      </c>
      <c r="G174" s="337">
        <f>Saldo_relativo_per_capita!G174*Saldo_relativo_per_capita!G$552/1000000</f>
        <v>15.922515840225833</v>
      </c>
      <c r="H174" s="337">
        <f>Saldo_relativo_per_capita!H174*Saldo_relativo_per_capita!H$552/1000000</f>
        <v>16.637911341759295</v>
      </c>
      <c r="I174" s="337">
        <f>Saldo_relativo_per_capita!I174*Saldo_relativo_per_capita!I$552/1000000</f>
        <v>31.687922882825148</v>
      </c>
      <c r="J174" s="337">
        <f>Saldo_relativo_per_capita!J174*Saldo_relativo_per_capita!J$552/1000000</f>
        <v>8.8454988470393729</v>
      </c>
      <c r="K174" s="337">
        <f>Saldo_relativo_per_capita!K174*Saldo_relativo_per_capita!K$552/1000000</f>
        <v>37.427913790632189</v>
      </c>
      <c r="L174" s="337">
        <f>Saldo_relativo_per_capita!L174*Saldo_relativo_per_capita!L$552/1000000</f>
        <v>31.180636818869104</v>
      </c>
      <c r="M174" s="337">
        <f>Saldo_relativo_per_capita!M174*Saldo_relativo_per_capita!M$552/1000000</f>
        <v>113.23686104431226</v>
      </c>
      <c r="N174" s="337">
        <f>Saldo_relativo_per_capita!N174*Saldo_relativo_per_capita!N$552/1000000</f>
        <v>75.246538600888201</v>
      </c>
      <c r="O174" s="337">
        <f>Saldo_relativo_per_capita!O174*Saldo_relativo_per_capita!O$552/1000000</f>
        <v>16.522677626314682</v>
      </c>
      <c r="P174" s="337">
        <f>Saldo_relativo_per_capita!P174*Saldo_relativo_per_capita!P$552/1000000</f>
        <v>41.302696453568331</v>
      </c>
      <c r="Q174" s="337">
        <f>Saldo_relativo_per_capita!Q174*Saldo_relativo_per_capita!Q$552/1000000</f>
        <v>97.144132075361412</v>
      </c>
      <c r="R174" s="337">
        <f>Saldo_relativo_per_capita!R174*Saldo_relativo_per_capita!R$552/1000000</f>
        <v>22.110118747601927</v>
      </c>
      <c r="S174" s="337">
        <f>Saldo_relativo_per_capita!S174*Saldo_relativo_per_capita!S$552/1000000</f>
        <v>-149.18920742422739</v>
      </c>
      <c r="T174" s="337">
        <f>Saldo_relativo_per_capita!T174*Saldo_relativo_per_capita!T$552/1000000</f>
        <v>-511.95191430591234</v>
      </c>
      <c r="U174" s="337">
        <f>Saldo_relativo_per_capita!U174*Saldo_relativo_per_capita!U$552/1000000</f>
        <v>4.7930277842743054</v>
      </c>
      <c r="V174" s="337">
        <f>Saldo_relativo_per_capita!V174*Saldo_relativo_per_capita!V$552/1000000</f>
        <v>2.5569571730937937</v>
      </c>
      <c r="W174" s="148"/>
    </row>
    <row r="175" spans="1:23" s="115" customFormat="1">
      <c r="A175" s="352"/>
      <c r="B175" s="115" t="s">
        <v>1102</v>
      </c>
      <c r="C175" s="331" t="str">
        <f>VLOOKUP(B175,Tot_res!C:D,2,FALSE)</f>
        <v xml:space="preserve">construcción de carreteras </v>
      </c>
      <c r="D175" s="337">
        <f>Saldo_relativo_per_capita!D175*Saldo_relativo_per_capita!D$552/1000000</f>
        <v>0</v>
      </c>
      <c r="E175" s="337">
        <f>Saldo_relativo_per_capita!E175*Saldo_relativo_per_capita!E$552/1000000</f>
        <v>21.7732595790247</v>
      </c>
      <c r="F175" s="337">
        <f>Saldo_relativo_per_capita!F175*Saldo_relativo_per_capita!F$552/1000000</f>
        <v>3.4254261303072</v>
      </c>
      <c r="G175" s="337">
        <f>Saldo_relativo_per_capita!G175*Saldo_relativo_per_capita!G$552/1000000</f>
        <v>2.7382666492941818</v>
      </c>
      <c r="H175" s="337">
        <f>Saldo_relativo_per_capita!H175*Saldo_relativo_per_capita!H$552/1000000</f>
        <v>2.8612964306780495</v>
      </c>
      <c r="I175" s="337">
        <f>Saldo_relativo_per_capita!I175*Saldo_relativo_per_capita!I$552/1000000</f>
        <v>5.4495145921748609</v>
      </c>
      <c r="J175" s="337">
        <f>Saldo_relativo_per_capita!J175*Saldo_relativo_per_capita!J$552/1000000</f>
        <v>1.5212002130986428</v>
      </c>
      <c r="K175" s="337">
        <f>Saldo_relativo_per_capita!K175*Saldo_relativo_per_capita!K$552/1000000</f>
        <v>6.4366466401387665</v>
      </c>
      <c r="L175" s="337">
        <f>Saldo_relativo_per_capita!L175*Saldo_relativo_per_capita!L$552/1000000</f>
        <v>5.3622743265961494</v>
      </c>
      <c r="M175" s="337">
        <f>Saldo_relativo_per_capita!M175*Saldo_relativo_per_capita!M$552/1000000</f>
        <v>19.473852196463067</v>
      </c>
      <c r="N175" s="337">
        <f>Saldo_relativo_per_capita!N175*Saldo_relativo_per_capita!N$552/1000000</f>
        <v>12.940485611268645</v>
      </c>
      <c r="O175" s="337">
        <f>Saldo_relativo_per_capita!O175*Saldo_relativo_per_capita!O$552/1000000</f>
        <v>2.8414791704509272</v>
      </c>
      <c r="P175" s="337">
        <f>Saldo_relativo_per_capita!P175*Saldo_relativo_per_capita!P$552/1000000</f>
        <v>7.1030104387776918</v>
      </c>
      <c r="Q175" s="337">
        <f>Saldo_relativo_per_capita!Q175*Saldo_relativo_per_capita!Q$552/1000000</f>
        <v>16.706313230008917</v>
      </c>
      <c r="R175" s="337">
        <f>Saldo_relativo_per_capita!R175*Saldo_relativo_per_capita!R$552/1000000</f>
        <v>3.8023765456422804</v>
      </c>
      <c r="S175" s="337">
        <f>Saldo_relativo_per_capita!S175*Saldo_relativo_per_capita!S$552/1000000</f>
        <v>-25.740610394894361</v>
      </c>
      <c r="T175" s="337">
        <f>Saldo_relativo_per_capita!T175*Saldo_relativo_per_capita!T$552/1000000</f>
        <v>-87.958801323505881</v>
      </c>
      <c r="U175" s="337">
        <f>Saldo_relativo_per_capita!U175*Saldo_relativo_per_capita!U$552/1000000</f>
        <v>0.82427854131326572</v>
      </c>
      <c r="V175" s="337">
        <f>Saldo_relativo_per_capita!V175*Saldo_relativo_per_capita!V$552/1000000</f>
        <v>0.43973142316289632</v>
      </c>
      <c r="W175" s="148"/>
    </row>
    <row r="176" spans="1:23" s="115" customFormat="1">
      <c r="A176" s="352"/>
      <c r="B176" s="115" t="s">
        <v>1103</v>
      </c>
      <c r="C176" s="331" t="str">
        <f>VLOOKUP(B176,Tot_res!C:D,2,FALSE)</f>
        <v>conservación de carreteras (programa 453C)</v>
      </c>
      <c r="D176" s="337">
        <f>Saldo_relativo_per_capita!D176*Saldo_relativo_per_capita!D$552/1000000</f>
        <v>0</v>
      </c>
      <c r="E176" s="337">
        <f>Saldo_relativo_per_capita!E176*Saldo_relativo_per_capita!E$552/1000000</f>
        <v>11.363123524747042</v>
      </c>
      <c r="F176" s="337">
        <f>Saldo_relativo_per_capita!F176*Saldo_relativo_per_capita!F$552/1000000</f>
        <v>1.7876763055300191</v>
      </c>
      <c r="G176" s="337">
        <f>Saldo_relativo_per_capita!G176*Saldo_relativo_per_capita!G$552/1000000</f>
        <v>1.4290585232171626</v>
      </c>
      <c r="H176" s="337">
        <f>Saldo_relativo_per_capita!H176*Saldo_relativo_per_capita!H$552/1000000</f>
        <v>1.4932658412814863</v>
      </c>
      <c r="I176" s="337">
        <f>Saldo_relativo_per_capita!I176*Saldo_relativo_per_capita!I$552/1000000</f>
        <v>2.8440164062733424</v>
      </c>
      <c r="J176" s="337">
        <f>Saldo_relativo_per_capita!J176*Saldo_relativo_per_capita!J$552/1000000</f>
        <v>0.79389059155678721</v>
      </c>
      <c r="K176" s="337">
        <f>Saldo_relativo_per_capita!K176*Saldo_relativo_per_capita!K$552/1000000</f>
        <v>3.3591851781119972</v>
      </c>
      <c r="L176" s="337">
        <f>Saldo_relativo_per_capita!L176*Saldo_relativo_per_capita!L$552/1000000</f>
        <v>2.7984870765694132</v>
      </c>
      <c r="M176" s="337">
        <f>Saldo_relativo_per_capita!M176*Saldo_relativo_per_capita!M$552/1000000</f>
        <v>10.163098786745296</v>
      </c>
      <c r="N176" s="337">
        <f>Saldo_relativo_per_capita!N176*Saldo_relativo_per_capita!N$552/1000000</f>
        <v>6.7534369825229437</v>
      </c>
      <c r="O176" s="337">
        <f>Saldo_relativo_per_capita!O176*Saldo_relativo_per_capita!O$552/1000000</f>
        <v>1.4829235232162672</v>
      </c>
      <c r="P176" s="337">
        <f>Saldo_relativo_per_capita!P176*Saldo_relativo_per_capita!P$552/1000000</f>
        <v>3.7069500191488549</v>
      </c>
      <c r="Q176" s="337">
        <f>Saldo_relativo_per_capita!Q176*Saldo_relativo_per_capita!Q$552/1000000</f>
        <v>8.718763499177026</v>
      </c>
      <c r="R176" s="337">
        <f>Saldo_relativo_per_capita!R176*Saldo_relativo_per_capita!R$552/1000000</f>
        <v>1.9844008297846962</v>
      </c>
      <c r="S176" s="337">
        <f>Saldo_relativo_per_capita!S176*Saldo_relativo_per_capita!S$552/1000000</f>
        <v>-13.433621845088672</v>
      </c>
      <c r="T176" s="337">
        <f>Saldo_relativo_per_capita!T176*Saldo_relativo_per_capita!T$552/1000000</f>
        <v>-45.904322267417321</v>
      </c>
      <c r="U176" s="337">
        <f>Saldo_relativo_per_capita!U176*Saldo_relativo_per_capita!U$552/1000000</f>
        <v>0.43017807461240493</v>
      </c>
      <c r="V176" s="337">
        <f>Saldo_relativo_per_capita!V176*Saldo_relativo_per_capita!V$552/1000000</f>
        <v>0.22948895001125158</v>
      </c>
      <c r="W176" s="148"/>
    </row>
    <row r="177" spans="1:23" s="115" customFormat="1">
      <c r="A177" s="352"/>
      <c r="B177" s="115" t="s">
        <v>1104</v>
      </c>
      <c r="C177" s="331" t="str">
        <f>VLOOKUP(B177,Tot_res!C:D,2,FALSE)</f>
        <v>"Normalización" lingüística (programa CS06)</v>
      </c>
      <c r="D177" s="337">
        <f>Saldo_relativo_per_capita!D177*Saldo_relativo_per_capita!D$552/1000000</f>
        <v>0</v>
      </c>
      <c r="E177" s="337">
        <f>Saldo_relativo_per_capita!E177*Saldo_relativo_per_capita!E$552/1000000</f>
        <v>4.9109954127114195</v>
      </c>
      <c r="F177" s="337">
        <f>Saldo_relativo_per_capita!F177*Saldo_relativo_per_capita!F$552/1000000</f>
        <v>0.77261063973748001</v>
      </c>
      <c r="G177" s="337">
        <f>Saldo_relativo_per_capita!G177*Saldo_relativo_per_capita!G$552/1000000</f>
        <v>0.61762066008799044</v>
      </c>
      <c r="H177" s="337">
        <f>Saldo_relativo_per_capita!H177*Saldo_relativo_per_capita!H$552/1000000</f>
        <v>0.64537023473528476</v>
      </c>
      <c r="I177" s="337">
        <f>Saldo_relativo_per_capita!I177*Saldo_relativo_per_capita!I$552/1000000</f>
        <v>1.2291472053847379</v>
      </c>
      <c r="J177" s="337">
        <f>Saldo_relativo_per_capita!J177*Saldo_relativo_per_capita!J$552/1000000</f>
        <v>0.34310927315356532</v>
      </c>
      <c r="K177" s="337">
        <f>Saldo_relativo_per_capita!K177*Saldo_relativo_per_capita!K$552/1000000</f>
        <v>1.4517965033318998</v>
      </c>
      <c r="L177" s="337">
        <f>Saldo_relativo_per_capita!L177*Saldo_relativo_per_capita!L$552/1000000</f>
        <v>1.2094700163765513</v>
      </c>
      <c r="M177" s="337">
        <f>Saldo_relativo_per_capita!M177*Saldo_relativo_per_capita!M$552/1000000</f>
        <v>4.3923602002513844</v>
      </c>
      <c r="N177" s="337">
        <f>Saldo_relativo_per_capita!N177*Saldo_relativo_per_capita!N$552/1000000</f>
        <v>2.918748350220381</v>
      </c>
      <c r="O177" s="337">
        <f>Saldo_relativo_per_capita!O177*Saldo_relativo_per_capita!O$552/1000000</f>
        <v>0.64090041827465427</v>
      </c>
      <c r="P177" s="337">
        <f>Saldo_relativo_per_capita!P177*Saldo_relativo_per_capita!P$552/1000000</f>
        <v>1.6020959817556677</v>
      </c>
      <c r="Q177" s="337">
        <f>Saldo_relativo_per_capita!Q177*Saldo_relativo_per_capita!Q$552/1000000</f>
        <v>3.7681371196681863</v>
      </c>
      <c r="R177" s="337">
        <f>Saldo_relativo_per_capita!R177*Saldo_relativo_per_capita!R$552/1000000</f>
        <v>0.85763244154034846</v>
      </c>
      <c r="S177" s="337">
        <f>Saldo_relativo_per_capita!S177*Saldo_relativo_per_capita!S$552/1000000</f>
        <v>-5.8058380790856541</v>
      </c>
      <c r="T177" s="337">
        <f>Saldo_relativo_per_capita!T177*Saldo_relativo_per_capita!T$552/1000000</f>
        <v>-19.83925595703947</v>
      </c>
      <c r="U177" s="337">
        <f>Saldo_relativo_per_capita!U177*Saldo_relativo_per_capita!U$552/1000000</f>
        <v>0.18591741491409866</v>
      </c>
      <c r="V177" s="337">
        <f>Saldo_relativo_per_capita!V177*Saldo_relativo_per_capita!V$552/1000000</f>
        <v>9.9182163981474933E-2</v>
      </c>
      <c r="W177" s="148"/>
    </row>
    <row r="178" spans="1:23" s="115" customFormat="1">
      <c r="A178" s="352"/>
      <c r="B178" s="115" t="s">
        <v>1105</v>
      </c>
      <c r="C178" s="331" t="str">
        <f>VLOOKUP(B178,Tot_res!C:D,2,FALSE)</f>
        <v>medio ambiente</v>
      </c>
      <c r="D178" s="337">
        <f>Saldo_relativo_per_capita!D178*Saldo_relativo_per_capita!D$552/1000000</f>
        <v>0</v>
      </c>
      <c r="E178" s="337">
        <f>Saldo_relativo_per_capita!E178*Saldo_relativo_per_capita!E$552/1000000</f>
        <v>0.65498360624679597</v>
      </c>
      <c r="F178" s="337">
        <f>Saldo_relativo_per_capita!F178*Saldo_relativo_per_capita!F$552/1000000</f>
        <v>0.10304373360440668</v>
      </c>
      <c r="G178" s="337">
        <f>Saldo_relativo_per_capita!G178*Saldo_relativo_per_capita!G$552/1000000</f>
        <v>8.2372589106861308E-2</v>
      </c>
      <c r="H178" s="337">
        <f>Saldo_relativo_per_capita!H178*Saldo_relativo_per_capita!H$552/1000000</f>
        <v>8.6073573316142973E-2</v>
      </c>
      <c r="I178" s="337">
        <f>Saldo_relativo_per_capita!I178*Saldo_relativo_per_capita!I$552/1000000</f>
        <v>0.16393240097664383</v>
      </c>
      <c r="J178" s="337">
        <f>Saldo_relativo_per_capita!J178*Saldo_relativo_per_capita!J$552/1000000</f>
        <v>4.5760773566425016E-2</v>
      </c>
      <c r="K178" s="337">
        <f>Saldo_relativo_per_capita!K178*Saldo_relativo_per_capita!K$552/1000000</f>
        <v>0.19362732590373394</v>
      </c>
      <c r="L178" s="337">
        <f>Saldo_relativo_per_capita!L178*Saldo_relativo_per_capita!L$552/1000000</f>
        <v>0.1613080376583596</v>
      </c>
      <c r="M178" s="337">
        <f>Saldo_relativo_per_capita!M178*Saldo_relativo_per_capita!M$552/1000000</f>
        <v>0.58581278989775454</v>
      </c>
      <c r="N178" s="337">
        <f>Saldo_relativo_per_capita!N178*Saldo_relativo_per_capita!N$552/1000000</f>
        <v>0.38927593277851202</v>
      </c>
      <c r="O178" s="337">
        <f>Saldo_relativo_per_capita!O178*Saldo_relativo_per_capita!O$552/1000000</f>
        <v>8.5477430119375308E-2</v>
      </c>
      <c r="P178" s="337">
        <f>Saldo_relativo_per_capita!P178*Saldo_relativo_per_capita!P$552/1000000</f>
        <v>0.21367289429099087</v>
      </c>
      <c r="Q178" s="337">
        <f>Saldo_relativo_per_capita!Q178*Saldo_relativo_per_capita!Q$552/1000000</f>
        <v>0.5025596303927381</v>
      </c>
      <c r="R178" s="337">
        <f>Saldo_relativo_per_capita!R178*Saldo_relativo_per_capita!R$552/1000000</f>
        <v>0.11438316312419465</v>
      </c>
      <c r="S178" s="337">
        <f>Saldo_relativo_per_capita!S178*Saldo_relativo_per_capita!S$552/1000000</f>
        <v>-0.2898231849998153</v>
      </c>
      <c r="T178" s="337">
        <f>Saldo_relativo_per_capita!T178*Saldo_relativo_per_capita!T$552/1000000</f>
        <v>-3.1304846676286902</v>
      </c>
      <c r="U178" s="337">
        <f>Saldo_relativo_per_capita!U178*Saldo_relativo_per_capita!U$552/1000000</f>
        <v>2.4795962661526075E-2</v>
      </c>
      <c r="V178" s="337">
        <f>Saldo_relativo_per_capita!V178*Saldo_relativo_per_capita!V$552/1000000</f>
        <v>1.322800898404441E-2</v>
      </c>
      <c r="W178" s="148"/>
    </row>
    <row r="179" spans="1:23" s="115" customFormat="1">
      <c r="A179" s="352"/>
      <c r="B179" s="115" t="s">
        <v>1117</v>
      </c>
      <c r="C179" s="331" t="e">
        <f>VLOOKUP(B179,Tot_res!C:D,2,FALSE)</f>
        <v>#N/A</v>
      </c>
      <c r="D179" s="337">
        <f>Saldo_relativo_per_capita!D179*Saldo_relativo_per_capita!D$552/1000000</f>
        <v>0</v>
      </c>
      <c r="E179" s="337" t="e">
        <f>Saldo_relativo_per_capita!E179*Saldo_relativo_per_capita!E$552/1000000</f>
        <v>#VALUE!</v>
      </c>
      <c r="F179" s="337" t="e">
        <f>Saldo_relativo_per_capita!F179*Saldo_relativo_per_capita!F$552/1000000</f>
        <v>#VALUE!</v>
      </c>
      <c r="G179" s="337" t="e">
        <f>Saldo_relativo_per_capita!G179*Saldo_relativo_per_capita!G$552/1000000</f>
        <v>#VALUE!</v>
      </c>
      <c r="H179" s="337" t="e">
        <f>Saldo_relativo_per_capita!H179*Saldo_relativo_per_capita!H$552/1000000</f>
        <v>#VALUE!</v>
      </c>
      <c r="I179" s="337" t="e">
        <f>Saldo_relativo_per_capita!I179*Saldo_relativo_per_capita!I$552/1000000</f>
        <v>#VALUE!</v>
      </c>
      <c r="J179" s="337" t="e">
        <f>Saldo_relativo_per_capita!J179*Saldo_relativo_per_capita!J$552/1000000</f>
        <v>#VALUE!</v>
      </c>
      <c r="K179" s="337" t="e">
        <f>Saldo_relativo_per_capita!K179*Saldo_relativo_per_capita!K$552/1000000</f>
        <v>#VALUE!</v>
      </c>
      <c r="L179" s="337" t="e">
        <f>Saldo_relativo_per_capita!L179*Saldo_relativo_per_capita!L$552/1000000</f>
        <v>#VALUE!</v>
      </c>
      <c r="M179" s="337" t="e">
        <f>Saldo_relativo_per_capita!M179*Saldo_relativo_per_capita!M$552/1000000</f>
        <v>#VALUE!</v>
      </c>
      <c r="N179" s="337" t="e">
        <f>Saldo_relativo_per_capita!N179*Saldo_relativo_per_capita!N$552/1000000</f>
        <v>#VALUE!</v>
      </c>
      <c r="O179" s="337" t="e">
        <f>Saldo_relativo_per_capita!O179*Saldo_relativo_per_capita!O$552/1000000</f>
        <v>#VALUE!</v>
      </c>
      <c r="P179" s="337" t="e">
        <f>Saldo_relativo_per_capita!P179*Saldo_relativo_per_capita!P$552/1000000</f>
        <v>#VALUE!</v>
      </c>
      <c r="Q179" s="337" t="e">
        <f>Saldo_relativo_per_capita!Q179*Saldo_relativo_per_capita!Q$552/1000000</f>
        <v>#VALUE!</v>
      </c>
      <c r="R179" s="337" t="e">
        <f>Saldo_relativo_per_capita!R179*Saldo_relativo_per_capita!R$552/1000000</f>
        <v>#VALUE!</v>
      </c>
      <c r="S179" s="337" t="e">
        <f>Saldo_relativo_per_capita!S179*Saldo_relativo_per_capita!S$552/1000000</f>
        <v>#VALUE!</v>
      </c>
      <c r="T179" s="337" t="e">
        <f>Saldo_relativo_per_capita!T179*Saldo_relativo_per_capita!T$552/1000000</f>
        <v>#VALUE!</v>
      </c>
      <c r="U179" s="337" t="e">
        <f>Saldo_relativo_per_capita!U179*Saldo_relativo_per_capita!U$552/1000000</f>
        <v>#VALUE!</v>
      </c>
      <c r="V179" s="337" t="e">
        <f>Saldo_relativo_per_capita!V179*Saldo_relativo_per_capita!V$552/1000000</f>
        <v>#VALUE!</v>
      </c>
      <c r="W179" s="148"/>
    </row>
    <row r="180" spans="1:23" s="115" customFormat="1">
      <c r="A180" s="352"/>
      <c r="B180" s="115" t="s">
        <v>1106</v>
      </c>
      <c r="C180" s="331" t="str">
        <f>VLOOKUP(B180,Tot_res!C:D,2,FALSE)</f>
        <v>sanidad y consumo</v>
      </c>
      <c r="D180" s="337">
        <f>Saldo_relativo_per_capita!D180*Saldo_relativo_per_capita!D$552/1000000</f>
        <v>0</v>
      </c>
      <c r="E180" s="337">
        <f>Saldo_relativo_per_capita!E180*Saldo_relativo_per_capita!E$552/1000000</f>
        <v>0.13763311286599311</v>
      </c>
      <c r="F180" s="337">
        <f>Saldo_relativo_per_capita!F180*Saldo_relativo_per_capita!F$552/1000000</f>
        <v>2.1652801203034706E-2</v>
      </c>
      <c r="G180" s="337">
        <f>Saldo_relativo_per_capita!G180*Saldo_relativo_per_capita!G$552/1000000</f>
        <v>1.7309129183512566E-2</v>
      </c>
      <c r="H180" s="337">
        <f>Saldo_relativo_per_capita!H180*Saldo_relativo_per_capita!H$552/1000000</f>
        <v>1.8086824949533595E-2</v>
      </c>
      <c r="I180" s="337">
        <f>Saldo_relativo_per_capita!I180*Saldo_relativo_per_capita!I$552/1000000</f>
        <v>3.444746773938364E-2</v>
      </c>
      <c r="J180" s="337">
        <f>Saldo_relativo_per_capita!J180*Saldo_relativo_per_capita!J$552/1000000</f>
        <v>9.6158096981892784E-3</v>
      </c>
      <c r="K180" s="337">
        <f>Saldo_relativo_per_capita!K180*Saldo_relativo_per_capita!K$552/1000000</f>
        <v>4.0687326134400348E-2</v>
      </c>
      <c r="L180" s="337">
        <f>Saldo_relativo_per_capita!L180*Saldo_relativo_per_capita!L$552/1000000</f>
        <v>3.3896004635052615E-2</v>
      </c>
      <c r="M180" s="337">
        <f>Saldo_relativo_per_capita!M180*Saldo_relativo_per_capita!M$552/1000000</f>
        <v>0.12309810056522216</v>
      </c>
      <c r="N180" s="337">
        <f>Saldo_relativo_per_capita!N180*Saldo_relativo_per_capita!N$552/1000000</f>
        <v>8.1799388383366547E-2</v>
      </c>
      <c r="O180" s="337">
        <f>Saldo_relativo_per_capita!O180*Saldo_relativo_per_capita!O$552/1000000</f>
        <v>1.7961556098370777E-2</v>
      </c>
      <c r="P180" s="337">
        <f>Saldo_relativo_per_capita!P180*Saldo_relativo_per_capita!P$552/1000000</f>
        <v>4.4899544501384565E-2</v>
      </c>
      <c r="Q180" s="337">
        <f>Saldo_relativo_per_capita!Q180*Saldo_relativo_per_capita!Q$552/1000000</f>
        <v>0.10560393523143065</v>
      </c>
      <c r="R180" s="337">
        <f>Saldo_relativo_per_capita!R180*Saldo_relativo_per_capita!R$552/1000000</f>
        <v>2.4035579898635966E-2</v>
      </c>
      <c r="S180" s="337">
        <f>Saldo_relativo_per_capita!S180*Saldo_relativo_per_capita!S$552/1000000</f>
        <v>-0.16639416627736153</v>
      </c>
      <c r="T180" s="337">
        <f>Saldo_relativo_per_capita!T180*Saldo_relativo_per_capita!T$552/1000000</f>
        <v>-0.55232247369283838</v>
      </c>
      <c r="U180" s="337">
        <f>Saldo_relativo_per_capita!U180*Saldo_relativo_per_capita!U$552/1000000</f>
        <v>5.2104289253445167E-3</v>
      </c>
      <c r="V180" s="337">
        <f>Saldo_relativo_per_capita!V180*Saldo_relativo_per_capita!V$552/1000000</f>
        <v>2.7796299573448462E-3</v>
      </c>
      <c r="W180" s="148"/>
    </row>
    <row r="181" spans="1:23" s="115" customFormat="1">
      <c r="A181" s="352"/>
      <c r="B181" s="115" t="s">
        <v>1107</v>
      </c>
      <c r="C181" s="331" t="str">
        <f>VLOOKUP(B181,Tot_res!C:D,2,FALSE)</f>
        <v>Educación y formación</v>
      </c>
      <c r="D181" s="337">
        <f>Saldo_relativo_per_capita!D181*Saldo_relativo_per_capita!D$552/1000000</f>
        <v>0</v>
      </c>
      <c r="E181" s="337">
        <f>Saldo_relativo_per_capita!E181*Saldo_relativo_per_capita!E$552/1000000</f>
        <v>2.773705694558227</v>
      </c>
      <c r="F181" s="337">
        <f>Saldo_relativo_per_capita!F181*Saldo_relativo_per_capita!F$552/1000000</f>
        <v>0.43636663263200853</v>
      </c>
      <c r="G181" s="337">
        <f>Saldo_relativo_per_capita!G181*Saldo_relativo_per_capita!G$552/1000000</f>
        <v>0.34882906579972722</v>
      </c>
      <c r="H181" s="337">
        <f>Saldo_relativo_per_capita!H181*Saldo_relativo_per_capita!H$552/1000000</f>
        <v>0.36450188704112879</v>
      </c>
      <c r="I181" s="337">
        <f>Saldo_relativo_per_capita!I181*Saldo_relativo_per_capita!I$552/1000000</f>
        <v>0.69421620598575695</v>
      </c>
      <c r="J181" s="337">
        <f>Saldo_relativo_per_capita!J181*Saldo_relativo_per_capita!J$552/1000000</f>
        <v>0.193786404755842</v>
      </c>
      <c r="K181" s="337">
        <f>Saldo_relativo_per_capita!K181*Saldo_relativo_per_capita!K$552/1000000</f>
        <v>0.81996741805306184</v>
      </c>
      <c r="L181" s="337">
        <f>Saldo_relativo_per_capita!L181*Saldo_relativo_per_capita!L$552/1000000</f>
        <v>0.68310262785786124</v>
      </c>
      <c r="M181" s="337">
        <f>Saldo_relativo_per_capita!M181*Saldo_relativo_per_capita!M$552/1000000</f>
        <v>2.4807831154665525</v>
      </c>
      <c r="N181" s="337">
        <f>Saldo_relativo_per_capita!N181*Saldo_relativo_per_capita!N$552/1000000</f>
        <v>1.6484944984949479</v>
      </c>
      <c r="O181" s="337">
        <f>Saldo_relativo_per_capita!O181*Saldo_relativo_per_capita!O$552/1000000</f>
        <v>0.36197735701644362</v>
      </c>
      <c r="P181" s="337">
        <f>Saldo_relativo_per_capita!P181*Saldo_relativo_per_capita!P$552/1000000</f>
        <v>0.90485581320694108</v>
      </c>
      <c r="Q181" s="337">
        <f>Saldo_relativo_per_capita!Q181*Saldo_relativo_per_capita!Q$552/1000000</f>
        <v>2.1282250355288714</v>
      </c>
      <c r="R181" s="337">
        <f>Saldo_relativo_per_capita!R181*Saldo_relativo_per_capita!R$552/1000000</f>
        <v>0.48438652188130743</v>
      </c>
      <c r="S181" s="337">
        <f>Saldo_relativo_per_capita!S181*Saldo_relativo_per_capita!S$552/1000000</f>
        <v>-2.9342446336439818</v>
      </c>
      <c r="T181" s="337">
        <f>Saldo_relativo_per_capita!T181*Saldo_relativo_per_capita!T$552/1000000</f>
        <v>-11.549976463644455</v>
      </c>
      <c r="U181" s="337">
        <f>Saldo_relativo_per_capita!U181*Saldo_relativo_per_capita!U$552/1000000</f>
        <v>0.10500522788720483</v>
      </c>
      <c r="V181" s="337">
        <f>Saldo_relativo_per_capita!V181*Saldo_relativo_per_capita!V$552/1000000</f>
        <v>5.6017591122557726E-2</v>
      </c>
      <c r="W181" s="148"/>
    </row>
    <row r="182" spans="1:23" s="115" customFormat="1">
      <c r="A182" s="352"/>
      <c r="B182" s="115" t="s">
        <v>1108</v>
      </c>
      <c r="C182" s="331" t="str">
        <f>VLOOKUP(B182,Tot_res!C:D,2,FALSE)</f>
        <v>Administración de Justicia</v>
      </c>
      <c r="D182" s="337">
        <f>Saldo_relativo_per_capita!D182*Saldo_relativo_per_capita!D$552/1000000</f>
        <v>0</v>
      </c>
      <c r="E182" s="337">
        <f>Saldo_relativo_per_capita!E182*Saldo_relativo_per_capita!E$552/1000000</f>
        <v>17.174251431824356</v>
      </c>
      <c r="F182" s="337">
        <f>Saldo_relativo_per_capita!F182*Saldo_relativo_per_capita!F$552/1000000</f>
        <v>2.7018981429730489</v>
      </c>
      <c r="G182" s="337">
        <f>Saldo_relativo_per_capita!G182*Saldo_relativo_per_capita!G$552/1000000</f>
        <v>2.1598823892983696</v>
      </c>
      <c r="H182" s="337">
        <f>Saldo_relativo_per_capita!H182*Saldo_relativo_per_capita!H$552/1000000</f>
        <v>2.2569254797653775</v>
      </c>
      <c r="I182" s="337">
        <f>Saldo_relativo_per_capita!I182*Saldo_relativo_per_capita!I$552/1000000</f>
        <v>4.2984530381279331</v>
      </c>
      <c r="J182" s="337">
        <f>Saldo_relativo_per_capita!J182*Saldo_relativo_per_capita!J$552/1000000</f>
        <v>1.199888094066949</v>
      </c>
      <c r="K182" s="337">
        <f>Saldo_relativo_per_capita!K182*Saldo_relativo_per_capita!K$552/1000000</f>
        <v>5.0770803229684516</v>
      </c>
      <c r="L182" s="337">
        <f>Saldo_relativo_per_capita!L182*Saldo_relativo_per_capita!L$552/1000000</f>
        <v>4.2296399028878922</v>
      </c>
      <c r="M182" s="337">
        <f>Saldo_relativo_per_capita!M182*Saldo_relativo_per_capita!M$552/1000000</f>
        <v>15.360531240367587</v>
      </c>
      <c r="N182" s="337">
        <f>Saldo_relativo_per_capita!N182*Saldo_relativo_per_capita!N$552/1000000</f>
        <v>10.207160426816905</v>
      </c>
      <c r="O182" s="337">
        <f>Saldo_relativo_per_capita!O182*Saldo_relativo_per_capita!O$552/1000000</f>
        <v>2.2412940760889906</v>
      </c>
      <c r="P182" s="337">
        <f>Saldo_relativo_per_capita!P182*Saldo_relativo_per_capita!P$552/1000000</f>
        <v>5.6026929158535035</v>
      </c>
      <c r="Q182" s="337">
        <f>Saldo_relativo_per_capita!Q182*Saldo_relativo_per_capita!Q$552/1000000</f>
        <v>13.177559513752827</v>
      </c>
      <c r="R182" s="337">
        <f>Saldo_relativo_per_capita!R182*Saldo_relativo_per_capita!R$552/1000000</f>
        <v>2.9992280483461466</v>
      </c>
      <c r="S182" s="337">
        <f>Saldo_relativo_per_capita!S182*Saldo_relativo_per_capita!S$552/1000000</f>
        <v>-20.379953380092736</v>
      </c>
      <c r="T182" s="337">
        <f>Saldo_relativo_per_capita!T182*Saldo_relativo_per_capita!T$552/1000000</f>
        <v>-69.303553924594922</v>
      </c>
      <c r="U182" s="337">
        <f>Saldo_relativo_per_capita!U182*Saldo_relativo_per_capita!U$552/1000000</f>
        <v>0.6501721465723489</v>
      </c>
      <c r="V182" s="337">
        <f>Saldo_relativo_per_capita!V182*Saldo_relativo_per_capita!V$552/1000000</f>
        <v>0.34685013497697975</v>
      </c>
      <c r="W182" s="148"/>
    </row>
    <row r="183" spans="1:23" s="115" customFormat="1">
      <c r="A183" s="352"/>
      <c r="B183" s="115" t="s">
        <v>1109</v>
      </c>
      <c r="C183" s="331" t="str">
        <f>VLOOKUP(B183,Tot_res!C:D,2,FALSE)</f>
        <v>Seguridad Ciudadana y Vial</v>
      </c>
      <c r="D183" s="337">
        <f>Saldo_relativo_per_capita!D183*Saldo_relativo_per_capita!D$552/1000000</f>
        <v>0</v>
      </c>
      <c r="E183" s="337">
        <f>Saldo_relativo_per_capita!E183*Saldo_relativo_per_capita!E$552/1000000</f>
        <v>107.39092886405672</v>
      </c>
      <c r="F183" s="337">
        <f>Saldo_relativo_per_capita!F183*Saldo_relativo_per_capita!F$552/1000000</f>
        <v>16.895021737731899</v>
      </c>
      <c r="G183" s="337">
        <f>Saldo_relativo_per_capita!G183*Saldo_relativo_per_capita!G$552/1000000</f>
        <v>13.505786668177986</v>
      </c>
      <c r="H183" s="337">
        <f>Saldo_relativo_per_capita!H183*Saldo_relativo_per_capita!H$552/1000000</f>
        <v>14.112599003869033</v>
      </c>
      <c r="I183" s="337">
        <f>Saldo_relativo_per_capita!I183*Saldo_relativo_per_capita!I$552/1000000</f>
        <v>26.878310607919737</v>
      </c>
      <c r="J183" s="337">
        <f>Saldo_relativo_per_capita!J183*Saldo_relativo_per_capita!J$552/1000000</f>
        <v>7.5029236334572689</v>
      </c>
      <c r="K183" s="337">
        <f>Saldo_relativo_per_capita!K183*Saldo_relativo_per_capita!K$552/1000000</f>
        <v>31.747082192512721</v>
      </c>
      <c r="L183" s="337">
        <f>Saldo_relativo_per_capita!L183*Saldo_relativo_per_capita!L$552/1000000</f>
        <v>26.448020732357406</v>
      </c>
      <c r="M183" s="337">
        <f>Saldo_relativo_per_capita!M183*Saldo_relativo_per_capita!M$552/1000000</f>
        <v>96.049701164367292</v>
      </c>
      <c r="N183" s="337">
        <f>Saldo_relativo_per_capita!N183*Saldo_relativo_per_capita!N$552/1000000</f>
        <v>63.825573047632297</v>
      </c>
      <c r="O183" s="337">
        <f>Saldo_relativo_per_capita!O183*Saldo_relativo_per_capita!O$552/1000000</f>
        <v>14.014855532083962</v>
      </c>
      <c r="P183" s="337">
        <f>Saldo_relativo_per_capita!P183*Saldo_relativo_per_capita!P$552/1000000</f>
        <v>35.033747978013857</v>
      </c>
      <c r="Q183" s="337">
        <f>Saldo_relativo_per_capita!Q183*Saldo_relativo_per_capita!Q$552/1000000</f>
        <v>82.399536420026521</v>
      </c>
      <c r="R183" s="337">
        <f>Saldo_relativo_per_capita!R183*Saldo_relativo_per_capita!R$552/1000000</f>
        <v>18.7542314298592</v>
      </c>
      <c r="S183" s="337">
        <f>Saldo_relativo_per_capita!S183*Saldo_relativo_per_capita!S$552/1000000</f>
        <v>-63.75671257888299</v>
      </c>
      <c r="T183" s="337">
        <f>Saldo_relativo_per_capita!T183*Saldo_relativo_per_capita!T$552/1000000</f>
        <v>-497.03600618788403</v>
      </c>
      <c r="U183" s="337">
        <f>Saldo_relativo_per_capita!U183*Saldo_relativo_per_capita!U$552/1000000</f>
        <v>4.065539101899895</v>
      </c>
      <c r="V183" s="337">
        <f>Saldo_relativo_per_capita!V183*Saldo_relativo_per_capita!V$552/1000000</f>
        <v>2.1688606528013623</v>
      </c>
      <c r="W183" s="148"/>
    </row>
    <row r="184" spans="1:23" s="115" customFormat="1">
      <c r="A184" s="352"/>
      <c r="B184" s="115" t="s">
        <v>1110</v>
      </c>
      <c r="C184" s="331" t="str">
        <f>VLOOKUP(B184,Tot_res!C:D,2,FALSE)</f>
        <v>Ayudas a la vivienda</v>
      </c>
      <c r="D184" s="337">
        <f>Saldo_relativo_per_capita!D184*Saldo_relativo_per_capita!D$552/1000000</f>
        <v>0</v>
      </c>
      <c r="E184" s="337">
        <f>Saldo_relativo_per_capita!E184*Saldo_relativo_per_capita!E$552/1000000</f>
        <v>8.6547552736632536</v>
      </c>
      <c r="F184" s="337">
        <f>Saldo_relativo_per_capita!F184*Saldo_relativo_per_capita!F$552/1000000</f>
        <v>1.3615887303516045</v>
      </c>
      <c r="G184" s="337">
        <f>Saldo_relativo_per_capita!G184*Saldo_relativo_per_capita!G$552/1000000</f>
        <v>1.0884464789326043</v>
      </c>
      <c r="H184" s="337">
        <f>Saldo_relativo_per_capita!H184*Saldo_relativo_per_capita!H$552/1000000</f>
        <v>1.1373501649142583</v>
      </c>
      <c r="I184" s="337">
        <f>Saldo_relativo_per_capita!I184*Saldo_relativo_per_capita!I$552/1000000</f>
        <v>2.1661531652782919</v>
      </c>
      <c r="J184" s="337">
        <f>Saldo_relativo_per_capita!J184*Saldo_relativo_per_capita!J$552/1000000</f>
        <v>0.60466902159639246</v>
      </c>
      <c r="K184" s="337">
        <f>Saldo_relativo_per_capita!K184*Saldo_relativo_per_capita!K$552/1000000</f>
        <v>2.5585329220579291</v>
      </c>
      <c r="L184" s="337">
        <f>Saldo_relativo_per_capita!L184*Saldo_relativo_per_capita!L$552/1000000</f>
        <v>2.1314756221271267</v>
      </c>
      <c r="M184" s="337">
        <f>Saldo_relativo_per_capita!M184*Saldo_relativo_per_capita!M$552/1000000</f>
        <v>7.740753027086587</v>
      </c>
      <c r="N184" s="337">
        <f>Saldo_relativo_per_capita!N184*Saldo_relativo_per_capita!N$552/1000000</f>
        <v>5.143774439532379</v>
      </c>
      <c r="O184" s="337">
        <f>Saldo_relativo_per_capita!O184*Saldo_relativo_per_capita!O$552/1000000</f>
        <v>1.1294729090152165</v>
      </c>
      <c r="P184" s="337">
        <f>Saldo_relativo_per_capita!P184*Saldo_relativo_per_capita!P$552/1000000</f>
        <v>2.8234089999605856</v>
      </c>
      <c r="Q184" s="337">
        <f>Saldo_relativo_per_capita!Q184*Saldo_relativo_per_capita!Q$552/1000000</f>
        <v>6.6406709572405926</v>
      </c>
      <c r="R184" s="337">
        <f>Saldo_relativo_per_capita!R184*Saldo_relativo_per_capita!R$552/1000000</f>
        <v>1.5114245224244505</v>
      </c>
      <c r="S184" s="337">
        <f>Saldo_relativo_per_capita!S184*Saldo_relativo_per_capita!S$552/1000000</f>
        <v>-9.865811148569648</v>
      </c>
      <c r="T184" s="337">
        <f>Saldo_relativo_per_capita!T184*Saldo_relativo_per_capita!T$552/1000000</f>
        <v>-35.329102346615578</v>
      </c>
      <c r="U184" s="337">
        <f>Saldo_relativo_per_capita!U184*Saldo_relativo_per_capita!U$552/1000000</f>
        <v>0.32764635108979834</v>
      </c>
      <c r="V184" s="337">
        <f>Saldo_relativo_per_capita!V184*Saldo_relativo_per_capita!V$552/1000000</f>
        <v>0.17479090991414148</v>
      </c>
      <c r="W184" s="148"/>
    </row>
    <row r="185" spans="1:23" s="115" customFormat="1">
      <c r="A185" s="352"/>
      <c r="B185" s="115" t="s">
        <v>1111</v>
      </c>
      <c r="C185" s="331" t="str">
        <f>VLOOKUP(B185,Tot_res!C:D,2,FALSE)</f>
        <v>ajuste forales, ayudas al transporte colectivo urbano</v>
      </c>
      <c r="D185" s="337">
        <f>Saldo_relativo_per_capita!D185*Saldo_relativo_per_capita!D$552/1000000</f>
        <v>0</v>
      </c>
      <c r="E185" s="337">
        <f>Saldo_relativo_per_capita!E185*Saldo_relativo_per_capita!E$552/1000000</f>
        <v>3.455476219700671</v>
      </c>
      <c r="F185" s="337">
        <f>Saldo_relativo_per_capita!F185*Saldo_relativo_per_capita!F$552/1000000</f>
        <v>0.54362455436027179</v>
      </c>
      <c r="G185" s="337">
        <f>Saldo_relativo_per_capita!G185*Saldo_relativo_per_capita!G$552/1000000</f>
        <v>0.43457045351862372</v>
      </c>
      <c r="H185" s="337">
        <f>Saldo_relativo_per_capita!H185*Saldo_relativo_per_capita!H$552/1000000</f>
        <v>0.45409561842762403</v>
      </c>
      <c r="I185" s="337">
        <f>Saldo_relativo_per_capita!I185*Saldo_relativo_per_capita!I$552/1000000</f>
        <v>0.86485296396836164</v>
      </c>
      <c r="J185" s="337">
        <f>Saldo_relativo_per_capita!J185*Saldo_relativo_per_capita!J$552/1000000</f>
        <v>0.2414186604760723</v>
      </c>
      <c r="K185" s="337">
        <f>Saldo_relativo_per_capita!K185*Saldo_relativo_per_capita!K$552/1000000</f>
        <v>1.0215135367716042</v>
      </c>
      <c r="L185" s="337">
        <f>Saldo_relativo_per_capita!L185*Saldo_relativo_per_capita!L$552/1000000</f>
        <v>0.85100769371778229</v>
      </c>
      <c r="M185" s="337">
        <f>Saldo_relativo_per_capita!M185*Saldo_relativo_per_capita!M$552/1000000</f>
        <v>3.0905539396438879</v>
      </c>
      <c r="N185" s="337">
        <f>Saldo_relativo_per_capita!N185*Saldo_relativo_per_capita!N$552/1000000</f>
        <v>2.0536906813986771</v>
      </c>
      <c r="O185" s="337">
        <f>Saldo_relativo_per_capita!O185*Saldo_relativo_per_capita!O$552/1000000</f>
        <v>0.45095056468838463</v>
      </c>
      <c r="P185" s="337">
        <f>Saldo_relativo_per_capita!P185*Saldo_relativo_per_capita!P$552/1000000</f>
        <v>1.1272673055864686</v>
      </c>
      <c r="Q185" s="337">
        <f>Saldo_relativo_per_capita!Q185*Saldo_relativo_per_capita!Q$552/1000000</f>
        <v>2.6513378888285115</v>
      </c>
      <c r="R185" s="337">
        <f>Saldo_relativo_per_capita!R185*Saldo_relativo_per_capita!R$552/1000000</f>
        <v>0.60344762271938279</v>
      </c>
      <c r="S185" s="337">
        <f>Saldo_relativo_per_capita!S185*Saldo_relativo_per_capita!S$552/1000000</f>
        <v>-4.0876517964284078</v>
      </c>
      <c r="T185" s="337">
        <f>Saldo_relativo_per_capita!T185*Saldo_relativo_per_capita!T$552/1000000</f>
        <v>-13.956757767556891</v>
      </c>
      <c r="U185" s="337">
        <f>Saldo_relativo_per_capita!U185*Saldo_relativo_per_capita!U$552/1000000</f>
        <v>0.13081527309128471</v>
      </c>
      <c r="V185" s="337">
        <f>Saldo_relativo_per_capita!V185*Saldo_relativo_per_capita!V$552/1000000</f>
        <v>6.9786587087691532E-2</v>
      </c>
      <c r="W185" s="148"/>
    </row>
    <row r="186" spans="1:23" s="115" customFormat="1">
      <c r="A186" s="352"/>
      <c r="B186" s="115" t="s">
        <v>1112</v>
      </c>
      <c r="C186" s="331" t="str">
        <f>VLOOKUP(B186,Tot_res!C:D,2,FALSE)</f>
        <v>Conservación patrimonio artístico y cultural</v>
      </c>
      <c r="D186" s="337">
        <f>Saldo_relativo_per_capita!D186*Saldo_relativo_per_capita!D$552/1000000</f>
        <v>0</v>
      </c>
      <c r="E186" s="337">
        <f>Saldo_relativo_per_capita!E186*Saldo_relativo_per_capita!E$552/1000000</f>
        <v>0.10065737752901363</v>
      </c>
      <c r="F186" s="337">
        <f>Saldo_relativo_per_capita!F186*Saldo_relativo_per_capita!F$552/1000000</f>
        <v>1.5835681834622421E-2</v>
      </c>
      <c r="G186" s="337">
        <f>Saldo_relativo_per_capita!G186*Saldo_relativo_per_capita!G$552/1000000</f>
        <v>1.2658956225306616E-2</v>
      </c>
      <c r="H186" s="337">
        <f>Saldo_relativo_per_capita!H186*Saldo_relativo_per_capita!H$552/1000000</f>
        <v>1.3227720635941669E-2</v>
      </c>
      <c r="I186" s="337">
        <f>Saldo_relativo_per_capita!I186*Saldo_relativo_per_capita!I$552/1000000</f>
        <v>2.5193005469095888E-2</v>
      </c>
      <c r="J186" s="337">
        <f>Saldo_relativo_per_capita!J186*Saldo_relativo_per_capita!J$552/1000000</f>
        <v>7.032480533810127E-3</v>
      </c>
      <c r="K186" s="337">
        <f>Saldo_relativo_per_capita!K186*Saldo_relativo_per_capita!K$552/1000000</f>
        <v>2.975649872385008E-2</v>
      </c>
      <c r="L186" s="337">
        <f>Saldo_relativo_per_capita!L186*Saldo_relativo_per_capita!L$552/1000000</f>
        <v>2.4789695330059688E-2</v>
      </c>
      <c r="M186" s="337">
        <f>Saldo_relativo_per_capita!M186*Saldo_relativo_per_capita!M$552/1000000</f>
        <v>9.0027259601127577E-2</v>
      </c>
      <c r="N186" s="337">
        <f>Saldo_relativo_per_capita!N186*Saldo_relativo_per_capita!N$552/1000000</f>
        <v>5.9823626354827249E-2</v>
      </c>
      <c r="O186" s="337">
        <f>Saldo_relativo_per_capita!O186*Saldo_relativo_per_capita!O$552/1000000</f>
        <v>1.313610580734734E-2</v>
      </c>
      <c r="P186" s="337">
        <f>Saldo_relativo_per_capita!P186*Saldo_relativo_per_capita!P$552/1000000</f>
        <v>3.2837086277028478E-2</v>
      </c>
      <c r="Q186" s="337">
        <f>Saldo_relativo_per_capita!Q186*Saldo_relativo_per_capita!Q$552/1000000</f>
        <v>7.72329779933799E-2</v>
      </c>
      <c r="R186" s="337">
        <f>Saldo_relativo_per_capita!R186*Saldo_relativo_per_capita!R$552/1000000</f>
        <v>1.7578316653648507E-2</v>
      </c>
      <c r="S186" s="337">
        <f>Saldo_relativo_per_capita!S186*Saldo_relativo_per_capita!S$552/1000000</f>
        <v>-0.29428812789174147</v>
      </c>
      <c r="T186" s="337">
        <f>Saldo_relativo_per_capita!T186*Saldo_relativo_per_capita!T$552/1000000</f>
        <v>-0.23134215583440421</v>
      </c>
      <c r="U186" s="337">
        <f>Saldo_relativo_per_capita!U186*Saldo_relativo_per_capita!U$552/1000000</f>
        <v>3.8106244965711539E-3</v>
      </c>
      <c r="V186" s="337">
        <f>Saldo_relativo_per_capita!V186*Saldo_relativo_per_capita!V$552/1000000</f>
        <v>2.03287026051525E-3</v>
      </c>
      <c r="W186" s="148"/>
    </row>
    <row r="187" spans="1:23" s="115" customFormat="1">
      <c r="A187" s="352"/>
      <c r="B187" s="115" t="s">
        <v>1118</v>
      </c>
      <c r="C187" s="331" t="str">
        <f>VLOOKUP(B187,Tot_res!C:D,2,FALSE)</f>
        <v>Economía Social</v>
      </c>
      <c r="D187" s="337">
        <f>Saldo_relativo_per_capita!D187*Saldo_relativo_per_capita!D$552/1000000</f>
        <v>0</v>
      </c>
      <c r="E187" s="337">
        <f>Saldo_relativo_per_capita!E187*Saldo_relativo_per_capita!E$552/1000000</f>
        <v>0.2945920204775368</v>
      </c>
      <c r="F187" s="337">
        <f>Saldo_relativo_per_capita!F187*Saldo_relativo_per_capita!F$552/1000000</f>
        <v>4.6345986969074174E-2</v>
      </c>
      <c r="G187" s="337">
        <f>Saldo_relativo_per_capita!G187*Saldo_relativo_per_capita!G$552/1000000</f>
        <v>3.7048724923067371E-2</v>
      </c>
      <c r="H187" s="337">
        <f>Saldo_relativo_per_capita!H187*Saldo_relativo_per_capita!H$552/1000000</f>
        <v>3.87133168389098E-2</v>
      </c>
      <c r="I187" s="337">
        <f>Saldo_relativo_per_capita!I187*Saldo_relativo_per_capita!I$552/1000000</f>
        <v>7.3731886973742819E-2</v>
      </c>
      <c r="J187" s="337">
        <f>Saldo_relativo_per_capita!J187*Saldo_relativo_per_capita!J$552/1000000</f>
        <v>2.0581826193782154E-2</v>
      </c>
      <c r="K187" s="337">
        <f>Saldo_relativo_per_capita!K187*Saldo_relativo_per_capita!K$552/1000000</f>
        <v>8.708777534830478E-2</v>
      </c>
      <c r="L187" s="337">
        <f>Saldo_relativo_per_capita!L187*Saldo_relativo_per_capita!L$552/1000000</f>
        <v>7.2551526908197647E-2</v>
      </c>
      <c r="M187" s="337">
        <f>Saldo_relativo_per_capita!M187*Saldo_relativo_per_capita!M$552/1000000</f>
        <v>0.26348105777251501</v>
      </c>
      <c r="N187" s="337">
        <f>Saldo_relativo_per_capita!N187*Saldo_relativo_per_capita!N$552/1000000</f>
        <v>0.17508466237441897</v>
      </c>
      <c r="O187" s="337">
        <f>Saldo_relativo_per_capita!O187*Saldo_relativo_per_capita!O$552/1000000</f>
        <v>3.8445189473347081E-2</v>
      </c>
      <c r="P187" s="337">
        <f>Saldo_relativo_per_capita!P187*Saldo_relativo_per_capita!P$552/1000000</f>
        <v>9.6103671985262082E-2</v>
      </c>
      <c r="Q187" s="337">
        <f>Saldo_relativo_per_capita!Q187*Saldo_relativo_per_capita!Q$552/1000000</f>
        <v>0.22603627864245507</v>
      </c>
      <c r="R187" s="337">
        <f>Saldo_relativo_per_capita!R187*Saldo_relativo_per_capita!R$552/1000000</f>
        <v>5.1446122944138979E-2</v>
      </c>
      <c r="S187" s="337">
        <f>Saldo_relativo_per_capita!S187*Saldo_relativo_per_capita!S$552/1000000</f>
        <v>-0.34827024392168132</v>
      </c>
      <c r="T187" s="337">
        <f>Saldo_relativo_per_capita!T187*Saldo_relativo_per_capita!T$552/1000000</f>
        <v>-1.1900818481784032</v>
      </c>
      <c r="U187" s="337">
        <f>Saldo_relativo_per_capita!U187*Saldo_relativo_per_capita!U$552/1000000</f>
        <v>1.1152481788058891E-2</v>
      </c>
      <c r="V187" s="337">
        <f>Saldo_relativo_per_capita!V187*Saldo_relativo_per_capita!V$552/1000000</f>
        <v>5.9495624872728846E-3</v>
      </c>
      <c r="W187" s="148"/>
    </row>
    <row r="188" spans="1:23" s="115" customFormat="1">
      <c r="A188" s="352"/>
      <c r="B188" s="115" t="s">
        <v>1113</v>
      </c>
      <c r="C188" s="331" t="str">
        <f>VLOOKUP(B188,Tot_res!C:D,2,FALSE)</f>
        <v>Servicios Sociales</v>
      </c>
      <c r="D188" s="337">
        <f>Saldo_relativo_per_capita!D188*Saldo_relativo_per_capita!D$552/1000000</f>
        <v>0</v>
      </c>
      <c r="E188" s="337">
        <f>Saldo_relativo_per_capita!E188*Saldo_relativo_per_capita!E$552/1000000</f>
        <v>1.6388677041704238</v>
      </c>
      <c r="F188" s="337">
        <f>Saldo_relativo_per_capita!F188*Saldo_relativo_per_capita!F$552/1000000</f>
        <v>0.25783095257772159</v>
      </c>
      <c r="G188" s="337">
        <f>Saldo_relativo_per_capita!G188*Saldo_relativo_per_capita!G$552/1000000</f>
        <v>0.20610863342016028</v>
      </c>
      <c r="H188" s="337">
        <f>Saldo_relativo_per_capita!H188*Saldo_relativo_per_capita!H$552/1000000</f>
        <v>0.21536905373662082</v>
      </c>
      <c r="I188" s="337">
        <f>Saldo_relativo_per_capita!I188*Saldo_relativo_per_capita!I$552/1000000</f>
        <v>0.41018357568861957</v>
      </c>
      <c r="J188" s="337">
        <f>Saldo_relativo_per_capita!J188*Saldo_relativo_per_capita!J$552/1000000</f>
        <v>0.11450035268151637</v>
      </c>
      <c r="K188" s="337">
        <f>Saldo_relativo_per_capita!K188*Saldo_relativo_per_capita!K$552/1000000</f>
        <v>0.48448475357556053</v>
      </c>
      <c r="L188" s="337">
        <f>Saldo_relativo_per_capita!L188*Saldo_relativo_per_capita!L$552/1000000</f>
        <v>0.40361702311337094</v>
      </c>
      <c r="M188" s="337">
        <f>Saldo_relativo_per_capita!M188*Saldo_relativo_per_capita!M$552/1000000</f>
        <v>1.4657918960061</v>
      </c>
      <c r="N188" s="337">
        <f>Saldo_relativo_per_capita!N188*Saldo_relativo_per_capita!N$552/1000000</f>
        <v>0.97402705679496704</v>
      </c>
      <c r="O188" s="337">
        <f>Saldo_relativo_per_capita!O188*Saldo_relativo_per_capita!O$552/1000000</f>
        <v>0.2138774136055924</v>
      </c>
      <c r="P188" s="337">
        <f>Saldo_relativo_per_capita!P188*Saldo_relativo_per_capita!P$552/1000000</f>
        <v>0.53464178701623633</v>
      </c>
      <c r="Q188" s="337">
        <f>Saldo_relativo_per_capita!Q188*Saldo_relativo_per_capita!Q$552/1000000</f>
        <v>1.2574799427272116</v>
      </c>
      <c r="R188" s="337">
        <f>Saldo_relativo_per_capita!R188*Saldo_relativo_per_capita!R$552/1000000</f>
        <v>0.28620391435334036</v>
      </c>
      <c r="S188" s="337">
        <f>Saldo_relativo_per_capita!S188*Saldo_relativo_per_capita!S$552/1000000</f>
        <v>-2.2377914486825632</v>
      </c>
      <c r="T188" s="337">
        <f>Saldo_relativo_per_capita!T188*Saldo_relativo_per_capita!T$552/1000000</f>
        <v>-6.3203343189435044</v>
      </c>
      <c r="U188" s="337">
        <f>Saldo_relativo_per_capita!U188*Saldo_relativo_per_capita!U$552/1000000</f>
        <v>6.2043235910363793E-2</v>
      </c>
      <c r="V188" s="337">
        <f>Saldo_relativo_per_capita!V188*Saldo_relativo_per_capita!V$552/1000000</f>
        <v>3.3098472248262706E-2</v>
      </c>
      <c r="W188" s="148"/>
    </row>
    <row r="189" spans="1:23" s="115" customFormat="1">
      <c r="A189" s="352"/>
      <c r="B189" s="115" t="s">
        <v>1114</v>
      </c>
      <c r="C189" s="331" t="str">
        <f>VLOOKUP(B189,Tot_res!C:D,2,FALSE)</f>
        <v>Fomento y gestiòn del empleo, incluyendo ISM</v>
      </c>
      <c r="D189" s="337">
        <f>Saldo_relativo_per_capita!D189*Saldo_relativo_per_capita!D$552/1000000</f>
        <v>0</v>
      </c>
      <c r="E189" s="337">
        <f>Saldo_relativo_per_capita!E189*Saldo_relativo_per_capita!E$552/1000000</f>
        <v>15.086930416342671</v>
      </c>
      <c r="F189" s="337">
        <f>Saldo_relativo_per_capita!F189*Saldo_relativo_per_capita!F$552/1000000</f>
        <v>2.3735153428314364</v>
      </c>
      <c r="G189" s="337">
        <f>Saldo_relativo_per_capita!G189*Saldo_relativo_per_capita!G$552/1000000</f>
        <v>1.8973750002544927</v>
      </c>
      <c r="H189" s="337">
        <f>Saldo_relativo_per_capita!H189*Saldo_relativo_per_capita!H$552/1000000</f>
        <v>1.982623685419868</v>
      </c>
      <c r="I189" s="337">
        <f>Saldo_relativo_per_capita!I189*Saldo_relativo_per_capita!I$552/1000000</f>
        <v>3.7760284424381489</v>
      </c>
      <c r="J189" s="337">
        <f>Saldo_relativo_per_capita!J189*Saldo_relativo_per_capita!J$552/1000000</f>
        <v>1.0540563153187232</v>
      </c>
      <c r="K189" s="337">
        <f>Saldo_relativo_per_capita!K189*Saldo_relativo_per_capita!K$552/1000000</f>
        <v>4.4600230673734194</v>
      </c>
      <c r="L189" s="337">
        <f>Saldo_relativo_per_capita!L189*Saldo_relativo_per_capita!L$552/1000000</f>
        <v>3.7155787053874216</v>
      </c>
      <c r="M189" s="337">
        <f>Saldo_relativo_per_capita!M189*Saldo_relativo_per_capita!M$552/1000000</f>
        <v>13.493645816321113</v>
      </c>
      <c r="N189" s="337">
        <f>Saldo_relativo_per_capita!N189*Saldo_relativo_per_capita!N$552/1000000</f>
        <v>8.9666044379947074</v>
      </c>
      <c r="O189" s="337">
        <f>Saldo_relativo_per_capita!O189*Saldo_relativo_per_capita!O$552/1000000</f>
        <v>1.968892088411895</v>
      </c>
      <c r="P189" s="337">
        <f>Saldo_relativo_per_capita!P189*Saldo_relativo_per_capita!P$552/1000000</f>
        <v>4.9217538535034011</v>
      </c>
      <c r="Q189" s="337">
        <f>Saldo_relativo_per_capita!Q189*Saldo_relativo_per_capita!Q$552/1000000</f>
        <v>11.575987706387304</v>
      </c>
      <c r="R189" s="337">
        <f>Saldo_relativo_per_capita!R189*Saldo_relativo_per_capita!R$552/1000000</f>
        <v>2.6347084207870424</v>
      </c>
      <c r="S189" s="337">
        <f>Saldo_relativo_per_capita!S189*Saldo_relativo_per_capita!S$552/1000000</f>
        <v>1.1505250047094857</v>
      </c>
      <c r="T189" s="337">
        <f>Saldo_relativo_per_capita!T189*Saldo_relativo_per_capita!T$552/1000000</f>
        <v>-79.93409467413602</v>
      </c>
      <c r="U189" s="337">
        <f>Saldo_relativo_per_capita!U189*Saldo_relativo_per_capita!U$552/1000000</f>
        <v>0.57115164366376059</v>
      </c>
      <c r="V189" s="337">
        <f>Saldo_relativo_per_capita!V189*Saldo_relativo_per_capita!V$552/1000000</f>
        <v>0.3046947269911307</v>
      </c>
      <c r="W189" s="148"/>
    </row>
    <row r="190" spans="1:23" s="115" customFormat="1">
      <c r="A190" s="352"/>
      <c r="B190" s="115" t="s">
        <v>1119</v>
      </c>
      <c r="C190" s="331" t="e">
        <f>VLOOKUP(B190,Tot_res!C:D,2,FALSE)</f>
        <v>#N/A</v>
      </c>
      <c r="D190" s="337">
        <f>Saldo_relativo_per_capita!D190*Saldo_relativo_per_capita!D$552/1000000</f>
        <v>0</v>
      </c>
      <c r="E190" s="337" t="e">
        <f>Saldo_relativo_per_capita!E190*Saldo_relativo_per_capita!E$552/1000000</f>
        <v>#VALUE!</v>
      </c>
      <c r="F190" s="337" t="e">
        <f>Saldo_relativo_per_capita!F190*Saldo_relativo_per_capita!F$552/1000000</f>
        <v>#VALUE!</v>
      </c>
      <c r="G190" s="337" t="e">
        <f>Saldo_relativo_per_capita!G190*Saldo_relativo_per_capita!G$552/1000000</f>
        <v>#VALUE!</v>
      </c>
      <c r="H190" s="337" t="e">
        <f>Saldo_relativo_per_capita!H190*Saldo_relativo_per_capita!H$552/1000000</f>
        <v>#VALUE!</v>
      </c>
      <c r="I190" s="337" t="e">
        <f>Saldo_relativo_per_capita!I190*Saldo_relativo_per_capita!I$552/1000000</f>
        <v>#VALUE!</v>
      </c>
      <c r="J190" s="337" t="e">
        <f>Saldo_relativo_per_capita!J190*Saldo_relativo_per_capita!J$552/1000000</f>
        <v>#VALUE!</v>
      </c>
      <c r="K190" s="337" t="e">
        <f>Saldo_relativo_per_capita!K190*Saldo_relativo_per_capita!K$552/1000000</f>
        <v>#VALUE!</v>
      </c>
      <c r="L190" s="337" t="e">
        <f>Saldo_relativo_per_capita!L190*Saldo_relativo_per_capita!L$552/1000000</f>
        <v>#VALUE!</v>
      </c>
      <c r="M190" s="337" t="e">
        <f>Saldo_relativo_per_capita!M190*Saldo_relativo_per_capita!M$552/1000000</f>
        <v>#VALUE!</v>
      </c>
      <c r="N190" s="337" t="e">
        <f>Saldo_relativo_per_capita!N190*Saldo_relativo_per_capita!N$552/1000000</f>
        <v>#VALUE!</v>
      </c>
      <c r="O190" s="337" t="e">
        <f>Saldo_relativo_per_capita!O190*Saldo_relativo_per_capita!O$552/1000000</f>
        <v>#VALUE!</v>
      </c>
      <c r="P190" s="337" t="e">
        <f>Saldo_relativo_per_capita!P190*Saldo_relativo_per_capita!P$552/1000000</f>
        <v>#VALUE!</v>
      </c>
      <c r="Q190" s="337" t="e">
        <f>Saldo_relativo_per_capita!Q190*Saldo_relativo_per_capita!Q$552/1000000</f>
        <v>#VALUE!</v>
      </c>
      <c r="R190" s="337" t="e">
        <f>Saldo_relativo_per_capita!R190*Saldo_relativo_per_capita!R$552/1000000</f>
        <v>#VALUE!</v>
      </c>
      <c r="S190" s="337" t="e">
        <f>Saldo_relativo_per_capita!S190*Saldo_relativo_per_capita!S$552/1000000</f>
        <v>#VALUE!</v>
      </c>
      <c r="T190" s="337" t="e">
        <f>Saldo_relativo_per_capita!T190*Saldo_relativo_per_capita!T$552/1000000</f>
        <v>#VALUE!</v>
      </c>
      <c r="U190" s="337" t="e">
        <f>Saldo_relativo_per_capita!U190*Saldo_relativo_per_capita!U$552/1000000</f>
        <v>#VALUE!</v>
      </c>
      <c r="V190" s="337" t="e">
        <f>Saldo_relativo_per_capita!V190*Saldo_relativo_per_capita!V$552/1000000</f>
        <v>#VALUE!</v>
      </c>
      <c r="W190" s="148"/>
    </row>
    <row r="191" spans="1:23" s="115" customFormat="1">
      <c r="A191" s="352"/>
      <c r="B191" s="115" t="s">
        <v>1115</v>
      </c>
      <c r="C191" s="331" t="str">
        <f>VLOOKUP(B191,Tot_res!C:D,2,FALSE)</f>
        <v>Agricultura</v>
      </c>
      <c r="D191" s="337">
        <f>Saldo_relativo_per_capita!D191*Saldo_relativo_per_capita!D$552/1000000</f>
        <v>0</v>
      </c>
      <c r="E191" s="337">
        <f>Saldo_relativo_per_capita!E191*Saldo_relativo_per_capita!E$552/1000000</f>
        <v>1.0020557237775407</v>
      </c>
      <c r="F191" s="337">
        <f>Saldo_relativo_per_capita!F191*Saldo_relativo_per_capita!F$552/1000000</f>
        <v>0.1576460266683338</v>
      </c>
      <c r="G191" s="337">
        <f>Saldo_relativo_per_capita!G191*Saldo_relativo_per_capita!G$552/1000000</f>
        <v>0.12602135932819716</v>
      </c>
      <c r="H191" s="337">
        <f>Saldo_relativo_per_capita!H191*Saldo_relativo_per_capita!H$552/1000000</f>
        <v>0.13168347418901338</v>
      </c>
      <c r="I191" s="337">
        <f>Saldo_relativo_per_capita!I191*Saldo_relativo_per_capita!I$552/1000000</f>
        <v>0.25079925534707903</v>
      </c>
      <c r="J191" s="337">
        <f>Saldo_relativo_per_capita!J191*Saldo_relativo_per_capita!J$552/1000000</f>
        <v>7.0009149296854603E-2</v>
      </c>
      <c r="K191" s="337">
        <f>Saldo_relativo_per_capita!K191*Saldo_relativo_per_capita!K$552/1000000</f>
        <v>0.29622935345418044</v>
      </c>
      <c r="L191" s="337">
        <f>Saldo_relativo_per_capita!L191*Saldo_relativo_per_capita!L$552/1000000</f>
        <v>0.24678425671310159</v>
      </c>
      <c r="M191" s="337">
        <f>Saldo_relativo_per_capita!M191*Saldo_relativo_per_capita!M$552/1000000</f>
        <v>0.89623168210709159</v>
      </c>
      <c r="N191" s="337">
        <f>Saldo_relativo_per_capita!N191*Saldo_relativo_per_capita!N$552/1000000</f>
        <v>0.59555105326188806</v>
      </c>
      <c r="O191" s="337">
        <f>Saldo_relativo_per_capita!O191*Saldo_relativo_per_capita!O$552/1000000</f>
        <v>0.1307714380757202</v>
      </c>
      <c r="P191" s="337">
        <f>Saldo_relativo_per_capita!P191*Saldo_relativo_per_capita!P$552/1000000</f>
        <v>0.32689695543268904</v>
      </c>
      <c r="Q191" s="337">
        <f>Saldo_relativo_per_capita!Q191*Saldo_relativo_per_capita!Q$552/1000000</f>
        <v>0.76886314309493764</v>
      </c>
      <c r="R191" s="337">
        <f>Saldo_relativo_per_capita!R191*Saldo_relativo_per_capita!R$552/1000000</f>
        <v>0.17499415591356271</v>
      </c>
      <c r="S191" s="337">
        <f>Saldo_relativo_per_capita!S191*Saldo_relativo_per_capita!S$552/1000000</f>
        <v>-0.66152302749947256</v>
      </c>
      <c r="T191" s="337">
        <f>Saldo_relativo_per_capita!T191*Saldo_relativo_per_capita!T$552/1000000</f>
        <v>-4.5711866588499177</v>
      </c>
      <c r="U191" s="337">
        <f>Saldo_relativo_per_capita!U191*Saldo_relativo_per_capita!U$552/1000000</f>
        <v>3.7935203376974494E-2</v>
      </c>
      <c r="V191" s="337">
        <f>Saldo_relativo_per_capita!V191*Saldo_relativo_per_capita!V$552/1000000</f>
        <v>2.0237456312223956E-2</v>
      </c>
      <c r="W191" s="148"/>
    </row>
    <row r="192" spans="1:23" s="115" customFormat="1" ht="13.5">
      <c r="A192" s="352"/>
      <c r="B192" s="115" t="s">
        <v>1120</v>
      </c>
      <c r="C192" s="331" t="e">
        <f>VLOOKUP(B192,Tot_res!C:D,2,FALSE)</f>
        <v>#N/A</v>
      </c>
      <c r="D192" s="337">
        <f>Saldo_relativo_per_capita!D192*Saldo_relativo_per_capita!D$552/1000000</f>
        <v>0</v>
      </c>
      <c r="E192" s="337" t="e">
        <f>Saldo_relativo_per_capita!E192*Saldo_relativo_per_capita!E$552/1000000</f>
        <v>#VALUE!</v>
      </c>
      <c r="F192" s="337" t="e">
        <f>Saldo_relativo_per_capita!F192*Saldo_relativo_per_capita!F$552/1000000</f>
        <v>#VALUE!</v>
      </c>
      <c r="G192" s="337" t="e">
        <f>Saldo_relativo_per_capita!G192*Saldo_relativo_per_capita!G$552/1000000</f>
        <v>#VALUE!</v>
      </c>
      <c r="H192" s="337" t="e">
        <f>Saldo_relativo_per_capita!H192*Saldo_relativo_per_capita!H$552/1000000</f>
        <v>#VALUE!</v>
      </c>
      <c r="I192" s="337" t="e">
        <f>Saldo_relativo_per_capita!I192*Saldo_relativo_per_capita!I$552/1000000</f>
        <v>#VALUE!</v>
      </c>
      <c r="J192" s="337" t="e">
        <f>Saldo_relativo_per_capita!J192*Saldo_relativo_per_capita!J$552/1000000</f>
        <v>#VALUE!</v>
      </c>
      <c r="K192" s="337" t="e">
        <f>Saldo_relativo_per_capita!K192*Saldo_relativo_per_capita!K$552/1000000</f>
        <v>#VALUE!</v>
      </c>
      <c r="L192" s="337" t="e">
        <f>Saldo_relativo_per_capita!L192*Saldo_relativo_per_capita!L$552/1000000</f>
        <v>#VALUE!</v>
      </c>
      <c r="M192" s="337" t="e">
        <f>Saldo_relativo_per_capita!M192*Saldo_relativo_per_capita!M$552/1000000</f>
        <v>#VALUE!</v>
      </c>
      <c r="N192" s="337" t="e">
        <f>Saldo_relativo_per_capita!N192*Saldo_relativo_per_capita!N$552/1000000</f>
        <v>#VALUE!</v>
      </c>
      <c r="O192" s="337" t="e">
        <f>Saldo_relativo_per_capita!O192*Saldo_relativo_per_capita!O$552/1000000</f>
        <v>#VALUE!</v>
      </c>
      <c r="P192" s="337" t="e">
        <f>Saldo_relativo_per_capita!P192*Saldo_relativo_per_capita!P$552/1000000</f>
        <v>#VALUE!</v>
      </c>
      <c r="Q192" s="337" t="e">
        <f>Saldo_relativo_per_capita!Q192*Saldo_relativo_per_capita!Q$552/1000000</f>
        <v>#VALUE!</v>
      </c>
      <c r="R192" s="337" t="e">
        <f>Saldo_relativo_per_capita!R192*Saldo_relativo_per_capita!R$552/1000000</f>
        <v>#VALUE!</v>
      </c>
      <c r="S192" s="337" t="e">
        <f>Saldo_relativo_per_capita!S192*Saldo_relativo_per_capita!S$552/1000000</f>
        <v>#VALUE!</v>
      </c>
      <c r="T192" s="337" t="e">
        <f>Saldo_relativo_per_capita!T192*Saldo_relativo_per_capita!T$552/1000000</f>
        <v>#VALUE!</v>
      </c>
      <c r="U192" s="337" t="e">
        <f>Saldo_relativo_per_capita!U192*Saldo_relativo_per_capita!U$552/1000000</f>
        <v>#VALUE!</v>
      </c>
      <c r="V192" s="337" t="e">
        <f>Saldo_relativo_per_capita!V192*Saldo_relativo_per_capita!V$552/1000000</f>
        <v>#VALUE!</v>
      </c>
      <c r="W192" s="219"/>
    </row>
    <row r="193" spans="1:23" s="115" customFormat="1">
      <c r="A193" s="352"/>
      <c r="B193" s="115" t="s">
        <v>1116</v>
      </c>
      <c r="C193" s="331" t="str">
        <f>VLOOKUP(B193,Tot_res!C:D,2,FALSE)</f>
        <v>Turismo</v>
      </c>
      <c r="D193" s="337">
        <f>Saldo_relativo_per_capita!D193*Saldo_relativo_per_capita!D$552/1000000</f>
        <v>0</v>
      </c>
      <c r="E193" s="337">
        <f>Saldo_relativo_per_capita!E193*Saldo_relativo_per_capita!E$552/1000000</f>
        <v>7.4387718983785461E-2</v>
      </c>
      <c r="F193" s="337">
        <f>Saldo_relativo_per_capita!F193*Saldo_relativo_per_capita!F$552/1000000</f>
        <v>1.1702870461640889E-2</v>
      </c>
      <c r="G193" s="337">
        <f>Saldo_relativo_per_capita!G193*Saldo_relativo_per_capita!G$552/1000000</f>
        <v>9.355209736561251E-3</v>
      </c>
      <c r="H193" s="337">
        <f>Saldo_relativo_per_capita!H193*Saldo_relativo_per_capita!H$552/1000000</f>
        <v>9.7755374679697471E-3</v>
      </c>
      <c r="I193" s="337">
        <f>Saldo_relativo_per_capita!I193*Saldo_relativo_per_capita!I$552/1000000</f>
        <v>1.8618110834964844E-2</v>
      </c>
      <c r="J193" s="337">
        <f>Saldo_relativo_per_capita!J193*Saldo_relativo_per_capita!J$552/1000000</f>
        <v>5.1971370459877268E-3</v>
      </c>
      <c r="K193" s="337">
        <f>Saldo_relativo_per_capita!K193*Saldo_relativo_per_capita!K$552/1000000</f>
        <v>2.1990619260601172E-2</v>
      </c>
      <c r="L193" s="337">
        <f>Saldo_relativo_per_capita!L193*Saldo_relativo_per_capita!L$552/1000000</f>
        <v>1.8320056961295336E-2</v>
      </c>
      <c r="M193" s="337">
        <f>Saldo_relativo_per_capita!M193*Saldo_relativo_per_capita!M$552/1000000</f>
        <v>6.6531859387640502E-2</v>
      </c>
      <c r="N193" s="337">
        <f>Saldo_relativo_per_capita!N193*Saldo_relativo_per_capita!N$552/1000000</f>
        <v>4.4210799199404488E-2</v>
      </c>
      <c r="O193" s="337">
        <f>Saldo_relativo_per_capita!O193*Saldo_relativo_per_capita!O$552/1000000</f>
        <v>9.7078323648613508E-3</v>
      </c>
      <c r="P193" s="337">
        <f>Saldo_relativo_per_capita!P193*Saldo_relativo_per_capita!P$552/1000000</f>
        <v>2.426723213127455E-2</v>
      </c>
      <c r="Q193" s="337">
        <f>Saldo_relativo_per_capita!Q193*Saldo_relativo_per_capita!Q$552/1000000</f>
        <v>5.7076641616223611E-2</v>
      </c>
      <c r="R193" s="337">
        <f>Saldo_relativo_per_capita!R193*Saldo_relativo_per_capita!R$552/1000000</f>
        <v>1.2990710780863467E-2</v>
      </c>
      <c r="S193" s="337">
        <f>Saldo_relativo_per_capita!S193*Saldo_relativo_per_capita!S$552/1000000</f>
        <v>-8.7942059643247902E-2</v>
      </c>
      <c r="T193" s="337">
        <f>Saldo_relativo_per_capita!T193*Saldo_relativo_per_capita!T$552/1000000</f>
        <v>-0.30050873050293464</v>
      </c>
      <c r="U193" s="337">
        <f>Saldo_relativo_per_capita!U193*Saldo_relativo_per_capita!U$552/1000000</f>
        <v>2.8161240751772812E-3</v>
      </c>
      <c r="V193" s="337">
        <f>Saldo_relativo_per_capita!V193*Saldo_relativo_per_capita!V$552/1000000</f>
        <v>1.5023298379308076E-3</v>
      </c>
      <c r="W193" s="148"/>
    </row>
    <row r="194" spans="1:23" s="115" customFormat="1" ht="13.5">
      <c r="A194" s="352"/>
      <c r="C194" s="141"/>
      <c r="D194" s="217"/>
      <c r="E194" s="217"/>
      <c r="F194" s="217"/>
      <c r="G194" s="217"/>
      <c r="H194" s="217"/>
      <c r="I194" s="217"/>
      <c r="J194" s="217"/>
      <c r="K194" s="217"/>
      <c r="L194" s="217"/>
      <c r="M194" s="217"/>
      <c r="N194" s="217"/>
      <c r="O194" s="217"/>
      <c r="P194" s="217"/>
      <c r="Q194" s="217"/>
      <c r="R194" s="217"/>
      <c r="S194" s="217"/>
      <c r="T194" s="217"/>
      <c r="U194" s="217"/>
      <c r="V194" s="217"/>
      <c r="W194" s="219"/>
    </row>
    <row r="195" spans="1:23" s="115" customFormat="1" ht="27">
      <c r="A195" s="352"/>
      <c r="C195" s="117" t="s">
        <v>57</v>
      </c>
      <c r="D195" s="218">
        <f>Saldo_relativo_per_capita!D195*Saldo_relativo_per_capita!D$552/1000000</f>
        <v>0</v>
      </c>
      <c r="E195" s="218">
        <f>Saldo_relativo_per_capita!E195*Saldo_relativo_per_capita!E$552/1000000</f>
        <v>-2146.1025084117159</v>
      </c>
      <c r="F195" s="218">
        <f>Saldo_relativo_per_capita!F195*Saldo_relativo_per_capita!F$552/1000000</f>
        <v>141.5201618226148</v>
      </c>
      <c r="G195" s="218">
        <f>Saldo_relativo_per_capita!G195*Saldo_relativo_per_capita!G$552/1000000</f>
        <v>82.531624517551819</v>
      </c>
      <c r="H195" s="218">
        <f>Saldo_relativo_per_capita!H195*Saldo_relativo_per_capita!H$552/1000000</f>
        <v>-105.8136651504983</v>
      </c>
      <c r="I195" s="218">
        <f>Saldo_relativo_per_capita!I195*Saldo_relativo_per_capita!I$552/1000000</f>
        <v>155.39862915289476</v>
      </c>
      <c r="J195" s="218">
        <f>Saldo_relativo_per_capita!J195*Saldo_relativo_per_capita!J$552/1000000</f>
        <v>203.81972352828757</v>
      </c>
      <c r="K195" s="218">
        <f>Saldo_relativo_per_capita!K195*Saldo_relativo_per_capita!K$552/1000000</f>
        <v>421.08087897693855</v>
      </c>
      <c r="L195" s="218">
        <f>Saldo_relativo_per_capita!L195*Saldo_relativo_per_capita!L$552/1000000</f>
        <v>-86.499706117966596</v>
      </c>
      <c r="M195" s="218">
        <f>Saldo_relativo_per_capita!M195*Saldo_relativo_per_capita!M$552/1000000</f>
        <v>-1864.9932103675642</v>
      </c>
      <c r="N195" s="218">
        <f>Saldo_relativo_per_capita!N195*Saldo_relativo_per_capita!N$552/1000000</f>
        <v>-1860.9946747446404</v>
      </c>
      <c r="O195" s="218">
        <f>Saldo_relativo_per_capita!O195*Saldo_relativo_per_capita!O$552/1000000</f>
        <v>255.64137105160754</v>
      </c>
      <c r="P195" s="218">
        <f>Saldo_relativo_per_capita!P195*Saldo_relativo_per_capita!P$552/1000000</f>
        <v>305.52396975743278</v>
      </c>
      <c r="Q195" s="218">
        <f>Saldo_relativo_per_capita!Q195*Saldo_relativo_per_capita!Q$552/1000000</f>
        <v>-1854.2335011278958</v>
      </c>
      <c r="R195" s="218">
        <f>Saldo_relativo_per_capita!R195*Saldo_relativo_per_capita!R$552/1000000</f>
        <v>-485.43291761826276</v>
      </c>
      <c r="S195" s="218">
        <f>Saldo_relativo_per_capita!S195*Saldo_relativo_per_capita!S$552/1000000</f>
        <v>1001.4489318474837</v>
      </c>
      <c r="T195" s="218">
        <f>Saldo_relativo_per_capita!T195*Saldo_relativo_per_capita!T$552/1000000</f>
        <v>5437.1321553211237</v>
      </c>
      <c r="U195" s="218">
        <f>Saldo_relativo_per_capita!U195*Saldo_relativo_per_capita!U$552/1000000</f>
        <v>79.057438539436021</v>
      </c>
      <c r="V195" s="218">
        <f>Saldo_relativo_per_capita!V195*Saldo_relativo_per_capita!V$552/1000000</f>
        <v>320.91529902316319</v>
      </c>
      <c r="W195" s="148"/>
    </row>
    <row r="196" spans="1:23">
      <c r="A196" s="352"/>
      <c r="C196" s="43"/>
      <c r="D196" s="39"/>
      <c r="E196" s="39"/>
      <c r="F196" s="39"/>
      <c r="G196" s="39"/>
      <c r="H196" s="39"/>
      <c r="I196" s="39"/>
      <c r="J196" s="39"/>
      <c r="K196" s="39"/>
      <c r="L196" s="39"/>
      <c r="M196" s="39"/>
      <c r="N196" s="39"/>
      <c r="O196" s="39"/>
      <c r="P196" s="39"/>
      <c r="Q196" s="39"/>
      <c r="R196" s="39"/>
      <c r="S196" s="39"/>
      <c r="T196" s="39"/>
      <c r="U196" s="39"/>
      <c r="V196" s="39"/>
      <c r="W196" s="35"/>
    </row>
    <row r="197" spans="1:23" s="115" customFormat="1" ht="13.5">
      <c r="A197" s="352"/>
      <c r="B197" s="137"/>
      <c r="C197" s="117" t="s">
        <v>29</v>
      </c>
      <c r="D197" s="218">
        <f>Saldo_relativo_per_capita!D197*Saldo_relativo_per_capita!D$552/1000000</f>
        <v>0</v>
      </c>
      <c r="E197" s="218">
        <f>Saldo_relativo_per_capita!E197*Saldo_relativo_per_capita!E$552/1000000</f>
        <v>319.2853741587474</v>
      </c>
      <c r="F197" s="218">
        <f>Saldo_relativo_per_capita!F197*Saldo_relativo_per_capita!F$552/1000000</f>
        <v>83.240904787700515</v>
      </c>
      <c r="G197" s="218">
        <f>Saldo_relativo_per_capita!G197*Saldo_relativo_per_capita!G$552/1000000</f>
        <v>61.326965543592671</v>
      </c>
      <c r="H197" s="218">
        <f>Saldo_relativo_per_capita!H197*Saldo_relativo_per_capita!H$552/1000000</f>
        <v>160.91412703252962</v>
      </c>
      <c r="I197" s="218">
        <f>Saldo_relativo_per_capita!I197*Saldo_relativo_per_capita!I$552/1000000</f>
        <v>30.308279698710489</v>
      </c>
      <c r="J197" s="218">
        <f>Saldo_relativo_per_capita!J197*Saldo_relativo_per_capita!J$552/1000000</f>
        <v>19.076184933307463</v>
      </c>
      <c r="K197" s="218">
        <f>Saldo_relativo_per_capita!K197*Saldo_relativo_per_capita!K$552/1000000</f>
        <v>76.230666869832774</v>
      </c>
      <c r="L197" s="218">
        <f>Saldo_relativo_per_capita!L197*Saldo_relativo_per_capita!L$552/1000000</f>
        <v>-49.016786966088212</v>
      </c>
      <c r="M197" s="218">
        <f>Saldo_relativo_per_capita!M197*Saldo_relativo_per_capita!M$552/1000000</f>
        <v>623.05342001311783</v>
      </c>
      <c r="N197" s="218">
        <f>Saldo_relativo_per_capita!N197*Saldo_relativo_per_capita!N$552/1000000</f>
        <v>371.23432870736491</v>
      </c>
      <c r="O197" s="218">
        <f>Saldo_relativo_per_capita!O197*Saldo_relativo_per_capita!O$552/1000000</f>
        <v>127.54719915804269</v>
      </c>
      <c r="P197" s="218">
        <f>Saldo_relativo_per_capita!P197*Saldo_relativo_per_capita!P$552/1000000</f>
        <v>166.61397401516467</v>
      </c>
      <c r="Q197" s="218">
        <f>Saldo_relativo_per_capita!Q197*Saldo_relativo_per_capita!Q$552/1000000</f>
        <v>-695.65037089887358</v>
      </c>
      <c r="R197" s="218">
        <f>Saldo_relativo_per_capita!R197*Saldo_relativo_per_capita!R$552/1000000</f>
        <v>122.70657305821399</v>
      </c>
      <c r="S197" s="218">
        <f>Saldo_relativo_per_capita!S197*Saldo_relativo_per_capita!S$552/1000000</f>
        <v>-456.60190442461015</v>
      </c>
      <c r="T197" s="218">
        <f>Saldo_relativo_per_capita!T197*Saldo_relativo_per_capita!T$552/1000000</f>
        <v>-963.45884693615233</v>
      </c>
      <c r="U197" s="218">
        <f>Saldo_relativo_per_capita!U197*Saldo_relativo_per_capita!U$552/1000000</f>
        <v>8.9508335826545906</v>
      </c>
      <c r="V197" s="218">
        <f>Saldo_relativo_per_capita!V197*Saldo_relativo_per_capita!V$552/1000000</f>
        <v>-5.760922333255925</v>
      </c>
      <c r="W197" s="148"/>
    </row>
    <row r="198" spans="1:23" s="115" customFormat="1">
      <c r="A198" s="351" t="str">
        <f>IF(B198="","",(IF(ISERROR(MATCH(B198,Tot_res!C:C,0)),"Eliminar!!!","")))</f>
        <v/>
      </c>
      <c r="B198" s="115" t="s">
        <v>963</v>
      </c>
      <c r="C198" s="329" t="str">
        <f>VLOOKUP(B198,Tot_res!C:D,2,FALSE)</f>
        <v>Participación CCAARC en IRPF, sobreesfuerzo fiscal regional</v>
      </c>
      <c r="D198" s="336">
        <f>Saldo_relativo_per_capita!D198*Saldo_relativo_per_capita!D$552/1000000</f>
        <v>0</v>
      </c>
      <c r="E198" s="336">
        <f>Saldo_relativo_per_capita!E198*Saldo_relativo_per_capita!E$552/1000000</f>
        <v>130.62261328672417</v>
      </c>
      <c r="F198" s="336">
        <f>Saldo_relativo_per_capita!F198*Saldo_relativo_per_capita!F$552/1000000</f>
        <v>13.054198686878603</v>
      </c>
      <c r="G198" s="336">
        <f>Saldo_relativo_per_capita!G198*Saldo_relativo_per_capita!G$552/1000000</f>
        <v>14.079619692085625</v>
      </c>
      <c r="H198" s="336">
        <f>Saldo_relativo_per_capita!H198*Saldo_relativo_per_capita!H$552/1000000</f>
        <v>10.382855861517326</v>
      </c>
      <c r="I198" s="336">
        <f>Saldo_relativo_per_capita!I198*Saldo_relativo_per_capita!I$552/1000000</f>
        <v>-2.42277090743374</v>
      </c>
      <c r="J198" s="336">
        <f>Saldo_relativo_per_capita!J198*Saldo_relativo_per_capita!J$552/1000000</f>
        <v>-12.422704124015539</v>
      </c>
      <c r="K198" s="336">
        <f>Saldo_relativo_per_capita!K198*Saldo_relativo_per_capita!K$552/1000000</f>
        <v>1.4040576148533765</v>
      </c>
      <c r="L198" s="336">
        <f>Saldo_relativo_per_capita!L198*Saldo_relativo_per_capita!L$552/1000000</f>
        <v>-27.2058796750756</v>
      </c>
      <c r="M198" s="336">
        <f>Saldo_relativo_per_capita!M198*Saldo_relativo_per_capita!M$552/1000000</f>
        <v>100.4586308418975</v>
      </c>
      <c r="N198" s="336">
        <f>Saldo_relativo_per_capita!N198*Saldo_relativo_per_capita!N$552/1000000</f>
        <v>27.202892029037656</v>
      </c>
      <c r="O198" s="336">
        <f>Saldo_relativo_per_capita!O198*Saldo_relativo_per_capita!O$552/1000000</f>
        <v>12.30100680692942</v>
      </c>
      <c r="P198" s="336">
        <f>Saldo_relativo_per_capita!P198*Saldo_relativo_per_capita!P$552/1000000</f>
        <v>13.957719978029296</v>
      </c>
      <c r="Q198" s="336">
        <f>Saldo_relativo_per_capita!Q198*Saldo_relativo_per_capita!Q$552/1000000</f>
        <v>-341.3252576190439</v>
      </c>
      <c r="R198" s="336">
        <f>Saldo_relativo_per_capita!R198*Saldo_relativo_per_capita!R$552/1000000</f>
        <v>19.547496199850681</v>
      </c>
      <c r="S198" s="336">
        <f>Saldo_relativo_per_capita!S198*Saldo_relativo_per_capita!S$552/1000000</f>
        <v>8.9901335779434923</v>
      </c>
      <c r="T198" s="336">
        <f>Saldo_relativo_per_capita!T198*Saldo_relativo_per_capita!T$552/1000000</f>
        <v>30.720381573039852</v>
      </c>
      <c r="U198" s="336">
        <f>Saldo_relativo_per_capita!U198*Saldo_relativo_per_capita!U$552/1000000</f>
        <v>-1.7258601972064296</v>
      </c>
      <c r="V198" s="336">
        <f>Saldo_relativo_per_capita!V198*Saldo_relativo_per_capita!V$552/1000000</f>
        <v>2.3808663739880775</v>
      </c>
      <c r="W198" s="148"/>
    </row>
    <row r="199" spans="1:23" s="115" customFormat="1">
      <c r="A199" s="351" t="str">
        <f>IF(B199="","",(IF(ISERROR(MATCH(B199,Tot_res!C:C,0)),"Eliminar!!!","")))</f>
        <v/>
      </c>
      <c r="B199" s="115" t="s">
        <v>1092</v>
      </c>
      <c r="C199" s="329" t="str">
        <f>VLOOKUP(B199,Tot_res!C:D,2,FALSE)</f>
        <v>Participación CCAARC en IH, sobreesfuerzo fiscal regional</v>
      </c>
      <c r="D199" s="336">
        <f>Saldo_relativo_per_capita!D199*Saldo_relativo_per_capita!D$552/1000000</f>
        <v>0</v>
      </c>
      <c r="E199" s="336">
        <f>Saldo_relativo_per_capita!E199*Saldo_relativo_per_capita!E$552/1000000</f>
        <v>44.321631483283966</v>
      </c>
      <c r="F199" s="336">
        <f>Saldo_relativo_per_capita!F199*Saldo_relativo_per_capita!F$552/1000000</f>
        <v>-28.652310225385268</v>
      </c>
      <c r="G199" s="336">
        <f>Saldo_relativo_per_capita!G199*Saldo_relativo_per_capita!G$552/1000000</f>
        <v>1.6620528234768326</v>
      </c>
      <c r="H199" s="336">
        <f>Saldo_relativo_per_capita!H199*Saldo_relativo_per_capita!H$552/1000000</f>
        <v>9.887396939847557</v>
      </c>
      <c r="I199" s="336">
        <f>Saldo_relativo_per_capita!I199*Saldo_relativo_per_capita!I$552/1000000</f>
        <v>-45.584824682976112</v>
      </c>
      <c r="J199" s="336">
        <f>Saldo_relativo_per_capita!J199*Saldo_relativo_per_capita!J$552/1000000</f>
        <v>9.0491620717117858</v>
      </c>
      <c r="K199" s="336">
        <f>Saldo_relativo_per_capita!K199*Saldo_relativo_per_capita!K$552/1000000</f>
        <v>34.122491830738653</v>
      </c>
      <c r="L199" s="336">
        <f>Saldo_relativo_per_capita!L199*Saldo_relativo_per_capita!L$552/1000000</f>
        <v>25.187934297284681</v>
      </c>
      <c r="M199" s="336">
        <f>Saldo_relativo_per_capita!M199*Saldo_relativo_per_capita!M$552/1000000</f>
        <v>56.981430278081369</v>
      </c>
      <c r="N199" s="336">
        <f>Saldo_relativo_per_capita!N199*Saldo_relativo_per_capita!N$552/1000000</f>
        <v>16.632004311701724</v>
      </c>
      <c r="O199" s="336">
        <f>Saldo_relativo_per_capita!O199*Saldo_relativo_per_capita!O$552/1000000</f>
        <v>5.6860569947525308</v>
      </c>
      <c r="P199" s="336">
        <f>Saldo_relativo_per_capita!P199*Saldo_relativo_per_capita!P$552/1000000</f>
        <v>13.14841327252919</v>
      </c>
      <c r="Q199" s="336">
        <f>Saldo_relativo_per_capita!Q199*Saldo_relativo_per_capita!Q$552/1000000</f>
        <v>-84.741381572324997</v>
      </c>
      <c r="R199" s="336">
        <f>Saldo_relativo_per_capita!R199*Saldo_relativo_per_capita!R$552/1000000</f>
        <v>14.224854789627146</v>
      </c>
      <c r="S199" s="336">
        <f>Saldo_relativo_per_capita!S199*Saldo_relativo_per_capita!S$552/1000000</f>
        <v>-13.889323513463246</v>
      </c>
      <c r="T199" s="336">
        <f>Saldo_relativo_per_capita!T199*Saldo_relativo_per_capita!T$552/1000000</f>
        <v>-47.461510379759034</v>
      </c>
      <c r="U199" s="336">
        <f>Saldo_relativo_per_capita!U199*Saldo_relativo_per_capita!U$552/1000000</f>
        <v>-6.8957548072577151</v>
      </c>
      <c r="V199" s="336">
        <f>Saldo_relativo_per_capita!V199*Saldo_relativo_per_capita!V$552/1000000</f>
        <v>-3.6783239118690689</v>
      </c>
      <c r="W199" s="148"/>
    </row>
    <row r="200" spans="1:23" s="115" customFormat="1">
      <c r="A200" s="351" t="str">
        <f>IF(B200="","",(IF(ISERROR(MATCH(B200,Tot_res!C:C,0)),"Eliminar!!!","")))</f>
        <v/>
      </c>
      <c r="B200" s="115" t="s">
        <v>964</v>
      </c>
      <c r="C200" s="329" t="str">
        <f>VLOOKUP(B200,Tot_res!C:D,2,FALSE)</f>
        <v>Impuesto sucesiones y donac, sobreesfuerzo fiscal de las CCAARC</v>
      </c>
      <c r="D200" s="336">
        <f>Saldo_relativo_per_capita!D200*Saldo_relativo_per_capita!D$552/1000000</f>
        <v>0</v>
      </c>
      <c r="E200" s="336">
        <f>Saldo_relativo_per_capita!E200*Saldo_relativo_per_capita!E$552/1000000</f>
        <v>17.878681074449375</v>
      </c>
      <c r="F200" s="336">
        <f>Saldo_relativo_per_capita!F200*Saldo_relativo_per_capita!F$552/1000000</f>
        <v>40.880199599201006</v>
      </c>
      <c r="G200" s="336">
        <f>Saldo_relativo_per_capita!G200*Saldo_relativo_per_capita!G$552/1000000</f>
        <v>22.135472716848525</v>
      </c>
      <c r="H200" s="336">
        <f>Saldo_relativo_per_capita!H200*Saldo_relativo_per_capita!H$552/1000000</f>
        <v>33.033723816069383</v>
      </c>
      <c r="I200" s="336">
        <f>Saldo_relativo_per_capita!I200*Saldo_relativo_per_capita!I$552/1000000</f>
        <v>-9.9930051497911503</v>
      </c>
      <c r="J200" s="336">
        <f>Saldo_relativo_per_capita!J200*Saldo_relativo_per_capita!J$552/1000000</f>
        <v>-8.4267905972648656</v>
      </c>
      <c r="K200" s="336">
        <f>Saldo_relativo_per_capita!K200*Saldo_relativo_per_capita!K$552/1000000</f>
        <v>-11.194592006510478</v>
      </c>
      <c r="L200" s="336">
        <f>Saldo_relativo_per_capita!L200*Saldo_relativo_per_capita!L$552/1000000</f>
        <v>-26.922509557729505</v>
      </c>
      <c r="M200" s="336">
        <f>Saldo_relativo_per_capita!M200*Saldo_relativo_per_capita!M$552/1000000</f>
        <v>-119.79808947359096</v>
      </c>
      <c r="N200" s="336">
        <f>Saldo_relativo_per_capita!N200*Saldo_relativo_per_capita!N$552/1000000</f>
        <v>-71.538104711834322</v>
      </c>
      <c r="O200" s="336">
        <f>Saldo_relativo_per_capita!O200*Saldo_relativo_per_capita!O$552/1000000</f>
        <v>-6.8287102345084723</v>
      </c>
      <c r="P200" s="336">
        <f>Saldo_relativo_per_capita!P200*Saldo_relativo_per_capita!P$552/1000000</f>
        <v>38.408752166391182</v>
      </c>
      <c r="Q200" s="336">
        <f>Saldo_relativo_per_capita!Q200*Saldo_relativo_per_capita!Q$552/1000000</f>
        <v>66.44370846741937</v>
      </c>
      <c r="R200" s="336">
        <f>Saldo_relativo_per_capita!R200*Saldo_relativo_per_capita!R$552/1000000</f>
        <v>40.50468311879068</v>
      </c>
      <c r="S200" s="336">
        <f>Saldo_relativo_per_capita!S200*Saldo_relativo_per_capita!S$552/1000000</f>
        <v>-7.4862398478041189E-16</v>
      </c>
      <c r="T200" s="336">
        <f>Saldo_relativo_per_capita!T200*Saldo_relativo_per_capita!T$552/1000000</f>
        <v>-2.55813934996555E-15</v>
      </c>
      <c r="U200" s="336">
        <f>Saldo_relativo_per_capita!U200*Saldo_relativo_per_capita!U$552/1000000</f>
        <v>-4.5834192279397437</v>
      </c>
      <c r="V200" s="336">
        <f>Saldo_relativo_per_capita!V200*Saldo_relativo_per_capita!V$552/1000000</f>
        <v>-1.9825886419502629E-16</v>
      </c>
      <c r="W200" s="148"/>
    </row>
    <row r="201" spans="1:23" s="115" customFormat="1">
      <c r="A201" s="351" t="str">
        <f>IF(B201="","",(IF(ISERROR(MATCH(B201,Tot_res!C:C,0)),"Eliminar!!!","")))</f>
        <v/>
      </c>
      <c r="B201" s="115" t="s">
        <v>965</v>
      </c>
      <c r="C201" s="329" t="str">
        <f>VLOOKUP(B201,Tot_res!C:D,2,FALSE)</f>
        <v>ITP y AJD, sobreesfuerzo fiscal de las CCAARC</v>
      </c>
      <c r="D201" s="336">
        <f>Saldo_relativo_per_capita!D201*Saldo_relativo_per_capita!D$552/1000000</f>
        <v>0</v>
      </c>
      <c r="E201" s="336">
        <f>Saldo_relativo_per_capita!E201*Saldo_relativo_per_capita!E$552/1000000</f>
        <v>-5.6243773733998905</v>
      </c>
      <c r="F201" s="336">
        <f>Saldo_relativo_per_capita!F201*Saldo_relativo_per_capita!F$552/1000000</f>
        <v>-11.786118674723854</v>
      </c>
      <c r="G201" s="336">
        <f>Saldo_relativo_per_capita!G201*Saldo_relativo_per_capita!G$552/1000000</f>
        <v>-4.2660173440889375</v>
      </c>
      <c r="H201" s="336">
        <f>Saldo_relativo_per_capita!H201*Saldo_relativo_per_capita!H$552/1000000</f>
        <v>5.7879316916556718</v>
      </c>
      <c r="I201" s="336">
        <f>Saldo_relativo_per_capita!I201*Saldo_relativo_per_capita!I$552/1000000</f>
        <v>-26.617889012854246</v>
      </c>
      <c r="J201" s="336">
        <f>Saldo_relativo_per_capita!J201*Saldo_relativo_per_capita!J$552/1000000</f>
        <v>-0.72346272117617338</v>
      </c>
      <c r="K201" s="336">
        <f>Saldo_relativo_per_capita!K201*Saldo_relativo_per_capita!K$552/1000000</f>
        <v>-7.3075356806829372</v>
      </c>
      <c r="L201" s="336">
        <f>Saldo_relativo_per_capita!L201*Saldo_relativo_per_capita!L$552/1000000</f>
        <v>-9.5463926414101383</v>
      </c>
      <c r="M201" s="336">
        <f>Saldo_relativo_per_capita!M201*Saldo_relativo_per_capita!M$552/1000000</f>
        <v>133.24169358914122</v>
      </c>
      <c r="N201" s="336">
        <f>Saldo_relativo_per_capita!N201*Saldo_relativo_per_capita!N$552/1000000</f>
        <v>93.72967998277683</v>
      </c>
      <c r="O201" s="336">
        <f>Saldo_relativo_per_capita!O201*Saldo_relativo_per_capita!O$552/1000000</f>
        <v>-5.8287697353181445</v>
      </c>
      <c r="P201" s="336">
        <f>Saldo_relativo_per_capita!P201*Saldo_relativo_per_capita!P$552/1000000</f>
        <v>8.0581227740957857</v>
      </c>
      <c r="Q201" s="336">
        <f>Saldo_relativo_per_capita!Q201*Saldo_relativo_per_capita!Q$552/1000000</f>
        <v>-134.79726539350037</v>
      </c>
      <c r="R201" s="336">
        <f>Saldo_relativo_per_capita!R201*Saldo_relativo_per_capita!R$552/1000000</f>
        <v>-4.7347931912244006</v>
      </c>
      <c r="S201" s="336">
        <f>Saldo_relativo_per_capita!S201*Saldo_relativo_per_capita!S$552/1000000</f>
        <v>-5.7131394935778372</v>
      </c>
      <c r="T201" s="336">
        <f>Saldo_relativo_per_capita!T201*Saldo_relativo_per_capita!T$552/1000000</f>
        <v>-19.522493598238942</v>
      </c>
      <c r="U201" s="336">
        <f>Saldo_relativo_per_capita!U201*Saldo_relativo_per_capita!U$552/1000000</f>
        <v>-2.8361565362599577</v>
      </c>
      <c r="V201" s="336">
        <f>Saldo_relativo_per_capita!V201*Saldo_relativo_per_capita!V$552/1000000</f>
        <v>-1.51301664121372</v>
      </c>
      <c r="W201" s="148"/>
    </row>
    <row r="202" spans="1:23" s="115" customFormat="1">
      <c r="A202" s="351" t="str">
        <f>IF(B202="","",(IF(ISERROR(MATCH(B202,Tot_res!C:C,0)),"Eliminar!!!","")))</f>
        <v/>
      </c>
      <c r="B202" s="115" t="s">
        <v>966</v>
      </c>
      <c r="C202" s="329" t="str">
        <f>VLOOKUP(B202,Tot_res!C:D,2,FALSE)</f>
        <v>Tasas sobre el juego, sobreesfuerzo fiscal de las CCAARC</v>
      </c>
      <c r="D202" s="336">
        <f>Saldo_relativo_per_capita!D202*Saldo_relativo_per_capita!D$552/1000000</f>
        <v>0</v>
      </c>
      <c r="E202" s="336">
        <f>Saldo_relativo_per_capita!E202*Saldo_relativo_per_capita!E$552/1000000</f>
        <v>14.755660179303765</v>
      </c>
      <c r="F202" s="336">
        <f>Saldo_relativo_per_capita!F202*Saldo_relativo_per_capita!F$552/1000000</f>
        <v>9.3351486377994792</v>
      </c>
      <c r="G202" s="336">
        <f>Saldo_relativo_per_capita!G202*Saldo_relativo_per_capita!G$552/1000000</f>
        <v>5.6775698778682022</v>
      </c>
      <c r="H202" s="336">
        <f>Saldo_relativo_per_capita!H202*Saldo_relativo_per_capita!H$552/1000000</f>
        <v>-6.4724708790400394</v>
      </c>
      <c r="I202" s="336">
        <f>Saldo_relativo_per_capita!I202*Saldo_relativo_per_capita!I$552/1000000</f>
        <v>20.416330848069865</v>
      </c>
      <c r="J202" s="336">
        <f>Saldo_relativo_per_capita!J202*Saldo_relativo_per_capita!J$552/1000000</f>
        <v>1.667477466678922</v>
      </c>
      <c r="K202" s="336">
        <f>Saldo_relativo_per_capita!K202*Saldo_relativo_per_capita!K$552/1000000</f>
        <v>2.9321444057162762</v>
      </c>
      <c r="L202" s="336">
        <f>Saldo_relativo_per_capita!L202*Saldo_relativo_per_capita!L$552/1000000</f>
        <v>-5.1565422533292855</v>
      </c>
      <c r="M202" s="336">
        <f>Saldo_relativo_per_capita!M202*Saldo_relativo_per_capita!M$552/1000000</f>
        <v>52.996247803339891</v>
      </c>
      <c r="N202" s="336">
        <f>Saldo_relativo_per_capita!N202*Saldo_relativo_per_capita!N$552/1000000</f>
        <v>-6.2151879778737582</v>
      </c>
      <c r="O202" s="336">
        <f>Saldo_relativo_per_capita!O202*Saldo_relativo_per_capita!O$552/1000000</f>
        <v>4.2105285134957198</v>
      </c>
      <c r="P202" s="336">
        <f>Saldo_relativo_per_capita!P202*Saldo_relativo_per_capita!P$552/1000000</f>
        <v>-7.4882473156221137</v>
      </c>
      <c r="Q202" s="336">
        <f>Saldo_relativo_per_capita!Q202*Saldo_relativo_per_capita!Q$552/1000000</f>
        <v>-96.145592606368993</v>
      </c>
      <c r="R202" s="336">
        <f>Saldo_relativo_per_capita!R202*Saldo_relativo_per_capita!R$552/1000000</f>
        <v>5.8217205408768624</v>
      </c>
      <c r="S202" s="336">
        <f>Saldo_relativo_per_capita!S202*Saldo_relativo_per_capita!S$552/1000000</f>
        <v>6.7376158630237064E-16</v>
      </c>
      <c r="T202" s="336">
        <f>Saldo_relativo_per_capita!T202*Saldo_relativo_per_capita!T$552/1000000</f>
        <v>2.3023254149689947E-15</v>
      </c>
      <c r="U202" s="336">
        <f>Saldo_relativo_per_capita!U202*Saldo_relativo_per_capita!U$552/1000000</f>
        <v>3.6652127590852022</v>
      </c>
      <c r="V202" s="336">
        <f>Saldo_relativo_per_capita!V202*Saldo_relativo_per_capita!V$552/1000000</f>
        <v>1.7843297777552365E-16</v>
      </c>
      <c r="W202" s="148"/>
    </row>
    <row r="203" spans="1:23" s="115" customFormat="1">
      <c r="A203" s="351" t="str">
        <f>IF(B203="","",(IF(ISERROR(MATCH(B203,Tot_res!C:C,0)),"Eliminar!!!","")))</f>
        <v/>
      </c>
      <c r="B203" s="115" t="s">
        <v>967</v>
      </c>
      <c r="C203" s="329" t="str">
        <f>VLOOKUP(B203,Tot_res!C:D,2,FALSE)</f>
        <v>IVMH, sobreesfuerzo fiscal de las CCAARC</v>
      </c>
      <c r="D203" s="336">
        <f>Saldo_relativo_per_capita!D203*Saldo_relativo_per_capita!D$552/1000000</f>
        <v>0</v>
      </c>
      <c r="E203" s="336">
        <f>Saldo_relativo_per_capita!E203*Saldo_relativo_per_capita!E$552/1000000</f>
        <v>0.80392512523462589</v>
      </c>
      <c r="F203" s="336">
        <f>Saldo_relativo_per_capita!F203*Saldo_relativo_per_capita!F$552/1000000</f>
        <v>-0.1517502496613595</v>
      </c>
      <c r="G203" s="336">
        <f>Saldo_relativo_per_capita!G203*Saldo_relativo_per_capita!G$552/1000000</f>
        <v>-6.9883486230323463E-2</v>
      </c>
      <c r="H203" s="336">
        <f>Saldo_relativo_per_capita!H203*Saldo_relativo_per_capita!H$552/1000000</f>
        <v>-6.108406878211451E-2</v>
      </c>
      <c r="I203" s="336">
        <f>Saldo_relativo_per_capita!I203*Saldo_relativo_per_capita!I$552/1000000</f>
        <v>-0.24141965654404368</v>
      </c>
      <c r="J203" s="336">
        <f>Saldo_relativo_per_capita!J203*Saldo_relativo_per_capita!J$552/1000000</f>
        <v>5.0417524748616785E-2</v>
      </c>
      <c r="K203" s="336">
        <f>Saldo_relativo_per_capita!K203*Saldo_relativo_per_capita!K$552/1000000</f>
        <v>0.1495877480044345</v>
      </c>
      <c r="L203" s="336">
        <f>Saldo_relativo_per_capita!L203*Saldo_relativo_per_capita!L$552/1000000</f>
        <v>3.8283332986109121E-2</v>
      </c>
      <c r="M203" s="336">
        <f>Saldo_relativo_per_capita!M203*Saldo_relativo_per_capita!M$552/1000000</f>
        <v>-0.30957782545406398</v>
      </c>
      <c r="N203" s="336">
        <f>Saldo_relativo_per_capita!N203*Saldo_relativo_per_capita!N$552/1000000</f>
        <v>0.43207012896114461</v>
      </c>
      <c r="O203" s="336">
        <f>Saldo_relativo_per_capita!O203*Saldo_relativo_per_capita!O$552/1000000</f>
        <v>0.20065399861212788</v>
      </c>
      <c r="P203" s="336">
        <f>Saldo_relativo_per_capita!P203*Saldo_relativo_per_capita!P$552/1000000</f>
        <v>-0.12213624506934248</v>
      </c>
      <c r="Q203" s="336">
        <f>Saldo_relativo_per_capita!Q203*Saldo_relativo_per_capita!Q$552/1000000</f>
        <v>-0.48801619752089503</v>
      </c>
      <c r="R203" s="336">
        <f>Saldo_relativo_per_capita!R203*Saldo_relativo_per_capita!R$552/1000000</f>
        <v>0.14984422101564712</v>
      </c>
      <c r="S203" s="336">
        <f>Saldo_relativo_per_capita!S203*Saldo_relativo_per_capita!S$552/1000000</f>
        <v>-7.3558596211990249E-2</v>
      </c>
      <c r="T203" s="336">
        <f>Saldo_relativo_per_capita!T203*Saldo_relativo_per_capita!T$552/1000000</f>
        <v>-0.25135868383019344</v>
      </c>
      <c r="U203" s="336">
        <f>Saldo_relativo_per_capita!U203*Saldo_relativo_per_capita!U$552/1000000</f>
        <v>-3.6516471141525224E-2</v>
      </c>
      <c r="V203" s="336">
        <f>Saldo_relativo_per_capita!V203*Saldo_relativo_per_capita!V$552/1000000</f>
        <v>-1.9480599116854989E-2</v>
      </c>
      <c r="W203" s="148"/>
    </row>
    <row r="204" spans="1:23" s="115" customFormat="1">
      <c r="A204" s="351" t="str">
        <f>IF(B204="","",(IF(ISERROR(MATCH(B204,Tot_res!C:C,0)),"Eliminar!!!","")))</f>
        <v/>
      </c>
      <c r="B204" s="115" t="s">
        <v>968</v>
      </c>
      <c r="C204" s="329" t="str">
        <f>VLOOKUP(B204,Tot_res!C:D,2,FALSE)</f>
        <v>Impuesto de matriculación, sobreesfuerzo fiscal de las CCAARC</v>
      </c>
      <c r="D204" s="336">
        <f>Saldo_relativo_per_capita!D204*Saldo_relativo_per_capita!D$552/1000000</f>
        <v>0</v>
      </c>
      <c r="E204" s="336">
        <f>Saldo_relativo_per_capita!E204*Saldo_relativo_per_capita!E$552/1000000</f>
        <v>0.46850505583986951</v>
      </c>
      <c r="F204" s="336">
        <f>Saldo_relativo_per_capita!F204*Saldo_relativo_per_capita!F$552/1000000</f>
        <v>-6.1855310300237269E-2</v>
      </c>
      <c r="G204" s="336">
        <f>Saldo_relativo_per_capita!G204*Saldo_relativo_per_capita!G$552/1000000</f>
        <v>2.9332080291300361E-3</v>
      </c>
      <c r="H204" s="336">
        <f>Saldo_relativo_per_capita!H204*Saldo_relativo_per_capita!H$552/1000000</f>
        <v>9.3361573402027068E-2</v>
      </c>
      <c r="I204" s="336">
        <f>Saldo_relativo_per_capita!I204*Saldo_relativo_per_capita!I$552/1000000</f>
        <v>-9.840568830320004E-2</v>
      </c>
      <c r="J204" s="336">
        <f>Saldo_relativo_per_capita!J204*Saldo_relativo_per_capita!J$552/1000000</f>
        <v>5.9210626079633476E-2</v>
      </c>
      <c r="K204" s="336">
        <f>Saldo_relativo_per_capita!K204*Saldo_relativo_per_capita!K$552/1000000</f>
        <v>-0.11623102063014183</v>
      </c>
      <c r="L204" s="336">
        <f>Saldo_relativo_per_capita!L204*Saldo_relativo_per_capita!L$552/1000000</f>
        <v>-9.6830329941125989E-2</v>
      </c>
      <c r="M204" s="336">
        <f>Saldo_relativo_per_capita!M204*Saldo_relativo_per_capita!M$552/1000000</f>
        <v>0.37239705974373405</v>
      </c>
      <c r="N204" s="336">
        <f>Saldo_relativo_per_capita!N204*Saldo_relativo_per_capita!N$552/1000000</f>
        <v>-0.23367538007570243</v>
      </c>
      <c r="O204" s="336">
        <f>Saldo_relativo_per_capita!O204*Saldo_relativo_per_capita!O$552/1000000</f>
        <v>0.24970942750076466</v>
      </c>
      <c r="P204" s="336">
        <f>Saldo_relativo_per_capita!P204*Saldo_relativo_per_capita!P$552/1000000</f>
        <v>-0.12826401680920671</v>
      </c>
      <c r="Q204" s="336">
        <f>Saldo_relativo_per_capita!Q204*Saldo_relativo_per_capita!Q$552/1000000</f>
        <v>-0.30167755762477511</v>
      </c>
      <c r="R204" s="336">
        <f>Saldo_relativo_per_capita!R204*Saldo_relativo_per_capita!R$552/1000000</f>
        <v>-5.3912167030282607E-2</v>
      </c>
      <c r="S204" s="336">
        <f>Saldo_relativo_per_capita!S204*Saldo_relativo_per_capita!S$552/1000000</f>
        <v>-2.9983408950536236E-2</v>
      </c>
      <c r="T204" s="336">
        <f>Saldo_relativo_per_capita!T204*Saldo_relativo_per_capita!T$552/1000000</f>
        <v>-0.10245696082656816</v>
      </c>
      <c r="U204" s="336">
        <f>Saldo_relativo_per_capita!U204*Saldo_relativo_per_capita!U$552/1000000</f>
        <v>-1.4884572899018102E-2</v>
      </c>
      <c r="V204" s="336">
        <f>Saldo_relativo_per_capita!V204*Saldo_relativo_per_capita!V$552/1000000</f>
        <v>-7.9405372043642817E-3</v>
      </c>
      <c r="W204" s="148"/>
    </row>
    <row r="205" spans="1:23" s="115" customFormat="1">
      <c r="A205" s="351" t="str">
        <f>IF(B205="","",(IF(ISERROR(MATCH(B205,Tot_res!C:C,0)),"Eliminar!!!","")))</f>
        <v/>
      </c>
      <c r="B205" s="115" t="s">
        <v>969</v>
      </c>
      <c r="C205" s="329" t="str">
        <f>VLOOKUP(B205,Tot_res!C:D,2,FALSE)</f>
        <v>IRPF, sobreesfuerzo fiscal de las comunidades forales</v>
      </c>
      <c r="D205" s="336">
        <f>Saldo_relativo_per_capita!D205*Saldo_relativo_per_capita!D$552/1000000</f>
        <v>0</v>
      </c>
      <c r="E205" s="336">
        <f>Saldo_relativo_per_capita!E205*Saldo_relativo_per_capita!E$552/1000000</f>
        <v>214.94574944111571</v>
      </c>
      <c r="F205" s="336">
        <f>Saldo_relativo_per_capita!F205*Saldo_relativo_per_capita!F$552/1000000</f>
        <v>33.815827348302001</v>
      </c>
      <c r="G205" s="336">
        <f>Saldo_relativo_per_capita!G205*Saldo_relativo_per_capita!G$552/1000000</f>
        <v>27.032184821291473</v>
      </c>
      <c r="H205" s="336">
        <f>Saldo_relativo_per_capita!H205*Saldo_relativo_per_capita!H$552/1000000</f>
        <v>28.246735562633283</v>
      </c>
      <c r="I205" s="336">
        <f>Saldo_relativo_per_capita!I205*Saldo_relativo_per_capita!I$552/1000000</f>
        <v>53.797640810461985</v>
      </c>
      <c r="J205" s="336">
        <f>Saldo_relativo_per_capita!J205*Saldo_relativo_per_capita!J$552/1000000</f>
        <v>15.017297647499001</v>
      </c>
      <c r="K205" s="336">
        <f>Saldo_relativo_per_capita!K205*Saldo_relativo_per_capita!K$552/1000000</f>
        <v>63.54261432151813</v>
      </c>
      <c r="L205" s="336">
        <f>Saldo_relativo_per_capita!L205*Saldo_relativo_per_capita!L$552/1000000</f>
        <v>52.936404384276031</v>
      </c>
      <c r="M205" s="336">
        <f>Saldo_relativo_per_capita!M205*Saldo_relativo_per_capita!M$552/1000000</f>
        <v>192.2459859389491</v>
      </c>
      <c r="N205" s="336">
        <f>Saldo_relativo_per_capita!N205*Saldo_relativo_per_capita!N$552/1000000</f>
        <v>127.7485517384672</v>
      </c>
      <c r="O205" s="336">
        <f>Saldo_relativo_per_capita!O205*Saldo_relativo_per_capita!O$552/1000000</f>
        <v>28.051099450551472</v>
      </c>
      <c r="P205" s="336">
        <f>Saldo_relativo_per_capita!P205*Saldo_relativo_per_capita!P$552/1000000</f>
        <v>70.12096174713075</v>
      </c>
      <c r="Q205" s="336">
        <f>Saldo_relativo_per_capita!Q205*Saldo_relativo_per_capita!Q$552/1000000</f>
        <v>164.92482462670131</v>
      </c>
      <c r="R205" s="336">
        <f>Saldo_relativo_per_capita!R205*Saldo_relativo_per_capita!R$552/1000000</f>
        <v>37.537084114302864</v>
      </c>
      <c r="S205" s="336">
        <f>Saldo_relativo_per_capita!S205*Saldo_relativo_per_capita!S$552/1000000</f>
        <v>-310.38432742737126</v>
      </c>
      <c r="T205" s="336">
        <f>Saldo_relativo_per_capita!T205*Saldo_relativo_per_capita!T$552/1000000</f>
        <v>-812.05694849298095</v>
      </c>
      <c r="U205" s="336">
        <f>Saldo_relativo_per_capita!U205*Saldo_relativo_per_capita!U$552/1000000</f>
        <v>8.1372827145041473</v>
      </c>
      <c r="V205" s="336">
        <f>Saldo_relativo_per_capita!V205*Saldo_relativo_per_capita!V$552/1000000</f>
        <v>4.3410312526477011</v>
      </c>
      <c r="W205" s="148"/>
    </row>
    <row r="206" spans="1:23" s="115" customFormat="1">
      <c r="A206" s="351" t="str">
        <f>IF(B206="","",(IF(ISERROR(MATCH(B206,Tot_res!C:C,0)),"Eliminar!!!","")))</f>
        <v/>
      </c>
      <c r="B206" s="115" t="s">
        <v>970</v>
      </c>
      <c r="C206" s="329" t="str">
        <f>VLOOKUP(B206,Tot_res!C:D,2,FALSE)</f>
        <v>Sociedades, sobreesfuerzo fiscal de las comunidades forales</v>
      </c>
      <c r="D206" s="336">
        <f>Saldo_relativo_per_capita!D206*Saldo_relativo_per_capita!D$552/1000000</f>
        <v>0</v>
      </c>
      <c r="E206" s="336">
        <f>Saldo_relativo_per_capita!E206*Saldo_relativo_per_capita!E$552/1000000</f>
        <v>37.937115055476944</v>
      </c>
      <c r="F206" s="336">
        <f>Saldo_relativo_per_capita!F206*Saldo_relativo_per_capita!F$552/1000000</f>
        <v>5.9683661395691834</v>
      </c>
      <c r="G206" s="336">
        <f>Saldo_relativo_per_capita!G206*Saldo_relativo_per_capita!G$552/1000000</f>
        <v>4.7710787881720522</v>
      </c>
      <c r="H206" s="336">
        <f>Saldo_relativo_per_capita!H206*Saldo_relativo_per_capita!H$552/1000000</f>
        <v>4.9854424186918633</v>
      </c>
      <c r="I206" s="336">
        <f>Saldo_relativo_per_capita!I206*Saldo_relativo_per_capita!I$552/1000000</f>
        <v>9.4950809422673839</v>
      </c>
      <c r="J206" s="336">
        <f>Saldo_relativo_per_capita!J206*Saldo_relativo_per_capita!J$552/1000000</f>
        <v>2.6504964632091288</v>
      </c>
      <c r="K206" s="336">
        <f>Saldo_relativo_per_capita!K206*Saldo_relativo_per_capita!K$552/1000000</f>
        <v>11.215032056735875</v>
      </c>
      <c r="L206" s="336">
        <f>Saldo_relativo_per_capita!L206*Saldo_relativo_per_capita!L$552/1000000</f>
        <v>9.3430759574042863</v>
      </c>
      <c r="M206" s="336">
        <f>Saldo_relativo_per_capita!M206*Saldo_relativo_per_capita!M$552/1000000</f>
        <v>33.930692309491327</v>
      </c>
      <c r="N206" s="336">
        <f>Saldo_relativo_per_capita!N206*Saldo_relativo_per_capita!N$552/1000000</f>
        <v>22.547138141014745</v>
      </c>
      <c r="O206" s="336">
        <f>Saldo_relativo_per_capita!O206*Saldo_relativo_per_capita!O$552/1000000</f>
        <v>4.9509133818890803</v>
      </c>
      <c r="P206" s="336">
        <f>Saldo_relativo_per_capita!P206*Saldo_relativo_per_capita!P$552/1000000</f>
        <v>12.376085596102255</v>
      </c>
      <c r="Q206" s="336">
        <f>Saldo_relativo_per_capita!Q206*Saldo_relativo_per_capita!Q$552/1000000</f>
        <v>29.108610259267142</v>
      </c>
      <c r="R206" s="336">
        <f>Saldo_relativo_per_capita!R206*Saldo_relativo_per_capita!R$552/1000000</f>
        <v>6.6251539404436608</v>
      </c>
      <c r="S206" s="336">
        <f>Saldo_relativo_per_capita!S206*Saldo_relativo_per_capita!S$552/1000000</f>
        <v>-143.47868636231905</v>
      </c>
      <c r="T206" s="336">
        <f>Saldo_relativo_per_capita!T206*Saldo_relativo_per_capita!T$552/1000000</f>
        <v>-54.627970495634337</v>
      </c>
      <c r="U206" s="336">
        <f>Saldo_relativo_per_capita!U206*Saldo_relativo_per_capita!U$552/1000000</f>
        <v>1.4361997451996937</v>
      </c>
      <c r="V206" s="336">
        <f>Saldo_relativo_per_capita!V206*Saldo_relativo_per_capita!V$552/1000000</f>
        <v>0.76617566301878748</v>
      </c>
      <c r="W206" s="148"/>
    </row>
    <row r="207" spans="1:23" s="115" customFormat="1">
      <c r="A207" s="351" t="str">
        <f>IF(B207="","",(IF(ISERROR(MATCH(B207,Tot_res!C:C,0)),"Eliminar!!!","")))</f>
        <v/>
      </c>
      <c r="B207" s="115" t="s">
        <v>971</v>
      </c>
      <c r="C207" s="329" t="str">
        <f>VLOOKUP(B207,Tot_res!C:D,2,FALSE)</f>
        <v>Sucesiones y donaciones, sobreesfuerzo fiscal de las comunidades forales</v>
      </c>
      <c r="D207" s="336">
        <f>Saldo_relativo_per_capita!D207*Saldo_relativo_per_capita!D$552/1000000</f>
        <v>0</v>
      </c>
      <c r="E207" s="336">
        <f>Saldo_relativo_per_capita!E207*Saldo_relativo_per_capita!E$552/1000000</f>
        <v>7.9521519103205369</v>
      </c>
      <c r="F207" s="336">
        <f>Saldo_relativo_per_capita!F207*Saldo_relativo_per_capita!F$552/1000000</f>
        <v>1.2510533320433799</v>
      </c>
      <c r="G207" s="336">
        <f>Saldo_relativo_per_capita!G207*Saldo_relativo_per_capita!G$552/1000000</f>
        <v>1.0000850946143511</v>
      </c>
      <c r="H207" s="336">
        <f>Saldo_relativo_per_capita!H207*Saldo_relativo_per_capita!H$552/1000000</f>
        <v>1.0450187209970792</v>
      </c>
      <c r="I207" s="336">
        <f>Saldo_relativo_per_capita!I207*Saldo_relativo_per_capita!I$552/1000000</f>
        <v>1.9903022658228977</v>
      </c>
      <c r="J207" s="336">
        <f>Saldo_relativo_per_capita!J207*Saldo_relativo_per_capita!J$552/1000000</f>
        <v>0.55558126869648239</v>
      </c>
      <c r="K207" s="336">
        <f>Saldo_relativo_per_capita!K207*Saldo_relativo_per_capita!K$552/1000000</f>
        <v>2.3508281656067287</v>
      </c>
      <c r="L207" s="336">
        <f>Saldo_relativo_per_capita!L207*Saldo_relativo_per_capita!L$552/1000000</f>
        <v>1.9584398870155026</v>
      </c>
      <c r="M207" s="336">
        <f>Saldo_relativo_per_capita!M207*Saldo_relativo_per_capita!M$552/1000000</f>
        <v>7.1123494570646306</v>
      </c>
      <c r="N207" s="336">
        <f>Saldo_relativo_per_capita!N207*Saldo_relativo_per_capita!N$552/1000000</f>
        <v>4.7261966909749598</v>
      </c>
      <c r="O207" s="336">
        <f>Saldo_relativo_per_capita!O207*Saldo_relativo_per_capita!O$552/1000000</f>
        <v>1.0377809501341326</v>
      </c>
      <c r="P207" s="336">
        <f>Saldo_relativo_per_capita!P207*Saldo_relativo_per_capita!P$552/1000000</f>
        <v>2.5942012873518898</v>
      </c>
      <c r="Q207" s="336">
        <f>Saldo_relativo_per_capita!Q207*Saldo_relativo_per_capita!Q$552/1000000</f>
        <v>6.1015733626953583</v>
      </c>
      <c r="R207" s="336">
        <f>Saldo_relativo_per_capita!R207*Saldo_relativo_per_capita!R$552/1000000</f>
        <v>1.3887252756732942</v>
      </c>
      <c r="S207" s="336">
        <f>Saldo_relativo_per_capita!S207*Saldo_relativo_per_capita!S$552/1000000</f>
        <v>9.6719256752280014</v>
      </c>
      <c r="T207" s="336">
        <f>Saldo_relativo_per_capita!T207*Saldo_relativo_per_capita!T$552/1000000</f>
        <v>-51.197862148690923</v>
      </c>
      <c r="U207" s="336">
        <f>Saldo_relativo_per_capita!U207*Saldo_relativo_per_capita!U$552/1000000</f>
        <v>0.30104762923301925</v>
      </c>
      <c r="V207" s="336">
        <f>Saldo_relativo_per_capita!V207*Saldo_relativo_per_capita!V$552/1000000</f>
        <v>0.16060117521868211</v>
      </c>
      <c r="W207" s="148"/>
    </row>
    <row r="208" spans="1:23" s="115" customFormat="1">
      <c r="A208" s="351" t="str">
        <f>IF(B208="","",(IF(ISERROR(MATCH(B208,Tot_res!C:C,0)),"Eliminar!!!","")))</f>
        <v/>
      </c>
      <c r="B208" s="115" t="s">
        <v>1079</v>
      </c>
      <c r="C208" s="329" t="s">
        <v>1080</v>
      </c>
      <c r="D208" s="336">
        <f>Saldo_relativo_per_capita!D208*Saldo_relativo_per_capita!D$552/1000000</f>
        <v>0</v>
      </c>
      <c r="E208" s="336">
        <f>Saldo_relativo_per_capita!E208*Saldo_relativo_per_capita!E$552/1000000</f>
        <v>0.11288876061437826</v>
      </c>
      <c r="F208" s="336">
        <f>Saldo_relativo_per_capita!F208*Saldo_relativo_per_capita!F$552/1000000</f>
        <v>1.775995500457846E-2</v>
      </c>
      <c r="G208" s="336">
        <f>Saldo_relativo_per_capita!G208*Saldo_relativo_per_capita!G$552/1000000</f>
        <v>1.4197209524305554E-2</v>
      </c>
      <c r="H208" s="336">
        <f>Saldo_relativo_per_capita!H208*Saldo_relativo_per_capita!H$552/1000000</f>
        <v>1.4835087352780187E-2</v>
      </c>
      <c r="I208" s="336">
        <f>Saldo_relativo_per_capita!I208*Saldo_relativo_per_capita!I$552/1000000</f>
        <v>2.8254333992932888E-2</v>
      </c>
      <c r="J208" s="336">
        <f>Saldo_relativo_per_capita!J208*Saldo_relativo_per_capita!J$552/1000000</f>
        <v>7.8870325354714818E-3</v>
      </c>
      <c r="K208" s="336">
        <f>Saldo_relativo_per_capita!K208*Saldo_relativo_per_capita!K$552/1000000</f>
        <v>3.3372360214635147E-2</v>
      </c>
      <c r="L208" s="336">
        <f>Saldo_relativo_per_capita!L208*Saldo_relativo_per_capita!L$552/1000000</f>
        <v>2.7802015614919448E-2</v>
      </c>
      <c r="M208" s="336">
        <f>Saldo_relativo_per_capita!M208*Saldo_relativo_per_capita!M$552/1000000</f>
        <v>0.10096692371059202</v>
      </c>
      <c r="N208" s="336">
        <f>Saldo_relativo_per_capita!N208*Saldo_relativo_per_capita!N$552/1000000</f>
        <v>6.7093095413771231E-2</v>
      </c>
      <c r="O208" s="336">
        <f>Saldo_relativo_per_capita!O208*Saldo_relativo_per_capita!O$552/1000000</f>
        <v>1.4732339946600927E-2</v>
      </c>
      <c r="P208" s="336">
        <f>Saldo_relativo_per_capita!P208*Saldo_relativo_per_capita!P$552/1000000</f>
        <v>3.682728542110747E-2</v>
      </c>
      <c r="Q208" s="336">
        <f>Saldo_relativo_per_capita!Q208*Saldo_relativo_per_capita!Q$552/1000000</f>
        <v>8.6617944737504282E-2</v>
      </c>
      <c r="R208" s="336">
        <f>Saldo_relativo_per_capita!R208*Saldo_relativo_per_capita!R$552/1000000</f>
        <v>1.9714346125751993E-2</v>
      </c>
      <c r="S208" s="336">
        <f>Saldo_relativo_per_capita!S208*Saldo_relativo_per_capita!S$552/1000000</f>
        <v>-0.61891979651849605</v>
      </c>
      <c r="T208" s="336">
        <f>Saldo_relativo_per_capita!T208*Saldo_relativo_per_capita!T$552/1000000</f>
        <v>2.9417539178988299E-2</v>
      </c>
      <c r="U208" s="336">
        <f>Saldo_relativo_per_capita!U208*Saldo_relativo_per_capita!U$552/1000000</f>
        <v>4.2736726024946549E-3</v>
      </c>
      <c r="V208" s="336">
        <f>Saldo_relativo_per_capita!V208*Saldo_relativo_per_capita!V$552/1000000</f>
        <v>2.2798945276837441E-3</v>
      </c>
      <c r="W208" s="148"/>
    </row>
    <row r="209" spans="1:23" s="115" customFormat="1" ht="13.5">
      <c r="A209" s="351" t="str">
        <f>IF(B209="","",(IF(ISERROR(MATCH(B209,Tot_res!C:C,0)),"Eliminar!!!","")))</f>
        <v/>
      </c>
      <c r="B209" s="115" t="s">
        <v>972</v>
      </c>
      <c r="C209" s="329" t="str">
        <f>VLOOKUP(B209,Tot_res!C:D,2,FALSE)</f>
        <v>ITP y AJD, sobreesfuerzo fiscal de las comunidades forales</v>
      </c>
      <c r="D209" s="336">
        <f>Saldo_relativo_per_capita!D209*Saldo_relativo_per_capita!D$552/1000000</f>
        <v>0</v>
      </c>
      <c r="E209" s="336">
        <f>Saldo_relativo_per_capita!E209*Saldo_relativo_per_capita!E$552/1000000</f>
        <v>17.970859793548868</v>
      </c>
      <c r="F209" s="336">
        <f>Saldo_relativo_per_capita!F209*Saldo_relativo_per_capita!F$552/1000000</f>
        <v>2.8272226534336271</v>
      </c>
      <c r="G209" s="336">
        <f>Saldo_relativo_per_capita!G209*Saldo_relativo_per_capita!G$552/1000000</f>
        <v>2.2600661078427668</v>
      </c>
      <c r="H209" s="336">
        <f>Saldo_relativo_per_capita!H209*Saldo_relativo_per_capita!H$552/1000000</f>
        <v>2.361610433057646</v>
      </c>
      <c r="I209" s="336">
        <f>Saldo_relativo_per_capita!I209*Saldo_relativo_per_capita!I$552/1000000</f>
        <v>4.4978319540734475</v>
      </c>
      <c r="J209" s="336">
        <f>Saldo_relativo_per_capita!J209*Saldo_relativo_per_capita!J$552/1000000</f>
        <v>1.2555435555385459</v>
      </c>
      <c r="K209" s="336">
        <f>Saldo_relativo_per_capita!K209*Saldo_relativo_per_capita!K$552/1000000</f>
        <v>5.3125749909298845</v>
      </c>
      <c r="L209" s="336">
        <f>Saldo_relativo_per_capita!L209*Saldo_relativo_per_capita!L$552/1000000</f>
        <v>4.4258269988495025</v>
      </c>
      <c r="M209" s="336">
        <f>Saldo_relativo_per_capita!M209*Saldo_relativo_per_capita!M$552/1000000</f>
        <v>16.073012228268649</v>
      </c>
      <c r="N209" s="336">
        <f>Saldo_relativo_per_capita!N209*Saldo_relativo_per_capita!N$552/1000000</f>
        <v>10.680608098044003</v>
      </c>
      <c r="O209" s="336">
        <f>Saldo_relativo_per_capita!O209*Saldo_relativo_per_capita!O$552/1000000</f>
        <v>2.3452539842796698</v>
      </c>
      <c r="P209" s="336">
        <f>Saldo_relativo_per_capita!P209*Saldo_relativo_per_capita!P$552/1000000</f>
        <v>5.8625675335427054</v>
      </c>
      <c r="Q209" s="336">
        <f>Saldo_relativo_per_capita!Q209*Saldo_relativo_per_capita!Q$552/1000000</f>
        <v>13.788785810133119</v>
      </c>
      <c r="R209" s="336">
        <f>Saldo_relativo_per_capita!R209*Saldo_relativo_per_capita!R$552/1000000</f>
        <v>3.1383438724922841</v>
      </c>
      <c r="S209" s="336">
        <f>Saldo_relativo_per_capita!S209*Saldo_relativo_per_capita!S$552/1000000</f>
        <v>-15.733855991777068</v>
      </c>
      <c r="T209" s="336">
        <f>Saldo_relativo_per_capita!T209*Saldo_relativo_per_capita!T$552/1000000</f>
        <v>-78.109520062433546</v>
      </c>
      <c r="U209" s="336">
        <f>Saldo_relativo_per_capita!U209*Saldo_relativo_per_capita!U$552/1000000</f>
        <v>0.68032965128665412</v>
      </c>
      <c r="V209" s="336">
        <f>Saldo_relativo_per_capita!V209*Saldo_relativo_per_capita!V$552/1000000</f>
        <v>0.36293838888922531</v>
      </c>
      <c r="W209" s="219"/>
    </row>
    <row r="210" spans="1:23" s="115" customFormat="1">
      <c r="A210" s="351" t="str">
        <f>IF(B210="","",(IF(ISERROR(MATCH(B210,Tot_res!C:C,0)),"Eliminar!!!","")))</f>
        <v/>
      </c>
      <c r="B210" s="115" t="s">
        <v>973</v>
      </c>
      <c r="C210" s="329" t="str">
        <f>VLOOKUP(B210,Tot_res!C:D,2,FALSE)</f>
        <v>Tasas juego, sobreesfuerzo fiscal de las comunidades forales</v>
      </c>
      <c r="D210" s="336">
        <f>Saldo_relativo_per_capita!D210*Saldo_relativo_per_capita!D$552/1000000</f>
        <v>0</v>
      </c>
      <c r="E210" s="336">
        <f>Saldo_relativo_per_capita!E210*Saldo_relativo_per_capita!E$552/1000000</f>
        <v>-3.1786226943253029</v>
      </c>
      <c r="F210" s="336">
        <f>Saldo_relativo_per_capita!F210*Saldo_relativo_per_capita!F$552/1000000</f>
        <v>-0.50006923382378954</v>
      </c>
      <c r="G210" s="336">
        <f>Saldo_relativo_per_capita!G210*Saldo_relativo_per_capita!G$552/1000000</f>
        <v>-0.39975257186321889</v>
      </c>
      <c r="H210" s="336">
        <f>Saldo_relativo_per_capita!H210*Saldo_relativo_per_capita!H$552/1000000</f>
        <v>-0.41771337620513643</v>
      </c>
      <c r="I210" s="336">
        <f>Saldo_relativo_per_capita!I210*Saldo_relativo_per_capita!I$552/1000000</f>
        <v>-0.79556075161254391</v>
      </c>
      <c r="J210" s="336">
        <f>Saldo_relativo_per_capita!J210*Saldo_relativo_per_capita!J$552/1000000</f>
        <v>-0.22207614355665636</v>
      </c>
      <c r="K210" s="336">
        <f>Saldo_relativo_per_capita!K210*Saldo_relativo_per_capita!K$552/1000000</f>
        <v>-0.93966964438377643</v>
      </c>
      <c r="L210" s="336">
        <f>Saldo_relativo_per_capita!L210*Saldo_relativo_per_capita!L$552/1000000</f>
        <v>-0.78282476750226393</v>
      </c>
      <c r="M210" s="336">
        <f>Saldo_relativo_per_capita!M210*Saldo_relativo_per_capita!M$552/1000000</f>
        <v>-2.8429380687329715</v>
      </c>
      <c r="N210" s="336">
        <f>Saldo_relativo_per_capita!N210*Saldo_relativo_per_capita!N$552/1000000</f>
        <v>-1.8891485259834047</v>
      </c>
      <c r="O210" s="336">
        <f>Saldo_relativo_per_capita!O210*Saldo_relativo_per_capita!O$552/1000000</f>
        <v>-0.41482030487290622</v>
      </c>
      <c r="P210" s="336">
        <f>Saldo_relativo_per_capita!P210*Saldo_relativo_per_capita!P$552/1000000</f>
        <v>-1.0369503976556016</v>
      </c>
      <c r="Q210" s="336">
        <f>Saldo_relativo_per_capita!Q210*Saldo_relativo_per_capita!Q$552/1000000</f>
        <v>-2.4389121058644938</v>
      </c>
      <c r="R210" s="336">
        <f>Saldo_relativo_per_capita!R210*Saldo_relativo_per_capita!R$552/1000000</f>
        <v>-0.55509926460400894</v>
      </c>
      <c r="S210" s="336">
        <f>Saldo_relativo_per_capita!S210*Saldo_relativo_per_capita!S$552/1000000</f>
        <v>-1.1279764856111396</v>
      </c>
      <c r="T210" s="336">
        <f>Saldo_relativo_per_capita!T210*Saldo_relativo_per_capita!T$552/1000000</f>
        <v>17.726663930999685</v>
      </c>
      <c r="U210" s="336">
        <f>Saldo_relativo_per_capita!U210*Saldo_relativo_per_capita!U$552/1000000</f>
        <v>-0.1203343242363101</v>
      </c>
      <c r="V210" s="336">
        <f>Saldo_relativo_per_capita!V210*Saldo_relativo_per_capita!V$552/1000000</f>
        <v>-6.4195270166165677E-2</v>
      </c>
      <c r="W210" s="148"/>
    </row>
    <row r="211" spans="1:23" s="115" customFormat="1">
      <c r="A211" s="351" t="str">
        <f>IF(B211="","",(IF(ISERROR(MATCH(B211,Tot_res!C:C,0)),"Eliminar!!!","")))</f>
        <v/>
      </c>
      <c r="B211" s="115" t="s">
        <v>230</v>
      </c>
      <c r="C211" s="329" t="str">
        <f>VLOOKUP(B211,Tot_res!C:D,2,FALSE)</f>
        <v xml:space="preserve"> Ingresos por tributos propios de las comunidades autónomas y patrimonio</v>
      </c>
      <c r="D211" s="336">
        <f>Saldo_relativo_per_capita!D211*Saldo_relativo_per_capita!D$552/1000000</f>
        <v>0</v>
      </c>
      <c r="E211" s="336">
        <f>Saldo_relativo_per_capita!E211*Saldo_relativo_per_capita!E$552/1000000</f>
        <v>-159.68140693943954</v>
      </c>
      <c r="F211" s="336">
        <f>Saldo_relativo_per_capita!F211*Saldo_relativo_per_capita!F$552/1000000</f>
        <v>17.243232129363168</v>
      </c>
      <c r="G211" s="336">
        <f>Saldo_relativo_per_capita!G211*Saldo_relativo_per_capita!G$552/1000000</f>
        <v>-12.572641393978129</v>
      </c>
      <c r="H211" s="336">
        <f>Saldo_relativo_per_capita!H211*Saldo_relativo_per_capita!H$552/1000000</f>
        <v>72.026483251332323</v>
      </c>
      <c r="I211" s="336">
        <f>Saldo_relativo_per_capita!I211*Saldo_relativo_per_capita!I$552/1000000</f>
        <v>25.836714393537001</v>
      </c>
      <c r="J211" s="336">
        <f>Saldo_relativo_per_capita!J211*Saldo_relativo_per_capita!J$552/1000000</f>
        <v>10.558144862623106</v>
      </c>
      <c r="K211" s="336">
        <f>Saldo_relativo_per_capita!K211*Saldo_relativo_per_capita!K$552/1000000</f>
        <v>-25.274008272277896</v>
      </c>
      <c r="L211" s="336">
        <f>Saldo_relativo_per_capita!L211*Saldo_relativo_per_capita!L$552/1000000</f>
        <v>-73.22357461453133</v>
      </c>
      <c r="M211" s="336">
        <f>Saldo_relativo_per_capita!M211*Saldo_relativo_per_capita!M$552/1000000</f>
        <v>152.49061895120795</v>
      </c>
      <c r="N211" s="336">
        <f>Saldo_relativo_per_capita!N211*Saldo_relativo_per_capita!N$552/1000000</f>
        <v>147.34421108674007</v>
      </c>
      <c r="O211" s="336">
        <f>Saldo_relativo_per_capita!O211*Saldo_relativo_per_capita!O$552/1000000</f>
        <v>81.571763584650682</v>
      </c>
      <c r="P211" s="336">
        <f>Saldo_relativo_per_capita!P211*Saldo_relativo_per_capita!P$552/1000000</f>
        <v>10.82592034972676</v>
      </c>
      <c r="Q211" s="336">
        <f>Saldo_relativo_per_capita!Q211*Saldo_relativo_per_capita!Q$552/1000000</f>
        <v>-315.86638831757909</v>
      </c>
      <c r="R211" s="336">
        <f>Saldo_relativo_per_capita!R211*Saldo_relativo_per_capita!R$552/1000000</f>
        <v>-0.90724273812620626</v>
      </c>
      <c r="S211" s="336">
        <f>Saldo_relativo_per_capita!S211*Saldo_relativo_per_capita!S$552/1000000</f>
        <v>15.785807398019021</v>
      </c>
      <c r="T211" s="336">
        <f>Saldo_relativo_per_capita!T211*Saldo_relativo_per_capita!T$552/1000000</f>
        <v>51.394810843023677</v>
      </c>
      <c r="U211" s="336">
        <f>Saldo_relativo_per_capita!U211*Saldo_relativo_per_capita!U$552/1000000</f>
        <v>10.939413547684085</v>
      </c>
      <c r="V211" s="336">
        <f>Saldo_relativo_per_capita!V211*Saldo_relativo_per_capita!V$552/1000000</f>
        <v>-8.4918581219759073</v>
      </c>
      <c r="W211" s="229"/>
    </row>
    <row r="212" spans="1:23" s="115" customFormat="1">
      <c r="A212" s="352"/>
      <c r="C212" s="140"/>
      <c r="D212" s="217"/>
      <c r="E212" s="217"/>
      <c r="F212" s="217"/>
      <c r="G212" s="217"/>
      <c r="H212" s="217"/>
      <c r="I212" s="217"/>
      <c r="J212" s="217"/>
      <c r="K212" s="217"/>
      <c r="L212" s="217"/>
      <c r="M212" s="217"/>
      <c r="N212" s="217"/>
      <c r="O212" s="217"/>
      <c r="P212" s="217"/>
      <c r="Q212" s="217"/>
      <c r="R212" s="217"/>
      <c r="S212" s="217"/>
      <c r="T212" s="217"/>
      <c r="U212" s="217"/>
      <c r="V212" s="217"/>
      <c r="W212" s="230"/>
    </row>
    <row r="213" spans="1:23" s="115" customFormat="1" ht="13.5">
      <c r="A213" s="352"/>
      <c r="C213" s="128" t="s">
        <v>59</v>
      </c>
      <c r="D213" s="218">
        <f>Saldo_relativo_per_capita!D213*Saldo_relativo_per_capita!D$552/1000000</f>
        <v>0</v>
      </c>
      <c r="E213" s="218">
        <f>Saldo_relativo_per_capita!E213*Saldo_relativo_per_capita!E$552/1000000</f>
        <v>-1020.1305297362954</v>
      </c>
      <c r="F213" s="218">
        <f>Saldo_relativo_per_capita!F213*Saldo_relativo_per_capita!F$552/1000000</f>
        <v>97.993414216411935</v>
      </c>
      <c r="G213" s="218">
        <f>Saldo_relativo_per_capita!G213*Saldo_relativo_per_capita!G$552/1000000</f>
        <v>-56.770741345299577</v>
      </c>
      <c r="H213" s="218">
        <f>Saldo_relativo_per_capita!H213*Saldo_relativo_per_capita!H$552/1000000</f>
        <v>84.434963915024667</v>
      </c>
      <c r="I213" s="218">
        <f>Saldo_relativo_per_capita!I213*Saldo_relativo_per_capita!I$552/1000000</f>
        <v>383.21407054797743</v>
      </c>
      <c r="J213" s="218">
        <f>Saldo_relativo_per_capita!J213*Saldo_relativo_per_capita!J$552/1000000</f>
        <v>-2.1490468728943619</v>
      </c>
      <c r="K213" s="218">
        <f>Saldo_relativo_per_capita!K213*Saldo_relativo_per_capita!K$552/1000000</f>
        <v>-53.296048695837804</v>
      </c>
      <c r="L213" s="218">
        <f>Saldo_relativo_per_capita!L213*Saldo_relativo_per_capita!L$552/1000000</f>
        <v>-187.72619261408371</v>
      </c>
      <c r="M213" s="218">
        <f>Saldo_relativo_per_capita!M213*Saldo_relativo_per_capita!M$552/1000000</f>
        <v>1026.8361089592645</v>
      </c>
      <c r="N213" s="218">
        <f>Saldo_relativo_per_capita!N213*Saldo_relativo_per_capita!N$552/1000000</f>
        <v>-363.99477314179688</v>
      </c>
      <c r="O213" s="218">
        <f>Saldo_relativo_per_capita!O213*Saldo_relativo_per_capita!O$552/1000000</f>
        <v>-179.95353000894761</v>
      </c>
      <c r="P213" s="218">
        <f>Saldo_relativo_per_capita!P213*Saldo_relativo_per_capita!P$552/1000000</f>
        <v>-480.30037121771261</v>
      </c>
      <c r="Q213" s="218">
        <f>Saldo_relativo_per_capita!Q213*Saldo_relativo_per_capita!Q$552/1000000</f>
        <v>1088.9399047833303</v>
      </c>
      <c r="R213" s="218">
        <f>Saldo_relativo_per_capita!R213*Saldo_relativo_per_capita!R$552/1000000</f>
        <v>-207.32269743689091</v>
      </c>
      <c r="S213" s="218">
        <f>Saldo_relativo_per_capita!S213*Saldo_relativo_per_capita!S$552/1000000</f>
        <v>32.371723809971691</v>
      </c>
      <c r="T213" s="218">
        <f>Saldo_relativo_per_capita!T213*Saldo_relativo_per_capita!T$552/1000000</f>
        <v>-65.537877292357308</v>
      </c>
      <c r="U213" s="218">
        <f>Saldo_relativo_per_capita!U213*Saldo_relativo_per_capita!U$552/1000000</f>
        <v>-14.353697380416278</v>
      </c>
      <c r="V213" s="218">
        <f>Saldo_relativo_per_capita!V213*Saldo_relativo_per_capita!V$552/1000000</f>
        <v>-82.254680489450735</v>
      </c>
      <c r="W213" s="230"/>
    </row>
    <row r="214" spans="1:23" s="115" customFormat="1">
      <c r="A214" s="352"/>
      <c r="D214" s="217"/>
      <c r="E214" s="217"/>
      <c r="F214" s="217"/>
      <c r="G214" s="217"/>
      <c r="H214" s="217"/>
      <c r="I214" s="217"/>
      <c r="J214" s="217"/>
      <c r="K214" s="217"/>
      <c r="L214" s="217"/>
      <c r="M214" s="217"/>
      <c r="N214" s="217"/>
      <c r="O214" s="217"/>
      <c r="P214" s="217"/>
      <c r="Q214" s="217"/>
      <c r="R214" s="217"/>
      <c r="S214" s="217"/>
      <c r="T214" s="217"/>
      <c r="U214" s="217"/>
      <c r="V214" s="217"/>
      <c r="W214" s="230"/>
    </row>
    <row r="215" spans="1:23" s="115" customFormat="1" ht="13.5">
      <c r="A215" s="352"/>
      <c r="C215" s="117" t="s">
        <v>54</v>
      </c>
      <c r="D215" s="218">
        <f>Saldo_relativo_per_capita!D215*Saldo_relativo_per_capita!D$552/1000000</f>
        <v>0</v>
      </c>
      <c r="E215" s="218">
        <f>Saldo_relativo_per_capita!E215*Saldo_relativo_per_capita!E$552/1000000</f>
        <v>-55.376277526433405</v>
      </c>
      <c r="F215" s="218">
        <f>Saldo_relativo_per_capita!F215*Saldo_relativo_per_capita!F$552/1000000</f>
        <v>36.278943346530141</v>
      </c>
      <c r="G215" s="218">
        <f>Saldo_relativo_per_capita!G215*Saldo_relativo_per_capita!G$552/1000000</f>
        <v>31.16305239296787</v>
      </c>
      <c r="H215" s="218">
        <f>Saldo_relativo_per_capita!H215*Saldo_relativo_per_capita!H$552/1000000</f>
        <v>-43.036697634915761</v>
      </c>
      <c r="I215" s="218">
        <f>Saldo_relativo_per_capita!I215*Saldo_relativo_per_capita!I$552/1000000</f>
        <v>462.54982558176096</v>
      </c>
      <c r="J215" s="218">
        <f>Saldo_relativo_per_capita!J215*Saldo_relativo_per_capita!J$552/1000000</f>
        <v>2.5682792191140877</v>
      </c>
      <c r="K215" s="218">
        <f>Saldo_relativo_per_capita!K215*Saldo_relativo_per_capita!K$552/1000000</f>
        <v>171.76764789718769</v>
      </c>
      <c r="L215" s="218">
        <f>Saldo_relativo_per_capita!L215*Saldo_relativo_per_capita!L$552/1000000</f>
        <v>73.513412851649022</v>
      </c>
      <c r="M215" s="218">
        <f>Saldo_relativo_per_capita!M215*Saldo_relativo_per_capita!M$552/1000000</f>
        <v>-277.17949634531561</v>
      </c>
      <c r="N215" s="218">
        <f>Saldo_relativo_per_capita!N215*Saldo_relativo_per_capita!N$552/1000000</f>
        <v>-126.54166063475228</v>
      </c>
      <c r="O215" s="218">
        <f>Saldo_relativo_per_capita!O215*Saldo_relativo_per_capita!O$552/1000000</f>
        <v>80.70775926697668</v>
      </c>
      <c r="P215" s="218">
        <f>Saldo_relativo_per_capita!P215*Saldo_relativo_per_capita!P$552/1000000</f>
        <v>50.515318435855193</v>
      </c>
      <c r="Q215" s="218">
        <f>Saldo_relativo_per_capita!Q215*Saldo_relativo_per_capita!Q$552/1000000</f>
        <v>-307.8819483045454</v>
      </c>
      <c r="R215" s="218">
        <f>Saldo_relativo_per_capita!R215*Saldo_relativo_per_capita!R$552/1000000</f>
        <v>-44.339011777276156</v>
      </c>
      <c r="S215" s="218">
        <f>Saldo_relativo_per_capita!S215*Saldo_relativo_per_capita!S$552/1000000</f>
        <v>-8.9038822113510374</v>
      </c>
      <c r="T215" s="218">
        <f>Saldo_relativo_per_capita!T215*Saldo_relativo_per_capita!T$552/1000000</f>
        <v>-26.570809429488005</v>
      </c>
      <c r="U215" s="218">
        <f>Saldo_relativo_per_capita!U215*Saldo_relativo_per_capita!U$552/1000000</f>
        <v>-1.0840484325883009</v>
      </c>
      <c r="V215" s="218">
        <f>Saldo_relativo_per_capita!V215*Saldo_relativo_per_capita!V$552/1000000</f>
        <v>-18.150406695375569</v>
      </c>
      <c r="W215" s="230"/>
    </row>
    <row r="216" spans="1:23" s="115" customFormat="1">
      <c r="A216" s="351" t="str">
        <f>IF(B216="","",(IF(ISERROR(MATCH(B216,Tot_res!C:C,0)),"Eliminar!!!","")))</f>
        <v/>
      </c>
      <c r="B216" s="102" t="s">
        <v>718</v>
      </c>
      <c r="C216" s="329" t="str">
        <f>VLOOKUP(B216,Tot_res!C:D,2,FALSE)</f>
        <v>Ajuste por competencias atípicas forales: financiación provincias</v>
      </c>
      <c r="D216" s="336">
        <f>Saldo_relativo_per_capita!D216*Saldo_relativo_per_capita!D$552/1000000</f>
        <v>0</v>
      </c>
      <c r="E216" s="336">
        <f>Saldo_relativo_per_capita!E216*Saldo_relativo_per_capita!E$552/1000000</f>
        <v>-1.0672323241343307</v>
      </c>
      <c r="F216" s="336">
        <f>Saldo_relativo_per_capita!F216*Saldo_relativo_per_capita!F$552/1000000</f>
        <v>-0.12336995814868873</v>
      </c>
      <c r="G216" s="336">
        <f>Saldo_relativo_per_capita!G216*Saldo_relativo_per_capita!G$552/1000000</f>
        <v>-2.8691706537276082E-2</v>
      </c>
      <c r="H216" s="336">
        <f>Saldo_relativo_per_capita!H216*Saldo_relativo_per_capita!H$552/1000000</f>
        <v>0.12416005839068954</v>
      </c>
      <c r="I216" s="336">
        <f>Saldo_relativo_per_capita!I216*Saldo_relativo_per_capita!I$552/1000000</f>
        <v>0.10241677092516203</v>
      </c>
      <c r="J216" s="336">
        <f>Saldo_relativo_per_capita!J216*Saldo_relativo_per_capita!J$552/1000000</f>
        <v>-5.1090385170237097E-2</v>
      </c>
      <c r="K216" s="336">
        <f>Saldo_relativo_per_capita!K216*Saldo_relativo_per_capita!K$552/1000000</f>
        <v>0.28912461997710026</v>
      </c>
      <c r="L216" s="336">
        <f>Saldo_relativo_per_capita!L216*Saldo_relativo_per_capita!L$552/1000000</f>
        <v>-9.5615753885296709E-2</v>
      </c>
      <c r="M216" s="336">
        <f>Saldo_relativo_per_capita!M216*Saldo_relativo_per_capita!M$552/1000000</f>
        <v>1.7170131125714359</v>
      </c>
      <c r="N216" s="336">
        <f>Saldo_relativo_per_capita!N216*Saldo_relativo_per_capita!N$552/1000000</f>
        <v>-0.82240347375682521</v>
      </c>
      <c r="O216" s="336">
        <f>Saldo_relativo_per_capita!O216*Saldo_relativo_per_capita!O$552/1000000</f>
        <v>-5.5709634168491999E-2</v>
      </c>
      <c r="P216" s="336">
        <f>Saldo_relativo_per_capita!P216*Saldo_relativo_per_capita!P$552/1000000</f>
        <v>-0.17688014420213782</v>
      </c>
      <c r="Q216" s="336">
        <f>Saldo_relativo_per_capita!Q216*Saldo_relativo_per_capita!Q$552/1000000</f>
        <v>0.43247446586997279</v>
      </c>
      <c r="R216" s="336">
        <f>Saldo_relativo_per_capita!R216*Saldo_relativo_per_capita!R$552/1000000</f>
        <v>-0.194994304222496</v>
      </c>
      <c r="S216" s="336">
        <f>Saldo_relativo_per_capita!S216*Saldo_relativo_per_capita!S$552/1000000</f>
        <v>-6.0115441821072778E-2</v>
      </c>
      <c r="T216" s="336">
        <f>Saldo_relativo_per_capita!T216*Saldo_relativo_per_capita!T$552/1000000</f>
        <v>-0.11351397053651423</v>
      </c>
      <c r="U216" s="336">
        <f>Saldo_relativo_per_capita!U216*Saldo_relativo_per_capita!U$552/1000000</f>
        <v>-2.1511176558975581E-2</v>
      </c>
      <c r="V216" s="336">
        <f>Saldo_relativo_per_capita!V216*Saldo_relativo_per_capita!V$552/1000000</f>
        <v>0.14593924540798348</v>
      </c>
      <c r="W216" s="230"/>
    </row>
    <row r="217" spans="1:23" s="115"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6">
        <f>Saldo_relativo_per_capita!D217*Saldo_relativo_per_capita!D$552/1000000</f>
        <v>0</v>
      </c>
      <c r="E217" s="336">
        <f>Saldo_relativo_per_capita!E217*Saldo_relativo_per_capita!E$552/1000000</f>
        <v>50.07232235647929</v>
      </c>
      <c r="F217" s="336">
        <f>Saldo_relativo_per_capita!F217*Saldo_relativo_per_capita!F$552/1000000</f>
        <v>64.375208131005564</v>
      </c>
      <c r="G217" s="336">
        <f>Saldo_relativo_per_capita!G217*Saldo_relativo_per_capita!G$552/1000000</f>
        <v>69.828394702089142</v>
      </c>
      <c r="H217" s="336">
        <f>Saldo_relativo_per_capita!H217*Saldo_relativo_per_capita!H$552/1000000</f>
        <v>-20.906692742409664</v>
      </c>
      <c r="I217" s="336">
        <f>Saldo_relativo_per_capita!I217*Saldo_relativo_per_capita!I$552/1000000</f>
        <v>131.26403708911471</v>
      </c>
      <c r="J217" s="336">
        <f>Saldo_relativo_per_capita!J217*Saldo_relativo_per_capita!J$552/1000000</f>
        <v>-63.572789970186861</v>
      </c>
      <c r="K217" s="336">
        <f>Saldo_relativo_per_capita!K217*Saldo_relativo_per_capita!K$552/1000000</f>
        <v>280.35763545407718</v>
      </c>
      <c r="L217" s="336">
        <f>Saldo_relativo_per_capita!L217*Saldo_relativo_per_capita!L$552/1000000</f>
        <v>171.92185992706459</v>
      </c>
      <c r="M217" s="336">
        <f>Saldo_relativo_per_capita!M217*Saldo_relativo_per_capita!M$552/1000000</f>
        <v>-79.775241636960089</v>
      </c>
      <c r="N217" s="336">
        <f>Saldo_relativo_per_capita!N217*Saldo_relativo_per_capita!N$552/1000000</f>
        <v>99.264543073101308</v>
      </c>
      <c r="O217" s="336">
        <f>Saldo_relativo_per_capita!O217*Saldo_relativo_per_capita!O$552/1000000</f>
        <v>134.83053094199622</v>
      </c>
      <c r="P217" s="336">
        <f>Saldo_relativo_per_capita!P217*Saldo_relativo_per_capita!P$552/1000000</f>
        <v>170.7276680476279</v>
      </c>
      <c r="Q217" s="336">
        <f>Saldo_relativo_per_capita!Q217*Saldo_relativo_per_capita!Q$552/1000000</f>
        <v>-683.5500391709902</v>
      </c>
      <c r="R217" s="336">
        <f>Saldo_relativo_per_capita!R217*Saldo_relativo_per_capita!R$552/1000000</f>
        <v>22.832455397473399</v>
      </c>
      <c r="S217" s="336">
        <f>Saldo_relativo_per_capita!S217*Saldo_relativo_per_capita!S$552/1000000</f>
        <v>-69.397026657410052</v>
      </c>
      <c r="T217" s="336">
        <f>Saldo_relativo_per_capita!T217*Saldo_relativo_per_capita!T$552/1000000</f>
        <v>-237.1780811491941</v>
      </c>
      <c r="U217" s="336">
        <f>Saldo_relativo_per_capita!U217*Saldo_relativo_per_capita!U$552/1000000</f>
        <v>-33.875220944874918</v>
      </c>
      <c r="V217" s="336">
        <f>Saldo_relativo_per_capita!V217*Saldo_relativo_per_capita!V$552/1000000</f>
        <v>-7.2195628480045944</v>
      </c>
      <c r="W217" s="230"/>
    </row>
    <row r="218" spans="1:23" s="115" customFormat="1">
      <c r="A218" s="351" t="str">
        <f>IF(B218="","",(IF(ISERROR(MATCH(B218,Tot_res!C:C,0)),"Eliminar!!!","")))</f>
        <v/>
      </c>
      <c r="B218" s="115" t="s">
        <v>473</v>
      </c>
      <c r="C218" s="329" t="str">
        <f>VLOOKUP(B218,Tot_res!C:D,2,FALSE)</f>
        <v>Otros flujos de financiación local, reintegros parciales de saldos pendientes</v>
      </c>
      <c r="D218" s="336">
        <f>Saldo_relativo_per_capita!D218*Saldo_relativo_per_capita!D$552/1000000</f>
        <v>0</v>
      </c>
      <c r="E218" s="336">
        <f>Saldo_relativo_per_capita!E218*Saldo_relativo_per_capita!E$552/1000000</f>
        <v>-2.3868169052457118</v>
      </c>
      <c r="F218" s="336">
        <f>Saldo_relativo_per_capita!F218*Saldo_relativo_per_capita!F$552/1000000</f>
        <v>-11.204743240399171</v>
      </c>
      <c r="G218" s="336">
        <f>Saldo_relativo_per_capita!G218*Saldo_relativo_per_capita!G$552/1000000</f>
        <v>1.4124731211212892E-2</v>
      </c>
      <c r="H218" s="336">
        <f>Saldo_relativo_per_capita!H218*Saldo_relativo_per_capita!H$552/1000000</f>
        <v>-3.9542188522851673</v>
      </c>
      <c r="I218" s="336">
        <f>Saldo_relativo_per_capita!I218*Saldo_relativo_per_capita!I$552/1000000</f>
        <v>-3.4402014785681811</v>
      </c>
      <c r="J218" s="336">
        <f>Saldo_relativo_per_capita!J218*Saldo_relativo_per_capita!J$552/1000000</f>
        <v>2.9827058387959284</v>
      </c>
      <c r="K218" s="336">
        <f>Saldo_relativo_per_capita!K218*Saldo_relativo_per_capita!K$552/1000000</f>
        <v>-12.648469280462546</v>
      </c>
      <c r="L218" s="336">
        <f>Saldo_relativo_per_capita!L218*Saldo_relativo_per_capita!L$552/1000000</f>
        <v>-5.8462674373741885</v>
      </c>
      <c r="M218" s="336">
        <f>Saldo_relativo_per_capita!M218*Saldo_relativo_per_capita!M$552/1000000</f>
        <v>5.2788266030290885</v>
      </c>
      <c r="N218" s="336">
        <f>Saldo_relativo_per_capita!N218*Saldo_relativo_per_capita!N$552/1000000</f>
        <v>-9.0844751648757889</v>
      </c>
      <c r="O218" s="336">
        <f>Saldo_relativo_per_capita!O218*Saldo_relativo_per_capita!O$552/1000000</f>
        <v>-3.9535205783908993</v>
      </c>
      <c r="P218" s="336">
        <f>Saldo_relativo_per_capita!P218*Saldo_relativo_per_capita!P$552/1000000</f>
        <v>-6.8661376174567064</v>
      </c>
      <c r="Q218" s="336">
        <f>Saldo_relativo_per_capita!Q218*Saldo_relativo_per_capita!Q$552/1000000</f>
        <v>32.757041175006734</v>
      </c>
      <c r="R218" s="336">
        <f>Saldo_relativo_per_capita!R218*Saldo_relativo_per_capita!R$552/1000000</f>
        <v>2.1227539691389889</v>
      </c>
      <c r="S218" s="336">
        <f>Saldo_relativo_per_capita!S218*Saldo_relativo_per_capita!S$552/1000000</f>
        <v>3.249120195603048</v>
      </c>
      <c r="T218" s="336">
        <f>Saldo_relativo_per_capita!T218*Saldo_relativo_per_capita!T$552/1000000</f>
        <v>11.10610462039074</v>
      </c>
      <c r="U218" s="336">
        <f>Saldo_relativo_per_capita!U218*Saldo_relativo_per_capita!U$552/1000000</f>
        <v>1.6162109344970494</v>
      </c>
      <c r="V218" s="336">
        <f>Saldo_relativo_per_capita!V218*Saldo_relativo_per_capita!V$552/1000000</f>
        <v>0.25796248738553168</v>
      </c>
      <c r="W218" s="230"/>
    </row>
    <row r="219" spans="1:23" s="115" customFormat="1">
      <c r="A219" s="351" t="str">
        <f>IF(B219="","",(IF(ISERROR(MATCH(B219,Tot_res!C:C,0)),"Eliminar!!!","")))</f>
        <v/>
      </c>
      <c r="B219" s="115" t="s">
        <v>231</v>
      </c>
      <c r="C219" s="329" t="str">
        <f>VLOOKUP(B219,Tot_res!C:D,2,FALSE)</f>
        <v>Hospitales provinciales asumidos por CCAA</v>
      </c>
      <c r="D219" s="336">
        <f>Saldo_relativo_per_capita!D219*Saldo_relativo_per_capita!D$552/1000000</f>
        <v>0</v>
      </c>
      <c r="E219" s="336">
        <f>Saldo_relativo_per_capita!E219*Saldo_relativo_per_capita!E$552/1000000</f>
        <v>214.4908756455871</v>
      </c>
      <c r="F219" s="336">
        <f>Saldo_relativo_per_capita!F219*Saldo_relativo_per_capita!F$552/1000000</f>
        <v>19.315021741249286</v>
      </c>
      <c r="G219" s="336">
        <f>Saldo_relativo_per_capita!G219*Saldo_relativo_per_capita!G$552/1000000</f>
        <v>-9.3767918118339608</v>
      </c>
      <c r="H219" s="336">
        <f>Saldo_relativo_per_capita!H219*Saldo_relativo_per_capita!H$552/1000000</f>
        <v>11.72957738582399</v>
      </c>
      <c r="I219" s="336">
        <f>Saldo_relativo_per_capita!I219*Saldo_relativo_per_capita!I$552/1000000</f>
        <v>-18.66106203336561</v>
      </c>
      <c r="J219" s="336">
        <f>Saldo_relativo_per_capita!J219*Saldo_relativo_per_capita!J$552/1000000</f>
        <v>-5.2091266225004516</v>
      </c>
      <c r="K219" s="336">
        <f>Saldo_relativo_per_capita!K219*Saldo_relativo_per_capita!K$552/1000000</f>
        <v>-22.041350694052731</v>
      </c>
      <c r="L219" s="336">
        <f>Saldo_relativo_per_capita!L219*Saldo_relativo_per_capita!L$552/1000000</f>
        <v>-18.362320561949179</v>
      </c>
      <c r="M219" s="336">
        <f>Saldo_relativo_per_capita!M219*Saldo_relativo_per_capita!M$552/1000000</f>
        <v>6.1540174180702163</v>
      </c>
      <c r="N219" s="336">
        <f>Saldo_relativo_per_capita!N219*Saldo_relativo_per_capita!N$552/1000000</f>
        <v>-44.312791653134219</v>
      </c>
      <c r="O219" s="336">
        <f>Saldo_relativo_per_capita!O219*Saldo_relativo_per_capita!O$552/1000000</f>
        <v>-9.7302279257021151</v>
      </c>
      <c r="P219" s="336">
        <f>Saldo_relativo_per_capita!P219*Saldo_relativo_per_capita!P$552/1000000</f>
        <v>-24.323215614837792</v>
      </c>
      <c r="Q219" s="336">
        <f>Saldo_relativo_per_capita!Q219*Saldo_relativo_per_capita!Q$552/1000000</f>
        <v>-57.208315027121131</v>
      </c>
      <c r="R219" s="336">
        <f>Saldo_relativo_per_capita!R219*Saldo_relativo_per_capita!R$552/1000000</f>
        <v>-13.020679804093685</v>
      </c>
      <c r="S219" s="336">
        <f>Saldo_relativo_per_capita!S219*Saldo_relativo_per_capita!S$552/1000000</f>
        <v>-5.6858730836145321</v>
      </c>
      <c r="T219" s="336">
        <f>Saldo_relativo_per_capita!T219*Saldo_relativo_per_capita!T$552/1000000</f>
        <v>-19.429320953924208</v>
      </c>
      <c r="U219" s="336">
        <f>Saldo_relativo_per_capita!U219*Saldo_relativo_per_capita!U$552/1000000</f>
        <v>-2.8226207549395994</v>
      </c>
      <c r="V219" s="336">
        <f>Saldo_relativo_per_capita!V219*Saldo_relativo_per_capita!V$552/1000000</f>
        <v>-1.50579564966135</v>
      </c>
      <c r="W219" s="148"/>
    </row>
    <row r="220" spans="1:23" s="115" customFormat="1">
      <c r="A220" s="351" t="str">
        <f>IF(B220="","",(IF(ISERROR(MATCH(B220,Tot_res!C:C,0)),"Eliminar!!!","")))</f>
        <v/>
      </c>
      <c r="B220" s="115" t="s">
        <v>232</v>
      </c>
      <c r="C220" s="329" t="str">
        <f>VLOOKUP(B220,Tot_res!C:D,2,FALSE)</f>
        <v>Participación provincial en ingresos del Estado integrada en Fondo de Suficiencia</v>
      </c>
      <c r="D220" s="336">
        <f>Saldo_relativo_per_capita!D220*Saldo_relativo_per_capita!D$552/1000000</f>
        <v>0</v>
      </c>
      <c r="E220" s="336">
        <f>Saldo_relativo_per_capita!E220*Saldo_relativo_per_capita!E$552/1000000</f>
        <v>-161.99347217774138</v>
      </c>
      <c r="F220" s="336">
        <f>Saldo_relativo_per_capita!F220*Saldo_relativo_per_capita!F$552/1000000</f>
        <v>-25.485236628115533</v>
      </c>
      <c r="G220" s="336">
        <f>Saldo_relativo_per_capita!G220*Saldo_relativo_per_capita!G$552/1000000</f>
        <v>-20.372756805554225</v>
      </c>
      <c r="H220" s="336">
        <f>Saldo_relativo_per_capita!H220*Saldo_relativo_per_capita!H$552/1000000</f>
        <v>-21.288100757400592</v>
      </c>
      <c r="I220" s="336">
        <f>Saldo_relativo_per_capita!I220*Saldo_relativo_per_capita!I$552/1000000</f>
        <v>-40.544493913079833</v>
      </c>
      <c r="J220" s="336">
        <f>Saldo_relativo_per_capita!J220*Saldo_relativo_per_capita!J$552/1000000</f>
        <v>90.104994967295227</v>
      </c>
      <c r="K220" s="336">
        <f>Saldo_relativo_per_capita!K220*Saldo_relativo_per_capita!K$552/1000000</f>
        <v>-47.888775432675835</v>
      </c>
      <c r="L220" s="336">
        <f>Saldo_relativo_per_capita!L220*Saldo_relativo_per_capita!L$552/1000000</f>
        <v>-39.895424650688902</v>
      </c>
      <c r="M220" s="336">
        <f>Saldo_relativo_per_capita!M220*Saldo_relativo_per_capita!M$552/1000000</f>
        <v>-144.88583680048586</v>
      </c>
      <c r="N220" s="336">
        <f>Saldo_relativo_per_capita!N220*Saldo_relativo_per_capita!N$552/1000000</f>
        <v>-96.277463106854185</v>
      </c>
      <c r="O220" s="336">
        <f>Saldo_relativo_per_capita!O220*Saldo_relativo_per_capita!O$552/1000000</f>
        <v>-21.140659958213408</v>
      </c>
      <c r="P220" s="336">
        <f>Saldo_relativo_per_capita!P220*Saldo_relativo_per_capita!P$552/1000000</f>
        <v>-52.846534976362129</v>
      </c>
      <c r="Q220" s="336">
        <f>Saldo_relativo_per_capita!Q220*Saldo_relativo_per_capita!Q$552/1000000</f>
        <v>623.60324602005255</v>
      </c>
      <c r="R220" s="336">
        <f>Saldo_relativo_per_capita!R220*Saldo_relativo_per_capita!R$552/1000000</f>
        <v>-28.289755005226013</v>
      </c>
      <c r="S220" s="336">
        <f>Saldo_relativo_per_capita!S220*Saldo_relativo_per_capita!S$552/1000000</f>
        <v>-12.353575922794171</v>
      </c>
      <c r="T220" s="336">
        <f>Saldo_relativo_per_capita!T220*Saldo_relativo_per_capita!T$552/1000000</f>
        <v>-42.213673784652201</v>
      </c>
      <c r="U220" s="336">
        <f>Saldo_relativo_per_capita!U220*Saldo_relativo_per_capita!U$552/1000000</f>
        <v>45.039129221497063</v>
      </c>
      <c r="V220" s="336">
        <f>Saldo_relativo_per_capita!V220*Saldo_relativo_per_capita!V$552/1000000</f>
        <v>-3.2716102890005629</v>
      </c>
      <c r="W220" s="229"/>
    </row>
    <row r="221" spans="1:23" s="115" customFormat="1">
      <c r="A221" s="351" t="str">
        <f>IF(B221="","",(IF(ISERROR(MATCH(B221,Tot_res!C:C,0)),"Eliminar!!!","")))</f>
        <v/>
      </c>
      <c r="B221" s="115" t="s">
        <v>233</v>
      </c>
      <c r="C221" s="329" t="str">
        <f>VLOOKUP(B221,Tot_res!C:D,2,FALSE)</f>
        <v>Participación de las provincias en el IRPF, IVA e Impuestos Especiales</v>
      </c>
      <c r="D221" s="336">
        <f>Saldo_relativo_per_capita!D221*Saldo_relativo_per_capita!D$552/1000000</f>
        <v>0</v>
      </c>
      <c r="E221" s="336">
        <f>Saldo_relativo_per_capita!E221*Saldo_relativo_per_capita!E$552/1000000</f>
        <v>10.934769775280397</v>
      </c>
      <c r="F221" s="336">
        <f>Saldo_relativo_per_capita!F221*Saldo_relativo_per_capita!F$552/1000000</f>
        <v>10.860782725676556</v>
      </c>
      <c r="G221" s="336">
        <f>Saldo_relativo_per_capita!G221*Saldo_relativo_per_capita!G$552/1000000</f>
        <v>8.091590765540408</v>
      </c>
      <c r="H221" s="336">
        <f>Saldo_relativo_per_capita!H221*Saldo_relativo_per_capita!H$552/1000000</f>
        <v>13.214133403538449</v>
      </c>
      <c r="I221" s="336">
        <f>Saldo_relativo_per_capita!I221*Saldo_relativo_per_capita!I$552/1000000</f>
        <v>-18.511338068399692</v>
      </c>
      <c r="J221" s="336">
        <f>Saldo_relativo_per_capita!J221*Saldo_relativo_per_capita!J$552/1000000</f>
        <v>-9.0242705502999208</v>
      </c>
      <c r="K221" s="336">
        <f>Saldo_relativo_per_capita!K221*Saldo_relativo_per_capita!K$552/1000000</f>
        <v>16.642248910550798</v>
      </c>
      <c r="L221" s="336">
        <f>Saldo_relativo_per_capita!L221*Saldo_relativo_per_capita!L$552/1000000</f>
        <v>5.4342954761464179</v>
      </c>
      <c r="M221" s="336">
        <f>Saldo_relativo_per_capita!M221*Saldo_relativo_per_capita!M$552/1000000</f>
        <v>75.451321891163261</v>
      </c>
      <c r="N221" s="336">
        <f>Saldo_relativo_per_capita!N221*Saldo_relativo_per_capita!N$552/1000000</f>
        <v>19.670099497510794</v>
      </c>
      <c r="O221" s="336">
        <f>Saldo_relativo_per_capita!O221*Saldo_relativo_per_capita!O$552/1000000</f>
        <v>1.1370866967167395</v>
      </c>
      <c r="P221" s="336">
        <f>Saldo_relativo_per_capita!P221*Saldo_relativo_per_capita!P$552/1000000</f>
        <v>13.335276722638431</v>
      </c>
      <c r="Q221" s="336">
        <f>Saldo_relativo_per_capita!Q221*Saldo_relativo_per_capita!Q$552/1000000</f>
        <v>-99.107460798047583</v>
      </c>
      <c r="R221" s="336">
        <f>Saldo_relativo_per_capita!R221*Saldo_relativo_per_capita!R$552/1000000</f>
        <v>2.8794589153154808</v>
      </c>
      <c r="S221" s="336">
        <f>Saldo_relativo_per_capita!S221*Saldo_relativo_per_capita!S$552/1000000</f>
        <v>-9.8501842515349907</v>
      </c>
      <c r="T221" s="336">
        <f>Saldo_relativo_per_capita!T221*Saldo_relativo_per_capita!T$552/1000000</f>
        <v>-33.659279492165609</v>
      </c>
      <c r="U221" s="336">
        <f>Saldo_relativo_per_capita!U221*Saldo_relativo_per_capita!U$552/1000000</f>
        <v>-4.8898971361997345</v>
      </c>
      <c r="V221" s="336">
        <f>Saldo_relativo_per_capita!V221*Saldo_relativo_per_capita!V$552/1000000</f>
        <v>-2.6086344834301398</v>
      </c>
      <c r="W221" s="148"/>
    </row>
    <row r="222" spans="1:23" s="115" customFormat="1">
      <c r="A222" s="351" t="str">
        <f>IF(B222="","",(IF(ISERROR(MATCH(B222,Tot_res!C:C,0)),"Eliminar!!!","")))</f>
        <v/>
      </c>
      <c r="B222" s="115" t="s">
        <v>724</v>
      </c>
      <c r="C222" s="329" t="str">
        <f>VLOOKUP(B222,Tot_res!C:D,2,FALSE)</f>
        <v>Recursos REF de los cabildos canarios</v>
      </c>
      <c r="D222" s="336">
        <f>Saldo_relativo_per_capita!D222*Saldo_relativo_per_capita!D$552/1000000</f>
        <v>0</v>
      </c>
      <c r="E222" s="336">
        <f>Saldo_relativo_per_capita!E222*Saldo_relativo_per_capita!E$552/1000000</f>
        <v>-82.025356273004888</v>
      </c>
      <c r="F222" s="336">
        <f>Saldo_relativo_per_capita!F222*Saldo_relativo_per_capita!F$552/1000000</f>
        <v>-12.904443531090914</v>
      </c>
      <c r="G222" s="336">
        <f>Saldo_relativo_per_capita!G222*Saldo_relativo_per_capita!G$552/1000000</f>
        <v>-10.315740583702881</v>
      </c>
      <c r="H222" s="336">
        <f>Saldo_relativo_per_capita!H222*Saldo_relativo_per_capita!H$552/1000000</f>
        <v>-10.779224776943447</v>
      </c>
      <c r="I222" s="336">
        <f>Saldo_relativo_per_capita!I222*Saldo_relativo_per_capita!I$552/1000000</f>
        <v>435.43475828569126</v>
      </c>
      <c r="J222" s="336">
        <f>Saldo_relativo_per_capita!J222*Saldo_relativo_per_capita!J$552/1000000</f>
        <v>-5.7307445855369874</v>
      </c>
      <c r="K222" s="336">
        <f>Saldo_relativo_per_capita!K222*Saldo_relativo_per_capita!K$552/1000000</f>
        <v>-24.248470099049442</v>
      </c>
      <c r="L222" s="336">
        <f>Saldo_relativo_per_capita!L222*Saldo_relativo_per_capita!L$552/1000000</f>
        <v>-20.201038823620113</v>
      </c>
      <c r="M222" s="336">
        <f>Saldo_relativo_per_capita!M222*Saldo_relativo_per_capita!M$552/1000000</f>
        <v>-73.362909151256844</v>
      </c>
      <c r="N222" s="336">
        <f>Saldo_relativo_per_capita!N222*Saldo_relativo_per_capita!N$552/1000000</f>
        <v>-48.750070643191677</v>
      </c>
      <c r="O222" s="336">
        <f>Saldo_relativo_per_capita!O222*Saldo_relativo_per_capita!O$552/1000000</f>
        <v>-10.704568163192764</v>
      </c>
      <c r="P222" s="336">
        <f>Saldo_relativo_per_capita!P222*Saldo_relativo_per_capita!P$552/1000000</f>
        <v>-26.758830469870823</v>
      </c>
      <c r="Q222" s="336">
        <f>Saldo_relativo_per_capita!Q222*Saldo_relativo_per_capita!Q$552/1000000</f>
        <v>-62.936892371412164</v>
      </c>
      <c r="R222" s="336">
        <f>Saldo_relativo_per_capita!R222*Saldo_relativo_per_capita!R$552/1000000</f>
        <v>-14.324510747159174</v>
      </c>
      <c r="S222" s="336">
        <f>Saldo_relativo_per_capita!S222*Saldo_relativo_per_capita!S$552/1000000</f>
        <v>-6.2552302428643154</v>
      </c>
      <c r="T222" s="336">
        <f>Saldo_relativo_per_capita!T222*Saldo_relativo_per_capita!T$552/1000000</f>
        <v>-21.374883723581792</v>
      </c>
      <c r="U222" s="336">
        <f>Saldo_relativo_per_capita!U222*Saldo_relativo_per_capita!U$552/1000000</f>
        <v>-3.1052650051785204</v>
      </c>
      <c r="V222" s="336">
        <f>Saldo_relativo_per_capita!V222*Saldo_relativo_per_capita!V$552/1000000</f>
        <v>-1.6565790950345023</v>
      </c>
      <c r="W222" s="148"/>
    </row>
    <row r="223" spans="1:23" s="115" customFormat="1">
      <c r="A223" s="351" t="str">
        <f>IF(B223="","",(IF(ISERROR(MATCH(B223,Tot_res!C:C,0)),"Eliminar!!!","")))</f>
        <v/>
      </c>
      <c r="B223" s="115" t="s">
        <v>236</v>
      </c>
      <c r="C223" s="329" t="str">
        <f>VLOOKUP(B223,Tot_res!C:D,2,FALSE)</f>
        <v>Recargo provincial sobre el IAE</v>
      </c>
      <c r="D223" s="336">
        <f>Saldo_relativo_per_capita!D223*Saldo_relativo_per_capita!D$552/1000000</f>
        <v>0</v>
      </c>
      <c r="E223" s="336">
        <f>Saldo_relativo_per_capita!E223*Saldo_relativo_per_capita!E$552/1000000</f>
        <v>-3.850659228657328</v>
      </c>
      <c r="F223" s="336">
        <f>Saldo_relativo_per_capita!F223*Saldo_relativo_per_capita!F$552/1000000</f>
        <v>3.9608495624964153</v>
      </c>
      <c r="G223" s="336">
        <f>Saldo_relativo_per_capita!G223*Saldo_relativo_per_capita!G$552/1000000</f>
        <v>3.3274449757146818</v>
      </c>
      <c r="H223" s="336">
        <f>Saldo_relativo_per_capita!H223*Saldo_relativo_per_capita!H$552/1000000</f>
        <v>-0.72230828177952244</v>
      </c>
      <c r="I223" s="336">
        <f>Saldo_relativo_per_capita!I223*Saldo_relativo_per_capita!I$552/1000000</f>
        <v>-3.1839627780488464</v>
      </c>
      <c r="J223" s="336">
        <f>Saldo_relativo_per_capita!J223*Saldo_relativo_per_capita!J$552/1000000</f>
        <v>-1.3735474611202194</v>
      </c>
      <c r="K223" s="336">
        <f>Saldo_relativo_per_capita!K223*Saldo_relativo_per_capita!K$552/1000000</f>
        <v>4.8226150611132983</v>
      </c>
      <c r="L223" s="336">
        <f>Saldo_relativo_per_capita!L223*Saldo_relativo_per_capita!L$552/1000000</f>
        <v>0.14951222584948867</v>
      </c>
      <c r="M223" s="336">
        <f>Saldo_relativo_per_capita!M223*Saldo_relativo_per_capita!M$552/1000000</f>
        <v>3.3929134891172636</v>
      </c>
      <c r="N223" s="336">
        <f>Saldo_relativo_per_capita!N223*Saldo_relativo_per_capita!N$552/1000000</f>
        <v>1.0502157968678598</v>
      </c>
      <c r="O223" s="336">
        <f>Saldo_relativo_per_capita!O223*Saldo_relativo_per_capita!O$552/1000000</f>
        <v>0.70644668407875433</v>
      </c>
      <c r="P223" s="336">
        <f>Saldo_relativo_per_capita!P223*Saldo_relativo_per_capita!P$552/1000000</f>
        <v>3.3755076772049821</v>
      </c>
      <c r="Q223" s="336">
        <f>Saldo_relativo_per_capita!Q223*Saldo_relativo_per_capita!Q$552/1000000</f>
        <v>-0.83387244139687156</v>
      </c>
      <c r="R223" s="336">
        <f>Saldo_relativo_per_capita!R223*Saldo_relativo_per_capita!R$552/1000000</f>
        <v>-2.4513899652946134</v>
      </c>
      <c r="S223" s="336">
        <f>Saldo_relativo_per_capita!S223*Saldo_relativo_per_capita!S$552/1000000</f>
        <v>-2.5885365266656377</v>
      </c>
      <c r="T223" s="336">
        <f>Saldo_relativo_per_capita!T223*Saldo_relativo_per_capita!T$552/1000000</f>
        <v>-5.0824117353697176</v>
      </c>
      <c r="U223" s="336">
        <f>Saldo_relativo_per_capita!U223*Saldo_relativo_per_capita!U$552/1000000</f>
        <v>-1.3292248416575538E-2</v>
      </c>
      <c r="V223" s="336">
        <f>Saldo_relativo_per_capita!V223*Saldo_relativo_per_capita!V$552/1000000</f>
        <v>-0.68552480569347618</v>
      </c>
      <c r="W223" s="148"/>
    </row>
    <row r="224" spans="1:23" s="115" customFormat="1">
      <c r="A224" s="351" t="str">
        <f>IF(B224="","",(IF(ISERROR(MATCH(B224,Tot_res!C:C,0)),"Eliminar!!!","")))</f>
        <v/>
      </c>
      <c r="B224" s="115" t="s">
        <v>222</v>
      </c>
      <c r="C224" s="329" t="str">
        <f>VLOOKUP(B224,Tot_res!C:D,2,FALSE)</f>
        <v>Ajuste por competencias atípicas forales: financiación provincias</v>
      </c>
      <c r="D224" s="336">
        <f>Saldo_relativo_per_capita!D224*Saldo_relativo_per_capita!D$552/1000000</f>
        <v>0</v>
      </c>
      <c r="E224" s="336">
        <f>Saldo_relativo_per_capita!E224*Saldo_relativo_per_capita!E$552/1000000</f>
        <v>-79.550708394996732</v>
      </c>
      <c r="F224" s="336">
        <f>Saldo_relativo_per_capita!F224*Saldo_relativo_per_capita!F$552/1000000</f>
        <v>-12.5151254561434</v>
      </c>
      <c r="G224" s="336">
        <f>Saldo_relativo_per_capita!G224*Saldo_relativo_per_capita!G$552/1000000</f>
        <v>-10.004521873959289</v>
      </c>
      <c r="H224" s="336">
        <f>Saldo_relativo_per_capita!H224*Saldo_relativo_per_capita!H$552/1000000</f>
        <v>-10.45402307185052</v>
      </c>
      <c r="I224" s="336">
        <f>Saldo_relativo_per_capita!I224*Saldo_relativo_per_capita!I$552/1000000</f>
        <v>-19.910328292508261</v>
      </c>
      <c r="J224" s="336">
        <f>Saldo_relativo_per_capita!J224*Saldo_relativo_per_capita!J$552/1000000</f>
        <v>-5.5578520121624164</v>
      </c>
      <c r="K224" s="336">
        <f>Saldo_relativo_per_capita!K224*Saldo_relativo_per_capita!K$552/1000000</f>
        <v>-23.51691064229027</v>
      </c>
      <c r="L224" s="336">
        <f>Saldo_relativo_per_capita!L224*Saldo_relativo_per_capita!L$552/1000000</f>
        <v>-19.591587549893866</v>
      </c>
      <c r="M224" s="336">
        <f>Saldo_relativo_per_capita!M224*Saldo_relativo_per_capita!M$552/1000000</f>
        <v>-71.149601270564219</v>
      </c>
      <c r="N224" s="336">
        <f>Saldo_relativo_per_capita!N224*Saldo_relativo_per_capita!N$552/1000000</f>
        <v>-47.279314960419654</v>
      </c>
      <c r="O224" s="336">
        <f>Saldo_relativo_per_capita!O224*Saldo_relativo_per_capita!O$552/1000000</f>
        <v>-10.381618796147386</v>
      </c>
      <c r="P224" s="336">
        <f>Saldo_relativo_per_capita!P224*Saldo_relativo_per_capita!P$552/1000000</f>
        <v>-25.951535188886609</v>
      </c>
      <c r="Q224" s="336">
        <f>Saldo_relativo_per_capita!Q224*Saldo_relativo_per_capita!Q$552/1000000</f>
        <v>-61.038130156506675</v>
      </c>
      <c r="R224" s="336">
        <f>Saldo_relativo_per_capita!R224*Saldo_relativo_per_capita!R$552/1000000</f>
        <v>-13.89235023320809</v>
      </c>
      <c r="S224" s="336">
        <f>Saldo_relativo_per_capita!S224*Saldo_relativo_per_capita!S$552/1000000</f>
        <v>94.037539719750669</v>
      </c>
      <c r="T224" s="336">
        <f>Saldo_relativo_per_capita!T224*Saldo_relativo_per_capita!T$552/1000000</f>
        <v>321.3742507595453</v>
      </c>
      <c r="U224" s="336">
        <f>Saldo_relativo_per_capita!U224*Saldo_relativo_per_capita!U$552/1000000</f>
        <v>-3.0115813224141088</v>
      </c>
      <c r="V224" s="336">
        <f>Saldo_relativo_per_capita!V224*Saldo_relativo_per_capita!V$552/1000000</f>
        <v>-1.6066012573444641</v>
      </c>
      <c r="W224" s="148"/>
    </row>
    <row r="225" spans="1:24">
      <c r="A225" s="352"/>
      <c r="D225" s="39"/>
      <c r="E225" s="39"/>
      <c r="F225" s="39"/>
      <c r="G225" s="39"/>
      <c r="H225" s="39"/>
      <c r="I225" s="39"/>
      <c r="J225" s="39"/>
      <c r="K225" s="39"/>
      <c r="L225" s="39"/>
      <c r="M225" s="39"/>
      <c r="N225" s="39"/>
      <c r="O225" s="39"/>
      <c r="P225" s="39"/>
      <c r="Q225" s="39"/>
      <c r="R225" s="39"/>
      <c r="S225" s="39"/>
      <c r="T225" s="39"/>
      <c r="U225" s="39"/>
      <c r="V225" s="39"/>
      <c r="W225" s="35"/>
    </row>
    <row r="226" spans="1:24" s="115" customFormat="1" ht="13.5">
      <c r="A226" s="352"/>
      <c r="C226" s="128" t="s">
        <v>464</v>
      </c>
      <c r="D226" s="218">
        <f>Saldo_relativo_per_capita!D226*Saldo_relativo_per_capita!D$552/1000000</f>
        <v>0</v>
      </c>
      <c r="E226" s="218">
        <f>Saldo_relativo_per_capita!E226*Saldo_relativo_per_capita!E$552/1000000</f>
        <v>-964.7542522098629</v>
      </c>
      <c r="F226" s="218">
        <f>Saldo_relativo_per_capita!F226*Saldo_relativo_per_capita!F$552/1000000</f>
        <v>61.714470869881488</v>
      </c>
      <c r="G226" s="218">
        <f>Saldo_relativo_per_capita!G226*Saldo_relativo_per_capita!G$552/1000000</f>
        <v>-87.933793738267539</v>
      </c>
      <c r="H226" s="218">
        <f>Saldo_relativo_per_capita!H226*Saldo_relativo_per_capita!H$552/1000000</f>
        <v>127.47166154994036</v>
      </c>
      <c r="I226" s="218">
        <f>Saldo_relativo_per_capita!I226*Saldo_relativo_per_capita!I$552/1000000</f>
        <v>-79.335755033783414</v>
      </c>
      <c r="J226" s="218">
        <f>Saldo_relativo_per_capita!J226*Saldo_relativo_per_capita!J$552/1000000</f>
        <v>-4.7173260920085331</v>
      </c>
      <c r="K226" s="218">
        <f>Saldo_relativo_per_capita!K226*Saldo_relativo_per_capita!K$552/1000000</f>
        <v>-225.06369659302592</v>
      </c>
      <c r="L226" s="218">
        <f>Saldo_relativo_per_capita!L226*Saldo_relativo_per_capita!L$552/1000000</f>
        <v>-261.23960546573284</v>
      </c>
      <c r="M226" s="218">
        <f>Saldo_relativo_per_capita!M226*Saldo_relativo_per_capita!M$552/1000000</f>
        <v>1304.015605304581</v>
      </c>
      <c r="N226" s="218">
        <f>Saldo_relativo_per_capita!N226*Saldo_relativo_per_capita!N$552/1000000</f>
        <v>-237.45311250704449</v>
      </c>
      <c r="O226" s="218">
        <f>Saldo_relativo_per_capita!O226*Saldo_relativo_per_capita!O$552/1000000</f>
        <v>-260.66128927592439</v>
      </c>
      <c r="P226" s="218">
        <f>Saldo_relativo_per_capita!P226*Saldo_relativo_per_capita!P$552/1000000</f>
        <v>-530.81568965356837</v>
      </c>
      <c r="Q226" s="218">
        <f>Saldo_relativo_per_capita!Q226*Saldo_relativo_per_capita!Q$552/1000000</f>
        <v>1396.8218530878755</v>
      </c>
      <c r="R226" s="218">
        <f>Saldo_relativo_per_capita!R226*Saldo_relativo_per_capita!R$552/1000000</f>
        <v>-162.98368565961468</v>
      </c>
      <c r="S226" s="218">
        <f>Saldo_relativo_per_capita!S226*Saldo_relativo_per_capita!S$552/1000000</f>
        <v>41.275606021322588</v>
      </c>
      <c r="T226" s="218">
        <f>Saldo_relativo_per_capita!T226*Saldo_relativo_per_capita!T$552/1000000</f>
        <v>-38.967067862869108</v>
      </c>
      <c r="U226" s="218">
        <f>Saldo_relativo_per_capita!U226*Saldo_relativo_per_capita!U$552/1000000</f>
        <v>-13.269648947827994</v>
      </c>
      <c r="V226" s="218">
        <f>Saldo_relativo_per_capita!V226*Saldo_relativo_per_capita!V$552/1000000</f>
        <v>-64.104273794075169</v>
      </c>
      <c r="W226" s="148"/>
    </row>
    <row r="227" spans="1:24" s="115"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6">
        <f>Saldo_relativo_per_capita!D227*Saldo_relativo_per_capita!D$552/1000000</f>
        <v>0</v>
      </c>
      <c r="E227" s="336">
        <f>Saldo_relativo_per_capita!E227*Saldo_relativo_per_capita!E$552/1000000</f>
        <v>11.078985285110104</v>
      </c>
      <c r="F227" s="336">
        <f>Saldo_relativo_per_capita!F227*Saldo_relativo_per_capita!F$552/1000000</f>
        <v>52.280521840583404</v>
      </c>
      <c r="G227" s="336">
        <f>Saldo_relativo_per_capita!G227*Saldo_relativo_per_capita!G$552/1000000</f>
        <v>-22.302682037955417</v>
      </c>
      <c r="H227" s="336">
        <f>Saldo_relativo_per_capita!H227*Saldo_relativo_per_capita!H$552/1000000</f>
        <v>-33.514613118459621</v>
      </c>
      <c r="I227" s="336">
        <f>Saldo_relativo_per_capita!I227*Saldo_relativo_per_capita!I$552/1000000</f>
        <v>-31.524017538557409</v>
      </c>
      <c r="J227" s="336">
        <f>Saldo_relativo_per_capita!J227*Saldo_relativo_per_capita!J$552/1000000</f>
        <v>-14.9609467154293</v>
      </c>
      <c r="K227" s="336">
        <f>Saldo_relativo_per_capita!K227*Saldo_relativo_per_capita!K$552/1000000</f>
        <v>-82.502975714934493</v>
      </c>
      <c r="L227" s="336">
        <f>Saldo_relativo_per_capita!L227*Saldo_relativo_per_capita!L$552/1000000</f>
        <v>-96.126808911761955</v>
      </c>
      <c r="M227" s="336">
        <f>Saldo_relativo_per_capita!M227*Saldo_relativo_per_capita!M$552/1000000</f>
        <v>503.86398293076053</v>
      </c>
      <c r="N227" s="336">
        <f>Saldo_relativo_per_capita!N227*Saldo_relativo_per_capita!N$552/1000000</f>
        <v>9.8182159446493831</v>
      </c>
      <c r="O227" s="336">
        <f>Saldo_relativo_per_capita!O227*Saldo_relativo_per_capita!O$552/1000000</f>
        <v>-48.235985686127648</v>
      </c>
      <c r="P227" s="336">
        <f>Saldo_relativo_per_capita!P227*Saldo_relativo_per_capita!P$552/1000000</f>
        <v>-83.790337136526801</v>
      </c>
      <c r="Q227" s="336">
        <f>Saldo_relativo_per_capita!Q227*Saldo_relativo_per_capita!Q$552/1000000</f>
        <v>533.39285396179923</v>
      </c>
      <c r="R227" s="336">
        <f>Saldo_relativo_per_capita!R227*Saldo_relativo_per_capita!R$552/1000000</f>
        <v>-51.831849298938849</v>
      </c>
      <c r="S227" s="336">
        <f>Saldo_relativo_per_capita!S227*Saldo_relativo_per_capita!S$552/1000000</f>
        <v>-143.00018344622566</v>
      </c>
      <c r="T227" s="336">
        <f>Saldo_relativo_per_capita!T227*Saldo_relativo_per_capita!T$552/1000000</f>
        <v>-488.54508471383519</v>
      </c>
      <c r="U227" s="336">
        <f>Saldo_relativo_per_capita!U227*Saldo_relativo_per_capita!U$552/1000000</f>
        <v>-12.10009829249314</v>
      </c>
      <c r="V227" s="336">
        <f>Saldo_relativo_per_capita!V227*Saldo_relativo_per_capita!V$552/1000000</f>
        <v>-1.998977351659653</v>
      </c>
      <c r="W227" s="148"/>
    </row>
    <row r="228" spans="1:24" s="115" customFormat="1">
      <c r="A228" s="351" t="str">
        <f>IF(B228="","",(IF(ISERROR(MATCH(B228,Tot_res!C:C,0)),"Eliminar!!!","")))</f>
        <v/>
      </c>
      <c r="B228" s="115" t="s">
        <v>474</v>
      </c>
      <c r="C228" s="329" t="str">
        <f>VLOOKUP(B228,Tot_res!C:D,2,FALSE)</f>
        <v>Otros flujos de financiación local, para reintegros parciales saldos pendientes</v>
      </c>
      <c r="D228" s="336">
        <f>Saldo_relativo_per_capita!D228*Saldo_relativo_per_capita!D$552/1000000</f>
        <v>0</v>
      </c>
      <c r="E228" s="336">
        <f>Saldo_relativo_per_capita!E228*Saldo_relativo_per_capita!E$552/1000000</f>
        <v>5.196889298778185</v>
      </c>
      <c r="F228" s="336">
        <f>Saldo_relativo_per_capita!F228*Saldo_relativo_per_capita!F$552/1000000</f>
        <v>-1.644232495776123</v>
      </c>
      <c r="G228" s="336">
        <f>Saldo_relativo_per_capita!G228*Saldo_relativo_per_capita!G$552/1000000</f>
        <v>-3.5432605320664137</v>
      </c>
      <c r="H228" s="336">
        <f>Saldo_relativo_per_capita!H228*Saldo_relativo_per_capita!H$552/1000000</f>
        <v>2.2034799005272747</v>
      </c>
      <c r="I228" s="336">
        <f>Saldo_relativo_per_capita!I228*Saldo_relativo_per_capita!I$552/1000000</f>
        <v>-0.35659369956676218</v>
      </c>
      <c r="J228" s="336">
        <f>Saldo_relativo_per_capita!J228*Saldo_relativo_per_capita!J$552/1000000</f>
        <v>1.0880366293069146</v>
      </c>
      <c r="K228" s="336">
        <f>Saldo_relativo_per_capita!K228*Saldo_relativo_per_capita!K$552/1000000</f>
        <v>5.0931593779813387</v>
      </c>
      <c r="L228" s="336">
        <f>Saldo_relativo_per_capita!L228*Saldo_relativo_per_capita!L$552/1000000</f>
        <v>6.0697480514924305</v>
      </c>
      <c r="M228" s="336">
        <f>Saldo_relativo_per_capita!M228*Saldo_relativo_per_capita!M$552/1000000</f>
        <v>-17.751323844664551</v>
      </c>
      <c r="N228" s="336">
        <f>Saldo_relativo_per_capita!N228*Saldo_relativo_per_capita!N$552/1000000</f>
        <v>3.6428463789006589</v>
      </c>
      <c r="O228" s="336">
        <f>Saldo_relativo_per_capita!O228*Saldo_relativo_per_capita!O$552/1000000</f>
        <v>1.5024788605030173</v>
      </c>
      <c r="P228" s="336">
        <f>Saldo_relativo_per_capita!P228*Saldo_relativo_per_capita!P$552/1000000</f>
        <v>-7.99979107741048E-2</v>
      </c>
      <c r="Q228" s="336">
        <f>Saldo_relativo_per_capita!Q228*Saldo_relativo_per_capita!Q$552/1000000</f>
        <v>-27.404477467227249</v>
      </c>
      <c r="R228" s="336">
        <f>Saldo_relativo_per_capita!R228*Saldo_relativo_per_capita!R$552/1000000</f>
        <v>2.5570178892665284E-2</v>
      </c>
      <c r="S228" s="336">
        <f>Saldo_relativo_per_capita!S228*Saldo_relativo_per_capita!S$552/1000000</f>
        <v>5.8079208994413456</v>
      </c>
      <c r="T228" s="336">
        <f>Saldo_relativo_per_capita!T228*Saldo_relativo_per_capita!T$552/1000000</f>
        <v>19.853403648727053</v>
      </c>
      <c r="U228" s="336">
        <f>Saldo_relativo_per_capita!U228*Saldo_relativo_per_capita!U$552/1000000</f>
        <v>0.43105617719313932</v>
      </c>
      <c r="V228" s="336">
        <f>Saldo_relativo_per_capita!V228*Saldo_relativo_per_capita!V$552/1000000</f>
        <v>-0.13470345166883524</v>
      </c>
      <c r="W228" s="148"/>
    </row>
    <row r="229" spans="1:24" s="115" customFormat="1">
      <c r="A229" s="351" t="str">
        <f>IF(B229="","",(IF(ISERROR(MATCH(B229,Tot_res!C:C,0)),"Eliminar!!!","")))</f>
        <v/>
      </c>
      <c r="B229" s="115" t="s">
        <v>239</v>
      </c>
      <c r="C229" s="329" t="str">
        <f>VLOOKUP(B229,Tot_res!C:D,2,FALSE)</f>
        <v>Participacón de los municipios en el IRPF, IVA e Impuestos Especiales</v>
      </c>
      <c r="D229" s="336">
        <f>Saldo_relativo_per_capita!D229*Saldo_relativo_per_capita!D$552/1000000</f>
        <v>0</v>
      </c>
      <c r="E229" s="336">
        <f>Saldo_relativo_per_capita!E229*Saldo_relativo_per_capita!E$552/1000000</f>
        <v>-37.446065174088019</v>
      </c>
      <c r="F229" s="336">
        <f>Saldo_relativo_per_capita!F229*Saldo_relativo_per_capita!F$552/1000000</f>
        <v>9.0118241512263637</v>
      </c>
      <c r="G229" s="336">
        <f>Saldo_relativo_per_capita!G229*Saldo_relativo_per_capita!G$552/1000000</f>
        <v>5.2134959930476175</v>
      </c>
      <c r="H229" s="336">
        <f>Saldo_relativo_per_capita!H229*Saldo_relativo_per_capita!H$552/1000000</f>
        <v>-0.57059749204380872</v>
      </c>
      <c r="I229" s="336">
        <f>Saldo_relativo_per_capita!I229*Saldo_relativo_per_capita!I$552/1000000</f>
        <v>-24.803731835564825</v>
      </c>
      <c r="J229" s="336">
        <f>Saldo_relativo_per_capita!J229*Saldo_relativo_per_capita!J$552/1000000</f>
        <v>-3.2439872393726437</v>
      </c>
      <c r="K229" s="336">
        <f>Saldo_relativo_per_capita!K229*Saldo_relativo_per_capita!K$552/1000000</f>
        <v>-0.13773475576300376</v>
      </c>
      <c r="L229" s="336">
        <f>Saldo_relativo_per_capita!L229*Saldo_relativo_per_capita!L$552/1000000</f>
        <v>-17.626795177062895</v>
      </c>
      <c r="M229" s="336">
        <f>Saldo_relativo_per_capita!M229*Saldo_relativo_per_capita!M$552/1000000</f>
        <v>28.680293356142219</v>
      </c>
      <c r="N229" s="336">
        <f>Saldo_relativo_per_capita!N229*Saldo_relativo_per_capita!N$552/1000000</f>
        <v>-24.349644853408481</v>
      </c>
      <c r="O229" s="336">
        <f>Saldo_relativo_per_capita!O229*Saldo_relativo_per_capita!O$552/1000000</f>
        <v>-9.4919441219917964</v>
      </c>
      <c r="P229" s="336">
        <f>Saldo_relativo_per_capita!P229*Saldo_relativo_per_capita!P$552/1000000</f>
        <v>-12.070567147878219</v>
      </c>
      <c r="Q229" s="336">
        <f>Saldo_relativo_per_capita!Q229*Saldo_relativo_per_capita!Q$552/1000000</f>
        <v>142.15278056806815</v>
      </c>
      <c r="R229" s="336">
        <f>Saldo_relativo_per_capita!R229*Saldo_relativo_per_capita!R$552/1000000</f>
        <v>-2.8231232077449735</v>
      </c>
      <c r="S229" s="336">
        <f>Saldo_relativo_per_capita!S229*Saldo_relativo_per_capita!S$552/1000000</f>
        <v>-11.316361340195161</v>
      </c>
      <c r="T229" s="336">
        <f>Saldo_relativo_per_capita!T229*Saldo_relativo_per_capita!T$552/1000000</f>
        <v>-38.669385207145709</v>
      </c>
      <c r="U229" s="336">
        <f>Saldo_relativo_per_capita!U229*Saldo_relativo_per_capita!U$552/1000000</f>
        <v>0.48846716206944285</v>
      </c>
      <c r="V229" s="336">
        <f>Saldo_relativo_per_capita!V229*Saldo_relativo_per_capita!V$552/1000000</f>
        <v>-2.9969236782945012</v>
      </c>
      <c r="W229" s="148"/>
    </row>
    <row r="230" spans="1:24" s="115" customFormat="1">
      <c r="A230" s="351" t="str">
        <f>IF(B230="","",(IF(ISERROR(MATCH(B230,Tot_res!C:C,0)),"Eliminar!!!","")))</f>
        <v/>
      </c>
      <c r="B230" s="115" t="s">
        <v>240</v>
      </c>
      <c r="C230" s="329" t="str">
        <f>VLOOKUP(B230,Tot_res!C:D,2,FALSE)</f>
        <v>Impuestos municipales</v>
      </c>
      <c r="D230" s="336">
        <f>Saldo_relativo_per_capita!D230*Saldo_relativo_per_capita!D$552/1000000</f>
        <v>0</v>
      </c>
      <c r="E230" s="336">
        <f>Saldo_relativo_per_capita!E230*Saldo_relativo_per_capita!E$552/1000000</f>
        <v>-537.68225045106112</v>
      </c>
      <c r="F230" s="336">
        <f>Saldo_relativo_per_capita!F230*Saldo_relativo_per_capita!F$552/1000000</f>
        <v>-13.059275581396106</v>
      </c>
      <c r="G230" s="336">
        <f>Saldo_relativo_per_capita!G230*Saldo_relativo_per_capita!G$552/1000000</f>
        <v>-19.579697576136482</v>
      </c>
      <c r="H230" s="336">
        <f>Saldo_relativo_per_capita!H230*Saldo_relativo_per_capita!H$552/1000000</f>
        <v>83.266317862918655</v>
      </c>
      <c r="I230" s="336">
        <f>Saldo_relativo_per_capita!I230*Saldo_relativo_per_capita!I$552/1000000</f>
        <v>-198.09267412493719</v>
      </c>
      <c r="J230" s="336">
        <f>Saldo_relativo_per_capita!J230*Saldo_relativo_per_capita!J$552/1000000</f>
        <v>13.524445831331411</v>
      </c>
      <c r="K230" s="336">
        <f>Saldo_relativo_per_capita!K230*Saldo_relativo_per_capita!K$552/1000000</f>
        <v>-91.198034831597553</v>
      </c>
      <c r="L230" s="336">
        <f>Saldo_relativo_per_capita!L230*Saldo_relativo_per_capita!L$552/1000000</f>
        <v>-111.66700809015342</v>
      </c>
      <c r="M230" s="336">
        <f>Saldo_relativo_per_capita!M230*Saldo_relativo_per_capita!M$552/1000000</f>
        <v>727.39117796621304</v>
      </c>
      <c r="N230" s="336">
        <f>Saldo_relativo_per_capita!N230*Saldo_relativo_per_capita!N$552/1000000</f>
        <v>9.7112592055119293</v>
      </c>
      <c r="O230" s="336">
        <f>Saldo_relativo_per_capita!O230*Saldo_relativo_per_capita!O$552/1000000</f>
        <v>-144.8745437812841</v>
      </c>
      <c r="P230" s="336">
        <f>Saldo_relativo_per_capita!P230*Saldo_relativo_per_capita!P$552/1000000</f>
        <v>-312.48806991078624</v>
      </c>
      <c r="Q230" s="336">
        <f>Saldo_relativo_per_capita!Q230*Saldo_relativo_per_capita!Q$552/1000000</f>
        <v>926.54026801035479</v>
      </c>
      <c r="R230" s="336">
        <f>Saldo_relativo_per_capita!R230*Saldo_relativo_per_capita!R$552/1000000</f>
        <v>-61.633502288443829</v>
      </c>
      <c r="S230" s="336">
        <f>Saldo_relativo_per_capita!S230*Saldo_relativo_per_capita!S$552/1000000</f>
        <v>-23.840876212872935</v>
      </c>
      <c r="T230" s="336">
        <f>Saldo_relativo_per_capita!T230*Saldo_relativo_per_capita!T$552/1000000</f>
        <v>-191.63134850291144</v>
      </c>
      <c r="U230" s="336">
        <f>Saldo_relativo_per_capita!U230*Saldo_relativo_per_capita!U$552/1000000</f>
        <v>-11.304082378147283</v>
      </c>
      <c r="V230" s="336">
        <f>Saldo_relativo_per_capita!V230*Saldo_relativo_per_capita!V$552/1000000</f>
        <v>-43.382105146602889</v>
      </c>
      <c r="W230" s="148"/>
    </row>
    <row r="231" spans="1:24" s="115" customFormat="1" ht="13.5">
      <c r="A231" s="351" t="str">
        <f>IF(B231="","",(IF(ISERROR(MATCH(B231,Tot_res!C:C,0)),"Eliminar!!!","")))</f>
        <v/>
      </c>
      <c r="B231" s="115" t="s">
        <v>241</v>
      </c>
      <c r="C231" s="329" t="str">
        <f>VLOOKUP(B231,Tot_res!C:D,2,FALSE)</f>
        <v>Tasas municipales</v>
      </c>
      <c r="D231" s="336">
        <f>Saldo_relativo_per_capita!D231*Saldo_relativo_per_capita!D$552/1000000</f>
        <v>0</v>
      </c>
      <c r="E231" s="336">
        <f>Saldo_relativo_per_capita!E231*Saldo_relativo_per_capita!E$552/1000000</f>
        <v>-240.77698482482188</v>
      </c>
      <c r="F231" s="336">
        <f>Saldo_relativo_per_capita!F231*Saldo_relativo_per_capita!F$552/1000000</f>
        <v>41.262270003382845</v>
      </c>
      <c r="G231" s="336">
        <f>Saldo_relativo_per_capita!G231*Saldo_relativo_per_capita!G$552/1000000</f>
        <v>-24.934921395557438</v>
      </c>
      <c r="H231" s="336">
        <f>Saldo_relativo_per_capita!H231*Saldo_relativo_per_capita!H$552/1000000</f>
        <v>100.1742906559012</v>
      </c>
      <c r="I231" s="336">
        <f>Saldo_relativo_per_capita!I231*Saldo_relativo_per_capita!I$552/1000000</f>
        <v>-34.971728830350386</v>
      </c>
      <c r="J231" s="336">
        <f>Saldo_relativo_per_capita!J231*Saldo_relativo_per_capita!J$552/1000000</f>
        <v>10.93881529982268</v>
      </c>
      <c r="K231" s="336">
        <f>Saldo_relativo_per_capita!K231*Saldo_relativo_per_capita!K$552/1000000</f>
        <v>-5.4018693746208681</v>
      </c>
      <c r="L231" s="336">
        <f>Saldo_relativo_per_capita!L231*Saldo_relativo_per_capita!L$552/1000000</f>
        <v>2.9118029416628999</v>
      </c>
      <c r="M231" s="336">
        <f>Saldo_relativo_per_capita!M231*Saldo_relativo_per_capita!M$552/1000000</f>
        <v>216.95846097684353</v>
      </c>
      <c r="N231" s="336">
        <f>Saldo_relativo_per_capita!N231*Saldo_relativo_per_capita!N$552/1000000</f>
        <v>-135.16587164154728</v>
      </c>
      <c r="O231" s="336">
        <f>Saldo_relativo_per_capita!O231*Saldo_relativo_per_capita!O$552/1000000</f>
        <v>-36.367297275030211</v>
      </c>
      <c r="P231" s="336">
        <f>Saldo_relativo_per_capita!P231*Saldo_relativo_per_capita!P$552/1000000</f>
        <v>-62.908194490698683</v>
      </c>
      <c r="Q231" s="336">
        <f>Saldo_relativo_per_capita!Q231*Saldo_relativo_per_capita!Q$552/1000000</f>
        <v>-42.441213028061902</v>
      </c>
      <c r="R231" s="336">
        <f>Saldo_relativo_per_capita!R231*Saldo_relativo_per_capita!R$552/1000000</f>
        <v>-26.447462344135666</v>
      </c>
      <c r="S231" s="336">
        <f>Saldo_relativo_per_capita!S231*Saldo_relativo_per_capita!S$552/1000000</f>
        <v>68.635812883376531</v>
      </c>
      <c r="T231" s="336">
        <f>Saldo_relativo_per_capita!T231*Saldo_relativo_per_capita!T$552/1000000</f>
        <v>164.69026217715546</v>
      </c>
      <c r="U231" s="336">
        <f>Saldo_relativo_per_capita!U231*Saldo_relativo_per_capita!U$552/1000000</f>
        <v>15.590611061246864</v>
      </c>
      <c r="V231" s="336">
        <f>Saldo_relativo_per_capita!V231*Saldo_relativo_per_capita!V$552/1000000</f>
        <v>-11.746782794567093</v>
      </c>
      <c r="W231" s="145"/>
      <c r="X231" s="156"/>
    </row>
    <row r="232" spans="1:24" s="115" customFormat="1">
      <c r="A232" s="351" t="str">
        <f>IF(B232="","",(IF(ISERROR(MATCH(B232,Tot_res!C:C,0)),"Eliminar!!!","")))</f>
        <v/>
      </c>
      <c r="B232" s="115" t="s">
        <v>732</v>
      </c>
      <c r="C232" s="329" t="str">
        <f>VLOOKUP(B232,Tot_res!C:D,2,FALSE)</f>
        <v>Recursos REF de los municipios canarios</v>
      </c>
      <c r="D232" s="336">
        <f>Saldo_relativo_per_capita!D232*Saldo_relativo_per_capita!D$552/1000000</f>
        <v>0</v>
      </c>
      <c r="E232" s="336">
        <f>Saldo_relativo_per_capita!E232*Saldo_relativo_per_capita!E$552/1000000</f>
        <v>-46.149276546754294</v>
      </c>
      <c r="F232" s="336">
        <f>Saldo_relativo_per_capita!F232*Saldo_relativo_per_capita!F$552/1000000</f>
        <v>-7.2603248587690965</v>
      </c>
      <c r="G232" s="336">
        <f>Saldo_relativo_per_capita!G232*Saldo_relativo_per_capita!G$552/1000000</f>
        <v>-5.803863422395847</v>
      </c>
      <c r="H232" s="336">
        <f>Saldo_relativo_per_capita!H232*Saldo_relativo_per_capita!H$552/1000000</f>
        <v>-6.0646298631744475</v>
      </c>
      <c r="I232" s="336">
        <f>Saldo_relativo_per_capita!I232*Saldo_relativo_per_capita!I$552/1000000</f>
        <v>244.98520934567256</v>
      </c>
      <c r="J232" s="336">
        <f>Saldo_relativo_per_capita!J232*Saldo_relativo_per_capita!J$552/1000000</f>
        <v>-3.2242434378038789</v>
      </c>
      <c r="K232" s="336">
        <f>Saldo_relativo_per_capita!K232*Saldo_relativo_per_capita!K$552/1000000</f>
        <v>-13.642724680307447</v>
      </c>
      <c r="L232" s="336">
        <f>Saldo_relativo_per_capita!L232*Saldo_relativo_per_capita!L$552/1000000</f>
        <v>-11.365550478075511</v>
      </c>
      <c r="M232" s="336">
        <f>Saldo_relativo_per_capita!M232*Saldo_relativo_per_capita!M$552/1000000</f>
        <v>-41.275592530525863</v>
      </c>
      <c r="N232" s="336">
        <f>Saldo_relativo_per_capita!N232*Saldo_relativo_per_capita!N$552/1000000</f>
        <v>-27.42786613810636</v>
      </c>
      <c r="O232" s="336">
        <f>Saldo_relativo_per_capita!O232*Saldo_relativo_per_capita!O$552/1000000</f>
        <v>-6.0226264038714818</v>
      </c>
      <c r="P232" s="336">
        <f>Saldo_relativo_per_capita!P232*Saldo_relativo_per_capita!P$552/1000000</f>
        <v>-15.055108853311964</v>
      </c>
      <c r="Q232" s="336">
        <f>Saldo_relativo_per_capita!Q232*Saldo_relativo_per_capita!Q$552/1000000</f>
        <v>-35.409685285298771</v>
      </c>
      <c r="R232" s="336">
        <f>Saldo_relativo_per_capita!R232*Saldo_relativo_per_capita!R$552/1000000</f>
        <v>-8.0592860294002033</v>
      </c>
      <c r="S232" s="336">
        <f>Saldo_relativo_per_capita!S232*Saldo_relativo_per_capita!S$552/1000000</f>
        <v>-3.5193306491808687</v>
      </c>
      <c r="T232" s="336">
        <f>Saldo_relativo_per_capita!T232*Saldo_relativo_per_capita!T$552/1000000</f>
        <v>-12.02598153711325</v>
      </c>
      <c r="U232" s="336">
        <f>Saldo_relativo_per_capita!U232*Saldo_relativo_per_capita!U$552/1000000</f>
        <v>-1.7470906556989239</v>
      </c>
      <c r="V232" s="336">
        <f>Saldo_relativo_per_capita!V232*Saldo_relativo_per_capita!V$552/1000000</f>
        <v>-0.93202797588432318</v>
      </c>
      <c r="W232" s="145"/>
      <c r="X232" s="146"/>
    </row>
    <row r="233" spans="1:24" s="115" customFormat="1">
      <c r="A233" s="351" t="str">
        <f>IF(B233="","",(IF(ISERROR(MATCH(B233,Tot_res!C:C,0)),"Eliminar!!!","")))</f>
        <v/>
      </c>
      <c r="B233" s="115" t="s">
        <v>733</v>
      </c>
      <c r="C233" s="329" t="str">
        <f>VLOOKUP(B233,Tot_res!C:D,2,FALSE)</f>
        <v>Otras aportaciones a Corporaciones Locales, compensaciones por beneficios fiscales</v>
      </c>
      <c r="D233" s="336">
        <f>Saldo_relativo_per_capita!D233*Saldo_relativo_per_capita!D$552/1000000</f>
        <v>0</v>
      </c>
      <c r="E233" s="336">
        <f>Saldo_relativo_per_capita!E233*Saldo_relativo_per_capita!E$552/1000000</f>
        <v>-0.29495474221502077</v>
      </c>
      <c r="F233" s="336">
        <f>Saldo_relativo_per_capita!F233*Saldo_relativo_per_capita!F$552/1000000</f>
        <v>-0.43674983362615716</v>
      </c>
      <c r="G233" s="336">
        <f>Saldo_relativo_per_capita!G233*Saldo_relativo_per_capita!G$552/1000000</f>
        <v>-0.50510428173747746</v>
      </c>
      <c r="H233" s="336">
        <f>Saldo_relativo_per_capita!H233*Saldo_relativo_per_capita!H$552/1000000</f>
        <v>-0.83394719100471271</v>
      </c>
      <c r="I233" s="336">
        <f>Saldo_relativo_per_capita!I233*Saldo_relativo_per_capita!I$552/1000000</f>
        <v>-3.0132737681190038</v>
      </c>
      <c r="J233" s="336">
        <f>Saldo_relativo_per_capita!J233*Saldo_relativo_per_capita!J$552/1000000</f>
        <v>0.31450966356213522</v>
      </c>
      <c r="K233" s="336">
        <f>Saldo_relativo_per_capita!K233*Saldo_relativo_per_capita!K$552/1000000</f>
        <v>0.54892018584758717</v>
      </c>
      <c r="L233" s="336">
        <f>Saldo_relativo_per_capita!L233*Saldo_relativo_per_capita!L$552/1000000</f>
        <v>-1.7126284688736064</v>
      </c>
      <c r="M233" s="336">
        <f>Saldo_relativo_per_capita!M233*Saldo_relativo_per_capita!M$552/1000000</f>
        <v>3.1776490637801462</v>
      </c>
      <c r="N233" s="336">
        <f>Saldo_relativo_per_capita!N233*Saldo_relativo_per_capita!N$552/1000000</f>
        <v>1.0992846547667505</v>
      </c>
      <c r="O233" s="336">
        <f>Saldo_relativo_per_capita!O233*Saldo_relativo_per_capita!O$552/1000000</f>
        <v>-0.16122387793870452</v>
      </c>
      <c r="P233" s="336">
        <f>Saldo_relativo_per_capita!P233*Saldo_relativo_per_capita!P$552/1000000</f>
        <v>-1.6882994873319479</v>
      </c>
      <c r="Q233" s="336">
        <f>Saldo_relativo_per_capita!Q233*Saldo_relativo_per_capita!Q$552/1000000</f>
        <v>0.48902092630855931</v>
      </c>
      <c r="R233" s="336">
        <f>Saldo_relativo_per_capita!R233*Saldo_relativo_per_capita!R$552/1000000</f>
        <v>7.3989126630870201</v>
      </c>
      <c r="S233" s="336">
        <f>Saldo_relativo_per_capita!S233*Saldo_relativo_per_capita!S$552/1000000</f>
        <v>-1.0067961556534244</v>
      </c>
      <c r="T233" s="336">
        <f>Saldo_relativo_per_capita!T233*Saldo_relativo_per_capita!T$552/1000000</f>
        <v>-3.4403451071989419</v>
      </c>
      <c r="U233" s="336">
        <f>Saldo_relativo_per_capita!U233*Saldo_relativo_per_capita!U$552/1000000</f>
        <v>0.33165662358292597</v>
      </c>
      <c r="V233" s="336">
        <f>Saldo_relativo_per_capita!V233*Saldo_relativo_per_capita!V$552/1000000</f>
        <v>-0.26663086723612761</v>
      </c>
      <c r="W233" s="145"/>
      <c r="X233" s="145"/>
    </row>
    <row r="234" spans="1:24" s="115" customFormat="1">
      <c r="A234" s="351" t="str">
        <f>IF(B234="","",(IF(ISERROR(MATCH(B234,Tot_res!C:C,0)),"Eliminar!!!","")))</f>
        <v/>
      </c>
      <c r="B234" s="115" t="s">
        <v>244</v>
      </c>
      <c r="C234" s="329" t="str">
        <f>VLOOKUP(B234,Tot_res!C:D,2,FALSE)</f>
        <v xml:space="preserve">Cooperación económica local del Estado </v>
      </c>
      <c r="D234" s="336">
        <f>Saldo_relativo_per_capita!D234*Saldo_relativo_per_capita!D$552/1000000</f>
        <v>0</v>
      </c>
      <c r="E234" s="336">
        <f>Saldo_relativo_per_capita!E234*Saldo_relativo_per_capita!E$552/1000000</f>
        <v>7.9268960855180435</v>
      </c>
      <c r="F234" s="336">
        <f>Saldo_relativo_per_capita!F234*Saldo_relativo_per_capita!F$552/1000000</f>
        <v>1.4786592073020679</v>
      </c>
      <c r="G234" s="336">
        <f>Saldo_relativo_per_capita!G234*Saldo_relativo_per_capita!G$552/1000000</f>
        <v>-0.55524464524012951</v>
      </c>
      <c r="H234" s="336">
        <f>Saldo_relativo_per_capita!H234*Saldo_relativo_per_capita!H$552/1000000</f>
        <v>-0.55072786296475529</v>
      </c>
      <c r="I234" s="336">
        <f>Saldo_relativo_per_capita!I234*Saldo_relativo_per_capita!I$552/1000000</f>
        <v>0.12897830046499106</v>
      </c>
      <c r="J234" s="336">
        <f>Saldo_relativo_per_capita!J234*Saldo_relativo_per_capita!J$552/1000000</f>
        <v>-0.30845727638646159</v>
      </c>
      <c r="K234" s="336">
        <f>Saldo_relativo_per_capita!K234*Saldo_relativo_per_capita!K$552/1000000</f>
        <v>-0.39452300899947507</v>
      </c>
      <c r="L234" s="336">
        <f>Saldo_relativo_per_capita!L234*Saldo_relativo_per_capita!L$552/1000000</f>
        <v>-0.54172851409148937</v>
      </c>
      <c r="M234" s="336">
        <f>Saldo_relativo_per_capita!M234*Saldo_relativo_per_capita!M$552/1000000</f>
        <v>-3.792181569655845</v>
      </c>
      <c r="N234" s="336">
        <f>Saldo_relativo_per_capita!N234*Saldo_relativo_per_capita!N$552/1000000</f>
        <v>0.46520254307689307</v>
      </c>
      <c r="O234" s="336">
        <f>Saldo_relativo_per_capita!O234*Saldo_relativo_per_capita!O$552/1000000</f>
        <v>-0.48746936386868217</v>
      </c>
      <c r="P234" s="336">
        <f>Saldo_relativo_per_capita!P234*Saldo_relativo_per_capita!P$552/1000000</f>
        <v>-1.4324182626917565</v>
      </c>
      <c r="Q234" s="336">
        <f>Saldo_relativo_per_capita!Q234*Saldo_relativo_per_capita!Q$552/1000000</f>
        <v>-3.3535625227055772</v>
      </c>
      <c r="R234" s="336">
        <f>Saldo_relativo_per_capita!R234*Saldo_relativo_per_capita!R$552/1000000</f>
        <v>2.4971734146710594</v>
      </c>
      <c r="S234" s="336">
        <f>Saldo_relativo_per_capita!S234*Saldo_relativo_per_capita!S$552/1000000</f>
        <v>0.3262126184054821</v>
      </c>
      <c r="T234" s="336">
        <f>Saldo_relativo_per_capita!T234*Saldo_relativo_per_capita!T$552/1000000</f>
        <v>-1.1505029264596933</v>
      </c>
      <c r="U234" s="336">
        <f>Saldo_relativo_per_capita!U234*Saldo_relativo_per_capita!U$552/1000000</f>
        <v>-0.16714086130673461</v>
      </c>
      <c r="V234" s="336">
        <f>Saldo_relativo_per_capita!V234*Saldo_relativo_per_capita!V$552/1000000</f>
        <v>-8.9165355067942043E-2</v>
      </c>
      <c r="W234" s="145"/>
      <c r="X234" s="145"/>
    </row>
    <row r="235" spans="1:24" s="115" customFormat="1">
      <c r="A235" s="351" t="str">
        <f>IF(B235="","",(IF(ISERROR(MATCH(B235,Tot_res!C:C,0)),"Eliminar!!!","")))</f>
        <v/>
      </c>
      <c r="B235" s="115" t="s">
        <v>223</v>
      </c>
      <c r="C235" s="329" t="str">
        <f>VLOOKUP(B235,Tot_res!C:D,2,FALSE)</f>
        <v>Ajuste por competencias atípicas forales: financiación municipios</v>
      </c>
      <c r="D235" s="336">
        <f>Saldo_relativo_per_capita!D235*Saldo_relativo_per_capita!D$552/1000000</f>
        <v>0</v>
      </c>
      <c r="E235" s="336">
        <f>Saldo_relativo_per_capita!E235*Saldo_relativo_per_capita!E$552/1000000</f>
        <v>-126.60749114032831</v>
      </c>
      <c r="F235" s="336">
        <f>Saldo_relativo_per_capita!F235*Saldo_relativo_per_capita!F$552/1000000</f>
        <v>-19.918221563045552</v>
      </c>
      <c r="G235" s="336">
        <f>Saldo_relativo_per_capita!G235*Saldo_relativo_per_capita!G$552/1000000</f>
        <v>-15.922515840225833</v>
      </c>
      <c r="H235" s="336">
        <f>Saldo_relativo_per_capita!H235*Saldo_relativo_per_capita!H$552/1000000</f>
        <v>-16.637911341759295</v>
      </c>
      <c r="I235" s="336">
        <f>Saldo_relativo_per_capita!I235*Saldo_relativo_per_capita!I$552/1000000</f>
        <v>-31.687922882825148</v>
      </c>
      <c r="J235" s="336">
        <f>Saldo_relativo_per_capita!J235*Saldo_relativo_per_capita!J$552/1000000</f>
        <v>-8.8454988470393729</v>
      </c>
      <c r="K235" s="336">
        <f>Saldo_relativo_per_capita!K235*Saldo_relativo_per_capita!K$552/1000000</f>
        <v>-37.427913790632189</v>
      </c>
      <c r="L235" s="336">
        <f>Saldo_relativo_per_capita!L235*Saldo_relativo_per_capita!L$552/1000000</f>
        <v>-31.180636818869104</v>
      </c>
      <c r="M235" s="336">
        <f>Saldo_relativo_per_capita!M235*Saldo_relativo_per_capita!M$552/1000000</f>
        <v>-113.23686104431226</v>
      </c>
      <c r="N235" s="336">
        <f>Saldo_relativo_per_capita!N235*Saldo_relativo_per_capita!N$552/1000000</f>
        <v>-75.246538600888201</v>
      </c>
      <c r="O235" s="336">
        <f>Saldo_relativo_per_capita!O235*Saldo_relativo_per_capita!O$552/1000000</f>
        <v>-16.522677626314682</v>
      </c>
      <c r="P235" s="336">
        <f>Saldo_relativo_per_capita!P235*Saldo_relativo_per_capita!P$552/1000000</f>
        <v>-41.302696453568331</v>
      </c>
      <c r="Q235" s="336">
        <f>Saldo_relativo_per_capita!Q235*Saldo_relativo_per_capita!Q$552/1000000</f>
        <v>-97.144132075361412</v>
      </c>
      <c r="R235" s="336">
        <f>Saldo_relativo_per_capita!R235*Saldo_relativo_per_capita!R$552/1000000</f>
        <v>-22.110118747601927</v>
      </c>
      <c r="S235" s="336">
        <f>Saldo_relativo_per_capita!S235*Saldo_relativo_per_capita!S$552/1000000</f>
        <v>149.18920742422739</v>
      </c>
      <c r="T235" s="336">
        <f>Saldo_relativo_per_capita!T235*Saldo_relativo_per_capita!T$552/1000000</f>
        <v>511.95191430591234</v>
      </c>
      <c r="U235" s="336">
        <f>Saldo_relativo_per_capita!U235*Saldo_relativo_per_capita!U$552/1000000</f>
        <v>-4.7930277842743054</v>
      </c>
      <c r="V235" s="336">
        <f>Saldo_relativo_per_capita!V235*Saldo_relativo_per_capita!V$552/1000000</f>
        <v>-2.5569571730937937</v>
      </c>
      <c r="W235" s="145"/>
      <c r="X235" s="146"/>
    </row>
    <row r="236" spans="1:24">
      <c r="A236" s="352"/>
      <c r="D236" s="39"/>
      <c r="E236" s="39"/>
      <c r="F236" s="39"/>
      <c r="G236" s="39"/>
      <c r="H236" s="39"/>
      <c r="I236" s="39"/>
      <c r="J236" s="39"/>
      <c r="K236" s="39"/>
      <c r="L236" s="39"/>
      <c r="M236" s="39"/>
      <c r="N236" s="39"/>
      <c r="O236" s="39"/>
      <c r="P236" s="39"/>
      <c r="Q236" s="39"/>
      <c r="R236" s="39"/>
      <c r="S236" s="39"/>
      <c r="T236" s="39"/>
      <c r="U236" s="39"/>
      <c r="V236" s="39"/>
      <c r="W236" s="45"/>
      <c r="X236" s="46"/>
    </row>
    <row r="237" spans="1:24">
      <c r="A237" s="352"/>
      <c r="D237" s="39"/>
      <c r="E237" s="39"/>
      <c r="F237" s="39"/>
      <c r="G237" s="39"/>
      <c r="H237" s="39"/>
      <c r="I237" s="39"/>
      <c r="J237" s="39"/>
      <c r="K237" s="39"/>
      <c r="L237" s="39"/>
      <c r="M237" s="39"/>
      <c r="N237" s="39"/>
      <c r="O237" s="39"/>
      <c r="P237" s="39"/>
      <c r="Q237" s="39"/>
      <c r="R237" s="39"/>
      <c r="S237" s="39"/>
      <c r="T237" s="39"/>
      <c r="U237" s="39"/>
      <c r="V237" s="39"/>
      <c r="W237" s="45"/>
      <c r="X237" s="46"/>
    </row>
    <row r="238" spans="1:24" s="115" customFormat="1" ht="27">
      <c r="A238" s="358"/>
      <c r="C238" s="128" t="s">
        <v>23</v>
      </c>
      <c r="D238" s="218">
        <f>Saldo_relativo_per_capita!D238*Saldo_relativo_per_capita!D$552/1000000</f>
        <v>0</v>
      </c>
      <c r="E238" s="218">
        <f>Saldo_relativo_per_capita!E238*Saldo_relativo_per_capita!E$552/1000000</f>
        <v>-188.39566391599143</v>
      </c>
      <c r="F238" s="218">
        <f>Saldo_relativo_per_capita!F238*Saldo_relativo_per_capita!F$552/1000000</f>
        <v>172.39816206651662</v>
      </c>
      <c r="G238" s="218">
        <f>Saldo_relativo_per_capita!G238*Saldo_relativo_per_capita!G$552/1000000</f>
        <v>113.62112220052926</v>
      </c>
      <c r="H238" s="218">
        <f>Saldo_relativo_per_capita!H238*Saldo_relativo_per_capita!H$552/1000000</f>
        <v>-61.200580532503515</v>
      </c>
      <c r="I238" s="218">
        <f>Saldo_relativo_per_capita!I238*Saldo_relativo_per_capita!I$552/1000000</f>
        <v>-60.333013186770891</v>
      </c>
      <c r="J238" s="218">
        <f>Saldo_relativo_per_capita!J238*Saldo_relativo_per_capita!J$552/1000000</f>
        <v>30.207455275611117</v>
      </c>
      <c r="K238" s="218">
        <f>Saldo_relativo_per_capita!K238*Saldo_relativo_per_capita!K$552/1000000</f>
        <v>470.73673933368866</v>
      </c>
      <c r="L238" s="218">
        <f>Saldo_relativo_per_capita!L238*Saldo_relativo_per_capita!L$552/1000000</f>
        <v>15.716026436684945</v>
      </c>
      <c r="M238" s="218">
        <f>Saldo_relativo_per_capita!M238*Saldo_relativo_per_capita!M$552/1000000</f>
        <v>-302.45878499000321</v>
      </c>
      <c r="N238" s="218">
        <f>Saldo_relativo_per_capita!N238*Saldo_relativo_per_capita!N$552/1000000</f>
        <v>-364.1269766436954</v>
      </c>
      <c r="O238" s="218">
        <f>Saldo_relativo_per_capita!O238*Saldo_relativo_per_capita!O$552/1000000</f>
        <v>47.971537115868543</v>
      </c>
      <c r="P238" s="218">
        <f>Saldo_relativo_per_capita!P238*Saldo_relativo_per_capita!P$552/1000000</f>
        <v>295.66021319897663</v>
      </c>
      <c r="Q238" s="218">
        <f>Saldo_relativo_per_capita!Q238*Saldo_relativo_per_capita!Q$552/1000000</f>
        <v>-274.32641597817951</v>
      </c>
      <c r="R238" s="218">
        <f>Saldo_relativo_per_capita!R238*Saldo_relativo_per_capita!R$552/1000000</f>
        <v>-56.215019716000846</v>
      </c>
      <c r="S238" s="218">
        <f>Saldo_relativo_per_capita!S238*Saldo_relativo_per_capita!S$552/1000000</f>
        <v>6.9876727763972832</v>
      </c>
      <c r="T238" s="218">
        <f>Saldo_relativo_per_capita!T238*Saldo_relativo_per_capita!T$552/1000000</f>
        <v>122.73468188415332</v>
      </c>
      <c r="U238" s="218">
        <f>Saldo_relativo_per_capita!U238*Saldo_relativo_per_capita!U$552/1000000</f>
        <v>14.304453174574181</v>
      </c>
      <c r="V238" s="218">
        <f>Saldo_relativo_per_capita!V238*Saldo_relativo_per_capita!V$552/1000000</f>
        <v>16.718391500147177</v>
      </c>
      <c r="W238" s="145"/>
      <c r="X238" s="146"/>
    </row>
    <row r="239" spans="1:24" s="115" customFormat="1">
      <c r="A239" s="351" t="str">
        <f>IF(B239="","",(IF(ISERROR(MATCH(B239,Tot_res!C:C,0)),"Eliminar!!!","")))</f>
        <v/>
      </c>
      <c r="B239" s="115" t="s">
        <v>246</v>
      </c>
      <c r="C239" s="329" t="str">
        <f>VLOOKUP(B239,Tot_res!C:D,2,FALSE)</f>
        <v>Gestión de recursos hídricos para el regadío</v>
      </c>
      <c r="D239" s="336">
        <f>Saldo_relativo_per_capita!D239*Saldo_relativo_per_capita!D$552/1000000</f>
        <v>0</v>
      </c>
      <c r="E239" s="336">
        <f>Saldo_relativo_per_capita!E239*Saldo_relativo_per_capita!E$552/1000000</f>
        <v>4.9584628463999767</v>
      </c>
      <c r="F239" s="336">
        <f>Saldo_relativo_per_capita!F239*Saldo_relativo_per_capita!F$552/1000000</f>
        <v>0.37756378673960306</v>
      </c>
      <c r="G239" s="336">
        <f>Saldo_relativo_per_capita!G239*Saldo_relativo_per_capita!G$552/1000000</f>
        <v>-0.68002715762961241</v>
      </c>
      <c r="H239" s="336">
        <f>Saldo_relativo_per_capita!H239*Saldo_relativo_per_capita!H$552/1000000</f>
        <v>2.4482834860589437</v>
      </c>
      <c r="I239" s="336">
        <f>Saldo_relativo_per_capita!I239*Saldo_relativo_per_capita!I$552/1000000</f>
        <v>-1.0901012255880698</v>
      </c>
      <c r="J239" s="336">
        <f>Saldo_relativo_per_capita!J239*Saldo_relativo_per_capita!J$552/1000000</f>
        <v>-0.37777820409333523</v>
      </c>
      <c r="K239" s="336">
        <f>Saldo_relativo_per_capita!K239*Saldo_relativo_per_capita!K$552/1000000</f>
        <v>0.13444190666141831</v>
      </c>
      <c r="L239" s="336">
        <f>Saldo_relativo_per_capita!L239*Saldo_relativo_per_capita!L$552/1000000</f>
        <v>-1.3316789910454288</v>
      </c>
      <c r="M239" s="336">
        <f>Saldo_relativo_per_capita!M239*Saldo_relativo_per_capita!M$552/1000000</f>
        <v>-3.0540949235608768</v>
      </c>
      <c r="N239" s="336">
        <f>Saldo_relativo_per_capita!N239*Saldo_relativo_per_capita!N$552/1000000</f>
        <v>5.843088305113052</v>
      </c>
      <c r="O239" s="336">
        <f>Saldo_relativo_per_capita!O239*Saldo_relativo_per_capita!O$552/1000000</f>
        <v>-0.70565918196591992</v>
      </c>
      <c r="P239" s="336">
        <f>Saldo_relativo_per_capita!P239*Saldo_relativo_per_capita!P$552/1000000</f>
        <v>-1.7639772227954889</v>
      </c>
      <c r="Q239" s="336">
        <f>Saldo_relativo_per_capita!Q239*Saldo_relativo_per_capita!Q$552/1000000</f>
        <v>-4.1488825433422667</v>
      </c>
      <c r="R239" s="336">
        <f>Saldo_relativo_per_capita!R239*Saldo_relativo_per_capita!R$552/1000000</f>
        <v>-0.94429054790450073</v>
      </c>
      <c r="S239" s="336">
        <f>Saldo_relativo_per_capita!S239*Saldo_relativo_per_capita!S$552/1000000</f>
        <v>-0.41235298695800626</v>
      </c>
      <c r="T239" s="336">
        <f>Saldo_relativo_per_capita!T239*Saldo_relativo_per_capita!T$552/1000000</f>
        <v>0.2302004916881952</v>
      </c>
      <c r="U239" s="336">
        <f>Saldo_relativo_per_capita!U239*Saldo_relativo_per_capita!U$552/1000000</f>
        <v>0.62600603025721202</v>
      </c>
      <c r="V239" s="336">
        <f>Saldo_relativo_per_capita!V239*Saldo_relativo_per_capita!V$552/1000000</f>
        <v>-0.10920386803489966</v>
      </c>
      <c r="W239" s="145"/>
      <c r="X239" s="146"/>
    </row>
    <row r="240" spans="1:24" s="115" customFormat="1">
      <c r="A240" s="351" t="str">
        <f>IF(B240="","",(IF(ISERROR(MATCH(B240,Tot_res!C:C,0)),"Eliminar!!!","")))</f>
        <v/>
      </c>
      <c r="B240" s="115" t="s">
        <v>247</v>
      </c>
      <c r="C240" s="329" t="str">
        <f>VLOOKUP(B240,Tot_res!C:D,2,FALSE)</f>
        <v>Subvenciones y apoyo al transporte terrestre</v>
      </c>
      <c r="D240" s="336">
        <f>Saldo_relativo_per_capita!D240*Saldo_relativo_per_capita!D$552/1000000</f>
        <v>0</v>
      </c>
      <c r="E240" s="336">
        <f>Saldo_relativo_per_capita!E240*Saldo_relativo_per_capita!E$552/1000000</f>
        <v>-103.57846519642921</v>
      </c>
      <c r="F240" s="336">
        <f>Saldo_relativo_per_capita!F240*Saldo_relativo_per_capita!F$552/1000000</f>
        <v>-3.5646216973699651</v>
      </c>
      <c r="G240" s="336">
        <f>Saldo_relativo_per_capita!G240*Saldo_relativo_per_capita!G$552/1000000</f>
        <v>-10.215817271664637</v>
      </c>
      <c r="H240" s="336">
        <f>Saldo_relativo_per_capita!H240*Saldo_relativo_per_capita!H$552/1000000</f>
        <v>-21.568310516319446</v>
      </c>
      <c r="I240" s="336">
        <f>Saldo_relativo_per_capita!I240*Saldo_relativo_per_capita!I$552/1000000</f>
        <v>-19.104033795180566</v>
      </c>
      <c r="J240" s="336">
        <f>Saldo_relativo_per_capita!J240*Saldo_relativo_per_capita!J$552/1000000</f>
        <v>-7.0981628213055457</v>
      </c>
      <c r="K240" s="336">
        <f>Saldo_relativo_per_capita!K240*Saldo_relativo_per_capita!K$552/1000000</f>
        <v>-38.819137958606916</v>
      </c>
      <c r="L240" s="336">
        <f>Saldo_relativo_per_capita!L240*Saldo_relativo_per_capita!L$552/1000000</f>
        <v>-19.537396716507164</v>
      </c>
      <c r="M240" s="336">
        <f>Saldo_relativo_per_capita!M240*Saldo_relativo_per_capita!M$552/1000000</f>
        <v>157.70009412813002</v>
      </c>
      <c r="N240" s="336">
        <f>Saldo_relativo_per_capita!N240*Saldo_relativo_per_capita!N$552/1000000</f>
        <v>-39.703895633972316</v>
      </c>
      <c r="O240" s="336">
        <f>Saldo_relativo_per_capita!O240*Saldo_relativo_per_capita!O$552/1000000</f>
        <v>-17.747267046876956</v>
      </c>
      <c r="P240" s="336">
        <f>Saldo_relativo_per_capita!P240*Saldo_relativo_per_capita!P$552/1000000</f>
        <v>-27.685038456523781</v>
      </c>
      <c r="Q240" s="336">
        <f>Saldo_relativo_per_capita!Q240*Saldo_relativo_per_capita!Q$552/1000000</f>
        <v>196.24021048995687</v>
      </c>
      <c r="R240" s="336">
        <f>Saldo_relativo_per_capita!R240*Saldo_relativo_per_capita!R$552/1000000</f>
        <v>-21.593949878386002</v>
      </c>
      <c r="S240" s="336">
        <f>Saldo_relativo_per_capita!S240*Saldo_relativo_per_capita!S$552/1000000</f>
        <v>1.1647305935694077</v>
      </c>
      <c r="T240" s="336">
        <f>Saldo_relativo_per_capita!T240*Saldo_relativo_per_capita!T$552/1000000</f>
        <v>-22.594294011443026</v>
      </c>
      <c r="U240" s="336">
        <f>Saldo_relativo_per_capita!U240*Saldo_relativo_per_capita!U$552/1000000</f>
        <v>0.8026823197345323</v>
      </c>
      <c r="V240" s="336">
        <f>Saldo_relativo_per_capita!V240*Saldo_relativo_per_capita!V$552/1000000</f>
        <v>-3.0973265308050779</v>
      </c>
      <c r="W240" s="145"/>
      <c r="X240" s="146"/>
    </row>
    <row r="241" spans="1:24" s="115" customFormat="1">
      <c r="A241" s="351" t="str">
        <f>IF(B241="","",(IF(ISERROR(MATCH(B241,Tot_res!C:C,0)),"Eliminar!!!","")))</f>
        <v/>
      </c>
      <c r="B241" s="115" t="s">
        <v>248</v>
      </c>
      <c r="C241" s="329" t="str">
        <f>VLOOKUP(B241,Tot_res!C:D,2,FALSE)</f>
        <v>Estudios y servicios de asistencia técnica en obras públicas y urbanismo</v>
      </c>
      <c r="D241" s="336">
        <f>Saldo_relativo_per_capita!D241*Saldo_relativo_per_capita!D$552/1000000</f>
        <v>0</v>
      </c>
      <c r="E241" s="336">
        <f>Saldo_relativo_per_capita!E241*Saldo_relativo_per_capita!E$552/1000000</f>
        <v>-0.74588797700170451</v>
      </c>
      <c r="F241" s="336">
        <f>Saldo_relativo_per_capita!F241*Saldo_relativo_per_capita!F$552/1000000</f>
        <v>0.6337672317028501</v>
      </c>
      <c r="G241" s="336">
        <f>Saldo_relativo_per_capita!G241*Saldo_relativo_per_capita!G$552/1000000</f>
        <v>0.42296869630714001</v>
      </c>
      <c r="H241" s="336">
        <f>Saldo_relativo_per_capita!H241*Saldo_relativo_per_capita!H$552/1000000</f>
        <v>-0.22081481055354893</v>
      </c>
      <c r="I241" s="336">
        <f>Saldo_relativo_per_capita!I241*Saldo_relativo_per_capita!I$552/1000000</f>
        <v>-0.55989886240255982</v>
      </c>
      <c r="J241" s="336">
        <f>Saldo_relativo_per_capita!J241*Saldo_relativo_per_capita!J$552/1000000</f>
        <v>0.10412040841465851</v>
      </c>
      <c r="K241" s="336">
        <f>Saldo_relativo_per_capita!K241*Saldo_relativo_per_capita!K$552/1000000</f>
        <v>1.7053135781391302</v>
      </c>
      <c r="L241" s="336">
        <f>Saldo_relativo_per_capita!L241*Saldo_relativo_per_capita!L$552/1000000</f>
        <v>0.27923991338653797</v>
      </c>
      <c r="M241" s="336">
        <f>Saldo_relativo_per_capita!M241*Saldo_relativo_per_capita!M$552/1000000</f>
        <v>-1.3522543213314873</v>
      </c>
      <c r="N241" s="336">
        <f>Saldo_relativo_per_capita!N241*Saldo_relativo_per_capita!N$552/1000000</f>
        <v>-0.69780880974932313</v>
      </c>
      <c r="O241" s="336">
        <f>Saldo_relativo_per_capita!O241*Saldo_relativo_per_capita!O$552/1000000</f>
        <v>0.20493004831212086</v>
      </c>
      <c r="P241" s="336">
        <f>Saldo_relativo_per_capita!P241*Saldo_relativo_per_capita!P$552/1000000</f>
        <v>1.0077193064503975</v>
      </c>
      <c r="Q241" s="336">
        <f>Saldo_relativo_per_capita!Q241*Saldo_relativo_per_capita!Q$552/1000000</f>
        <v>-1.051173461898842</v>
      </c>
      <c r="R241" s="336">
        <f>Saldo_relativo_per_capita!R241*Saldo_relativo_per_capita!R$552/1000000</f>
        <v>-1.489016948282209E-2</v>
      </c>
      <c r="S241" s="336">
        <f>Saldo_relativo_per_capita!S241*Saldo_relativo_per_capita!S$552/1000000</f>
        <v>8.8389283456559026E-2</v>
      </c>
      <c r="T241" s="336">
        <f>Saldo_relativo_per_capita!T241*Saldo_relativo_per_capita!T$552/1000000</f>
        <v>9.4902719635156049E-2</v>
      </c>
      <c r="U241" s="336">
        <f>Saldo_relativo_per_capita!U241*Saldo_relativo_per_capita!U$552/1000000</f>
        <v>0.11134865856553298</v>
      </c>
      <c r="V241" s="336">
        <f>Saldo_relativo_per_capita!V241*Saldo_relativo_per_capita!V$552/1000000</f>
        <v>-9.9714319497955905E-3</v>
      </c>
      <c r="W241" s="145"/>
      <c r="X241" s="146"/>
    </row>
    <row r="242" spans="1:24" s="115" customFormat="1">
      <c r="A242" s="351" t="str">
        <f>IF(B242="","",(IF(ISERROR(MATCH(B242,Tot_res!C:C,0)),"Eliminar!!!","")))</f>
        <v/>
      </c>
      <c r="B242" s="115" t="s">
        <v>249</v>
      </c>
      <c r="C242" s="329" t="str">
        <f>VLOOKUP(B242,Tot_res!C:D,2,FALSE)</f>
        <v>Dirección y servicios generales de fomento</v>
      </c>
      <c r="D242" s="336">
        <f>Saldo_relativo_per_capita!D242*Saldo_relativo_per_capita!D$552/1000000</f>
        <v>0</v>
      </c>
      <c r="E242" s="336">
        <f>Saldo_relativo_per_capita!E242*Saldo_relativo_per_capita!E$552/1000000</f>
        <v>-2.7524597101511912</v>
      </c>
      <c r="F242" s="336">
        <f>Saldo_relativo_per_capita!F242*Saldo_relativo_per_capita!F$552/1000000</f>
        <v>0.52899021423884651</v>
      </c>
      <c r="G242" s="336">
        <f>Saldo_relativo_per_capita!G242*Saldo_relativo_per_capita!G$552/1000000</f>
        <v>0.80418192937185706</v>
      </c>
      <c r="H242" s="336">
        <f>Saldo_relativo_per_capita!H242*Saldo_relativo_per_capita!H$552/1000000</f>
        <v>-0.58749119476549594</v>
      </c>
      <c r="I242" s="336">
        <f>Saldo_relativo_per_capita!I242*Saldo_relativo_per_capita!I$552/1000000</f>
        <v>-1.4594507986223773</v>
      </c>
      <c r="J242" s="336">
        <f>Saldo_relativo_per_capita!J242*Saldo_relativo_per_capita!J$552/1000000</f>
        <v>0.22748760335698817</v>
      </c>
      <c r="K242" s="336">
        <f>Saldo_relativo_per_capita!K242*Saldo_relativo_per_capita!K$552/1000000</f>
        <v>2.9582270253676435</v>
      </c>
      <c r="L242" s="336">
        <f>Saldo_relativo_per_capita!L242*Saldo_relativo_per_capita!L$552/1000000</f>
        <v>0.30763217169439977</v>
      </c>
      <c r="M242" s="336">
        <f>Saldo_relativo_per_capita!M242*Saldo_relativo_per_capita!M$552/1000000</f>
        <v>-2.7015134594867276</v>
      </c>
      <c r="N242" s="336">
        <f>Saldo_relativo_per_capita!N242*Saldo_relativo_per_capita!N$552/1000000</f>
        <v>-2.2172398590119271</v>
      </c>
      <c r="O242" s="336">
        <f>Saldo_relativo_per_capita!O242*Saldo_relativo_per_capita!O$552/1000000</f>
        <v>-0.34181875132899209</v>
      </c>
      <c r="P242" s="336">
        <f>Saldo_relativo_per_capita!P242*Saldo_relativo_per_capita!P$552/1000000</f>
        <v>8.4915758115470776</v>
      </c>
      <c r="Q242" s="336">
        <f>Saldo_relativo_per_capita!Q242*Saldo_relativo_per_capita!Q$552/1000000</f>
        <v>-1.9634023552617785</v>
      </c>
      <c r="R242" s="336">
        <f>Saldo_relativo_per_capita!R242*Saldo_relativo_per_capita!R$552/1000000</f>
        <v>-0.92749271160877655</v>
      </c>
      <c r="S242" s="336">
        <f>Saldo_relativo_per_capita!S242*Saldo_relativo_per_capita!S$552/1000000</f>
        <v>3.2588112772550595E-2</v>
      </c>
      <c r="T242" s="336">
        <f>Saldo_relativo_per_capita!T242*Saldo_relativo_per_capita!T$552/1000000</f>
        <v>-0.32779823151450521</v>
      </c>
      <c r="U242" s="336">
        <f>Saldo_relativo_per_capita!U242*Saldo_relativo_per_capita!U$552/1000000</f>
        <v>9.1116060396051676E-2</v>
      </c>
      <c r="V242" s="336">
        <f>Saldo_relativo_per_capita!V242*Saldo_relativo_per_capita!V$552/1000000</f>
        <v>-0.16313185699364455</v>
      </c>
      <c r="W242" s="145"/>
      <c r="X242" s="145"/>
    </row>
    <row r="243" spans="1:24" s="115" customFormat="1">
      <c r="A243" s="351" t="str">
        <f>IF(B243="","",(IF(ISERROR(MATCH(B243,Tot_res!C:C,0)),"Eliminar!!!","")))</f>
        <v/>
      </c>
      <c r="B243" s="115" t="s">
        <v>740</v>
      </c>
      <c r="C243" s="329" t="str">
        <f>VLOOKUP(B243,Tot_res!C:D,2,FALSE)</f>
        <v>Dirección y Servicios Generales de Agricultura, Alimentación y Medio Ambiente</v>
      </c>
      <c r="D243" s="336">
        <f>Saldo_relativo_per_capita!D243*Saldo_relativo_per_capita!D$552/1000000</f>
        <v>0</v>
      </c>
      <c r="E243" s="336">
        <f>Saldo_relativo_per_capita!E243*Saldo_relativo_per_capita!E$552/1000000</f>
        <v>-0.25238524797089723</v>
      </c>
      <c r="F243" s="336">
        <f>Saldo_relativo_per_capita!F243*Saldo_relativo_per_capita!F$552/1000000</f>
        <v>1.9859503688614462</v>
      </c>
      <c r="G243" s="336">
        <f>Saldo_relativo_per_capita!G243*Saldo_relativo_per_capita!G$552/1000000</f>
        <v>9.1358879076894134E-2</v>
      </c>
      <c r="H243" s="336">
        <f>Saldo_relativo_per_capita!H243*Saldo_relativo_per_capita!H$552/1000000</f>
        <v>-0.52172604032583791</v>
      </c>
      <c r="I243" s="336">
        <f>Saldo_relativo_per_capita!I243*Saldo_relativo_per_capita!I$552/1000000</f>
        <v>-0.43504216128042772</v>
      </c>
      <c r="J243" s="336">
        <f>Saldo_relativo_per_capita!J243*Saldo_relativo_per_capita!J$552/1000000</f>
        <v>-0.11494243362656235</v>
      </c>
      <c r="K243" s="336">
        <f>Saldo_relativo_per_capita!K243*Saldo_relativo_per_capita!K$552/1000000</f>
        <v>1.7477559504955276</v>
      </c>
      <c r="L243" s="336">
        <f>Saldo_relativo_per_capita!L243*Saldo_relativo_per_capita!L$552/1000000</f>
        <v>1.0722823414315183</v>
      </c>
      <c r="M243" s="336">
        <f>Saldo_relativo_per_capita!M243*Saldo_relativo_per_capita!M$552/1000000</f>
        <v>-4.252464568830356</v>
      </c>
      <c r="N243" s="336">
        <f>Saldo_relativo_per_capita!N243*Saldo_relativo_per_capita!N$552/1000000</f>
        <v>-0.88944589009543795</v>
      </c>
      <c r="O243" s="336">
        <f>Saldo_relativo_per_capita!O243*Saldo_relativo_per_capita!O$552/1000000</f>
        <v>2.1796240955265964</v>
      </c>
      <c r="P243" s="336">
        <f>Saldo_relativo_per_capita!P243*Saldo_relativo_per_capita!P$552/1000000</f>
        <v>-0.71934557415621347</v>
      </c>
      <c r="Q243" s="336">
        <f>Saldo_relativo_per_capita!Q243*Saldo_relativo_per_capita!Q$552/1000000</f>
        <v>-2.6833999400783353</v>
      </c>
      <c r="R243" s="336">
        <f>Saldo_relativo_per_capita!R243*Saldo_relativo_per_capita!R$552/1000000</f>
        <v>2.0708460195494016</v>
      </c>
      <c r="S243" s="336">
        <f>Saldo_relativo_per_capita!S243*Saldo_relativo_per_capita!S$552/1000000</f>
        <v>-3.6521228990436999E-2</v>
      </c>
      <c r="T243" s="336">
        <f>Saldo_relativo_per_capita!T243*Saldo_relativo_per_capita!T$552/1000000</f>
        <v>-4.8718725653817255E-2</v>
      </c>
      <c r="U243" s="336">
        <f>Saldo_relativo_per_capita!U243*Saldo_relativo_per_capita!U$552/1000000</f>
        <v>0.47813533062036789</v>
      </c>
      <c r="V243" s="336">
        <f>Saldo_relativo_per_capita!V243*Saldo_relativo_per_capita!V$552/1000000</f>
        <v>0.32803882544658819</v>
      </c>
      <c r="W243" s="145"/>
      <c r="X243" s="145"/>
    </row>
    <row r="244" spans="1:24" s="115" customFormat="1">
      <c r="A244" s="351" t="str">
        <f>IF(B244="","",(IF(ISERROR(MATCH(B244,Tot_res!C:C,0)),"Eliminar!!!","")))</f>
        <v/>
      </c>
      <c r="B244" s="115" t="s">
        <v>250</v>
      </c>
      <c r="C244" s="329" t="str">
        <f>VLOOKUP(B244,Tot_res!C:D,2,FALSE)</f>
        <v>Gestión e infraestructuras del agua</v>
      </c>
      <c r="D244" s="336">
        <f>Saldo_relativo_per_capita!D244*Saldo_relativo_per_capita!D$552/1000000</f>
        <v>0</v>
      </c>
      <c r="E244" s="336">
        <f>Saldo_relativo_per_capita!E244*Saldo_relativo_per_capita!E$552/1000000</f>
        <v>1.6982401101970475</v>
      </c>
      <c r="F244" s="336">
        <f>Saldo_relativo_per_capita!F244*Saldo_relativo_per_capita!F$552/1000000</f>
        <v>64.783075674864719</v>
      </c>
      <c r="G244" s="336">
        <f>Saldo_relativo_per_capita!G244*Saldo_relativo_per_capita!G$552/1000000</f>
        <v>-15.696683357737964</v>
      </c>
      <c r="H244" s="336">
        <f>Saldo_relativo_per_capita!H244*Saldo_relativo_per_capita!H$552/1000000</f>
        <v>-22.121320651433692</v>
      </c>
      <c r="I244" s="336">
        <f>Saldo_relativo_per_capita!I244*Saldo_relativo_per_capita!I$552/1000000</f>
        <v>-19.653320672992322</v>
      </c>
      <c r="J244" s="336">
        <f>Saldo_relativo_per_capita!J244*Saldo_relativo_per_capita!J$552/1000000</f>
        <v>-8.5241995733666069</v>
      </c>
      <c r="K244" s="336">
        <f>Saldo_relativo_per_capita!K244*Saldo_relativo_per_capita!K$552/1000000</f>
        <v>68.758405795732912</v>
      </c>
      <c r="L244" s="336">
        <f>Saldo_relativo_per_capita!L244*Saldo_relativo_per_capita!L$552/1000000</f>
        <v>41.267895586188985</v>
      </c>
      <c r="M244" s="336">
        <f>Saldo_relativo_per_capita!M244*Saldo_relativo_per_capita!M$552/1000000</f>
        <v>-145.34839198164403</v>
      </c>
      <c r="N244" s="336">
        <f>Saldo_relativo_per_capita!N244*Saldo_relativo_per_capita!N$552/1000000</f>
        <v>-24.687149357964181</v>
      </c>
      <c r="O244" s="336">
        <f>Saldo_relativo_per_capita!O244*Saldo_relativo_per_capita!O$552/1000000</f>
        <v>71.58130458676024</v>
      </c>
      <c r="P244" s="336">
        <f>Saldo_relativo_per_capita!P244*Saldo_relativo_per_capita!P$552/1000000</f>
        <v>-36.092578820406509</v>
      </c>
      <c r="Q244" s="336">
        <f>Saldo_relativo_per_capita!Q244*Saldo_relativo_per_capita!Q$552/1000000</f>
        <v>-79.036956542718755</v>
      </c>
      <c r="R244" s="336">
        <f>Saldo_relativo_per_capita!R244*Saldo_relativo_per_capita!R$552/1000000</f>
        <v>97.139196149781895</v>
      </c>
      <c r="S244" s="336">
        <f>Saldo_relativo_per_capita!S244*Saldo_relativo_per_capita!S$552/1000000</f>
        <v>1.483933050482825</v>
      </c>
      <c r="T244" s="336">
        <f>Saldo_relativo_per_capita!T244*Saldo_relativo_per_capita!T$552/1000000</f>
        <v>-28.367561352054391</v>
      </c>
      <c r="U244" s="336">
        <f>Saldo_relativo_per_capita!U244*Saldo_relativo_per_capita!U$552/1000000</f>
        <v>21.158265668964265</v>
      </c>
      <c r="V244" s="336">
        <f>Saldo_relativo_per_capita!V244*Saldo_relativo_per_capita!V$552/1000000</f>
        <v>11.657845687345613</v>
      </c>
      <c r="W244" s="145"/>
      <c r="X244" s="145"/>
    </row>
    <row r="245" spans="1:24" s="115" customFormat="1">
      <c r="A245" s="351" t="str">
        <f>IF(B245="","",(IF(ISERROR(MATCH(B245,Tot_res!C:C,0)),"Eliminar!!!","")))</f>
        <v/>
      </c>
      <c r="B245" s="115" t="s">
        <v>251</v>
      </c>
      <c r="C245" s="329" t="str">
        <f>VLOOKUP(B245,Tot_res!C:D,2,FALSE)</f>
        <v>Normativa y ordenac. territorial recursos hídricos</v>
      </c>
      <c r="D245" s="336">
        <f>Saldo_relativo_per_capita!D245*Saldo_relativo_per_capita!D$552/1000000</f>
        <v>0</v>
      </c>
      <c r="E245" s="336">
        <f>Saldo_relativo_per_capita!E245*Saldo_relativo_per_capita!E$552/1000000</f>
        <v>0</v>
      </c>
      <c r="F245" s="336">
        <f>Saldo_relativo_per_capita!F245*Saldo_relativo_per_capita!F$552/1000000</f>
        <v>0</v>
      </c>
      <c r="G245" s="336">
        <f>Saldo_relativo_per_capita!G245*Saldo_relativo_per_capita!G$552/1000000</f>
        <v>0</v>
      </c>
      <c r="H245" s="336">
        <f>Saldo_relativo_per_capita!H245*Saldo_relativo_per_capita!H$552/1000000</f>
        <v>0</v>
      </c>
      <c r="I245" s="336">
        <f>Saldo_relativo_per_capita!I245*Saldo_relativo_per_capita!I$552/1000000</f>
        <v>0</v>
      </c>
      <c r="J245" s="336">
        <f>Saldo_relativo_per_capita!J245*Saldo_relativo_per_capita!J$552/1000000</f>
        <v>0</v>
      </c>
      <c r="K245" s="336">
        <f>Saldo_relativo_per_capita!K245*Saldo_relativo_per_capita!K$552/1000000</f>
        <v>0</v>
      </c>
      <c r="L245" s="336">
        <f>Saldo_relativo_per_capita!L245*Saldo_relativo_per_capita!L$552/1000000</f>
        <v>0</v>
      </c>
      <c r="M245" s="336">
        <f>Saldo_relativo_per_capita!M245*Saldo_relativo_per_capita!M$552/1000000</f>
        <v>0</v>
      </c>
      <c r="N245" s="336">
        <f>Saldo_relativo_per_capita!N245*Saldo_relativo_per_capita!N$552/1000000</f>
        <v>0</v>
      </c>
      <c r="O245" s="336">
        <f>Saldo_relativo_per_capita!O245*Saldo_relativo_per_capita!O$552/1000000</f>
        <v>0</v>
      </c>
      <c r="P245" s="336">
        <f>Saldo_relativo_per_capita!P245*Saldo_relativo_per_capita!P$552/1000000</f>
        <v>0</v>
      </c>
      <c r="Q245" s="336">
        <f>Saldo_relativo_per_capita!Q245*Saldo_relativo_per_capita!Q$552/1000000</f>
        <v>0</v>
      </c>
      <c r="R245" s="336">
        <f>Saldo_relativo_per_capita!R245*Saldo_relativo_per_capita!R$552/1000000</f>
        <v>0</v>
      </c>
      <c r="S245" s="336">
        <f>Saldo_relativo_per_capita!S245*Saldo_relativo_per_capita!S$552/1000000</f>
        <v>0</v>
      </c>
      <c r="T245" s="336">
        <f>Saldo_relativo_per_capita!T245*Saldo_relativo_per_capita!T$552/1000000</f>
        <v>0</v>
      </c>
      <c r="U245" s="336">
        <f>Saldo_relativo_per_capita!U245*Saldo_relativo_per_capita!U$552/1000000</f>
        <v>0</v>
      </c>
      <c r="V245" s="336">
        <f>Saldo_relativo_per_capita!V245*Saldo_relativo_per_capita!V$552/1000000</f>
        <v>0</v>
      </c>
      <c r="W245" s="145"/>
      <c r="X245" s="146"/>
    </row>
    <row r="246" spans="1:24" s="115" customFormat="1">
      <c r="A246" s="351" t="str">
        <f>IF(B246="","",(IF(ISERROR(MATCH(B246,Tot_res!C:C,0)),"Eliminar!!!","")))</f>
        <v/>
      </c>
      <c r="B246" s="115" t="s">
        <v>252</v>
      </c>
      <c r="C246" s="329" t="str">
        <f>VLOOKUP(B246,Tot_res!C:D,2,FALSE)</f>
        <v>Infraestructura del transporte ferroviario + AF10 (no se ha hecho)</v>
      </c>
      <c r="D246" s="336">
        <f>Saldo_relativo_per_capita!D246*Saldo_relativo_per_capita!D$552/1000000</f>
        <v>0</v>
      </c>
      <c r="E246" s="336">
        <f>Saldo_relativo_per_capita!E246*Saldo_relativo_per_capita!E$552/1000000</f>
        <v>23.156023275769606</v>
      </c>
      <c r="F246" s="336">
        <f>Saldo_relativo_per_capita!F246*Saldo_relativo_per_capita!F$552/1000000</f>
        <v>-2.5337061393459313</v>
      </c>
      <c r="G246" s="336">
        <f>Saldo_relativo_per_capita!G246*Saldo_relativo_per_capita!G$552/1000000</f>
        <v>1.1280878870625362</v>
      </c>
      <c r="H246" s="336">
        <f>Saldo_relativo_per_capita!H246*Saldo_relativo_per_capita!H$552/1000000</f>
        <v>0.83413481251884369</v>
      </c>
      <c r="I246" s="336">
        <f>Saldo_relativo_per_capita!I246*Saldo_relativo_per_capita!I$552/1000000</f>
        <v>6.9460105506834795</v>
      </c>
      <c r="J246" s="336">
        <f>Saldo_relativo_per_capita!J246*Saldo_relativo_per_capita!J$552/1000000</f>
        <v>-0.52239889348744062</v>
      </c>
      <c r="K246" s="336">
        <f>Saldo_relativo_per_capita!K246*Saldo_relativo_per_capita!K$552/1000000</f>
        <v>13.467074579722265</v>
      </c>
      <c r="L246" s="336">
        <f>Saldo_relativo_per_capita!L246*Saldo_relativo_per_capita!L$552/1000000</f>
        <v>-4.4930058331530898</v>
      </c>
      <c r="M246" s="336">
        <f>Saldo_relativo_per_capita!M246*Saldo_relativo_per_capita!M$552/1000000</f>
        <v>-7.3650152345375011</v>
      </c>
      <c r="N246" s="336">
        <f>Saldo_relativo_per_capita!N246*Saldo_relativo_per_capita!N$552/1000000</f>
        <v>-8.8172020720320301</v>
      </c>
      <c r="O246" s="336">
        <f>Saldo_relativo_per_capita!O246*Saldo_relativo_per_capita!O$552/1000000</f>
        <v>-0.67694521292195908</v>
      </c>
      <c r="P246" s="336">
        <f>Saldo_relativo_per_capita!P246*Saldo_relativo_per_capita!P$552/1000000</f>
        <v>-3.4214702213750736</v>
      </c>
      <c r="Q246" s="336">
        <f>Saldo_relativo_per_capita!Q246*Saldo_relativo_per_capita!Q$552/1000000</f>
        <v>-7.5332502989656742</v>
      </c>
      <c r="R246" s="336">
        <f>Saldo_relativo_per_capita!R246*Saldo_relativo_per_capita!R$552/1000000</f>
        <v>-2.8533496721091209</v>
      </c>
      <c r="S246" s="336">
        <f>Saldo_relativo_per_capita!S246*Saldo_relativo_per_capita!S$552/1000000</f>
        <v>-1.1387359675792561</v>
      </c>
      <c r="T246" s="336">
        <f>Saldo_relativo_per_capita!T246*Saldo_relativo_per_capita!T$552/1000000</f>
        <v>-4.9387691002405889</v>
      </c>
      <c r="U246" s="336">
        <f>Saldo_relativo_per_capita!U246*Saldo_relativo_per_capita!U$552/1000000</f>
        <v>-0.77018199031593571</v>
      </c>
      <c r="V246" s="336">
        <f>Saldo_relativo_per_capita!V246*Saldo_relativo_per_capita!V$552/1000000</f>
        <v>-0.46730046969315558</v>
      </c>
      <c r="W246" s="145"/>
      <c r="X246" s="146"/>
    </row>
    <row r="247" spans="1:24" s="115" customFormat="1">
      <c r="A247" s="351" t="str">
        <f>IF(B247="","",(IF(ISERROR(MATCH(B247,Tot_res!C:C,0)),"Eliminar!!!","")))</f>
        <v/>
      </c>
      <c r="B247" s="115" t="s">
        <v>253</v>
      </c>
      <c r="C247" s="329" t="str">
        <f>VLOOKUP(B247,Tot_res!C:D,2,FALSE)</f>
        <v>Creación de infraestructura de carreteras + AF06/1</v>
      </c>
      <c r="D247" s="336">
        <f>Saldo_relativo_per_capita!D247*Saldo_relativo_per_capita!D$552/1000000</f>
        <v>0</v>
      </c>
      <c r="E247" s="336">
        <f>Saldo_relativo_per_capita!E247*Saldo_relativo_per_capita!E$552/1000000</f>
        <v>118.97625465900994</v>
      </c>
      <c r="F247" s="336">
        <f>Saldo_relativo_per_capita!F247*Saldo_relativo_per_capita!F$552/1000000</f>
        <v>88.140924665447301</v>
      </c>
      <c r="G247" s="336">
        <f>Saldo_relativo_per_capita!G247*Saldo_relativo_per_capita!G$552/1000000</f>
        <v>74.323950820811987</v>
      </c>
      <c r="H247" s="336">
        <f>Saldo_relativo_per_capita!H247*Saldo_relativo_per_capita!H$552/1000000</f>
        <v>42.664947612235757</v>
      </c>
      <c r="I247" s="336">
        <f>Saldo_relativo_per_capita!I247*Saldo_relativo_per_capita!I$552/1000000</f>
        <v>-16.719211942645011</v>
      </c>
      <c r="J247" s="336">
        <f>Saldo_relativo_per_capita!J247*Saldo_relativo_per_capita!J$552/1000000</f>
        <v>40.444778623329903</v>
      </c>
      <c r="K247" s="336">
        <f>Saldo_relativo_per_capita!K247*Saldo_relativo_per_capita!K$552/1000000</f>
        <v>-5.1135590859212545</v>
      </c>
      <c r="L247" s="336">
        <f>Saldo_relativo_per_capita!L247*Saldo_relativo_per_capita!L$552/1000000</f>
        <v>-7.9390537128443599</v>
      </c>
      <c r="M247" s="336">
        <f>Saldo_relativo_per_capita!M247*Saldo_relativo_per_capita!M$552/1000000</f>
        <v>-118.09460113316126</v>
      </c>
      <c r="N247" s="336">
        <f>Saldo_relativo_per_capita!N247*Saldo_relativo_per_capita!N$552/1000000</f>
        <v>-76.648302737607395</v>
      </c>
      <c r="O247" s="336">
        <f>Saldo_relativo_per_capita!O247*Saldo_relativo_per_capita!O$552/1000000</f>
        <v>-25.575818110612623</v>
      </c>
      <c r="P247" s="336">
        <f>Saldo_relativo_per_capita!P247*Saldo_relativo_per_capita!P$552/1000000</f>
        <v>31.490507366498548</v>
      </c>
      <c r="Q247" s="336">
        <f>Saldo_relativo_per_capita!Q247*Saldo_relativo_per_capita!Q$552/1000000</f>
        <v>-141.16103483780844</v>
      </c>
      <c r="R247" s="336">
        <f>Saldo_relativo_per_capita!R247*Saldo_relativo_per_capita!R$552/1000000</f>
        <v>-33.378565042465354</v>
      </c>
      <c r="S247" s="336">
        <f>Saldo_relativo_per_capita!S247*Saldo_relativo_per_capita!S$552/1000000</f>
        <v>2.6034809702311978</v>
      </c>
      <c r="T247" s="336">
        <f>Saldo_relativo_per_capita!T247*Saldo_relativo_per_capita!T$552/1000000</f>
        <v>3.9744943754294684</v>
      </c>
      <c r="U247" s="336">
        <f>Saldo_relativo_per_capita!U247*Saldo_relativo_per_capita!U$552/1000000</f>
        <v>25.790317469735246</v>
      </c>
      <c r="V247" s="336">
        <f>Saldo_relativo_per_capita!V247*Saldo_relativo_per_capita!V$552/1000000</f>
        <v>-3.7795099596635997</v>
      </c>
      <c r="W247" s="145"/>
      <c r="X247" s="146"/>
    </row>
    <row r="248" spans="1:24" s="115" customFormat="1">
      <c r="A248" s="351" t="str">
        <f>IF(B248="","",(IF(ISERROR(MATCH(B248,Tot_res!C:C,0)),"Eliminar!!!","")))</f>
        <v/>
      </c>
      <c r="B248" s="115" t="s">
        <v>255</v>
      </c>
      <c r="C248" s="329" t="str">
        <f>VLOOKUP(B248,Tot_res!C:D,2,FALSE)</f>
        <v>Conservación y explotación de carreteras + AF07</v>
      </c>
      <c r="D248" s="336">
        <f>Saldo_relativo_per_capita!D248*Saldo_relativo_per_capita!D$552/1000000</f>
        <v>0</v>
      </c>
      <c r="E248" s="336">
        <f>Saldo_relativo_per_capita!E248*Saldo_relativo_per_capita!E$552/1000000</f>
        <v>-64.575400417756796</v>
      </c>
      <c r="F248" s="336">
        <f>Saldo_relativo_per_capita!F248*Saldo_relativo_per_capita!F$552/1000000</f>
        <v>58.989203800686589</v>
      </c>
      <c r="G248" s="336">
        <f>Saldo_relativo_per_capita!G248*Saldo_relativo_per_capita!G$552/1000000</f>
        <v>4.2543997080091156</v>
      </c>
      <c r="H248" s="336">
        <f>Saldo_relativo_per_capita!H248*Saldo_relativo_per_capita!H$552/1000000</f>
        <v>-21.397973909805504</v>
      </c>
      <c r="I248" s="336">
        <f>Saldo_relativo_per_capita!I248*Saldo_relativo_per_capita!I$552/1000000</f>
        <v>-40.365615154414044</v>
      </c>
      <c r="J248" s="336">
        <f>Saldo_relativo_per_capita!J248*Saldo_relativo_per_capita!J$552/1000000</f>
        <v>15.928666590746902</v>
      </c>
      <c r="K248" s="336">
        <f>Saldo_relativo_per_capita!K248*Saldo_relativo_per_capita!K$552/1000000</f>
        <v>97.645518853376146</v>
      </c>
      <c r="L248" s="336">
        <f>Saldo_relativo_per_capita!L248*Saldo_relativo_per_capita!L$552/1000000</f>
        <v>87.67926024963576</v>
      </c>
      <c r="M248" s="336">
        <f>Saldo_relativo_per_capita!M248*Saldo_relativo_per_capita!M$552/1000000</f>
        <v>-83.523316353678879</v>
      </c>
      <c r="N248" s="336">
        <f>Saldo_relativo_per_capita!N248*Saldo_relativo_per_capita!N$552/1000000</f>
        <v>-34.44120235178405</v>
      </c>
      <c r="O248" s="336">
        <f>Saldo_relativo_per_capita!O248*Saldo_relativo_per_capita!O$552/1000000</f>
        <v>2.0600509046305779</v>
      </c>
      <c r="P248" s="336">
        <f>Saldo_relativo_per_capita!P248*Saldo_relativo_per_capita!P$552/1000000</f>
        <v>2.117641589631349</v>
      </c>
      <c r="Q248" s="336">
        <f>Saldo_relativo_per_capita!Q248*Saldo_relativo_per_capita!Q$552/1000000</f>
        <v>-30.968669089443747</v>
      </c>
      <c r="R248" s="336">
        <f>Saldo_relativo_per_capita!R248*Saldo_relativo_per_capita!R$552/1000000</f>
        <v>-0.25444209752556946</v>
      </c>
      <c r="S248" s="336">
        <f>Saldo_relativo_per_capita!S248*Saldo_relativo_per_capita!S$552/1000000</f>
        <v>2.3749801760171572</v>
      </c>
      <c r="T248" s="336">
        <f>Saldo_relativo_per_capita!T248*Saldo_relativo_per_capita!T$552/1000000</f>
        <v>5.167668351295843</v>
      </c>
      <c r="U248" s="336">
        <f>Saldo_relativo_per_capita!U248*Saldo_relativo_per_capita!U$552/1000000</f>
        <v>1.4027398208305188</v>
      </c>
      <c r="V248" s="336">
        <f>Saldo_relativo_per_capita!V248*Saldo_relativo_per_capita!V$552/1000000</f>
        <v>-2.0935106704511472</v>
      </c>
      <c r="W248" s="145"/>
      <c r="X248" s="146"/>
    </row>
    <row r="249" spans="1:24" s="115" customFormat="1">
      <c r="A249" s="351" t="str">
        <f>IF(B249="","",(IF(ISERROR(MATCH(B249,Tot_res!C:C,0)),"Eliminar!!!","")))</f>
        <v/>
      </c>
      <c r="B249" s="115" t="s">
        <v>257</v>
      </c>
      <c r="C249" s="329" t="str">
        <f>VLOOKUP(B249,Tot_res!C:D,2,FALSE)</f>
        <v>Ordenac. e inspección del transporte terrestre</v>
      </c>
      <c r="D249" s="336">
        <f>Saldo_relativo_per_capita!D249*Saldo_relativo_per_capita!D$552/1000000</f>
        <v>0</v>
      </c>
      <c r="E249" s="336">
        <f>Saldo_relativo_per_capita!E249*Saldo_relativo_per_capita!E$552/1000000</f>
        <v>-1.012835651491135</v>
      </c>
      <c r="F249" s="336">
        <f>Saldo_relativo_per_capita!F249*Saldo_relativo_per_capita!F$552/1000000</f>
        <v>0.19964996793896489</v>
      </c>
      <c r="G249" s="336">
        <f>Saldo_relativo_per_capita!G249*Saldo_relativo_per_capita!G$552/1000000</f>
        <v>0.14117156736303987</v>
      </c>
      <c r="H249" s="336">
        <f>Saldo_relativo_per_capita!H249*Saldo_relativo_per_capita!H$552/1000000</f>
        <v>-0.35009541631002861</v>
      </c>
      <c r="I249" s="336">
        <f>Saldo_relativo_per_capita!I249*Saldo_relativo_per_capita!I$552/1000000</f>
        <v>-0.60851580148451889</v>
      </c>
      <c r="J249" s="336">
        <f>Saldo_relativo_per_capita!J249*Saldo_relativo_per_capita!J$552/1000000</f>
        <v>9.245983983520073E-2</v>
      </c>
      <c r="K249" s="336">
        <f>Saldo_relativo_per_capita!K249*Saldo_relativo_per_capita!K$552/1000000</f>
        <v>-3.0414785503413973E-2</v>
      </c>
      <c r="L249" s="336">
        <f>Saldo_relativo_per_capita!L249*Saldo_relativo_per_capita!L$552/1000000</f>
        <v>0.40309192230444457</v>
      </c>
      <c r="M249" s="336">
        <f>Saldo_relativo_per_capita!M249*Saldo_relativo_per_capita!M$552/1000000</f>
        <v>1.3260101458589748</v>
      </c>
      <c r="N249" s="336">
        <f>Saldo_relativo_per_capita!N249*Saldo_relativo_per_capita!N$552/1000000</f>
        <v>-0.48209481889898803</v>
      </c>
      <c r="O249" s="336">
        <f>Saldo_relativo_per_capita!O249*Saldo_relativo_per_capita!O$552/1000000</f>
        <v>-1.3035731097072034E-2</v>
      </c>
      <c r="P249" s="336">
        <f>Saldo_relativo_per_capita!P249*Saldo_relativo_per_capita!P$552/1000000</f>
        <v>-0.1389304824514202</v>
      </c>
      <c r="Q249" s="336">
        <f>Saldo_relativo_per_capita!Q249*Saldo_relativo_per_capita!Q$552/1000000</f>
        <v>0.1526124581868798</v>
      </c>
      <c r="R249" s="336">
        <f>Saldo_relativo_per_capita!R249*Saldo_relativo_per_capita!R$552/1000000</f>
        <v>-0.12184380756744273</v>
      </c>
      <c r="S249" s="336">
        <f>Saldo_relativo_per_capita!S249*Saldo_relativo_per_capita!S$552/1000000</f>
        <v>0.18142553736875505</v>
      </c>
      <c r="T249" s="336">
        <f>Saldo_relativo_per_capita!T249*Saldo_relativo_per_capita!T$552/1000000</f>
        <v>0.3055255293204025</v>
      </c>
      <c r="U249" s="336">
        <f>Saldo_relativo_per_capita!U249*Saldo_relativo_per_capita!U$552/1000000</f>
        <v>5.7635820387156294E-3</v>
      </c>
      <c r="V249" s="336">
        <f>Saldo_relativo_per_capita!V249*Saldo_relativo_per_capita!V$552/1000000</f>
        <v>-4.9944055411360558E-2</v>
      </c>
      <c r="W249" s="145"/>
      <c r="X249" s="145"/>
    </row>
    <row r="250" spans="1:24" s="115" customFormat="1">
      <c r="A250" s="351" t="str">
        <f>IF(B250="","",(IF(ISERROR(MATCH(B250,Tot_res!C:C,0)),"Eliminar!!!","")))</f>
        <v/>
      </c>
      <c r="B250" s="115" t="s">
        <v>258</v>
      </c>
      <c r="C250" s="329" t="str">
        <f>VLOOKUP(B250,Tot_res!C:D,2,FALSE)</f>
        <v>Seguridad tráfico marítimo y vigilancia costera</v>
      </c>
      <c r="D250" s="336">
        <f>Saldo_relativo_per_capita!D250*Saldo_relativo_per_capita!D$552/1000000</f>
        <v>0</v>
      </c>
      <c r="E250" s="336">
        <f>Saldo_relativo_per_capita!E250*Saldo_relativo_per_capita!E$552/1000000</f>
        <v>-2.4694860323701207</v>
      </c>
      <c r="F250" s="336">
        <f>Saldo_relativo_per_capita!F250*Saldo_relativo_per_capita!F$552/1000000</f>
        <v>0.72334208969827773</v>
      </c>
      <c r="G250" s="336">
        <f>Saldo_relativo_per_capita!G250*Saldo_relativo_per_capita!G$552/1000000</f>
        <v>-0.14433208219075616</v>
      </c>
      <c r="H250" s="336">
        <f>Saldo_relativo_per_capita!H250*Saldo_relativo_per_capita!H$552/1000000</f>
        <v>-0.22319752642714824</v>
      </c>
      <c r="I250" s="336">
        <f>Saldo_relativo_per_capita!I250*Saldo_relativo_per_capita!I$552/1000000</f>
        <v>0.3559309075347537</v>
      </c>
      <c r="J250" s="336">
        <f>Saldo_relativo_per_capita!J250*Saldo_relativo_per_capita!J$552/1000000</f>
        <v>9.4238527398089841E-2</v>
      </c>
      <c r="K250" s="336">
        <f>Saldo_relativo_per_capita!K250*Saldo_relativo_per_capita!K$552/1000000</f>
        <v>0.2657006890352952</v>
      </c>
      <c r="L250" s="336">
        <f>Saldo_relativo_per_capita!L250*Saldo_relativo_per_capita!L$552/1000000</f>
        <v>-0.16254129690196492</v>
      </c>
      <c r="M250" s="336">
        <f>Saldo_relativo_per_capita!M250*Saldo_relativo_per_capita!M$552/1000000</f>
        <v>1.2674372223134174</v>
      </c>
      <c r="N250" s="336">
        <f>Saldo_relativo_per_capita!N250*Saldo_relativo_per_capita!N$552/1000000</f>
        <v>-0.49124695584348688</v>
      </c>
      <c r="O250" s="336">
        <f>Saldo_relativo_per_capita!O250*Saldo_relativo_per_capita!O$552/1000000</f>
        <v>-0.40459056493986334</v>
      </c>
      <c r="P250" s="336">
        <f>Saldo_relativo_per_capita!P250*Saldo_relativo_per_capita!P$552/1000000</f>
        <v>-0.18714339954378367</v>
      </c>
      <c r="Q250" s="336">
        <f>Saldo_relativo_per_capita!Q250*Saldo_relativo_per_capita!Q$552/1000000</f>
        <v>-0.23499852577554228</v>
      </c>
      <c r="R250" s="336">
        <f>Saldo_relativo_per_capita!R250*Saldo_relativo_per_capita!R$552/1000000</f>
        <v>0.28475054000856403</v>
      </c>
      <c r="S250" s="336">
        <f>Saldo_relativo_per_capita!S250*Saldo_relativo_per_capita!S$552/1000000</f>
        <v>0.40631863640806193</v>
      </c>
      <c r="T250" s="336">
        <f>Saldo_relativo_per_capita!T250*Saldo_relativo_per_capita!T$552/1000000</f>
        <v>0.71766286817624592</v>
      </c>
      <c r="U250" s="336">
        <f>Saldo_relativo_per_capita!U250*Saldo_relativo_per_capita!U$552/1000000</f>
        <v>9.9719719117772207E-2</v>
      </c>
      <c r="V250" s="336">
        <f>Saldo_relativo_per_capita!V250*Saldo_relativo_per_capita!V$552/1000000</f>
        <v>0.10243518430219091</v>
      </c>
      <c r="W250" s="145"/>
      <c r="X250" s="145"/>
    </row>
    <row r="251" spans="1:24" s="115" customFormat="1">
      <c r="A251" s="351" t="str">
        <f>IF(B251="","",(IF(ISERROR(MATCH(B251,Tot_res!C:C,0)),"Eliminar!!!","")))</f>
        <v/>
      </c>
      <c r="B251" s="115" t="s">
        <v>259</v>
      </c>
      <c r="C251" s="329" t="str">
        <f>VLOOKUP(B251,Tot_res!C:D,2,FALSE)</f>
        <v>Regulación y supervisción de la aviación civil</v>
      </c>
      <c r="D251" s="336">
        <f>Saldo_relativo_per_capita!D251*Saldo_relativo_per_capita!D$552/1000000</f>
        <v>0</v>
      </c>
      <c r="E251" s="336">
        <f>Saldo_relativo_per_capita!E251*Saldo_relativo_per_capita!E$552/1000000</f>
        <v>-1.3399496880010109</v>
      </c>
      <c r="F251" s="336">
        <f>Saldo_relativo_per_capita!F251*Saldo_relativo_per_capita!F$552/1000000</f>
        <v>-8.7071151102975627E-2</v>
      </c>
      <c r="G251" s="336">
        <f>Saldo_relativo_per_capita!G251*Saldo_relativo_per_capita!G$552/1000000</f>
        <v>-5.4624756621573366E-2</v>
      </c>
      <c r="H251" s="336">
        <f>Saldo_relativo_per_capita!H251*Saldo_relativo_per_capita!H$552/1000000</f>
        <v>0.72261876238754996</v>
      </c>
      <c r="I251" s="336">
        <f>Saldo_relativo_per_capita!I251*Saldo_relativo_per_capita!I$552/1000000</f>
        <v>0.92214460752148431</v>
      </c>
      <c r="J251" s="336">
        <f>Saldo_relativo_per_capita!J251*Saldo_relativo_per_capita!J$552/1000000</f>
        <v>-8.2945427237678358E-3</v>
      </c>
      <c r="K251" s="336">
        <f>Saldo_relativo_per_capita!K251*Saldo_relativo_per_capita!K$552/1000000</f>
        <v>-0.49712980510305521</v>
      </c>
      <c r="L251" s="336">
        <f>Saldo_relativo_per_capita!L251*Saldo_relativo_per_capita!L$552/1000000</f>
        <v>-0.11565242926047702</v>
      </c>
      <c r="M251" s="336">
        <f>Saldo_relativo_per_capita!M251*Saldo_relativo_per_capita!M$552/1000000</f>
        <v>0.6191510577090743</v>
      </c>
      <c r="N251" s="336">
        <f>Saldo_relativo_per_capita!N251*Saldo_relativo_per_capita!N$552/1000000</f>
        <v>-0.47024340159896022</v>
      </c>
      <c r="O251" s="336">
        <f>Saldo_relativo_per_capita!O251*Saldo_relativo_per_capita!O$552/1000000</f>
        <v>-0.23160860979645143</v>
      </c>
      <c r="P251" s="336">
        <f>Saldo_relativo_per_capita!P251*Saldo_relativo_per_capita!P$552/1000000</f>
        <v>-0.23563683103200295</v>
      </c>
      <c r="Q251" s="336">
        <f>Saldo_relativo_per_capita!Q251*Saldo_relativo_per_capita!Q$552/1000000</f>
        <v>0.84991377368086474</v>
      </c>
      <c r="R251" s="336">
        <f>Saldo_relativo_per_capita!R251*Saldo_relativo_per_capita!R$552/1000000</f>
        <v>-0.18411179431993438</v>
      </c>
      <c r="S251" s="336">
        <f>Saldo_relativo_per_capita!S251*Saldo_relativo_per_capita!S$552/1000000</f>
        <v>3.2954782009086874E-3</v>
      </c>
      <c r="T251" s="336">
        <f>Saldo_relativo_per_capita!T251*Saldo_relativo_per_capita!T$552/1000000</f>
        <v>0.13271559608003053</v>
      </c>
      <c r="U251" s="336">
        <f>Saldo_relativo_per_capita!U251*Saldo_relativo_per_capita!U$552/1000000</f>
        <v>-3.7801854638853327E-2</v>
      </c>
      <c r="V251" s="336">
        <f>Saldo_relativo_per_capita!V251*Saldo_relativo_per_capita!V$552/1000000</f>
        <v>1.2285588619146701E-2</v>
      </c>
      <c r="W251" s="145"/>
      <c r="X251" s="146"/>
    </row>
    <row r="252" spans="1:24" s="115" customFormat="1">
      <c r="A252" s="351" t="str">
        <f>IF(B252="","",(IF(ISERROR(MATCH(B252,Tot_res!C:C,0)),"Eliminar!!!","")))</f>
        <v/>
      </c>
      <c r="B252" s="115" t="s">
        <v>260</v>
      </c>
      <c r="C252" s="329" t="str">
        <f>VLOOKUP(B252,Tot_res!C:D,2,FALSE)</f>
        <v>Calidad del agua</v>
      </c>
      <c r="D252" s="336">
        <f>Saldo_relativo_per_capita!D252*Saldo_relativo_per_capita!D$552/1000000</f>
        <v>0</v>
      </c>
      <c r="E252" s="336">
        <f>Saldo_relativo_per_capita!E252*Saldo_relativo_per_capita!E$552/1000000</f>
        <v>-5.1404455255083512</v>
      </c>
      <c r="F252" s="336">
        <f>Saldo_relativo_per_capita!F252*Saldo_relativo_per_capita!F$552/1000000</f>
        <v>22.302881313904653</v>
      </c>
      <c r="G252" s="336">
        <f>Saldo_relativo_per_capita!G252*Saldo_relativo_per_capita!G$552/1000000</f>
        <v>16.128177773238505</v>
      </c>
      <c r="H252" s="336">
        <f>Saldo_relativo_per_capita!H252*Saldo_relativo_per_capita!H$552/1000000</f>
        <v>-2.7128691540672576</v>
      </c>
      <c r="I252" s="336">
        <f>Saldo_relativo_per_capita!I252*Saldo_relativo_per_capita!I$552/1000000</f>
        <v>-3.9419332821334776</v>
      </c>
      <c r="J252" s="336">
        <f>Saldo_relativo_per_capita!J252*Saldo_relativo_per_capita!J$552/1000000</f>
        <v>0.19055950618418688</v>
      </c>
      <c r="K252" s="336">
        <f>Saldo_relativo_per_capita!K252*Saldo_relativo_per_capita!K$552/1000000</f>
        <v>-5.4383204964966332</v>
      </c>
      <c r="L252" s="336">
        <f>Saldo_relativo_per_capita!L252*Saldo_relativo_per_capita!L$552/1000000</f>
        <v>-4.855457481653251</v>
      </c>
      <c r="M252" s="336">
        <f>Saldo_relativo_per_capita!M252*Saldo_relativo_per_capita!M$552/1000000</f>
        <v>-18.31681015920179</v>
      </c>
      <c r="N252" s="336">
        <f>Saldo_relativo_per_capita!N252*Saldo_relativo_per_capita!N$552/1000000</f>
        <v>-12.063458159192077</v>
      </c>
      <c r="O252" s="336">
        <f>Saldo_relativo_per_capita!O252*Saldo_relativo_per_capita!O$552/1000000</f>
        <v>20.42773097116952</v>
      </c>
      <c r="P252" s="336">
        <f>Saldo_relativo_per_capita!P252*Saldo_relativo_per_capita!P$552/1000000</f>
        <v>1.7374729589218481</v>
      </c>
      <c r="Q252" s="336">
        <f>Saldo_relativo_per_capita!Q252*Saldo_relativo_per_capita!Q$552/1000000</f>
        <v>-15.680776568666786</v>
      </c>
      <c r="R252" s="336">
        <f>Saldo_relativo_per_capita!R252*Saldo_relativo_per_capita!R$552/1000000</f>
        <v>-3.5629690488674957</v>
      </c>
      <c r="S252" s="336">
        <f>Saldo_relativo_per_capita!S252*Saldo_relativo_per_capita!S$552/1000000</f>
        <v>-1.4176448389480867</v>
      </c>
      <c r="T252" s="336">
        <f>Saldo_relativo_per_capita!T252*Saldo_relativo_per_capita!T$552/1000000</f>
        <v>9.7667371818039559</v>
      </c>
      <c r="U252" s="336">
        <f>Saldo_relativo_per_capita!U252*Saldo_relativo_per_capita!U$552/1000000</f>
        <v>-0.68741458123629473</v>
      </c>
      <c r="V252" s="336">
        <f>Saldo_relativo_per_capita!V252*Saldo_relativo_per_capita!V$552/1000000</f>
        <v>3.2645395907488455</v>
      </c>
      <c r="W252" s="145"/>
      <c r="X252" s="146"/>
    </row>
    <row r="253" spans="1:24" s="115" customFormat="1">
      <c r="A253" s="351" t="str">
        <f>IF(B253="","",(IF(ISERROR(MATCH(B253,Tot_res!C:C,0)),"Eliminar!!!","")))</f>
        <v/>
      </c>
      <c r="B253" s="115" t="s">
        <v>262</v>
      </c>
      <c r="C253" s="329" t="str">
        <f>VLOOKUP(B253,Tot_res!C:D,2,FALSE)</f>
        <v>Protección y mejora del medio ambiente</v>
      </c>
      <c r="D253" s="336">
        <f>Saldo_relativo_per_capita!D253*Saldo_relativo_per_capita!D$552/1000000</f>
        <v>0</v>
      </c>
      <c r="E253" s="336">
        <f>Saldo_relativo_per_capita!E253*Saldo_relativo_per_capita!E$552/1000000</f>
        <v>-3.4748908445425324E-2</v>
      </c>
      <c r="F253" s="336">
        <f>Saldo_relativo_per_capita!F253*Saldo_relativo_per_capita!F$552/1000000</f>
        <v>-1.9423375439943071E-2</v>
      </c>
      <c r="G253" s="336">
        <f>Saldo_relativo_per_capita!G253*Saldo_relativo_per_capita!G$552/1000000</f>
        <v>-1.5526938594103019E-2</v>
      </c>
      <c r="H253" s="336">
        <f>Saldo_relativo_per_capita!H253*Saldo_relativo_per_capita!H$552/1000000</f>
        <v>-1.6224560887857953E-2</v>
      </c>
      <c r="I253" s="336">
        <f>Saldo_relativo_per_capita!I253*Saldo_relativo_per_capita!I$552/1000000</f>
        <v>-3.0900671584404567E-2</v>
      </c>
      <c r="J253" s="336">
        <f>Saldo_relativo_per_capita!J253*Saldo_relativo_per_capita!J$552/1000000</f>
        <v>2.6654257761125143E-2</v>
      </c>
      <c r="K253" s="336">
        <f>Saldo_relativo_per_capita!K253*Saldo_relativo_per_capita!K$552/1000000</f>
        <v>-3.649805878442669E-2</v>
      </c>
      <c r="L253" s="336">
        <f>Saldo_relativo_per_capita!L253*Saldo_relativo_per_capita!L$552/1000000</f>
        <v>-3.0405988480068088E-2</v>
      </c>
      <c r="M253" s="336">
        <f>Saldo_relativo_per_capita!M253*Saldo_relativo_per_capita!M$552/1000000</f>
        <v>-7.6481226824555576E-2</v>
      </c>
      <c r="N253" s="336">
        <f>Saldo_relativo_per_capita!N253*Saldo_relativo_per_capita!N$552/1000000</f>
        <v>-7.3377121806539047E-2</v>
      </c>
      <c r="O253" s="336">
        <f>Saldo_relativo_per_capita!O253*Saldo_relativo_per_capita!O$552/1000000</f>
        <v>-1.6112190026265929E-2</v>
      </c>
      <c r="P253" s="336">
        <f>Saldo_relativo_per_capita!P253*Saldo_relativo_per_capita!P$552/1000000</f>
        <v>-4.0276576769688349E-2</v>
      </c>
      <c r="Q253" s="336">
        <f>Saldo_relativo_per_capita!Q253*Saldo_relativo_per_capita!Q$552/1000000</f>
        <v>0.41500356614187545</v>
      </c>
      <c r="R253" s="336">
        <f>Saldo_relativo_per_capita!R253*Saldo_relativo_per_capita!R$552/1000000</f>
        <v>-2.1560817370018831E-2</v>
      </c>
      <c r="S253" s="336">
        <f>Saldo_relativo_per_capita!S253*Saldo_relativo_per_capita!S$552/1000000</f>
        <v>-9.4151820787710637E-3</v>
      </c>
      <c r="T253" s="336">
        <f>Saldo_relativo_per_capita!T253*Saldo_relativo_per_capita!T$552/1000000</f>
        <v>-1.3538824077843854E-2</v>
      </c>
      <c r="U253" s="336">
        <f>Saldo_relativo_per_capita!U253*Saldo_relativo_per_capita!U$552/1000000</f>
        <v>-4.6739503250009806E-3</v>
      </c>
      <c r="V253" s="336">
        <f>Saldo_relativo_per_capita!V253*Saldo_relativo_per_capita!V$552/1000000</f>
        <v>-2.4934324080920795E-3</v>
      </c>
      <c r="W253" s="145"/>
      <c r="X253" s="145"/>
    </row>
    <row r="254" spans="1:24" s="115" customFormat="1">
      <c r="A254" s="351" t="str">
        <f>IF(B254="","",(IF(ISERROR(MATCH(B254,Tot_res!C:C,0)),"Eliminar!!!","")))</f>
        <v/>
      </c>
      <c r="B254" s="115" t="s">
        <v>264</v>
      </c>
      <c r="C254" s="329" t="str">
        <f>VLOOKUP(B254,Tot_res!C:D,2,FALSE)</f>
        <v>Protección y mejora del medio natural + AF09</v>
      </c>
      <c r="D254" s="336">
        <f>Saldo_relativo_per_capita!D254*Saldo_relativo_per_capita!D$552/1000000</f>
        <v>0</v>
      </c>
      <c r="E254" s="336">
        <f>Saldo_relativo_per_capita!E254*Saldo_relativo_per_capita!E$552/1000000</f>
        <v>-7.3091163310629046</v>
      </c>
      <c r="F254" s="336">
        <f>Saldo_relativo_per_capita!F254*Saldo_relativo_per_capita!F$552/1000000</f>
        <v>1.1326502525811271</v>
      </c>
      <c r="G254" s="336">
        <f>Saldo_relativo_per_capita!G254*Saldo_relativo_per_capita!G$552/1000000</f>
        <v>1.8392421171041089</v>
      </c>
      <c r="H254" s="336">
        <f>Saldo_relativo_per_capita!H254*Saldo_relativo_per_capita!H$552/1000000</f>
        <v>-1.3969827615303356</v>
      </c>
      <c r="I254" s="336">
        <f>Saldo_relativo_per_capita!I254*Saldo_relativo_per_capita!I$552/1000000</f>
        <v>1.3483503562022892</v>
      </c>
      <c r="J254" s="336">
        <f>Saldo_relativo_per_capita!J254*Saldo_relativo_per_capita!J$552/1000000</f>
        <v>-0.61353380332749963</v>
      </c>
      <c r="K254" s="336">
        <f>Saldo_relativo_per_capita!K254*Saldo_relativo_per_capita!K$552/1000000</f>
        <v>16.498975887341917</v>
      </c>
      <c r="L254" s="336">
        <f>Saldo_relativo_per_capita!L254*Saldo_relativo_per_capita!L$552/1000000</f>
        <v>14.852571239404803</v>
      </c>
      <c r="M254" s="336">
        <f>Saldo_relativo_per_capita!M254*Saldo_relativo_per_capita!M$552/1000000</f>
        <v>-11.652870540606198</v>
      </c>
      <c r="N254" s="336">
        <f>Saldo_relativo_per_capita!N254*Saldo_relativo_per_capita!N$552/1000000</f>
        <v>-6.6597916232779424</v>
      </c>
      <c r="O254" s="336">
        <f>Saldo_relativo_per_capita!O254*Saldo_relativo_per_capita!O$552/1000000</f>
        <v>5.5420093771945167</v>
      </c>
      <c r="P254" s="336">
        <f>Saldo_relativo_per_capita!P254*Saldo_relativo_per_capita!P$552/1000000</f>
        <v>-0.2943729669249503</v>
      </c>
      <c r="Q254" s="336">
        <f>Saldo_relativo_per_capita!Q254*Saldo_relativo_per_capita!Q$552/1000000</f>
        <v>-10.020550736074227</v>
      </c>
      <c r="R254" s="336">
        <f>Saldo_relativo_per_capita!R254*Saldo_relativo_per_capita!R$552/1000000</f>
        <v>-1.6549387234660662</v>
      </c>
      <c r="S254" s="336">
        <f>Saldo_relativo_per_capita!S254*Saldo_relativo_per_capita!S$552/1000000</f>
        <v>-0.3577972985867357</v>
      </c>
      <c r="T254" s="336">
        <f>Saldo_relativo_per_capita!T254*Saldo_relativo_per_capita!T$552/1000000</f>
        <v>-1.1794016371997709</v>
      </c>
      <c r="U254" s="336">
        <f>Saldo_relativo_per_capita!U254*Saldo_relativo_per_capita!U$552/1000000</f>
        <v>0.23584661407490326</v>
      </c>
      <c r="V254" s="336">
        <f>Saldo_relativo_per_capita!V254*Saldo_relativo_per_capita!V$552/1000000</f>
        <v>-0.31028942184702762</v>
      </c>
      <c r="W254" s="145"/>
      <c r="X254" s="145"/>
    </row>
    <row r="255" spans="1:24" s="115" customFormat="1">
      <c r="A255" s="351" t="str">
        <f>IF(B255="","",(IF(ISERROR(MATCH(B255,Tot_res!C:C,0)),"Eliminar!!!","")))</f>
        <v/>
      </c>
      <c r="B255" s="115" t="s">
        <v>266</v>
      </c>
      <c r="C255" s="329" t="str">
        <f>VLOOKUP(B255,Tot_res!C:D,2,FALSE)</f>
        <v>Actuación en la costa</v>
      </c>
      <c r="D255" s="336">
        <f>Saldo_relativo_per_capita!D255*Saldo_relativo_per_capita!D$552/1000000</f>
        <v>0</v>
      </c>
      <c r="E255" s="336">
        <f>Saldo_relativo_per_capita!E255*Saldo_relativo_per_capita!E$552/1000000</f>
        <v>-5.1925656615872509</v>
      </c>
      <c r="F255" s="336">
        <f>Saldo_relativo_per_capita!F255*Saldo_relativo_per_capita!F$552/1000000</f>
        <v>-1.8620218767576988</v>
      </c>
      <c r="G255" s="336">
        <f>Saldo_relativo_per_capita!G255*Saldo_relativo_per_capita!G$552/1000000</f>
        <v>2.4139203481400986</v>
      </c>
      <c r="H255" s="336">
        <f>Saldo_relativo_per_capita!H255*Saldo_relativo_per_capita!H$552/1000000</f>
        <v>1.0184181993379724</v>
      </c>
      <c r="I255" s="336">
        <f>Saldo_relativo_per_capita!I255*Saldo_relativo_per_capita!I$552/1000000</f>
        <v>4.3721831921133223</v>
      </c>
      <c r="J255" s="336">
        <f>Saldo_relativo_per_capita!J255*Saldo_relativo_per_capita!J$552/1000000</f>
        <v>4.2794404635965222</v>
      </c>
      <c r="K255" s="336">
        <f>Saldo_relativo_per_capita!K255*Saldo_relativo_per_capita!K$552/1000000</f>
        <v>-3.6028229951066049</v>
      </c>
      <c r="L255" s="336">
        <f>Saldo_relativo_per_capita!L255*Saldo_relativo_per_capita!L$552/1000000</f>
        <v>-3.0826862308340277</v>
      </c>
      <c r="M255" s="336">
        <f>Saldo_relativo_per_capita!M255*Saldo_relativo_per_capita!M$552/1000000</f>
        <v>-7.2313685238984275</v>
      </c>
      <c r="N255" s="336">
        <f>Saldo_relativo_per_capita!N255*Saldo_relativo_per_capita!N$552/1000000</f>
        <v>-1.1961619770116452</v>
      </c>
      <c r="O255" s="336">
        <f>Saldo_relativo_per_capita!O255*Saldo_relativo_per_capita!O$552/1000000</f>
        <v>-1.6579597671714568</v>
      </c>
      <c r="P255" s="336">
        <f>Saldo_relativo_per_capita!P255*Saldo_relativo_per_capita!P$552/1000000</f>
        <v>5.0441590660636946</v>
      </c>
      <c r="Q255" s="336">
        <f>Saldo_relativo_per_capita!Q255*Saldo_relativo_per_capita!Q$552/1000000</f>
        <v>-8.6960673584242567</v>
      </c>
      <c r="R255" s="336">
        <f>Saldo_relativo_per_capita!R255*Saldo_relativo_per_capita!R$552/1000000</f>
        <v>-0.53381947080758052</v>
      </c>
      <c r="S255" s="336">
        <f>Saldo_relativo_per_capita!S255*Saldo_relativo_per_capita!S$552/1000000</f>
        <v>-0.88138915982973898</v>
      </c>
      <c r="T255" s="336">
        <f>Saldo_relativo_per_capita!T255*Saldo_relativo_per_capita!T$552/1000000</f>
        <v>17.436305069592425</v>
      </c>
      <c r="U255" s="336">
        <f>Saldo_relativo_per_capita!U255*Saldo_relativo_per_capita!U$552/1000000</f>
        <v>-0.45068323340172661</v>
      </c>
      <c r="V255" s="336">
        <f>Saldo_relativo_per_capita!V255*Saldo_relativo_per_capita!V$552/1000000</f>
        <v>-0.17688008401360747</v>
      </c>
      <c r="W255" s="145"/>
      <c r="X255" s="146"/>
    </row>
    <row r="256" spans="1:24" s="115" customFormat="1">
      <c r="A256" s="351" t="str">
        <f>IF(B256="","",(IF(ISERROR(MATCH(B256,Tot_res!C:C,0)),"Eliminar!!!","")))</f>
        <v/>
      </c>
      <c r="B256" s="115" t="s">
        <v>268</v>
      </c>
      <c r="C256" s="329" t="str">
        <f>VLOOKUP(B256,Tot_res!C:D,2,FALSE)</f>
        <v>Actuac. prevención contaminac. y cambio climático</v>
      </c>
      <c r="D256" s="336">
        <f>Saldo_relativo_per_capita!D256*Saldo_relativo_per_capita!D$552/1000000</f>
        <v>0</v>
      </c>
      <c r="E256" s="336">
        <f>Saldo_relativo_per_capita!E256*Saldo_relativo_per_capita!E$552/1000000</f>
        <v>0</v>
      </c>
      <c r="F256" s="336">
        <f>Saldo_relativo_per_capita!F256*Saldo_relativo_per_capita!F$552/1000000</f>
        <v>0</v>
      </c>
      <c r="G256" s="336">
        <f>Saldo_relativo_per_capita!G256*Saldo_relativo_per_capita!G$552/1000000</f>
        <v>0</v>
      </c>
      <c r="H256" s="336">
        <f>Saldo_relativo_per_capita!H256*Saldo_relativo_per_capita!H$552/1000000</f>
        <v>0</v>
      </c>
      <c r="I256" s="336">
        <f>Saldo_relativo_per_capita!I256*Saldo_relativo_per_capita!I$552/1000000</f>
        <v>0</v>
      </c>
      <c r="J256" s="336">
        <f>Saldo_relativo_per_capita!J256*Saldo_relativo_per_capita!J$552/1000000</f>
        <v>0</v>
      </c>
      <c r="K256" s="336">
        <f>Saldo_relativo_per_capita!K256*Saldo_relativo_per_capita!K$552/1000000</f>
        <v>0</v>
      </c>
      <c r="L256" s="336">
        <f>Saldo_relativo_per_capita!L256*Saldo_relativo_per_capita!L$552/1000000</f>
        <v>0</v>
      </c>
      <c r="M256" s="336">
        <f>Saldo_relativo_per_capita!M256*Saldo_relativo_per_capita!M$552/1000000</f>
        <v>0</v>
      </c>
      <c r="N256" s="336">
        <f>Saldo_relativo_per_capita!N256*Saldo_relativo_per_capita!N$552/1000000</f>
        <v>0</v>
      </c>
      <c r="O256" s="336">
        <f>Saldo_relativo_per_capita!O256*Saldo_relativo_per_capita!O$552/1000000</f>
        <v>0</v>
      </c>
      <c r="P256" s="336">
        <f>Saldo_relativo_per_capita!P256*Saldo_relativo_per_capita!P$552/1000000</f>
        <v>0</v>
      </c>
      <c r="Q256" s="336">
        <f>Saldo_relativo_per_capita!Q256*Saldo_relativo_per_capita!Q$552/1000000</f>
        <v>0</v>
      </c>
      <c r="R256" s="336">
        <f>Saldo_relativo_per_capita!R256*Saldo_relativo_per_capita!R$552/1000000</f>
        <v>0</v>
      </c>
      <c r="S256" s="336">
        <f>Saldo_relativo_per_capita!S256*Saldo_relativo_per_capita!S$552/1000000</f>
        <v>0</v>
      </c>
      <c r="T256" s="336">
        <f>Saldo_relativo_per_capita!T256*Saldo_relativo_per_capita!T$552/1000000</f>
        <v>0</v>
      </c>
      <c r="U256" s="336">
        <f>Saldo_relativo_per_capita!U256*Saldo_relativo_per_capita!U$552/1000000</f>
        <v>0</v>
      </c>
      <c r="V256" s="336">
        <f>Saldo_relativo_per_capita!V256*Saldo_relativo_per_capita!V$552/1000000</f>
        <v>0</v>
      </c>
      <c r="W256" s="145"/>
      <c r="X256" s="146"/>
    </row>
    <row r="257" spans="1:24" s="115" customFormat="1">
      <c r="A257" s="351" t="str">
        <f>IF(B257="","",(IF(ISERROR(MATCH(B257,Tot_res!C:C,0)),"Eliminar!!!","")))</f>
        <v/>
      </c>
      <c r="B257" s="115" t="s">
        <v>269</v>
      </c>
      <c r="C257" s="329" t="str">
        <f>VLOOKUP(B257,Tot_res!C:D,2,FALSE)</f>
        <v>Investigación, desarrollo y experimentación en transporte e infraestructuras</v>
      </c>
      <c r="D257" s="336">
        <f>Saldo_relativo_per_capita!D257*Saldo_relativo_per_capita!D$552/1000000</f>
        <v>0</v>
      </c>
      <c r="E257" s="336">
        <f>Saldo_relativo_per_capita!E257*Saldo_relativo_per_capita!E$552/1000000</f>
        <v>-2.526424155375572E-3</v>
      </c>
      <c r="F257" s="336">
        <f>Saldo_relativo_per_capita!F257*Saldo_relativo_per_capita!F$552/1000000</f>
        <v>2.1466559221076285E-3</v>
      </c>
      <c r="G257" s="336">
        <f>Saldo_relativo_per_capita!G257*Saldo_relativo_per_capita!G$552/1000000</f>
        <v>1.4326525755430314E-3</v>
      </c>
      <c r="H257" s="336">
        <f>Saldo_relativo_per_capita!H257*Saldo_relativo_per_capita!H$552/1000000</f>
        <v>-7.4792983457071043E-4</v>
      </c>
      <c r="I257" s="336">
        <f>Saldo_relativo_per_capita!I257*Saldo_relativo_per_capita!I$552/1000000</f>
        <v>-1.8964536956705752E-3</v>
      </c>
      <c r="J257" s="336">
        <f>Saldo_relativo_per_capita!J257*Saldo_relativo_per_capita!J$552/1000000</f>
        <v>3.5267000273120412E-4</v>
      </c>
      <c r="K257" s="336">
        <f>Saldo_relativo_per_capita!K257*Saldo_relativo_per_capita!K$552/1000000</f>
        <v>5.7761293238955125E-3</v>
      </c>
      <c r="L257" s="336">
        <f>Saldo_relativo_per_capita!L257*Saldo_relativo_per_capita!L$552/1000000</f>
        <v>9.4582361437248479E-4</v>
      </c>
      <c r="M257" s="336">
        <f>Saldo_relativo_per_capita!M257*Saldo_relativo_per_capita!M$552/1000000</f>
        <v>-4.5802695404152678E-3</v>
      </c>
      <c r="N257" s="336">
        <f>Saldo_relativo_per_capita!N257*Saldo_relativo_per_capita!N$552/1000000</f>
        <v>-2.363573468325979E-3</v>
      </c>
      <c r="O257" s="336">
        <f>Saldo_relativo_per_capita!O257*Saldo_relativo_per_capita!O$552/1000000</f>
        <v>6.9412598162423803E-4</v>
      </c>
      <c r="P257" s="336">
        <f>Saldo_relativo_per_capita!P257*Saldo_relativo_per_capita!P$552/1000000</f>
        <v>3.4132825251971936E-3</v>
      </c>
      <c r="Q257" s="336">
        <f>Saldo_relativo_per_capita!Q257*Saldo_relativo_per_capita!Q$552/1000000</f>
        <v>-3.560467667418815E-3</v>
      </c>
      <c r="R257" s="336">
        <f>Saldo_relativo_per_capita!R257*Saldo_relativo_per_capita!R$552/1000000</f>
        <v>-5.0435031826436886E-5</v>
      </c>
      <c r="S257" s="336">
        <f>Saldo_relativo_per_capita!S257*Saldo_relativo_per_capita!S$552/1000000</f>
        <v>2.9938654018615314E-4</v>
      </c>
      <c r="T257" s="336">
        <f>Saldo_relativo_per_capita!T257*Saldo_relativo_per_capita!T$552/1000000</f>
        <v>3.2144843554241464E-4</v>
      </c>
      <c r="U257" s="336">
        <f>Saldo_relativo_per_capita!U257*Saldo_relativo_per_capita!U$552/1000000</f>
        <v>3.7715307035708769E-4</v>
      </c>
      <c r="V257" s="336">
        <f>Saldo_relativo_per_capita!V257*Saldo_relativo_per_capita!V$552/1000000</f>
        <v>-3.3774597953587509E-5</v>
      </c>
      <c r="W257" s="145"/>
      <c r="X257" s="145"/>
    </row>
    <row r="258" spans="1:24" s="115" customFormat="1">
      <c r="A258" s="351" t="str">
        <f>IF(B258="","",(IF(ISERROR(MATCH(B258,Tot_res!C:C,0)),"Eliminar!!!","")))</f>
        <v/>
      </c>
      <c r="B258" s="115" t="s">
        <v>270</v>
      </c>
      <c r="C258" s="329" t="str">
        <f>VLOOKUP(B258,Tot_res!C:D,2,FALSE)</f>
        <v>Servicio postal universal</v>
      </c>
      <c r="D258" s="336">
        <f>Saldo_relativo_per_capita!D258*Saldo_relativo_per_capita!D$552/1000000</f>
        <v>0</v>
      </c>
      <c r="E258" s="336">
        <f>Saldo_relativo_per_capita!E258*Saldo_relativo_per_capita!E$552/1000000</f>
        <v>-40.875170371257127</v>
      </c>
      <c r="F258" s="336">
        <f>Saldo_relativo_per_capita!F258*Saldo_relativo_per_capita!F$552/1000000</f>
        <v>5.0915795951849381</v>
      </c>
      <c r="G258" s="336">
        <f>Saldo_relativo_per_capita!G258*Saldo_relativo_per_capita!G$552/1000000</f>
        <v>-1.8053409721516631</v>
      </c>
      <c r="H258" s="336">
        <f>Saldo_relativo_per_capita!H258*Saldo_relativo_per_capita!H$552/1000000</f>
        <v>18.341519668310159</v>
      </c>
      <c r="I258" s="336">
        <f>Saldo_relativo_per_capita!I258*Saldo_relativo_per_capita!I$552/1000000</f>
        <v>93.104385776514505</v>
      </c>
      <c r="J258" s="336">
        <f>Saldo_relativo_per_capita!J258*Saldo_relativo_per_capita!J$552/1000000</f>
        <v>1.4091608675117924</v>
      </c>
      <c r="K258" s="336">
        <f>Saldo_relativo_per_capita!K258*Saldo_relativo_per_capita!K$552/1000000</f>
        <v>25.101460177966985</v>
      </c>
      <c r="L258" s="336">
        <f>Saldo_relativo_per_capita!L258*Saldo_relativo_per_capita!L$552/1000000</f>
        <v>15.055289359062829</v>
      </c>
      <c r="M258" s="336">
        <f>Saldo_relativo_per_capita!M258*Saldo_relativo_per_capita!M$552/1000000</f>
        <v>-36.395617491930729</v>
      </c>
      <c r="N258" s="336">
        <f>Saldo_relativo_per_capita!N258*Saldo_relativo_per_capita!N$552/1000000</f>
        <v>-28.64635129111597</v>
      </c>
      <c r="O258" s="336">
        <f>Saldo_relativo_per_capita!O258*Saldo_relativo_per_capita!O$552/1000000</f>
        <v>10.043847370002046</v>
      </c>
      <c r="P258" s="336">
        <f>Saldo_relativo_per_capita!P258*Saldo_relativo_per_capita!P$552/1000000</f>
        <v>19.173487708987061</v>
      </c>
      <c r="Q258" s="336">
        <f>Saldo_relativo_per_capita!Q258*Saldo_relativo_per_capita!Q$552/1000000</f>
        <v>-63.064712702336529</v>
      </c>
      <c r="R258" s="336">
        <f>Saldo_relativo_per_capita!R258*Saldo_relativo_per_capita!R$552/1000000</f>
        <v>-14.445931774959522</v>
      </c>
      <c r="S258" s="336">
        <f>Saldo_relativo_per_capita!S258*Saldo_relativo_per_capita!S$552/1000000</f>
        <v>4.8888748274666725</v>
      </c>
      <c r="T258" s="336">
        <f>Saldo_relativo_per_capita!T258*Saldo_relativo_per_capita!T$552/1000000</f>
        <v>-10.587557996125982</v>
      </c>
      <c r="U258" s="336">
        <f>Saldo_relativo_per_capita!U258*Saldo_relativo_per_capita!U$552/1000000</f>
        <v>0.82985475732193237</v>
      </c>
      <c r="V258" s="336">
        <f>Saldo_relativo_per_capita!V258*Saldo_relativo_per_capita!V$552/1000000</f>
        <v>2.7812224915485095</v>
      </c>
      <c r="W258" s="145"/>
      <c r="X258" s="145"/>
    </row>
    <row r="259" spans="1:24" s="115" customFormat="1">
      <c r="A259" s="351" t="str">
        <f>IF(B259="","",(IF(ISERROR(MATCH(B259,Tot_res!C:C,0)),"Eliminar!!!","")))</f>
        <v/>
      </c>
      <c r="B259" s="115" t="s">
        <v>751</v>
      </c>
      <c r="C259" s="329" t="str">
        <f>VLOOKUP(B259,Tot_res!C:D,2,FALSE)</f>
        <v>Salvamento y lucha contra la contaminación en la mar</v>
      </c>
      <c r="D259" s="336">
        <f>Saldo_relativo_per_capita!D259*Saldo_relativo_per_capita!D$552/1000000</f>
        <v>0</v>
      </c>
      <c r="E259" s="336">
        <f>Saldo_relativo_per_capita!E259*Saldo_relativo_per_capita!E$552/1000000</f>
        <v>-8.241049630192169</v>
      </c>
      <c r="F259" s="336">
        <f>Saldo_relativo_per_capita!F259*Saldo_relativo_per_capita!F$552/1000000</f>
        <v>2.4139023192162758</v>
      </c>
      <c r="G259" s="336">
        <f>Saldo_relativo_per_capita!G259*Saldo_relativo_per_capita!G$552/1000000</f>
        <v>-0.48165806041081638</v>
      </c>
      <c r="H259" s="336">
        <f>Saldo_relativo_per_capita!H259*Saldo_relativo_per_capita!H$552/1000000</f>
        <v>-0.74484401552046264</v>
      </c>
      <c r="I259" s="336">
        <f>Saldo_relativo_per_capita!I259*Saldo_relativo_per_capita!I$552/1000000</f>
        <v>1.1877954503342671</v>
      </c>
      <c r="J259" s="336">
        <f>Saldo_relativo_per_capita!J259*Saldo_relativo_per_capita!J$552/1000000</f>
        <v>0.31448826645863226</v>
      </c>
      <c r="K259" s="336">
        <f>Saldo_relativo_per_capita!K259*Saldo_relativo_per_capita!K$552/1000000</f>
        <v>0.8866835189242116</v>
      </c>
      <c r="L259" s="336">
        <f>Saldo_relativo_per_capita!L259*Saldo_relativo_per_capita!L$552/1000000</f>
        <v>-0.54242497311850724</v>
      </c>
      <c r="M259" s="336">
        <f>Saldo_relativo_per_capita!M259*Saldo_relativo_per_capita!M$552/1000000</f>
        <v>4.2296303422348442</v>
      </c>
      <c r="N259" s="336">
        <f>Saldo_relativo_per_capita!N259*Saldo_relativo_per_capita!N$552/1000000</f>
        <v>-1.639365637513444</v>
      </c>
      <c r="O259" s="336">
        <f>Saldo_relativo_per_capita!O259*Saldo_relativo_per_capita!O$552/1000000</f>
        <v>-1.3501801111127616</v>
      </c>
      <c r="P259" s="336">
        <f>Saldo_relativo_per_capita!P259*Saldo_relativo_per_capita!P$552/1000000</f>
        <v>-0.62452592296017106</v>
      </c>
      <c r="Q259" s="336">
        <f>Saldo_relativo_per_capita!Q259*Saldo_relativo_per_capita!Q$552/1000000</f>
        <v>-0.78422574112699772</v>
      </c>
      <c r="R259" s="336">
        <f>Saldo_relativo_per_capita!R259*Saldo_relativo_per_capita!R$552/1000000</f>
        <v>0.95025576240347465</v>
      </c>
      <c r="S259" s="336">
        <f>Saldo_relativo_per_capita!S259*Saldo_relativo_per_capita!S$552/1000000</f>
        <v>1.3559469478339559</v>
      </c>
      <c r="T259" s="336">
        <f>Saldo_relativo_per_capita!T259*Saldo_relativo_per_capita!T$552/1000000</f>
        <v>2.394949895185353</v>
      </c>
      <c r="U259" s="336">
        <f>Saldo_relativo_per_capita!U259*Saldo_relativo_per_capita!U$552/1000000</f>
        <v>0.33277983498843938</v>
      </c>
      <c r="V259" s="336">
        <f>Saldo_relativo_per_capita!V259*Saldo_relativo_per_capita!V$552/1000000</f>
        <v>0.34184175437592257</v>
      </c>
      <c r="W259" s="145"/>
      <c r="X259" s="145"/>
    </row>
    <row r="260" spans="1:24" s="115"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6">
        <f>Saldo_relativo_per_capita!D260*Saldo_relativo_per_capita!D$552/1000000</f>
        <v>0</v>
      </c>
      <c r="E260" s="336">
        <f>Saldo_relativo_per_capita!E260*Saldo_relativo_per_capita!E$552/1000000</f>
        <v>7.559395318447435</v>
      </c>
      <c r="F260" s="336">
        <f>Saldo_relativo_per_capita!F260*Saldo_relativo_per_capita!F$552/1000000</f>
        <v>4.4711319822215367</v>
      </c>
      <c r="G260" s="336">
        <f>Saldo_relativo_per_capita!G260*Saldo_relativo_per_capita!G$552/1000000</f>
        <v>0.98653866321919637</v>
      </c>
      <c r="H260" s="336">
        <f>Saldo_relativo_per_capita!H260*Saldo_relativo_per_capita!H$552/1000000</f>
        <v>1.2658679413245253</v>
      </c>
      <c r="I260" s="336">
        <f>Saldo_relativo_per_capita!I260*Saldo_relativo_per_capita!I$552/1000000</f>
        <v>-2.298727954850138</v>
      </c>
      <c r="J260" s="336">
        <f>Saldo_relativo_per_capita!J260*Saldo_relativo_per_capita!J$552/1000000</f>
        <v>0.46286815916173368</v>
      </c>
      <c r="K260" s="336">
        <f>Saldo_relativo_per_capita!K260*Saldo_relativo_per_capita!K$552/1000000</f>
        <v>1.8732768313070509</v>
      </c>
      <c r="L260" s="336">
        <f>Saldo_relativo_per_capita!L260*Saldo_relativo_per_capita!L$552/1000000</f>
        <v>-1.1465429865496264</v>
      </c>
      <c r="M260" s="336">
        <f>Saldo_relativo_per_capita!M260*Saldo_relativo_per_capita!M$552/1000000</f>
        <v>-4.939558884722075</v>
      </c>
      <c r="N260" s="336">
        <f>Saldo_relativo_per_capita!N260*Saldo_relativo_per_capita!N$552/1000000</f>
        <v>2.279349314516788</v>
      </c>
      <c r="O260" s="336">
        <f>Saldo_relativo_per_capita!O260*Saldo_relativo_per_capita!O$552/1000000</f>
        <v>-0.28187417211133375</v>
      </c>
      <c r="P260" s="336">
        <f>Saldo_relativo_per_capita!P260*Saldo_relativo_per_capita!P$552/1000000</f>
        <v>0.43829017736502679</v>
      </c>
      <c r="Q260" s="336">
        <f>Saldo_relativo_per_capita!Q260*Saldo_relativo_per_capita!Q$552/1000000</f>
        <v>-7.0470990754752236</v>
      </c>
      <c r="R260" s="336">
        <f>Saldo_relativo_per_capita!R260*Saldo_relativo_per_capita!R$552/1000000</f>
        <v>-0.86067442028552799</v>
      </c>
      <c r="S260" s="336">
        <f>Saldo_relativo_per_capita!S260*Saldo_relativo_per_capita!S$552/1000000</f>
        <v>-0.70040362020474967</v>
      </c>
      <c r="T260" s="336">
        <f>Saldo_relativo_per_capita!T260*Saldo_relativo_per_capita!T$552/1000000</f>
        <v>-2.3821181302248897</v>
      </c>
      <c r="U260" s="336">
        <f>Saldo_relativo_per_capita!U260*Saldo_relativo_per_capita!U$552/1000000</f>
        <v>0.32213762203015456</v>
      </c>
      <c r="V260" s="336">
        <f>Saldo_relativo_per_capita!V260*Saldo_relativo_per_capita!V$552/1000000</f>
        <v>-1.8567651698831126E-3</v>
      </c>
      <c r="W260" s="145"/>
      <c r="X260" s="145"/>
    </row>
    <row r="261" spans="1:24" s="115" customFormat="1">
      <c r="A261" s="351" t="str">
        <f>IF(B261="","",(IF(ISERROR(MATCH(B261,Tot_res!C:C,0)),"Eliminar!!!","")))</f>
        <v/>
      </c>
      <c r="B261" s="119" t="s">
        <v>754</v>
      </c>
      <c r="C261" s="329" t="str">
        <f>VLOOKUP(B261,Tot_res!C:D,2,FALSE)</f>
        <v>Otras aportaciones a Corporaciones Locales, mejoras suminstro agua CyMel</v>
      </c>
      <c r="D261" s="336">
        <f>Saldo_relativo_per_capita!D261*Saldo_relativo_per_capita!D$552/1000000</f>
        <v>0</v>
      </c>
      <c r="E261" s="336">
        <f>Saldo_relativo_per_capita!E261*Saldo_relativo_per_capita!E$552/1000000</f>
        <v>1.7237016371173932</v>
      </c>
      <c r="F261" s="336">
        <f>Saldo_relativo_per_capita!F261*Saldo_relativo_per_capita!F$552/1000000</f>
        <v>-0.5771262357801219</v>
      </c>
      <c r="G261" s="336">
        <f>Saldo_relativo_per_capita!G261*Saldo_relativo_per_capita!G$552/1000000</f>
        <v>-0.46135151182713469</v>
      </c>
      <c r="H261" s="336">
        <f>Saldo_relativo_per_capita!H261*Saldo_relativo_per_capita!H$552/1000000</f>
        <v>-0.4820799444127048</v>
      </c>
      <c r="I261" s="336">
        <f>Saldo_relativo_per_capita!I261*Saldo_relativo_per_capita!I$552/1000000</f>
        <v>-0.91815082963960104</v>
      </c>
      <c r="J261" s="336">
        <f>Saldo_relativo_per_capita!J261*Saldo_relativo_per_capita!J$552/1000000</f>
        <v>-0.25629644880848873</v>
      </c>
      <c r="K261" s="336">
        <f>Saldo_relativo_per_capita!K261*Saldo_relativo_per_capita!K$552/1000000</f>
        <v>-1.0844658460455276</v>
      </c>
      <c r="L261" s="336">
        <f>Saldo_relativo_per_capita!L261*Saldo_relativo_per_capita!L$552/1000000</f>
        <v>-0.90345232377008911</v>
      </c>
      <c r="M261" s="336">
        <f>Saldo_relativo_per_capita!M261*Saldo_relativo_per_capita!M$552/1000000</f>
        <v>-3.2810139780405252</v>
      </c>
      <c r="N261" s="336">
        <f>Saldo_relativo_per_capita!N261*Saldo_relativo_per_capita!N$552/1000000</f>
        <v>-2.180252460831356</v>
      </c>
      <c r="O261" s="336">
        <f>Saldo_relativo_per_capita!O261*Saldo_relativo_per_capita!O$552/1000000</f>
        <v>-0.47874107200288624</v>
      </c>
      <c r="P261" s="336">
        <f>Saldo_relativo_per_capita!P261*Saldo_relativo_per_capita!P$552/1000000</f>
        <v>-1.1967368500429592</v>
      </c>
      <c r="Q261" s="336">
        <f>Saldo_relativo_per_capita!Q261*Saldo_relativo_per_capita!Q$552/1000000</f>
        <v>-2.8147305769907263</v>
      </c>
      <c r="R261" s="336">
        <f>Saldo_relativo_per_capita!R261*Saldo_relativo_per_capita!R$552/1000000</f>
        <v>-0.6406359907718544</v>
      </c>
      <c r="S261" s="336">
        <f>Saldo_relativo_per_capita!S261*Saldo_relativo_per_capita!S$552/1000000</f>
        <v>-0.27975305369072928</v>
      </c>
      <c r="T261" s="336">
        <f>Saldo_relativo_per_capita!T261*Saldo_relativo_per_capita!T$552/1000000</f>
        <v>-0.95595026270657757</v>
      </c>
      <c r="U261" s="336">
        <f>Saldo_relativo_per_capita!U261*Saldo_relativo_per_capita!U$552/1000000</f>
        <v>-0.1388769611971728</v>
      </c>
      <c r="V261" s="336">
        <f>Saldo_relativo_per_capita!V261*Saldo_relativo_per_capita!V$552/1000000</f>
        <v>14.925912709441064</v>
      </c>
      <c r="W261" s="145"/>
      <c r="X261" s="146"/>
    </row>
    <row r="262" spans="1:24" s="115" customFormat="1">
      <c r="A262" s="351" t="str">
        <f>IF(B262="","",(IF(ISERROR(MATCH(B262,Tot_res!C:C,0)),"Eliminar!!!","")))</f>
        <v/>
      </c>
      <c r="B262" s="119" t="s">
        <v>272</v>
      </c>
      <c r="C262" s="329" t="str">
        <f>VLOOKUP(B262,Tot_res!C:D,2,FALSE)</f>
        <v>Obras hidráulicas</v>
      </c>
      <c r="D262" s="336">
        <f>Saldo_relativo_per_capita!D262*Saldo_relativo_per_capita!D$552/1000000</f>
        <v>0</v>
      </c>
      <c r="E262" s="336">
        <f>Saldo_relativo_per_capita!E262*Saldo_relativo_per_capita!E$552/1000000</f>
        <v>-33.145970232949011</v>
      </c>
      <c r="F262" s="336">
        <f>Saldo_relativo_per_capita!F262*Saldo_relativo_per_capita!F$552/1000000</f>
        <v>-5.2146107080680837</v>
      </c>
      <c r="G262" s="336">
        <f>Saldo_relativo_per_capita!G262*Saldo_relativo_per_capita!G$552/1000000</f>
        <v>-4.1685308769670009</v>
      </c>
      <c r="H262" s="336">
        <f>Saldo_relativo_per_capita!H262*Saldo_relativo_per_capita!H$552/1000000</f>
        <v>-4.3558221484789801</v>
      </c>
      <c r="I262" s="336">
        <f>Saldo_relativo_per_capita!I262*Saldo_relativo_per_capita!I$552/1000000</f>
        <v>5.1597524181211742</v>
      </c>
      <c r="J262" s="336">
        <f>Saldo_relativo_per_capita!J262*Saldo_relativo_per_capita!J$552/1000000</f>
        <v>-2.3157606144693688</v>
      </c>
      <c r="K262" s="336">
        <f>Saldo_relativo_per_capita!K262*Saldo_relativo_per_capita!K$552/1000000</f>
        <v>-9.7986659810725261</v>
      </c>
      <c r="L262" s="336">
        <f>Saldo_relativo_per_capita!L262*Saldo_relativo_per_capita!L$552/1000000</f>
        <v>-8.1631225019466829</v>
      </c>
      <c r="M262" s="336">
        <f>Saldo_relativo_per_capita!M262*Saldo_relativo_per_capita!M$552/1000000</f>
        <v>104.44707345973524</v>
      </c>
      <c r="N262" s="336">
        <f>Saldo_relativo_per_capita!N262*Saldo_relativo_per_capita!N$552/1000000</f>
        <v>-19.699620505338622</v>
      </c>
      <c r="O262" s="336">
        <f>Saldo_relativo_per_capita!O262*Saldo_relativo_per_capita!O$552/1000000</f>
        <v>-4.3256538443165846</v>
      </c>
      <c r="P262" s="336">
        <f>Saldo_relativo_per_capita!P262*Saldo_relativo_per_capita!P$552/1000000</f>
        <v>25.891218146289869</v>
      </c>
      <c r="Q262" s="336">
        <f>Saldo_relativo_per_capita!Q262*Saldo_relativo_per_capita!Q$552/1000000</f>
        <v>-25.432432797414069</v>
      </c>
      <c r="R262" s="336">
        <f>Saldo_relativo_per_capita!R262*Saldo_relativo_per_capita!R$552/1000000</f>
        <v>-5.7884516252098992</v>
      </c>
      <c r="S262" s="336">
        <f>Saldo_relativo_per_capita!S262*Saldo_relativo_per_capita!S$552/1000000</f>
        <v>-2.5277022234459792</v>
      </c>
      <c r="T262" s="336">
        <f>Saldo_relativo_per_capita!T262*Saldo_relativo_per_capita!T$552/1000000</f>
        <v>-8.6374664107098518</v>
      </c>
      <c r="U262" s="336">
        <f>Saldo_relativo_per_capita!U262*Saldo_relativo_per_capita!U$552/1000000</f>
        <v>-1.2548195595090577</v>
      </c>
      <c r="V262" s="336">
        <f>Saldo_relativo_per_capita!V262*Saldo_relativo_per_capita!V$552/1000000</f>
        <v>-0.6694139942505819</v>
      </c>
      <c r="W262" s="145"/>
      <c r="X262" s="146"/>
    </row>
    <row r="263" spans="1:24" s="115" customFormat="1">
      <c r="A263" s="351" t="str">
        <f>IF(B263="","",(IF(ISERROR(MATCH(B263,Tot_res!C:C,0)),"Eliminar!!!","")))</f>
        <v/>
      </c>
      <c r="B263" s="119" t="s">
        <v>273</v>
      </c>
      <c r="C263" s="329" t="str">
        <f>VLOOKUP(B263,Tot_res!C:D,2,FALSE)</f>
        <v>Confederaciones hidrográficas, Andalucía</v>
      </c>
      <c r="D263" s="336">
        <f>Saldo_relativo_per_capita!D263*Saldo_relativo_per_capita!D$552/1000000</f>
        <v>0</v>
      </c>
      <c r="E263" s="336">
        <f>Saldo_relativo_per_capita!E263*Saldo_relativo_per_capita!E$552/1000000</f>
        <v>151.69726393872264</v>
      </c>
      <c r="F263" s="336">
        <f>Saldo_relativo_per_capita!F263*Saldo_relativo_per_capita!F$552/1000000</f>
        <v>-5.2349935926140487</v>
      </c>
      <c r="G263" s="336">
        <f>Saldo_relativo_per_capita!G263*Saldo_relativo_per_capita!G$552/1000000</f>
        <v>-4.1848248418185001</v>
      </c>
      <c r="H263" s="336">
        <f>Saldo_relativo_per_capita!H263*Saldo_relativo_per_capita!H$552/1000000</f>
        <v>-4.3728481979629503</v>
      </c>
      <c r="I263" s="336">
        <f>Saldo_relativo_per_capita!I263*Saldo_relativo_per_capita!I$552/1000000</f>
        <v>-8.328357666359512</v>
      </c>
      <c r="J263" s="336">
        <f>Saldo_relativo_per_capita!J263*Saldo_relativo_per_capita!J$552/1000000</f>
        <v>-2.3248124658698566</v>
      </c>
      <c r="K263" s="336">
        <f>Saldo_relativo_per_capita!K263*Saldo_relativo_per_capita!K$552/1000000</f>
        <v>-9.8369670333615638</v>
      </c>
      <c r="L263" s="336">
        <f>Saldo_relativo_per_capita!L263*Saldo_relativo_per_capita!L$552/1000000</f>
        <v>-8.1950305374275114</v>
      </c>
      <c r="M263" s="336">
        <f>Saldo_relativo_per_capita!M263*Saldo_relativo_per_capita!M$552/1000000</f>
        <v>-29.761404156409146</v>
      </c>
      <c r="N263" s="336">
        <f>Saldo_relativo_per_capita!N263*Saldo_relativo_per_capita!N$552/1000000</f>
        <v>-19.776622435653074</v>
      </c>
      <c r="O263" s="336">
        <f>Saldo_relativo_per_capita!O263*Saldo_relativo_per_capita!O$552/1000000</f>
        <v>-4.3425619718510333</v>
      </c>
      <c r="P263" s="336">
        <f>Saldo_relativo_per_capita!P263*Saldo_relativo_per_capita!P$552/1000000</f>
        <v>-10.855354259803336</v>
      </c>
      <c r="Q263" s="336">
        <f>Saldo_relativo_per_capita!Q263*Saldo_relativo_per_capita!Q$552/1000000</f>
        <v>-25.5318431600382</v>
      </c>
      <c r="R263" s="336">
        <f>Saldo_relativo_per_capita!R263*Saldo_relativo_per_capita!R$552/1000000</f>
        <v>-5.811077540696556</v>
      </c>
      <c r="S263" s="336">
        <f>Saldo_relativo_per_capita!S263*Saldo_relativo_per_capita!S$552/1000000</f>
        <v>-2.5375825127851934</v>
      </c>
      <c r="T263" s="336">
        <f>Saldo_relativo_per_capita!T263*Saldo_relativo_per_capita!T$552/1000000</f>
        <v>-8.6712285629538837</v>
      </c>
      <c r="U263" s="336">
        <f>Saldo_relativo_per_capita!U263*Saldo_relativo_per_capita!U$552/1000000</f>
        <v>-1.2597244016227591</v>
      </c>
      <c r="V263" s="336">
        <f>Saldo_relativo_per_capita!V263*Saldo_relativo_per_capita!V$552/1000000</f>
        <v>-0.67203060149552007</v>
      </c>
      <c r="W263" s="145"/>
      <c r="X263" s="146"/>
    </row>
    <row r="264" spans="1:24" s="115" customFormat="1">
      <c r="A264" s="351" t="str">
        <f>IF(B264="","",(IF(ISERROR(MATCH(B264,Tot_res!C:C,0)),"Eliminar!!!","")))</f>
        <v/>
      </c>
      <c r="B264" s="119" t="s">
        <v>274</v>
      </c>
      <c r="C264" s="329" t="str">
        <f>VLOOKUP(B264,Tot_res!C:D,2,FALSE)</f>
        <v>Parques Nacionales</v>
      </c>
      <c r="D264" s="336">
        <f>Saldo_relativo_per_capita!D264*Saldo_relativo_per_capita!D$552/1000000</f>
        <v>0</v>
      </c>
      <c r="E264" s="336">
        <f>Saldo_relativo_per_capita!E264*Saldo_relativo_per_capita!E$552/1000000</f>
        <v>5.5115954836049941</v>
      </c>
      <c r="F264" s="336">
        <f>Saldo_relativo_per_capita!F264*Saldo_relativo_per_capita!F$552/1000000</f>
        <v>2.6441452616050363</v>
      </c>
      <c r="G264" s="336">
        <f>Saldo_relativo_per_capita!G264*Saldo_relativo_per_capita!G$552/1000000</f>
        <v>2.3654202305660537</v>
      </c>
      <c r="H264" s="336">
        <f>Saldo_relativo_per_capita!H264*Saldo_relativo_per_capita!H$552/1000000</f>
        <v>5.9587219593435625</v>
      </c>
      <c r="I264" s="336">
        <f>Saldo_relativo_per_capita!I264*Saldo_relativo_per_capita!I$552/1000000</f>
        <v>25.287481777299742</v>
      </c>
      <c r="J264" s="336">
        <f>Saldo_relativo_per_capita!J264*Saldo_relativo_per_capita!J$552/1000000</f>
        <v>1.3033204456774126</v>
      </c>
      <c r="K264" s="336">
        <f>Saldo_relativo_per_capita!K264*Saldo_relativo_per_capita!K$552/1000000</f>
        <v>-1.5444549661576914</v>
      </c>
      <c r="L264" s="336">
        <f>Saldo_relativo_per_capita!L264*Saldo_relativo_per_capita!L$552/1000000</f>
        <v>-3.2341519965558643</v>
      </c>
      <c r="M264" s="336">
        <f>Saldo_relativo_per_capita!M264*Saldo_relativo_per_capita!M$552/1000000</f>
        <v>-11.745277120464667</v>
      </c>
      <c r="N264" s="336">
        <f>Saldo_relativo_per_capita!N264*Saldo_relativo_per_capita!N$552/1000000</f>
        <v>-7.8048034895397285</v>
      </c>
      <c r="O264" s="336">
        <f>Saldo_relativo_per_capita!O264*Saldo_relativo_per_capita!O$552/1000000</f>
        <v>-1.7137831771690111</v>
      </c>
      <c r="P264" s="336">
        <f>Saldo_relativo_per_capita!P264*Saldo_relativo_per_capita!P$552/1000000</f>
        <v>0.52710242983393873</v>
      </c>
      <c r="Q264" s="336">
        <f>Saldo_relativo_per_capita!Q264*Saldo_relativo_per_capita!Q$552/1000000</f>
        <v>-10.076089546544795</v>
      </c>
      <c r="R264" s="336">
        <f>Saldo_relativo_per_capita!R264*Saldo_relativo_per_capita!R$552/1000000</f>
        <v>-2.2933298350202693</v>
      </c>
      <c r="S264" s="336">
        <f>Saldo_relativo_per_capita!S264*Saldo_relativo_per_capita!S$552/1000000</f>
        <v>-1.0014517350078969</v>
      </c>
      <c r="T264" s="336">
        <f>Saldo_relativo_per_capita!T264*Saldo_relativo_per_capita!T$552/1000000</f>
        <v>-3.4220825708201454</v>
      </c>
      <c r="U264" s="336">
        <f>Saldo_relativo_per_capita!U264*Saldo_relativo_per_capita!U$552/1000000</f>
        <v>-0.49714765186186777</v>
      </c>
      <c r="V264" s="336">
        <f>Saldo_relativo_per_capita!V264*Saldo_relativo_per_capita!V$552/1000000</f>
        <v>-0.26521549878881084</v>
      </c>
      <c r="W264" s="145"/>
      <c r="X264" s="145"/>
    </row>
    <row r="265" spans="1:24" s="115" customFormat="1">
      <c r="A265" s="351" t="str">
        <f>IF(B265="","",(IF(ISERROR(MATCH(B265,Tot_res!C:C,0)),"Eliminar!!!","")))</f>
        <v/>
      </c>
      <c r="B265" s="119" t="s">
        <v>276</v>
      </c>
      <c r="C265" s="329" t="str">
        <f>VLOOKUP(B265,Tot_res!C:D,2,FALSE)</f>
        <v>Infraestructuras ferroviarias, ADIF y Renfe</v>
      </c>
      <c r="D265" s="336">
        <f>Saldo_relativo_per_capita!D265*Saldo_relativo_per_capita!D$552/1000000</f>
        <v>0</v>
      </c>
      <c r="E265" s="336">
        <f>Saldo_relativo_per_capita!E265*Saldo_relativo_per_capita!E$552/1000000</f>
        <v>-242.51033122585869</v>
      </c>
      <c r="F265" s="336">
        <f>Saldo_relativo_per_capita!F265*Saldo_relativo_per_capita!F$552/1000000</f>
        <v>-46.140259895769162</v>
      </c>
      <c r="G265" s="336">
        <f>Saldo_relativo_per_capita!G265*Saldo_relativo_per_capita!G$552/1000000</f>
        <v>34.105757837133559</v>
      </c>
      <c r="H265" s="336">
        <f>Saldo_relativo_per_capita!H265*Saldo_relativo_per_capita!H$552/1000000</f>
        <v>-60.634228834959991</v>
      </c>
      <c r="I265" s="336">
        <f>Saldo_relativo_per_capita!I265*Saldo_relativo_per_capita!I$552/1000000</f>
        <v>-119.54278235351077</v>
      </c>
      <c r="J265" s="336">
        <f>Saldo_relativo_per_capita!J265*Saldo_relativo_per_capita!J$552/1000000</f>
        <v>-17.59943404875311</v>
      </c>
      <c r="K265" s="336">
        <f>Saldo_relativo_per_capita!K265*Saldo_relativo_per_capita!K$552/1000000</f>
        <v>374.0080701735593</v>
      </c>
      <c r="L265" s="336">
        <f>Saldo_relativo_per_capita!L265*Saldo_relativo_per_capita!L$552/1000000</f>
        <v>-73.63595321962012</v>
      </c>
      <c r="M265" s="336">
        <f>Saldo_relativo_per_capita!M265*Saldo_relativo_per_capita!M$552/1000000</f>
        <v>-69.878346400428924</v>
      </c>
      <c r="N265" s="336">
        <f>Saldo_relativo_per_capita!N265*Saldo_relativo_per_capita!N$552/1000000</f>
        <v>-16.38509389239973</v>
      </c>
      <c r="O265" s="336">
        <f>Saldo_relativo_per_capita!O265*Saldo_relativo_per_capita!O$552/1000000</f>
        <v>15.76830231371512</v>
      </c>
      <c r="P265" s="336">
        <f>Saldo_relativo_per_capita!P265*Saldo_relativo_per_capita!P$552/1000000</f>
        <v>270.43169586547822</v>
      </c>
      <c r="Q265" s="336">
        <f>Saldo_relativo_per_capita!Q265*Saldo_relativo_per_capita!Q$552/1000000</f>
        <v>-7.3985131419859362</v>
      </c>
      <c r="R265" s="336">
        <f>Saldo_relativo_per_capita!R265*Saldo_relativo_per_capita!R$552/1000000</f>
        <v>-48.003602243402781</v>
      </c>
      <c r="S265" s="336">
        <f>Saldo_relativo_per_capita!S265*Saldo_relativo_per_capita!S$552/1000000</f>
        <v>28.23797914241872</v>
      </c>
      <c r="T265" s="336">
        <f>Saldo_relativo_per_capita!T265*Saldo_relativo_per_capita!T$552/1000000</f>
        <v>1.2479193966707425</v>
      </c>
      <c r="U265" s="336">
        <f>Saldo_relativo_per_capita!U265*Saldo_relativo_per_capita!U$552/1000000</f>
        <v>-13.034835079756915</v>
      </c>
      <c r="V265" s="336">
        <f>Saldo_relativo_per_capita!V265*Saldo_relativo_per_capita!V$552/1000000</f>
        <v>-9.0363443925289868</v>
      </c>
      <c r="W265" s="145"/>
      <c r="X265" s="146"/>
    </row>
    <row r="266" spans="1:24" s="115" customFormat="1">
      <c r="A266" s="351" t="str">
        <f>IF(B266="","",(IF(ISERROR(MATCH(B266,Tot_res!C:C,0)),"Eliminar!!!","")))</f>
        <v/>
      </c>
      <c r="B266" s="119" t="s">
        <v>277</v>
      </c>
      <c r="C266" s="329" t="str">
        <f>VLOOKUP(B266,Tot_res!C:D,2,FALSE)</f>
        <v>Infraestructuras aeroportuarias, AENA</v>
      </c>
      <c r="D266" s="336">
        <f>Saldo_relativo_per_capita!D266*Saldo_relativo_per_capita!D$552/1000000</f>
        <v>0</v>
      </c>
      <c r="E266" s="336">
        <f>Saldo_relativo_per_capita!E266*Saldo_relativo_per_capita!E$552/1000000</f>
        <v>-26.829682545837937</v>
      </c>
      <c r="F266" s="336">
        <f>Saldo_relativo_per_capita!F266*Saldo_relativo_per_capita!F$552/1000000</f>
        <v>-5.9876349766718988</v>
      </c>
      <c r="G266" s="336">
        <f>Saldo_relativo_per_capita!G266*Saldo_relativo_per_capita!G$552/1000000</f>
        <v>-1.4827432205820661</v>
      </c>
      <c r="H266" s="336">
        <f>Saldo_relativo_per_capita!H266*Saldo_relativo_per_capita!H$552/1000000</f>
        <v>10.41364175722885</v>
      </c>
      <c r="I266" s="336">
        <f>Saldo_relativo_per_capita!I266*Saldo_relativo_per_capita!I$552/1000000</f>
        <v>47.375036791463032</v>
      </c>
      <c r="J266" s="336">
        <f>Saldo_relativo_per_capita!J266*Saldo_relativo_per_capita!J$552/1000000</f>
        <v>-2.4878210289977383</v>
      </c>
      <c r="K266" s="336">
        <f>Saldo_relativo_per_capita!K266*Saldo_relativo_per_capita!K$552/1000000</f>
        <v>-13.075206387520151</v>
      </c>
      <c r="L266" s="336">
        <f>Saldo_relativo_per_capita!L266*Saldo_relativo_per_capita!L$552/1000000</f>
        <v>-10.788804908823339</v>
      </c>
      <c r="M266" s="336">
        <f>Saldo_relativo_per_capita!M266*Saldo_relativo_per_capita!M$552/1000000</f>
        <v>-18.329565403568552</v>
      </c>
      <c r="N266" s="336">
        <f>Saldo_relativo_per_capita!N266*Saldo_relativo_per_capita!N$552/1000000</f>
        <v>-21.203007056742777</v>
      </c>
      <c r="O266" s="336">
        <f>Saldo_relativo_per_capita!O266*Saldo_relativo_per_capita!O$552/1000000</f>
        <v>-6.0333081680058527</v>
      </c>
      <c r="P266" s="336">
        <f>Saldo_relativo_per_capita!P266*Saldo_relativo_per_capita!P$552/1000000</f>
        <v>6.1240812631499031</v>
      </c>
      <c r="Q266" s="336">
        <f>Saldo_relativo_per_capita!Q266*Saldo_relativo_per_capita!Q$552/1000000</f>
        <v>61.263331042803365</v>
      </c>
      <c r="R266" s="336">
        <f>Saldo_relativo_per_capita!R266*Saldo_relativo_per_capita!R$552/1000000</f>
        <v>-7.2354599236877251</v>
      </c>
      <c r="S266" s="336">
        <f>Saldo_relativo_per_capita!S266*Saldo_relativo_per_capita!S$552/1000000</f>
        <v>-3.0519578749772807</v>
      </c>
      <c r="T266" s="336">
        <f>Saldo_relativo_per_capita!T266*Saldo_relativo_per_capita!T$552/1000000</f>
        <v>-6.7721182605808501</v>
      </c>
      <c r="U266" s="336">
        <f>Saldo_relativo_per_capita!U266*Saldo_relativo_per_capita!U$552/1000000</f>
        <v>-1.5765541663122582</v>
      </c>
      <c r="V266" s="336">
        <f>Saldo_relativo_per_capita!V266*Saldo_relativo_per_capita!V$552/1000000</f>
        <v>-0.32222693233678673</v>
      </c>
      <c r="W266" s="145"/>
      <c r="X266" s="145"/>
    </row>
    <row r="267" spans="1:24" s="115" customFormat="1">
      <c r="A267" s="351" t="str">
        <f>IF(B267="","",(IF(ISERROR(MATCH(B267,Tot_res!C:C,0)),"Eliminar!!!","")))</f>
        <v/>
      </c>
      <c r="B267" s="119" t="s">
        <v>278</v>
      </c>
      <c r="C267" s="329" t="str">
        <f>VLOOKUP(B267,Tot_res!C:D,2,FALSE)</f>
        <v xml:space="preserve">Infraestructuras portuarias, Puertos del Estado </v>
      </c>
      <c r="D267" s="336">
        <f>Saldo_relativo_per_capita!D267*Saldo_relativo_per_capita!D$552/1000000</f>
        <v>0</v>
      </c>
      <c r="E267" s="336">
        <f>Saldo_relativo_per_capita!E267*Saldo_relativo_per_capita!E$552/1000000</f>
        <v>-10.774230104167772</v>
      </c>
      <c r="F267" s="336">
        <f>Saldo_relativo_per_capita!F267*Saldo_relativo_per_capita!F$552/1000000</f>
        <v>-4.9149538884837556</v>
      </c>
      <c r="G267" s="336">
        <f>Saldo_relativo_per_capita!G267*Saldo_relativo_per_capita!G$552/1000000</f>
        <v>1.9696917912439622</v>
      </c>
      <c r="H267" s="336">
        <f>Saldo_relativo_per_capita!H267*Saldo_relativo_per_capita!H$552/1000000</f>
        <v>-3.1041125973451535</v>
      </c>
      <c r="I267" s="336">
        <f>Saldo_relativo_per_capita!I267*Saldo_relativo_per_capita!I$552/1000000</f>
        <v>1.0019090436057523</v>
      </c>
      <c r="J267" s="336">
        <f>Saldo_relativo_per_capita!J267*Saldo_relativo_per_capita!J$552/1000000</f>
        <v>5.7985202841629953</v>
      </c>
      <c r="K267" s="336">
        <f>Saldo_relativo_per_capita!K267*Saldo_relativo_per_capita!K$552/1000000</f>
        <v>-12.537754298672946</v>
      </c>
      <c r="L267" s="336">
        <f>Saldo_relativo_per_capita!L267*Saldo_relativo_per_capita!L$552/1000000</f>
        <v>-11.604283223615619</v>
      </c>
      <c r="M267" s="336">
        <f>Saldo_relativo_per_capita!M267*Saldo_relativo_per_capita!M$552/1000000</f>
        <v>47.869328610481574</v>
      </c>
      <c r="N267" s="336">
        <f>Saldo_relativo_per_capita!N267*Saldo_relativo_per_capita!N$552/1000000</f>
        <v>-6.468261923109953</v>
      </c>
      <c r="O267" s="336">
        <f>Saldo_relativo_per_capita!O267*Saldo_relativo_per_capita!O$552/1000000</f>
        <v>-7.1108059975772537</v>
      </c>
      <c r="P267" s="336">
        <f>Saldo_relativo_per_capita!P267*Saldo_relativo_per_capita!P$552/1000000</f>
        <v>3.0790388468853513</v>
      </c>
      <c r="Q267" s="336">
        <f>Saldo_relativo_per_capita!Q267*Saldo_relativo_per_capita!Q$552/1000000</f>
        <v>-35.333888147469779</v>
      </c>
      <c r="R267" s="336">
        <f>Saldo_relativo_per_capita!R267*Saldo_relativo_per_capita!R$552/1000000</f>
        <v>8.1126950236714155</v>
      </c>
      <c r="S267" s="336">
        <f>Saldo_relativo_per_capita!S267*Saldo_relativo_per_capita!S$552/1000000</f>
        <v>-2.2142781404036236</v>
      </c>
      <c r="T267" s="336">
        <f>Saldo_relativo_per_capita!T267*Saldo_relativo_per_capita!T$552/1000000</f>
        <v>27.877282049120858</v>
      </c>
      <c r="U267" s="336">
        <f>Saldo_relativo_per_capita!U267*Saldo_relativo_per_capita!U$552/1000000</f>
        <v>-1.4072070701123216</v>
      </c>
      <c r="V267" s="336">
        <f>Saldo_relativo_per_capita!V267*Saldo_relativo_per_capita!V$552/1000000</f>
        <v>-0.23869025821373405</v>
      </c>
      <c r="W267" s="148"/>
    </row>
    <row r="268" spans="1:24" s="115" customFormat="1">
      <c r="A268" s="351" t="str">
        <f>IF(B268="","",(IF(ISERROR(MATCH(B268,Tot_res!C:C,0)),"Eliminar!!!","")))</f>
        <v/>
      </c>
      <c r="B268" s="119" t="s">
        <v>279</v>
      </c>
      <c r="C268" s="329" t="str">
        <f>VLOOKUP(B268,Tot_res!C:D,2,FALSE)</f>
        <v>Autopistas de peaje</v>
      </c>
      <c r="D268" s="336">
        <f>Saldo_relativo_per_capita!D268*Saldo_relativo_per_capita!D$552/1000000</f>
        <v>0</v>
      </c>
      <c r="E268" s="336">
        <f>Saldo_relativo_per_capita!E268*Saldo_relativo_per_capita!E$552/1000000</f>
        <v>-10.536357581071922</v>
      </c>
      <c r="F268" s="336">
        <f>Saldo_relativo_per_capita!F268*Saldo_relativo_per_capita!F$552/1000000</f>
        <v>1.4404725662294693</v>
      </c>
      <c r="G268" s="336">
        <f>Saldo_relativo_per_capita!G268*Saldo_relativo_per_capita!G$552/1000000</f>
        <v>-1.531289156524626</v>
      </c>
      <c r="H268" s="336">
        <f>Saldo_relativo_per_capita!H268*Saldo_relativo_per_capita!H$552/1000000</f>
        <v>-2.3380786842210908</v>
      </c>
      <c r="I268" s="336">
        <f>Saldo_relativo_per_capita!I268*Saldo_relativo_per_capita!I$552/1000000</f>
        <v>-4.4114492514688868</v>
      </c>
      <c r="J268" s="336">
        <f>Saldo_relativo_per_capita!J268*Saldo_relativo_per_capita!J$552/1000000</f>
        <v>-1.1046916771218693</v>
      </c>
      <c r="K268" s="336">
        <f>Saldo_relativo_per_capita!K268*Saldo_relativo_per_capita!K$552/1000000</f>
        <v>7.7703174732969105</v>
      </c>
      <c r="L268" s="336">
        <f>Saldo_relativo_per_capita!L268*Saldo_relativo_per_capita!L$552/1000000</f>
        <v>4.2020287119197706</v>
      </c>
      <c r="M268" s="336">
        <f>Saldo_relativo_per_capita!M268*Saldo_relativo_per_capita!M$552/1000000</f>
        <v>13.222958116396935</v>
      </c>
      <c r="N268" s="336">
        <f>Saldo_relativo_per_capita!N268*Saldo_relativo_per_capita!N$552/1000000</f>
        <v>-2.3886187751262793</v>
      </c>
      <c r="O268" s="336">
        <f>Saldo_relativo_per_capita!O268*Saldo_relativo_per_capita!O$552/1000000</f>
        <v>-2.0691700963826549</v>
      </c>
      <c r="P268" s="336">
        <f>Saldo_relativo_per_capita!P268*Saldo_relativo_per_capita!P$552/1000000</f>
        <v>0.3130828126360814</v>
      </c>
      <c r="Q268" s="336">
        <f>Saldo_relativo_per_capita!Q268*Saldo_relativo_per_capita!Q$552/1000000</f>
        <v>-7.6430245577256297</v>
      </c>
      <c r="R268" s="336">
        <f>Saldo_relativo_per_capita!R268*Saldo_relativo_per_capita!R$552/1000000</f>
        <v>-2.4401966232003063</v>
      </c>
      <c r="S268" s="336">
        <f>Saldo_relativo_per_capita!S268*Saldo_relativo_per_capita!S$552/1000000</f>
        <v>0.86573248261422941</v>
      </c>
      <c r="T268" s="336">
        <f>Saldo_relativo_per_capita!T268*Saldo_relativo_per_capita!T$552/1000000</f>
        <v>2.2710298404477678</v>
      </c>
      <c r="U268" s="336">
        <f>Saldo_relativo_per_capita!U268*Saldo_relativo_per_capita!U$552/1000000</f>
        <v>4.7227155002009082</v>
      </c>
      <c r="V268" s="336">
        <f>Saldo_relativo_per_capita!V268*Saldo_relativo_per_capita!V$552/1000000</f>
        <v>-0.34546110089880666</v>
      </c>
      <c r="W268" s="148"/>
    </row>
    <row r="269" spans="1:24" s="115" customFormat="1">
      <c r="A269" s="351" t="str">
        <f>IF(B269="","",(IF(ISERROR(MATCH(B269,Tot_res!C:C,0)),"Eliminar!!!","")))</f>
        <v/>
      </c>
      <c r="B269" s="119" t="s">
        <v>281</v>
      </c>
      <c r="C269" s="329" t="str">
        <f>VLOOKUP(B269,Tot_res!C:D,2,FALSE)</f>
        <v>Excedente bruto de AENA</v>
      </c>
      <c r="D269" s="336">
        <f>Saldo_relativo_per_capita!D269*Saldo_relativo_per_capita!D$552/1000000</f>
        <v>0</v>
      </c>
      <c r="E269" s="336">
        <f>Saldo_relativo_per_capita!E269*Saldo_relativo_per_capita!E$552/1000000</f>
        <v>21.725380389454994</v>
      </c>
      <c r="F269" s="336">
        <f>Saldo_relativo_per_capita!F269*Saldo_relativo_per_capita!F$552/1000000</f>
        <v>-1.7256658361478381</v>
      </c>
      <c r="G269" s="336">
        <f>Saldo_relativo_per_capita!G269*Saldo_relativo_per_capita!G$552/1000000</f>
        <v>-3.666191422475066</v>
      </c>
      <c r="H269" s="336">
        <f>Saldo_relativo_per_capita!H269*Saldo_relativo_per_capita!H$552/1000000</f>
        <v>0.69080773499228088</v>
      </c>
      <c r="I269" s="336">
        <f>Saldo_relativo_per_capita!I269*Saldo_relativo_per_capita!I$552/1000000</f>
        <v>-4.9337572475837046</v>
      </c>
      <c r="J269" s="336">
        <f>Saldo_relativo_per_capita!J269*Saldo_relativo_per_capita!J$552/1000000</f>
        <v>-1.8219765687290279</v>
      </c>
      <c r="K269" s="336">
        <f>Saldo_relativo_per_capita!K269*Saldo_relativo_per_capita!K$552/1000000</f>
        <v>5.0106771105106969</v>
      </c>
      <c r="L269" s="336">
        <f>Saldo_relativo_per_capita!L269*Saldo_relativo_per_capita!L$552/1000000</f>
        <v>-11.098973554904743</v>
      </c>
      <c r="M269" s="336">
        <f>Saldo_relativo_per_capita!M269*Saldo_relativo_per_capita!M$552/1000000</f>
        <v>-11.399110636647148</v>
      </c>
      <c r="N269" s="336">
        <f>Saldo_relativo_per_capita!N269*Saldo_relativo_per_capita!N$552/1000000</f>
        <v>-0.25928279726639908</v>
      </c>
      <c r="O269" s="336">
        <f>Saldo_relativo_per_capita!O269*Saldo_relativo_per_capita!O$552/1000000</f>
        <v>0.15210889309934497</v>
      </c>
      <c r="P269" s="336">
        <f>Saldo_relativo_per_capita!P269*Saldo_relativo_per_capita!P$552/1000000</f>
        <v>-0.69586259565059816</v>
      </c>
      <c r="Q269" s="336">
        <f>Saldo_relativo_per_capita!Q269*Saldo_relativo_per_capita!Q$552/1000000</f>
        <v>22.1391754984122</v>
      </c>
      <c r="R269" s="336">
        <f>Saldo_relativo_per_capita!R269*Saldo_relativo_per_capita!R$552/1000000</f>
        <v>-0.82334021916373945</v>
      </c>
      <c r="S269" s="336">
        <f>Saldo_relativo_per_capita!S269*Saldo_relativo_per_capita!S$552/1000000</f>
        <v>-2.3452649947570317</v>
      </c>
      <c r="T269" s="336">
        <f>Saldo_relativo_per_capita!T269*Saldo_relativo_per_capita!T$552/1000000</f>
        <v>-11.474145700346451</v>
      </c>
      <c r="U269" s="336">
        <f>Saldo_relativo_per_capita!U269*Saldo_relativo_per_capita!U$552/1000000</f>
        <v>0.41943783209686158</v>
      </c>
      <c r="V269" s="336">
        <f>Saldo_relativo_per_capita!V269*Saldo_relativo_per_capita!V$552/1000000</f>
        <v>0.1059841151056079</v>
      </c>
      <c r="W269" s="148"/>
    </row>
    <row r="270" spans="1:24" s="115" customFormat="1">
      <c r="A270" s="351" t="str">
        <f>IF(B270="","",(IF(ISERROR(MATCH(B270,Tot_res!C:C,0)),"Eliminar!!!","")))</f>
        <v/>
      </c>
      <c r="B270" s="119" t="s">
        <v>282</v>
      </c>
      <c r="C270" s="329" t="str">
        <f>VLOOKUP(B270,Tot_res!C:D,2,FALSE)</f>
        <v>Excedene bruto de puertos del Estado</v>
      </c>
      <c r="D270" s="336">
        <f>Saldo_relativo_per_capita!D270*Saldo_relativo_per_capita!D$552/1000000</f>
        <v>0</v>
      </c>
      <c r="E270" s="336">
        <f>Saldo_relativo_per_capita!E270*Saldo_relativo_per_capita!E$552/1000000</f>
        <v>4.2339880403110994</v>
      </c>
      <c r="F270" s="336">
        <f>Saldo_relativo_per_capita!F270*Saldo_relativo_per_capita!F$552/1000000</f>
        <v>2.3649168852905929</v>
      </c>
      <c r="G270" s="336">
        <f>Saldo_relativo_per_capita!G270*Saldo_relativo_per_capita!G$552/1000000</f>
        <v>3.4619117116571867</v>
      </c>
      <c r="H270" s="336">
        <f>Saldo_relativo_per_capita!H270*Saldo_relativo_per_capita!H$552/1000000</f>
        <v>-3.3623145455556198</v>
      </c>
      <c r="I270" s="336">
        <f>Saldo_relativo_per_capita!I270*Saldo_relativo_per_capita!I$552/1000000</f>
        <v>-13.064217151614866</v>
      </c>
      <c r="J270" s="336">
        <f>Saldo_relativo_per_capita!J270*Saldo_relativo_per_capita!J$552/1000000</f>
        <v>3.4471494038003354</v>
      </c>
      <c r="K270" s="336">
        <f>Saldo_relativo_per_capita!K270*Saldo_relativo_per_capita!K$552/1000000</f>
        <v>-1.5750961429924086</v>
      </c>
      <c r="L270" s="336">
        <f>Saldo_relativo_per_capita!L270*Saldo_relativo_per_capita!L$552/1000000</f>
        <v>-1.9555792531082652</v>
      </c>
      <c r="M270" s="336">
        <f>Saldo_relativo_per_capita!M270*Saldo_relativo_per_capita!M$552/1000000</f>
        <v>5.4326037324640666</v>
      </c>
      <c r="N270" s="336">
        <f>Saldo_relativo_per_capita!N270*Saldo_relativo_per_capita!N$552/1000000</f>
        <v>6.3499142747282269</v>
      </c>
      <c r="O270" s="336">
        <f>Saldo_relativo_per_capita!O270*Saldo_relativo_per_capita!O$552/1000000</f>
        <v>-3.2126212642863208</v>
      </c>
      <c r="P270" s="336">
        <f>Saldo_relativo_per_capita!P270*Saldo_relativo_per_capita!P$552/1000000</f>
        <v>9.553903307413071</v>
      </c>
      <c r="Q270" s="336">
        <f>Saldo_relativo_per_capita!Q270*Saldo_relativo_per_capita!Q$552/1000000</f>
        <v>-32.219695700840475</v>
      </c>
      <c r="R270" s="336">
        <f>Saldo_relativo_per_capita!R270*Saldo_relativo_per_capita!R$552/1000000</f>
        <v>5.3165951353851728</v>
      </c>
      <c r="S270" s="336">
        <f>Saldo_relativo_per_capita!S270*Saldo_relativo_per_capita!S$552/1000000</f>
        <v>1.0445094021635148</v>
      </c>
      <c r="T270" s="336">
        <f>Saldo_relativo_per_capita!T270*Saldo_relativo_per_capita!T$552/1000000</f>
        <v>9.7813975380946037</v>
      </c>
      <c r="U270" s="336">
        <f>Saldo_relativo_per_capita!U270*Saldo_relativo_per_capita!U$552/1000000</f>
        <v>7.03986886668099E-2</v>
      </c>
      <c r="V270" s="336">
        <f>Saldo_relativo_per_capita!V270*Saldo_relativo_per_capita!V$552/1000000</f>
        <v>4.3322359384233762</v>
      </c>
      <c r="W270" s="148"/>
    </row>
    <row r="271" spans="1:24" s="115" customFormat="1" ht="13.5">
      <c r="A271" s="351" t="str">
        <f>IF(B271="","",(IF(ISERROR(MATCH(B271,Tot_res!C:C,0)),"Eliminar!!!","")))</f>
        <v/>
      </c>
      <c r="B271" s="119" t="s">
        <v>283</v>
      </c>
      <c r="C271" s="329" t="str">
        <f>VLOOKUP(B271,Tot_res!C:D,2,FALSE)</f>
        <v>Excedente bruto de los concesionarios de autopistas de peaje</v>
      </c>
      <c r="D271" s="336">
        <f>Saldo_relativo_per_capita!D271*Saldo_relativo_per_capita!D$552/1000000</f>
        <v>0</v>
      </c>
      <c r="E271" s="336">
        <f>Saldo_relativo_per_capita!E271*Saldo_relativo_per_capita!E$552/1000000</f>
        <v>74.748790145991975</v>
      </c>
      <c r="F271" s="336">
        <f>Saldo_relativo_per_capita!F271*Saldo_relativo_per_capita!F$552/1000000</f>
        <v>-20.559155461169706</v>
      </c>
      <c r="G271" s="336">
        <f>Saldo_relativo_per_capita!G271*Saldo_relativo_per_capita!G$552/1000000</f>
        <v>6.1187369133729668</v>
      </c>
      <c r="H271" s="336">
        <f>Saldo_relativo_per_capita!H271*Saldo_relativo_per_capita!H$552/1000000</f>
        <v>19.277131994509503</v>
      </c>
      <c r="I271" s="336">
        <f>Saldo_relativo_per_capita!I271*Saldo_relativo_per_capita!I$552/1000000</f>
        <v>37.536699590529068</v>
      </c>
      <c r="J271" s="336">
        <f>Saldo_relativo_per_capita!J271*Saldo_relativo_per_capita!J$552/1000000</f>
        <v>7.8902077957122634</v>
      </c>
      <c r="K271" s="336">
        <f>Saldo_relativo_per_capita!K271*Saldo_relativo_per_capita!K$552/1000000</f>
        <v>-14.614810906371879</v>
      </c>
      <c r="L271" s="336">
        <f>Saldo_relativo_per_capita!L271*Saldo_relativo_per_capita!L$552/1000000</f>
        <v>-21.541947253879748</v>
      </c>
      <c r="M271" s="336">
        <f>Saldo_relativo_per_capita!M271*Saldo_relativo_per_capita!M$552/1000000</f>
        <v>-29.511567520968836</v>
      </c>
      <c r="N271" s="336">
        <f>Saldo_relativo_per_capita!N271*Saldo_relativo_per_capita!N$552/1000000</f>
        <v>-9.2154223837223892</v>
      </c>
      <c r="O271" s="336">
        <f>Saldo_relativo_per_capita!O271*Saldo_relativo_per_capita!O$552/1000000</f>
        <v>11.234695370805444</v>
      </c>
      <c r="P271" s="336">
        <f>Saldo_relativo_per_capita!P271*Saldo_relativo_per_capita!P$552/1000000</f>
        <v>-20.77908576367513</v>
      </c>
      <c r="Q271" s="336">
        <f>Saldo_relativo_per_capita!Q271*Saldo_relativo_per_capita!Q$552/1000000</f>
        <v>19.673254876689814</v>
      </c>
      <c r="R271" s="336">
        <f>Saldo_relativo_per_capita!R271*Saldo_relativo_per_capita!R$552/1000000</f>
        <v>1.5417016107291335</v>
      </c>
      <c r="S271" s="336">
        <f>Saldo_relativo_per_capita!S271*Saldo_relativo_per_capita!S$552/1000000</f>
        <v>-21.792467032896326</v>
      </c>
      <c r="T271" s="336">
        <f>Saldo_relativo_per_capita!T271*Saldo_relativo_per_capita!T$552/1000000</f>
        <v>-24.327883070416693</v>
      </c>
      <c r="U271" s="336">
        <f>Saldo_relativo_per_capita!U271*Saldo_relativo_per_capita!U$552/1000000</f>
        <v>-18.484311069971689</v>
      </c>
      <c r="V271" s="336">
        <f>Saldo_relativo_per_capita!V271*Saldo_relativo_per_capita!V$552/1000000</f>
        <v>2.8054321647323457</v>
      </c>
      <c r="W271" s="219"/>
    </row>
    <row r="272" spans="1:24" s="115" customFormat="1">
      <c r="A272" s="351" t="str">
        <f>IF(B272="","",(IF(ISERROR(MATCH(B272,Tot_res!C:C,0)),"Eliminar!!!","")))</f>
        <v/>
      </c>
      <c r="B272" s="119" t="s">
        <v>284</v>
      </c>
      <c r="C272" s="329" t="str">
        <f>VLOOKUP(B272,Tot_res!C:D,2,FALSE)</f>
        <v>Infraestructuras de carreteras, SEITT + AF06/2</v>
      </c>
      <c r="D272" s="336">
        <f>Saldo_relativo_per_capita!D272*Saldo_relativo_per_capita!D$552/1000000</f>
        <v>0</v>
      </c>
      <c r="E272" s="336">
        <f>Saldo_relativo_per_capita!E272*Saldo_relativo_per_capita!E$552/1000000</f>
        <v>2.5639758825097716</v>
      </c>
      <c r="F272" s="336">
        <f>Saldo_relativo_per_capita!F272*Saldo_relativo_per_capita!F$552/1000000</f>
        <v>17.860424402722423</v>
      </c>
      <c r="G272" s="336">
        <f>Saldo_relativo_per_capita!G272*Saldo_relativo_per_capita!G$552/1000000</f>
        <v>12.308578353281813</v>
      </c>
      <c r="H272" s="336">
        <f>Saldo_relativo_per_capita!H272*Saldo_relativo_per_capita!H$552/1000000</f>
        <v>-8.2384850155353622</v>
      </c>
      <c r="I272" s="336">
        <f>Saldo_relativo_per_capita!I272*Saldo_relativo_per_capita!I$552/1000000</f>
        <v>-15.54424100450181</v>
      </c>
      <c r="J272" s="336">
        <f>Saldo_relativo_per_capita!J272*Saldo_relativo_per_capita!J$552/1000000</f>
        <v>-3.8925062232398986</v>
      </c>
      <c r="K272" s="336">
        <f>Saldo_relativo_per_capita!K272*Saldo_relativo_per_capita!K$552/1000000</f>
        <v>-16.891670504010477</v>
      </c>
      <c r="L272" s="336">
        <f>Saldo_relativo_per_capita!L272*Saldo_relativo_per_capita!L$552/1000000</f>
        <v>54.02224691049112</v>
      </c>
      <c r="M272" s="336">
        <f>Saldo_relativo_per_capita!M272*Saldo_relativo_per_capita!M$552/1000000</f>
        <v>1.642810117157145</v>
      </c>
      <c r="N272" s="336">
        <f>Saldo_relativo_per_capita!N272*Saldo_relativo_per_capita!N$552/1000000</f>
        <v>-12.384501699149816</v>
      </c>
      <c r="O272" s="336">
        <f>Saldo_relativo_per_capita!O272*Saldo_relativo_per_capita!O$552/1000000</f>
        <v>-7.2909551541980546</v>
      </c>
      <c r="P272" s="336">
        <f>Saldo_relativo_per_capita!P272*Saldo_relativo_per_capita!P$552/1000000</f>
        <v>28.61854446787558</v>
      </c>
      <c r="Q272" s="336">
        <f>Saldo_relativo_per_capita!Q272*Saldo_relativo_per_capita!Q$552/1000000</f>
        <v>-41.065844106234088</v>
      </c>
      <c r="R272" s="336">
        <f>Saldo_relativo_per_capita!R272*Saldo_relativo_per_capita!R$552/1000000</f>
        <v>-9.949027547619508</v>
      </c>
      <c r="S272" s="336">
        <f>Saldo_relativo_per_capita!S272*Saldo_relativo_per_capita!S$552/1000000</f>
        <v>0.59939325683241473</v>
      </c>
      <c r="T272" s="336">
        <f>Saldo_relativo_per_capita!T272*Saldo_relativo_per_capita!T$552/1000000</f>
        <v>0.91321089299536673</v>
      </c>
      <c r="U272" s="336">
        <f>Saldo_relativo_per_capita!U272*Saldo_relativo_per_capita!U$552/1000000</f>
        <v>-2.0546817192139719</v>
      </c>
      <c r="V272" s="336">
        <f>Saldo_relativo_per_capita!V272*Saldo_relativo_per_capita!V$552/1000000</f>
        <v>-1.2172713101626489</v>
      </c>
    </row>
    <row r="273" spans="1:23" s="115" customFormat="1" ht="13.5">
      <c r="A273" s="351" t="str">
        <f>IF(B273="","",(IF(ISERROR(MATCH(B273,Tot_res!C:C,0)),"Eliminar!!!","")))</f>
        <v/>
      </c>
      <c r="B273" s="119" t="s">
        <v>286</v>
      </c>
      <c r="C273" s="329" t="str">
        <f>VLOOKUP(B273,Tot_res!C:D,2,FALSE)</f>
        <v>"Y" ferroviaria vasca, parte financiada mediante descuento del cupo</v>
      </c>
      <c r="D273" s="336">
        <f>Saldo_relativo_per_capita!D273*Saldo_relativo_per_capita!D$552/1000000</f>
        <v>0</v>
      </c>
      <c r="E273" s="336">
        <f>Saldo_relativo_per_capita!E273*Saldo_relativo_per_capita!E$552/1000000</f>
        <v>-36.170698971244896</v>
      </c>
      <c r="F273" s="336">
        <f>Saldo_relativo_per_capita!F273*Saldo_relativo_per_capita!F$552/1000000</f>
        <v>-4.7231703406688705</v>
      </c>
      <c r="G273" s="336">
        <f>Saldo_relativo_per_capita!G273*Saldo_relativo_per_capita!G$552/1000000</f>
        <v>-4.2204633040385042</v>
      </c>
      <c r="H273" s="336">
        <f>Saldo_relativo_per_capita!H273*Saldo_relativo_per_capita!H$552/1000000</f>
        <v>-5.6315750827163056</v>
      </c>
      <c r="I273" s="336">
        <f>Saldo_relativo_per_capita!I273*Saldo_relativo_per_capita!I$552/1000000</f>
        <v>-11.072014022977111</v>
      </c>
      <c r="J273" s="336">
        <f>Saldo_relativo_per_capita!J273*Saldo_relativo_per_capita!J$552/1000000</f>
        <v>-2.5027529284166481</v>
      </c>
      <c r="K273" s="336">
        <f>Saldo_relativo_per_capita!K273*Saldo_relativo_per_capita!K$552/1000000</f>
        <v>-11.581446754109733</v>
      </c>
      <c r="L273" s="336">
        <f>Saldo_relativo_per_capita!L273*Saldo_relativo_per_capita!L$552/1000000</f>
        <v>-8.2164483656329441</v>
      </c>
      <c r="M273" s="336">
        <f>Saldo_relativo_per_capita!M273*Saldo_relativo_per_capita!M$552/1000000</f>
        <v>-18.907194919308825</v>
      </c>
      <c r="N273" s="336">
        <f>Saldo_relativo_per_capita!N273*Saldo_relativo_per_capita!N$552/1000000</f>
        <v>-18.951415925842468</v>
      </c>
      <c r="O273" s="336">
        <f>Saldo_relativo_per_capita!O273*Saldo_relativo_per_capita!O$552/1000000</f>
        <v>-5.1918796271679826</v>
      </c>
      <c r="P273" s="336">
        <f>Saldo_relativo_per_capita!P273*Saldo_relativo_per_capita!P$552/1000000</f>
        <v>-12.524003375719081</v>
      </c>
      <c r="Q273" s="336">
        <f>Saldo_relativo_per_capita!Q273*Saldo_relativo_per_capita!Q$552/1000000</f>
        <v>-10.811342191653432</v>
      </c>
      <c r="R273" s="336">
        <f>Saldo_relativo_per_capita!R273*Saldo_relativo_per_capita!R$552/1000000</f>
        <v>-6.6890068952426258</v>
      </c>
      <c r="S273" s="336">
        <f>Saldo_relativo_per_capita!S273*Saldo_relativo_per_capita!S$552/1000000</f>
        <v>-1.7268936179804109</v>
      </c>
      <c r="T273" s="336">
        <f>Saldo_relativo_per_capita!T273*Saldo_relativo_per_capita!T$552/1000000</f>
        <v>161.16706145013148</v>
      </c>
      <c r="U273" s="336">
        <f>Saldo_relativo_per_capita!U273*Saldo_relativo_per_capita!U$552/1000000</f>
        <v>-1.4053357332430396</v>
      </c>
      <c r="V273" s="336">
        <f>Saldo_relativo_per_capita!V273*Saldo_relativo_per_capita!V$552/1000000</f>
        <v>-0.84141939416860623</v>
      </c>
      <c r="W273" s="219"/>
    </row>
    <row r="274" spans="1:23" s="115" customFormat="1" ht="13.5">
      <c r="A274" s="351" t="str">
        <f>IF(B274="","",(IF(ISERROR(MATCH(B274,Tot_res!C:C,0)),"Eliminar!!!","")))</f>
        <v/>
      </c>
      <c r="B274" s="119" t="s">
        <v>1210</v>
      </c>
      <c r="C274" s="329" t="str">
        <f>VLOOKUP(B274,Tot_res!C:D,2,FALSE)</f>
        <v>Parques Nacionales transferidos durante el año, coste efectivo</v>
      </c>
      <c r="D274" s="336">
        <f>Saldo_relativo_per_capita!D274*Saldo_relativo_per_capita!D$552/1000000</f>
        <v>0</v>
      </c>
      <c r="E274" s="336">
        <f>Saldo_relativo_per_capita!E274*Saldo_relativo_per_capita!E$552/1000000</f>
        <v>-3.4959893165541515E-3</v>
      </c>
      <c r="F274" s="336">
        <f>Saldo_relativo_per_capita!F274*Saldo_relativo_per_capita!F$552/1000000</f>
        <v>-5.1723878998095332E-4</v>
      </c>
      <c r="G274" s="336">
        <f>Saldo_relativo_per_capita!G274*Saldo_relativo_per_capita!G$552/1000000</f>
        <v>-4.3029425370697368E-4</v>
      </c>
      <c r="H274" s="336">
        <f>Saldo_relativo_per_capita!H274*Saldo_relativo_per_capita!H$552/1000000</f>
        <v>-4.3530335451931826E-4</v>
      </c>
      <c r="I274" s="336">
        <f>Saldo_relativo_per_capita!I274*Saldo_relativo_per_capita!I$552/1000000</f>
        <v>1.7777619804349398E-2</v>
      </c>
      <c r="J274" s="336">
        <f>Saldo_relativo_per_capita!J274*Saldo_relativo_per_capita!J$552/1000000</f>
        <v>-2.3750068752683898E-4</v>
      </c>
      <c r="K274" s="336">
        <f>Saldo_relativo_per_capita!K274*Saldo_relativo_per_capita!K$552/1000000</f>
        <v>-1.000804464096525E-3</v>
      </c>
      <c r="L274" s="336">
        <f>Saldo_relativo_per_capita!L274*Saldo_relativo_per_capita!L$552/1000000</f>
        <v>-8.5631909905590511E-4</v>
      </c>
      <c r="M274" s="336">
        <f>Saldo_relativo_per_capita!M274*Saldo_relativo_per_capita!M$552/1000000</f>
        <v>-2.9087740491400105E-3</v>
      </c>
      <c r="N274" s="336">
        <f>Saldo_relativo_per_capita!N274*Saldo_relativo_per_capita!N$552/1000000</f>
        <v>-2.033239988347979E-3</v>
      </c>
      <c r="O274" s="336">
        <f>Saldo_relativo_per_capita!O274*Saldo_relativo_per_capita!O$552/1000000</f>
        <v>-4.6055372093808125E-4</v>
      </c>
      <c r="P274" s="336">
        <f>Saldo_relativo_per_capita!P274*Saldo_relativo_per_capita!P$552/1000000</f>
        <v>-1.114583159055124E-3</v>
      </c>
      <c r="Q274" s="336">
        <f>Saldo_relativo_per_capita!Q274*Saldo_relativo_per_capita!Q$552/1000000</f>
        <v>-2.4156232610415976E-3</v>
      </c>
      <c r="R274" s="336">
        <f>Saldo_relativo_per_capita!R274*Saldo_relativo_per_capita!R$552/1000000</f>
        <v>-6.034786376654678E-4</v>
      </c>
      <c r="S274" s="336">
        <f>Saldo_relativo_per_capita!S274*Saldo_relativo_per_capita!S$552/1000000</f>
        <v>-2.4483528803995202E-4</v>
      </c>
      <c r="T274" s="336">
        <f>Saldo_relativo_per_capita!T274*Saldo_relativo_per_capita!T$552/1000000</f>
        <v>-8.2773043779888313E-4</v>
      </c>
      <c r="U274" s="336">
        <f>Saldo_relativo_per_capita!U274*Saldo_relativo_per_capita!U$552/1000000</f>
        <v>-1.2519232626596411E-4</v>
      </c>
      <c r="V274" s="336">
        <f>Saldo_relativo_per_capita!V274*Saldo_relativo_per_capita!V$552/1000000</f>
        <v>-7.0158970615670101E-5</v>
      </c>
      <c r="W274" s="219"/>
    </row>
    <row r="275" spans="1:23" s="115" customFormat="1">
      <c r="A275" s="351" t="str">
        <f>IF(B275="","",(IF(ISERROR(MATCH(B275,Tot_res!C:C,0)),"Eliminar!!!","")))</f>
        <v/>
      </c>
      <c r="B275" s="115" t="s">
        <v>226</v>
      </c>
      <c r="C275" s="329" t="str">
        <f>VLOOKUP(B275,Tot_res!C:D,2,FALSE)</f>
        <v>Ajuste forales, ayudas al transporte colectivo urbano</v>
      </c>
      <c r="D275" s="336">
        <f>Saldo_relativo_per_capita!D275*Saldo_relativo_per_capita!D$552/1000000</f>
        <v>0</v>
      </c>
      <c r="E275" s="336">
        <f>Saldo_relativo_per_capita!E275*Saldo_relativo_per_capita!E$552/1000000</f>
        <v>-3.455476219700671</v>
      </c>
      <c r="F275" s="336">
        <f>Saldo_relativo_per_capita!F275*Saldo_relativo_per_capita!F$552/1000000</f>
        <v>-0.54362455436027179</v>
      </c>
      <c r="G275" s="336">
        <f>Saldo_relativo_per_capita!G275*Saldo_relativo_per_capita!G$552/1000000</f>
        <v>-0.43457045351862372</v>
      </c>
      <c r="H275" s="336">
        <f>Saldo_relativo_per_capita!H275*Saldo_relativo_per_capita!H$552/1000000</f>
        <v>-0.45409561842762403</v>
      </c>
      <c r="I275" s="336">
        <f>Saldo_relativo_per_capita!I275*Saldo_relativo_per_capita!I$552/1000000</f>
        <v>-0.86485296396836164</v>
      </c>
      <c r="J275" s="336">
        <f>Saldo_relativo_per_capita!J275*Saldo_relativo_per_capita!J$552/1000000</f>
        <v>-0.2414186604760723</v>
      </c>
      <c r="K275" s="336">
        <f>Saldo_relativo_per_capita!K275*Saldo_relativo_per_capita!K$552/1000000</f>
        <v>-1.0215135367716042</v>
      </c>
      <c r="L275" s="336">
        <f>Saldo_relativo_per_capita!L275*Saldo_relativo_per_capita!L$552/1000000</f>
        <v>-0.85100769371778229</v>
      </c>
      <c r="M275" s="336">
        <f>Saldo_relativo_per_capita!M275*Saldo_relativo_per_capita!M$552/1000000</f>
        <v>-3.0905539396438879</v>
      </c>
      <c r="N275" s="336">
        <f>Saldo_relativo_per_capita!N275*Saldo_relativo_per_capita!N$552/1000000</f>
        <v>-2.0536906813986771</v>
      </c>
      <c r="O275" s="336">
        <f>Saldo_relativo_per_capita!O275*Saldo_relativo_per_capita!O$552/1000000</f>
        <v>-0.45095056468838463</v>
      </c>
      <c r="P275" s="336">
        <f>Saldo_relativo_per_capita!P275*Saldo_relativo_per_capita!P$552/1000000</f>
        <v>-1.1272673055864686</v>
      </c>
      <c r="Q275" s="336">
        <f>Saldo_relativo_per_capita!Q275*Saldo_relativo_per_capita!Q$552/1000000</f>
        <v>-2.6513378888285115</v>
      </c>
      <c r="R275" s="336">
        <f>Saldo_relativo_per_capita!R275*Saldo_relativo_per_capita!R$552/1000000</f>
        <v>-0.60344762271938279</v>
      </c>
      <c r="S275" s="336">
        <f>Saldo_relativo_per_capita!S275*Saldo_relativo_per_capita!S$552/1000000</f>
        <v>4.0876517964284078</v>
      </c>
      <c r="T275" s="336">
        <f>Saldo_relativo_per_capita!T275*Saldo_relativo_per_capita!T$552/1000000</f>
        <v>13.956757767556891</v>
      </c>
      <c r="U275" s="336">
        <f>Saldo_relativo_per_capita!U275*Saldo_relativo_per_capita!U$552/1000000</f>
        <v>-0.13081527309128471</v>
      </c>
      <c r="V275" s="336">
        <f>Saldo_relativo_per_capita!V275*Saldo_relativo_per_capita!V$552/1000000</f>
        <v>-6.9786587087691532E-2</v>
      </c>
      <c r="W275" s="148"/>
    </row>
    <row r="276" spans="1:23">
      <c r="A276" s="352"/>
      <c r="C276" s="31"/>
      <c r="D276" s="39"/>
      <c r="E276" s="39"/>
      <c r="F276" s="39"/>
      <c r="G276" s="39"/>
      <c r="H276" s="39"/>
      <c r="I276" s="39"/>
      <c r="J276" s="39"/>
      <c r="K276" s="39"/>
      <c r="L276" s="39"/>
      <c r="M276" s="39"/>
      <c r="N276" s="39"/>
      <c r="O276" s="39"/>
      <c r="P276" s="39"/>
      <c r="Q276" s="39"/>
      <c r="R276" s="39"/>
      <c r="S276" s="39"/>
      <c r="T276" s="39"/>
      <c r="U276" s="39"/>
      <c r="V276" s="39"/>
      <c r="W276" s="35"/>
    </row>
    <row r="277" spans="1:23" s="115" customFormat="1" ht="13.5">
      <c r="A277" s="352"/>
      <c r="C277" s="117" t="s">
        <v>55</v>
      </c>
      <c r="D277" s="218">
        <f>Saldo_relativo_per_capita!D277*Saldo_relativo_per_capita!D$552/1000000</f>
        <v>0</v>
      </c>
      <c r="E277" s="218">
        <f>Saldo_relativo_per_capita!E277*Saldo_relativo_per_capita!E$552/1000000</f>
        <v>347.09158212519003</v>
      </c>
      <c r="F277" s="218">
        <f>Saldo_relativo_per_capita!F277*Saldo_relativo_per_capita!F$552/1000000</f>
        <v>-53.94496179906988</v>
      </c>
      <c r="G277" s="218">
        <f>Saldo_relativo_per_capita!G277*Saldo_relativo_per_capita!G$552/1000000</f>
        <v>-0.19687559327023901</v>
      </c>
      <c r="H277" s="218">
        <f>Saldo_relativo_per_capita!H277*Saldo_relativo_per_capita!H$552/1000000</f>
        <v>224.99200842801949</v>
      </c>
      <c r="I277" s="218">
        <f>Saldo_relativo_per_capita!I277*Saldo_relativo_per_capita!I$552/1000000</f>
        <v>1002.5357180336644</v>
      </c>
      <c r="J277" s="218">
        <f>Saldo_relativo_per_capita!J277*Saldo_relativo_per_capita!J$552/1000000</f>
        <v>-11.587630196876772</v>
      </c>
      <c r="K277" s="218">
        <f>Saldo_relativo_per_capita!K277*Saldo_relativo_per_capita!K$552/1000000</f>
        <v>14.867578728984427</v>
      </c>
      <c r="L277" s="218">
        <f>Saldo_relativo_per_capita!L277*Saldo_relativo_per_capita!L$552/1000000</f>
        <v>-0.28563974369077805</v>
      </c>
      <c r="M277" s="218">
        <f>Saldo_relativo_per_capita!M277*Saldo_relativo_per_capita!M$552/1000000</f>
        <v>-640.10070761162422</v>
      </c>
      <c r="N277" s="218">
        <f>Saldo_relativo_per_capita!N277*Saldo_relativo_per_capita!N$552/1000000</f>
        <v>-338.76108595991957</v>
      </c>
      <c r="O277" s="218">
        <f>Saldo_relativo_per_capita!O277*Saldo_relativo_per_capita!O$552/1000000</f>
        <v>163.59711055294269</v>
      </c>
      <c r="P277" s="218">
        <f>Saldo_relativo_per_capita!P277*Saldo_relativo_per_capita!P$552/1000000</f>
        <v>79.266288869648093</v>
      </c>
      <c r="Q277" s="218">
        <f>Saldo_relativo_per_capita!Q277*Saldo_relativo_per_capita!Q$552/1000000</f>
        <v>-624.21026026887671</v>
      </c>
      <c r="R277" s="218">
        <f>Saldo_relativo_per_capita!R277*Saldo_relativo_per_capita!R$552/1000000</f>
        <v>-50.908926204013348</v>
      </c>
      <c r="S277" s="218">
        <f>Saldo_relativo_per_capita!S277*Saldo_relativo_per_capita!S$552/1000000</f>
        <v>-60.400656078419104</v>
      </c>
      <c r="T277" s="218">
        <f>Saldo_relativo_per_capita!T277*Saldo_relativo_per_capita!T$552/1000000</f>
        <v>-142.72791173277383</v>
      </c>
      <c r="U277" s="218">
        <f>Saldo_relativo_per_capita!U277*Saldo_relativo_per_capita!U$552/1000000</f>
        <v>-29.599236745953281</v>
      </c>
      <c r="V277" s="218">
        <f>Saldo_relativo_per_capita!V277*Saldo_relativo_per_capita!V$552/1000000</f>
        <v>120.37360519603827</v>
      </c>
      <c r="W277" s="148"/>
    </row>
    <row r="278" spans="1:23" s="115" customFormat="1">
      <c r="A278" s="351" t="str">
        <f>IF(B278="","",(IF(ISERROR(MATCH(B278,Tot_res!C:C,0)),"Eliminar!!!","")))</f>
        <v/>
      </c>
      <c r="B278" s="115" t="s">
        <v>629</v>
      </c>
      <c r="C278" s="329" t="str">
        <f>VLOOKUP(B278,Tot_res!C:D,2,FALSE)</f>
        <v>Subsidio y renta para eventuales agrarios en Andalucía y Extremadura</v>
      </c>
      <c r="D278" s="336">
        <f>Saldo_relativo_per_capita!D278*Saldo_relativo_per_capita!D$552/1000000</f>
        <v>0</v>
      </c>
      <c r="E278" s="336">
        <f>Saldo_relativo_per_capita!E278*Saldo_relativo_per_capita!E$552/1000000</f>
        <v>708.91050250398382</v>
      </c>
      <c r="F278" s="336">
        <f>Saldo_relativo_per_capita!F278*Saldo_relativo_per_capita!F$552/1000000</f>
        <v>-28.969976175382655</v>
      </c>
      <c r="G278" s="336">
        <f>Saldo_relativo_per_capita!G278*Saldo_relativo_per_capita!G$552/1000000</f>
        <v>-23.158438271381748</v>
      </c>
      <c r="H278" s="336">
        <f>Saldo_relativo_per_capita!H278*Saldo_relativo_per_capita!H$552/1000000</f>
        <v>-24.198942342982775</v>
      </c>
      <c r="I278" s="336">
        <f>Saldo_relativo_per_capita!I278*Saldo_relativo_per_capita!I$552/1000000</f>
        <v>-46.088370292354696</v>
      </c>
      <c r="J278" s="336">
        <f>Saldo_relativo_per_capita!J278*Saldo_relativo_per_capita!J$552/1000000</f>
        <v>-12.865299748122867</v>
      </c>
      <c r="K278" s="336">
        <f>Saldo_relativo_per_capita!K278*Saldo_relativo_per_capita!K$552/1000000</f>
        <v>-54.436876674801887</v>
      </c>
      <c r="L278" s="336">
        <f>Saldo_relativo_per_capita!L278*Saldo_relativo_per_capita!L$552/1000000</f>
        <v>-45.350550144085233</v>
      </c>
      <c r="M278" s="336">
        <f>Saldo_relativo_per_capita!M278*Saldo_relativo_per_capita!M$552/1000000</f>
        <v>-164.69689104749818</v>
      </c>
      <c r="N278" s="336">
        <f>Saldo_relativo_per_capita!N278*Saldo_relativo_per_capita!N$552/1000000</f>
        <v>-109.44202139974747</v>
      </c>
      <c r="O278" s="336">
        <f>Saldo_relativo_per_capita!O278*Saldo_relativo_per_capita!O$552/1000000</f>
        <v>106.53695312112673</v>
      </c>
      <c r="P278" s="336">
        <f>Saldo_relativo_per_capita!P278*Saldo_relativo_per_capita!P$552/1000000</f>
        <v>-60.072538527178736</v>
      </c>
      <c r="Q278" s="336">
        <f>Saldo_relativo_per_capita!Q278*Saldo_relativo_per_capita!Q$552/1000000</f>
        <v>-141.29088698474834</v>
      </c>
      <c r="R278" s="336">
        <f>Saldo_relativo_per_capita!R278*Saldo_relativo_per_capita!R$552/1000000</f>
        <v>-32.15797210235322</v>
      </c>
      <c r="S278" s="336">
        <f>Saldo_relativo_per_capita!S278*Saldo_relativo_per_capita!S$552/1000000</f>
        <v>-14.042749745133168</v>
      </c>
      <c r="T278" s="336">
        <f>Saldo_relativo_per_capita!T278*Saldo_relativo_per_capita!T$552/1000000</f>
        <v>-47.985786503061291</v>
      </c>
      <c r="U278" s="336">
        <f>Saldo_relativo_per_capita!U278*Saldo_relativo_per_capita!U$552/1000000</f>
        <v>-6.9711997267863799</v>
      </c>
      <c r="V278" s="336">
        <f>Saldo_relativo_per_capita!V278*Saldo_relativo_per_capita!V$552/1000000</f>
        <v>-3.718955939491754</v>
      </c>
      <c r="W278" s="148"/>
    </row>
    <row r="279" spans="1:23" s="115" customFormat="1">
      <c r="A279" s="351" t="str">
        <f>IF(B279="","",(IF(ISERROR(MATCH(B279,Tot_res!C:C,0)),"Eliminar!!!","")))</f>
        <v/>
      </c>
      <c r="B279" s="115" t="s">
        <v>288</v>
      </c>
      <c r="C279" s="329" t="str">
        <f>VLOOKUP(B279,Tot_res!C:D,2,FALSE)</f>
        <v>Incentivos regionales a la localización industrial</v>
      </c>
      <c r="D279" s="336">
        <f>Saldo_relativo_per_capita!D279*Saldo_relativo_per_capita!D$552/1000000</f>
        <v>0</v>
      </c>
      <c r="E279" s="336">
        <f>Saldo_relativo_per_capita!E279*Saldo_relativo_per_capita!E$552/1000000</f>
        <v>-0.15326706855718786</v>
      </c>
      <c r="F279" s="336">
        <f>Saldo_relativo_per_capita!F279*Saldo_relativo_per_capita!F$552/1000000</f>
        <v>-1.4229402002645299</v>
      </c>
      <c r="G279" s="336">
        <f>Saldo_relativo_per_capita!G279*Saldo_relativo_per_capita!G$552/1000000</f>
        <v>0.62321739231698925</v>
      </c>
      <c r="H279" s="336">
        <f>Saldo_relativo_per_capita!H279*Saldo_relativo_per_capita!H$552/1000000</f>
        <v>-1.9219349233287379</v>
      </c>
      <c r="I279" s="336">
        <f>Saldo_relativo_per_capita!I279*Saldo_relativo_per_capita!I$552/1000000</f>
        <v>-3.1375753974720517</v>
      </c>
      <c r="J279" s="336">
        <f>Saldo_relativo_per_capita!J279*Saldo_relativo_per_capita!J$552/1000000</f>
        <v>-0.67962740898538498</v>
      </c>
      <c r="K279" s="336">
        <f>Saldo_relativo_per_capita!K279*Saldo_relativo_per_capita!K$552/1000000</f>
        <v>9.2470925276457319</v>
      </c>
      <c r="L279" s="336">
        <f>Saldo_relativo_per_capita!L279*Saldo_relativo_per_capita!L$552/1000000</f>
        <v>-2.4467525778872381</v>
      </c>
      <c r="M279" s="336">
        <f>Saldo_relativo_per_capita!M279*Saldo_relativo_per_capita!M$552/1000000</f>
        <v>-13.08060088666001</v>
      </c>
      <c r="N279" s="336">
        <f>Saldo_relativo_per_capita!N279*Saldo_relativo_per_capita!N$552/1000000</f>
        <v>28.876644049932203</v>
      </c>
      <c r="O279" s="336">
        <f>Saldo_relativo_per_capita!O279*Saldo_relativo_per_capita!O$552/1000000</f>
        <v>4.2973941959137107</v>
      </c>
      <c r="P279" s="336">
        <f>Saldo_relativo_per_capita!P279*Saldo_relativo_per_capita!P$552/1000000</f>
        <v>-1.6278058240919946</v>
      </c>
      <c r="Q279" s="336">
        <f>Saldo_relativo_per_capita!Q279*Saldo_relativo_per_capita!Q$552/1000000</f>
        <v>-11.221642921217441</v>
      </c>
      <c r="R279" s="336">
        <f>Saldo_relativo_per_capita!R279*Saldo_relativo_per_capita!R$552/1000000</f>
        <v>-1.5767174015622931</v>
      </c>
      <c r="S279" s="336">
        <f>Saldo_relativo_per_capita!S279*Saldo_relativo_per_capita!S$552/1000000</f>
        <v>-1.1153070564905714</v>
      </c>
      <c r="T279" s="336">
        <f>Saldo_relativo_per_capita!T279*Saldo_relativo_per_capita!T$552/1000000</f>
        <v>-3.8111400736641672</v>
      </c>
      <c r="U279" s="336">
        <f>Saldo_relativo_per_capita!U279*Saldo_relativo_per_capita!U$552/1000000</f>
        <v>-0.55366850428881309</v>
      </c>
      <c r="V279" s="336">
        <f>Saldo_relativo_per_capita!V279*Saldo_relativo_per_capita!V$552/1000000</f>
        <v>-0.29536792133821094</v>
      </c>
      <c r="W279" s="148"/>
    </row>
    <row r="280" spans="1:23" s="115" customFormat="1">
      <c r="A280" s="351" t="str">
        <f>IF(B280="","",(IF(ISERROR(MATCH(B280,Tot_res!C:C,0)),"Eliminar!!!","")))</f>
        <v/>
      </c>
      <c r="B280" s="115" t="s">
        <v>289</v>
      </c>
      <c r="C280" s="329" t="str">
        <f>VLOOKUP(B280,Tot_res!C:D,2,FALSE)</f>
        <v>Desarrollo alternativo de las comarcas mineras del carbón</v>
      </c>
      <c r="D280" s="336">
        <f>Saldo_relativo_per_capita!D280*Saldo_relativo_per_capita!D$552/1000000</f>
        <v>0</v>
      </c>
      <c r="E280" s="336">
        <f>Saldo_relativo_per_capita!E280*Saldo_relativo_per_capita!E$552/1000000</f>
        <v>-1.2230982710964042</v>
      </c>
      <c r="F280" s="336">
        <f>Saldo_relativo_per_capita!F280*Saldo_relativo_per_capita!F$552/1000000</f>
        <v>0.2986516971622224</v>
      </c>
      <c r="G280" s="336">
        <f>Saldo_relativo_per_capita!G280*Saldo_relativo_per_capita!G$552/1000000</f>
        <v>4.5605803604495589</v>
      </c>
      <c r="H280" s="336">
        <f>Saldo_relativo_per_capita!H280*Saldo_relativo_per_capita!H$552/1000000</f>
        <v>-0.23714489567260039</v>
      </c>
      <c r="I280" s="336">
        <f>Saldo_relativo_per_capita!I280*Saldo_relativo_per_capita!I$552/1000000</f>
        <v>-0.45165700259912428</v>
      </c>
      <c r="J280" s="336">
        <f>Saldo_relativo_per_capita!J280*Saldo_relativo_per_capita!J$552/1000000</f>
        <v>-0.12607741790211102</v>
      </c>
      <c r="K280" s="336">
        <f>Saldo_relativo_per_capita!K280*Saldo_relativo_per_capita!K$552/1000000</f>
        <v>1.5524022498822603</v>
      </c>
      <c r="L280" s="336">
        <f>Saldo_relativo_per_capita!L280*Saldo_relativo_per_capita!L$552/1000000</f>
        <v>-0.44442650964589642</v>
      </c>
      <c r="M280" s="336">
        <f>Saldo_relativo_per_capita!M280*Saldo_relativo_per_capita!M$552/1000000</f>
        <v>-0.91995528688455674</v>
      </c>
      <c r="N280" s="336">
        <f>Saldo_relativo_per_capita!N280*Saldo_relativo_per_capita!N$552/1000000</f>
        <v>-1.072510375833333</v>
      </c>
      <c r="O280" s="336">
        <f>Saldo_relativo_per_capita!O280*Saldo_relativo_per_capita!O$552/1000000</f>
        <v>-0.23550243666042314</v>
      </c>
      <c r="P280" s="336">
        <f>Saldo_relativo_per_capita!P280*Saldo_relativo_per_capita!P$552/1000000</f>
        <v>0.71113167745605443</v>
      </c>
      <c r="Q280" s="336">
        <f>Saldo_relativo_per_capita!Q280*Saldo_relativo_per_capita!Q$552/1000000</f>
        <v>-1.3846230210637089</v>
      </c>
      <c r="R280" s="336">
        <f>Saldo_relativo_per_capita!R280*Saldo_relativo_per_capita!R$552/1000000</f>
        <v>-0.31514182856286566</v>
      </c>
      <c r="S280" s="336">
        <f>Saldo_relativo_per_capita!S280*Saldo_relativo_per_capita!S$552/1000000</f>
        <v>-0.13761619727284177</v>
      </c>
      <c r="T280" s="336">
        <f>Saldo_relativo_per_capita!T280*Saldo_relativo_per_capita!T$552/1000000</f>
        <v>-0.47025130986090413</v>
      </c>
      <c r="U280" s="336">
        <f>Saldo_relativo_per_capita!U280*Saldo_relativo_per_capita!U$552/1000000</f>
        <v>-6.8316392034423259E-2</v>
      </c>
      <c r="V280" s="336">
        <f>Saldo_relativo_per_capita!V280*Saldo_relativo_per_capita!V$552/1000000</f>
        <v>-3.6445039860905845E-2</v>
      </c>
      <c r="W280" s="148"/>
    </row>
    <row r="281" spans="1:23" s="115" customFormat="1">
      <c r="A281" s="351" t="str">
        <f>IF(B281="","",(IF(ISERROR(MATCH(B281,Tot_res!C:C,0)),"Eliminar!!!","")))</f>
        <v/>
      </c>
      <c r="B281" s="115" t="s">
        <v>630</v>
      </c>
      <c r="C281" s="329" t="str">
        <f>VLOOKUP(B281,Tot_res!C:D,2,FALSE)</f>
        <v>Explotación minera</v>
      </c>
      <c r="D281" s="336">
        <f>Saldo_relativo_per_capita!D281*Saldo_relativo_per_capita!D$552/1000000</f>
        <v>0</v>
      </c>
      <c r="E281" s="336">
        <f>Saldo_relativo_per_capita!E281*Saldo_relativo_per_capita!E$552/1000000</f>
        <v>-46.702534432987783</v>
      </c>
      <c r="F281" s="336">
        <f>Saldo_relativo_per_capita!F281*Saldo_relativo_per_capita!F$552/1000000</f>
        <v>31.689201211952088</v>
      </c>
      <c r="G281" s="336">
        <f>Saldo_relativo_per_capita!G281*Saldo_relativo_per_capita!G$552/1000000</f>
        <v>53.072884815725928</v>
      </c>
      <c r="H281" s="336">
        <f>Saldo_relativo_per_capita!H281*Saldo_relativo_per_capita!H$552/1000000</f>
        <v>-8.08160974121785</v>
      </c>
      <c r="I281" s="336">
        <f>Saldo_relativo_per_capita!I281*Saldo_relativo_per_capita!I$552/1000000</f>
        <v>-15.341148258512659</v>
      </c>
      <c r="J281" s="336">
        <f>Saldo_relativo_per_capita!J281*Saldo_relativo_per_capita!J$552/1000000</f>
        <v>-3.8023834155989267</v>
      </c>
      <c r="K281" s="336">
        <f>Saldo_relativo_per_capita!K281*Saldo_relativo_per_capita!K$552/1000000</f>
        <v>146.61601512361682</v>
      </c>
      <c r="L281" s="336">
        <f>Saldo_relativo_per_capita!L281*Saldo_relativo_per_capita!L$552/1000000</f>
        <v>-9.1944457366052692</v>
      </c>
      <c r="M281" s="336">
        <f>Saldo_relativo_per_capita!M281*Saldo_relativo_per_capita!M$552/1000000</f>
        <v>-50.634958765953186</v>
      </c>
      <c r="N281" s="336">
        <f>Saldo_relativo_per_capita!N281*Saldo_relativo_per_capita!N$552/1000000</f>
        <v>-35.208467853870431</v>
      </c>
      <c r="O281" s="336">
        <f>Saldo_relativo_per_capita!O281*Saldo_relativo_per_capita!O$552/1000000</f>
        <v>-7.888956215272291</v>
      </c>
      <c r="P281" s="336">
        <f>Saldo_relativo_per_capita!P281*Saldo_relativo_per_capita!P$552/1000000</f>
        <v>26.414474311382836</v>
      </c>
      <c r="Q281" s="336">
        <f>Saldo_relativo_per_capita!Q281*Saldo_relativo_per_capita!Q$552/1000000</f>
        <v>-45.99933959790971</v>
      </c>
      <c r="R281" s="336">
        <f>Saldo_relativo_per_capita!R281*Saldo_relativo_per_capita!R$552/1000000</f>
        <v>-10.693858301530494</v>
      </c>
      <c r="S281" s="336">
        <f>Saldo_relativo_per_capita!S281*Saldo_relativo_per_capita!S$552/1000000</f>
        <v>-4.7046835165792711</v>
      </c>
      <c r="T281" s="336">
        <f>Saldo_relativo_per_capita!T281*Saldo_relativo_per_capita!T$552/1000000</f>
        <v>-15.979444548551298</v>
      </c>
      <c r="U281" s="336">
        <f>Saldo_relativo_per_capita!U281*Saldo_relativo_per_capita!U$552/1000000</f>
        <v>-2.311310681222686</v>
      </c>
      <c r="V281" s="336">
        <f>Saldo_relativo_per_capita!V281*Saldo_relativo_per_capita!V$552/1000000</f>
        <v>-1.2494343968658517</v>
      </c>
      <c r="W281" s="148"/>
    </row>
    <row r="282" spans="1:23" s="115" customFormat="1">
      <c r="A282" s="351" t="str">
        <f>IF(B282="","",(IF(ISERROR(MATCH(B282,Tot_res!C:C,0)),"Eliminar!!!","")))</f>
        <v/>
      </c>
      <c r="B282" s="115" t="s">
        <v>1212</v>
      </c>
      <c r="C282" s="329" t="str">
        <f>VLOOKUP(B282,Tot_res!C:D,2,FALSE)</f>
        <v>Sobrecostes sistemas eléctricos extrapeninsulares</v>
      </c>
      <c r="D282" s="336">
        <f>Saldo_relativo_per_capita!D282*Saldo_relativo_per_capita!D$552/1000000</f>
        <v>0</v>
      </c>
      <c r="E282" s="336">
        <f>Saldo_relativo_per_capita!E282*Saldo_relativo_per_capita!E$552/1000000</f>
        <v>-158.46795048567867</v>
      </c>
      <c r="F282" s="336">
        <f>Saldo_relativo_per_capita!F282*Saldo_relativo_per_capita!F$552/1000000</f>
        <v>-24.930592336886384</v>
      </c>
      <c r="G282" s="336">
        <f>Saldo_relativo_per_capita!G282*Saldo_relativo_per_capita!G$552/1000000</f>
        <v>-19.929377235504063</v>
      </c>
      <c r="H282" s="336">
        <f>Saldo_relativo_per_capita!H282*Saldo_relativo_per_capita!H$552/1000000</f>
        <v>165.74949139609211</v>
      </c>
      <c r="I282" s="336">
        <f>Saldo_relativo_per_capita!I282*Saldo_relativo_per_capita!I$552/1000000</f>
        <v>597.83051034284301</v>
      </c>
      <c r="J282" s="336">
        <f>Saldo_relativo_per_capita!J282*Saldo_relativo_per_capita!J$552/1000000</f>
        <v>-11.0714465683561</v>
      </c>
      <c r="K282" s="336">
        <f>Saldo_relativo_per_capita!K282*Saldo_relativo_per_capita!K$552/1000000</f>
        <v>-46.846554938698318</v>
      </c>
      <c r="L282" s="336">
        <f>Saldo_relativo_per_capita!L282*Saldo_relativo_per_capita!L$552/1000000</f>
        <v>-39.027166299724414</v>
      </c>
      <c r="M282" s="336">
        <f>Saldo_relativo_per_capita!M282*Saldo_relativo_per_capita!M$552/1000000</f>
        <v>-141.73263467668474</v>
      </c>
      <c r="N282" s="336">
        <f>Saldo_relativo_per_capita!N282*Saldo_relativo_per_capita!N$552/1000000</f>
        <v>-94.182142350548929</v>
      </c>
      <c r="O282" s="336">
        <f>Saldo_relativo_per_capita!O282*Saldo_relativo_per_capita!O$552/1000000</f>
        <v>-20.680568238064183</v>
      </c>
      <c r="P282" s="336">
        <f>Saldo_relativo_per_capita!P282*Saldo_relativo_per_capita!P$552/1000000</f>
        <v>-51.696416993798664</v>
      </c>
      <c r="Q282" s="336">
        <f>Saldo_relativo_per_capita!Q282*Saldo_relativo_per_capita!Q$552/1000000</f>
        <v>-121.5902106031787</v>
      </c>
      <c r="R282" s="336">
        <f>Saldo_relativo_per_capita!R282*Saldo_relativo_per_capita!R$552/1000000</f>
        <v>-27.674074980634451</v>
      </c>
      <c r="S282" s="336">
        <f>Saldo_relativo_per_capita!S282*Saldo_relativo_per_capita!S$552/1000000</f>
        <v>-12.084720645449613</v>
      </c>
      <c r="T282" s="336">
        <f>Saldo_relativo_per_capita!T282*Saldo_relativo_per_capita!T$552/1000000</f>
        <v>-41.294962551238072</v>
      </c>
      <c r="U282" s="336">
        <f>Saldo_relativo_per_capita!U282*Saldo_relativo_per_capita!U$552/1000000</f>
        <v>-5.999181270822338</v>
      </c>
      <c r="V282" s="336">
        <f>Saldo_relativo_per_capita!V282*Saldo_relativo_per_capita!V$552/1000000</f>
        <v>53.627998436332511</v>
      </c>
      <c r="W282" s="148"/>
    </row>
    <row r="283" spans="1:23" s="115" customFormat="1">
      <c r="A283" s="351" t="str">
        <f>IF(B283="","",(IF(ISERROR(MATCH(B283,Tot_res!C:C,0)),"Eliminar!!!","")))</f>
        <v/>
      </c>
      <c r="B283" s="115" t="s">
        <v>290</v>
      </c>
      <c r="C283" s="329" t="str">
        <f>VLOOKUP(B283,Tot_res!C:D,2,FALSE)</f>
        <v>Subvenciones y apoyo al transporte marítimo</v>
      </c>
      <c r="D283" s="336">
        <f>Saldo_relativo_per_capita!D283*Saldo_relativo_per_capita!D$552/1000000</f>
        <v>0</v>
      </c>
      <c r="E283" s="336">
        <f>Saldo_relativo_per_capita!E283*Saldo_relativo_per_capita!E$552/1000000</f>
        <v>-16.315315497167457</v>
      </c>
      <c r="F283" s="336">
        <f>Saldo_relativo_per_capita!F283*Saldo_relativo_per_capita!F$552/1000000</f>
        <v>-2.6543334996528913</v>
      </c>
      <c r="G283" s="336">
        <f>Saldo_relativo_per_capita!G283*Saldo_relativo_per_capita!G$552/1000000</f>
        <v>-2.1425469054933797</v>
      </c>
      <c r="H283" s="336">
        <f>Saldo_relativo_per_capita!H283*Saldo_relativo_per_capita!H$552/1000000</f>
        <v>20.037447312046766</v>
      </c>
      <c r="I283" s="336">
        <f>Saldo_relativo_per_capita!I283*Saldo_relativo_per_capita!I$552/1000000</f>
        <v>36.77337994683662</v>
      </c>
      <c r="J283" s="336">
        <f>Saldo_relativo_per_capita!J283*Saldo_relativo_per_capita!J$552/1000000</f>
        <v>-1.1902576434805838</v>
      </c>
      <c r="K283" s="336">
        <f>Saldo_relativo_per_capita!K283*Saldo_relativo_per_capita!K$552/1000000</f>
        <v>-4.9273924552936919</v>
      </c>
      <c r="L283" s="336">
        <f>Saldo_relativo_per_capita!L283*Saldo_relativo_per_capita!L$552/1000000</f>
        <v>-4.1956922887026256</v>
      </c>
      <c r="M283" s="336">
        <f>Saldo_relativo_per_capita!M283*Saldo_relativo_per_capita!M$552/1000000</f>
        <v>-13.672917980995638</v>
      </c>
      <c r="N283" s="336">
        <f>Saldo_relativo_per_capita!N283*Saldo_relativo_per_capita!N$552/1000000</f>
        <v>-9.1399534380611236</v>
      </c>
      <c r="O283" s="336">
        <f>Saldo_relativo_per_capita!O283*Saldo_relativo_per_capita!O$552/1000000</f>
        <v>-2.2233051719936694</v>
      </c>
      <c r="P283" s="336">
        <f>Saldo_relativo_per_capita!P283*Saldo_relativo_per_capita!P$552/1000000</f>
        <v>-5.5577250079765097</v>
      </c>
      <c r="Q283" s="336">
        <f>Saldo_relativo_per_capita!Q283*Saldo_relativo_per_capita!Q$552/1000000</f>
        <v>-12.432456326927181</v>
      </c>
      <c r="R283" s="336">
        <f>Saldo_relativo_per_capita!R283*Saldo_relativo_per_capita!R$552/1000000</f>
        <v>-2.8598119396101533</v>
      </c>
      <c r="S283" s="336">
        <f>Saldo_relativo_per_capita!S283*Saldo_relativo_per_capita!S$552/1000000</f>
        <v>-1.26917812342678</v>
      </c>
      <c r="T283" s="336">
        <f>Saldo_relativo_per_capita!T283*Saldo_relativo_per_capita!T$552/1000000</f>
        <v>-4.2959399417872257</v>
      </c>
      <c r="U283" s="336">
        <f>Saldo_relativo_per_capita!U283*Saldo_relativo_per_capita!U$552/1000000</f>
        <v>-0.62783802193633553</v>
      </c>
      <c r="V283" s="336">
        <f>Saldo_relativo_per_capita!V283*Saldo_relativo_per_capita!V$552/1000000</f>
        <v>26.693836983621839</v>
      </c>
      <c r="W283" s="148"/>
    </row>
    <row r="284" spans="1:23" s="115" customFormat="1">
      <c r="A284" s="351" t="str">
        <f>IF(B284="","",(IF(ISERROR(MATCH(B284,Tot_res!C:C,0)),"Eliminar!!!","")))</f>
        <v/>
      </c>
      <c r="B284" s="115" t="s">
        <v>291</v>
      </c>
      <c r="C284" s="329" t="str">
        <f>VLOOKUP(B284,Tot_res!C:D,2,FALSE)</f>
        <v>Subvenciones y apoyo al transporte aéreo</v>
      </c>
      <c r="D284" s="336">
        <f>Saldo_relativo_per_capita!D284*Saldo_relativo_per_capita!D$552/1000000</f>
        <v>0</v>
      </c>
      <c r="E284" s="336">
        <f>Saldo_relativo_per_capita!E284*Saldo_relativo_per_capita!E$552/1000000</f>
        <v>-66.169608738481742</v>
      </c>
      <c r="F284" s="336">
        <f>Saldo_relativo_per_capita!F284*Saldo_relativo_per_capita!F$552/1000000</f>
        <v>-10.417150835024776</v>
      </c>
      <c r="G284" s="336">
        <f>Saldo_relativo_per_capita!G284*Saldo_relativo_per_capita!G$552/1000000</f>
        <v>-8.3168027681230754</v>
      </c>
      <c r="H284" s="336">
        <f>Saldo_relativo_per_capita!H284*Saldo_relativo_per_capita!H$552/1000000</f>
        <v>117.11863651358922</v>
      </c>
      <c r="I284" s="336">
        <f>Saldo_relativo_per_capita!I284*Saldo_relativo_per_capita!I$552/1000000</f>
        <v>224.07799208868502</v>
      </c>
      <c r="J284" s="336">
        <f>Saldo_relativo_per_capita!J284*Saldo_relativo_per_capita!J$552/1000000</f>
        <v>-4.6144559989275207</v>
      </c>
      <c r="K284" s="336">
        <f>Saldo_relativo_per_capita!K284*Saldo_relativo_per_capita!K$552/1000000</f>
        <v>-19.563285542486181</v>
      </c>
      <c r="L284" s="336">
        <f>Saldo_relativo_per_capita!L284*Saldo_relativo_per_capita!L$552/1000000</f>
        <v>-16.318956461820136</v>
      </c>
      <c r="M284" s="336">
        <f>Saldo_relativo_per_capita!M284*Saldo_relativo_per_capita!M$552/1000000</f>
        <v>-59.090627950066136</v>
      </c>
      <c r="N284" s="336">
        <f>Saldo_relativo_per_capita!N284*Saldo_relativo_per_capita!N$552/1000000</f>
        <v>-39.33074536933065</v>
      </c>
      <c r="O284" s="336">
        <f>Saldo_relativo_per_capita!O284*Saldo_relativo_per_capita!O$552/1000000</f>
        <v>-8.6462063601561407</v>
      </c>
      <c r="P284" s="336">
        <f>Saldo_relativo_per_capita!P284*Saldo_relativo_per_capita!P$552/1000000</f>
        <v>-21.569953578408331</v>
      </c>
      <c r="Q284" s="336">
        <f>Saldo_relativo_per_capita!Q284*Saldo_relativo_per_capita!Q$552/1000000</f>
        <v>-50.67673231318885</v>
      </c>
      <c r="R284" s="336">
        <f>Saldo_relativo_per_capita!R284*Saldo_relativo_per_capita!R$552/1000000</f>
        <v>-11.572971084943264</v>
      </c>
      <c r="S284" s="336">
        <f>Saldo_relativo_per_capita!S284*Saldo_relativo_per_capita!S$552/1000000</f>
        <v>-5.0441706784036757</v>
      </c>
      <c r="T284" s="336">
        <f>Saldo_relativo_per_capita!T284*Saldo_relativo_per_capita!T$552/1000000</f>
        <v>-17.208147258847962</v>
      </c>
      <c r="U284" s="336">
        <f>Saldo_relativo_per_capita!U284*Saldo_relativo_per_capita!U$552/1000000</f>
        <v>-2.5059805399705168</v>
      </c>
      <c r="V284" s="336">
        <f>Saldo_relativo_per_capita!V284*Saldo_relativo_per_capita!V$552/1000000</f>
        <v>-0.15083312409524965</v>
      </c>
      <c r="W284" s="148"/>
    </row>
    <row r="285" spans="1:23" s="115" customFormat="1">
      <c r="A285" s="351" t="str">
        <f>IF(B285="","",(IF(ISERROR(MATCH(B285,Tot_res!C:C,0)),"Eliminar!!!","")))</f>
        <v/>
      </c>
      <c r="B285" s="115" t="s">
        <v>292</v>
      </c>
      <c r="C285" s="329" t="str">
        <f>VLOOKUP(B285,Tot_res!C:D,2,FALSE)</f>
        <v>Subvenciones al transporte extrapeninsular de mercancías</v>
      </c>
      <c r="D285" s="336">
        <f>Saldo_relativo_per_capita!D285*Saldo_relativo_per_capita!D$552/1000000</f>
        <v>0</v>
      </c>
      <c r="E285" s="336">
        <f>Saldo_relativo_per_capita!E285*Saldo_relativo_per_capita!E$552/1000000</f>
        <v>-3.6248642125513171</v>
      </c>
      <c r="F285" s="336">
        <f>Saldo_relativo_per_capita!F285*Saldo_relativo_per_capita!F$552/1000000</f>
        <v>-0.57027311631605049</v>
      </c>
      <c r="G285" s="336">
        <f>Saldo_relativo_per_capita!G285*Saldo_relativo_per_capita!G$552/1000000</f>
        <v>-0.45587316613867795</v>
      </c>
      <c r="H285" s="336">
        <f>Saldo_relativo_per_capita!H285*Saldo_relativo_per_capita!H$552/1000000</f>
        <v>0.66678454226883954</v>
      </c>
      <c r="I285" s="336">
        <f>Saldo_relativo_per_capita!I285*Saldo_relativo_per_capita!I$552/1000000</f>
        <v>18.099591076441481</v>
      </c>
      <c r="J285" s="336">
        <f>Saldo_relativo_per_capita!J285*Saldo_relativo_per_capita!J$552/1000000</f>
        <v>-0.25325304153810607</v>
      </c>
      <c r="K285" s="336">
        <f>Saldo_relativo_per_capita!K285*Saldo_relativo_per_capita!K$552/1000000</f>
        <v>-1.0715882925106253</v>
      </c>
      <c r="L285" s="336">
        <f>Saldo_relativo_per_capita!L285*Saldo_relativo_per_capita!L$552/1000000</f>
        <v>-0.89272422596230161</v>
      </c>
      <c r="M285" s="336">
        <f>Saldo_relativo_per_capita!M285*Saldo_relativo_per_capita!M$552/1000000</f>
        <v>-3.2420533843943091</v>
      </c>
      <c r="N285" s="336">
        <f>Saldo_relativo_per_capita!N285*Saldo_relativo_per_capita!N$552/1000000</f>
        <v>-2.1543629246266547</v>
      </c>
      <c r="O285" s="336">
        <f>Saldo_relativo_per_capita!O285*Saldo_relativo_per_capita!O$552/1000000</f>
        <v>-0.47305623295834248</v>
      </c>
      <c r="P285" s="336">
        <f>Saldo_relativo_per_capita!P285*Saldo_relativo_per_capita!P$552/1000000</f>
        <v>-1.1825261278613295</v>
      </c>
      <c r="Q285" s="336">
        <f>Saldo_relativo_per_capita!Q285*Saldo_relativo_per_capita!Q$552/1000000</f>
        <v>-2.7813068930418976</v>
      </c>
      <c r="R285" s="336">
        <f>Saldo_relativo_per_capita!R285*Saldo_relativo_per_capita!R$552/1000000</f>
        <v>-0.6330287209831077</v>
      </c>
      <c r="S285" s="336">
        <f>Saldo_relativo_per_capita!S285*Saldo_relativo_per_capita!S$552/1000000</f>
        <v>-0.27643110958470568</v>
      </c>
      <c r="T285" s="336">
        <f>Saldo_relativo_per_capita!T285*Saldo_relativo_per_capita!T$552/1000000</f>
        <v>-0.94459877503216427</v>
      </c>
      <c r="U285" s="336">
        <f>Saldo_relativo_per_capita!U285*Saldo_relativo_per_capita!U$552/1000000</f>
        <v>-0.13722785854529815</v>
      </c>
      <c r="V285" s="336">
        <f>Saldo_relativo_per_capita!V285*Saldo_relativo_per_capita!V$552/1000000</f>
        <v>-7.3207536665433059E-2</v>
      </c>
      <c r="W285" s="148"/>
    </row>
    <row r="286" spans="1:23" s="115" customFormat="1">
      <c r="A286" s="351" t="str">
        <f>IF(B286="","",(IF(ISERROR(MATCH(B286,Tot_res!C:C,0)),"Eliminar!!!","")))</f>
        <v/>
      </c>
      <c r="B286" s="115" t="s">
        <v>631</v>
      </c>
      <c r="C286" s="329" t="str">
        <f>VLOOKUP(B286,Tot_res!C:D,2,FALSE)</f>
        <v>Direc. y serv. grales. de hacienda y admones. Públicas, transferencias a la ZEC</v>
      </c>
      <c r="D286" s="336">
        <f>Saldo_relativo_per_capita!D286*Saldo_relativo_per_capita!D$552/1000000</f>
        <v>0</v>
      </c>
      <c r="E286" s="336">
        <f>Saldo_relativo_per_capita!E286*Saldo_relativo_per_capita!E$552/1000000</f>
        <v>-0.19536509105454433</v>
      </c>
      <c r="F286" s="336">
        <f>Saldo_relativo_per_capita!F286*Saldo_relativo_per_capita!F$552/1000000</f>
        <v>-3.0735346970867175E-2</v>
      </c>
      <c r="G286" s="336">
        <f>Saldo_relativo_per_capita!G286*Saldo_relativo_per_capita!G$552/1000000</f>
        <v>-2.4569665893587011E-2</v>
      </c>
      <c r="H286" s="336">
        <f>Saldo_relativo_per_capita!H286*Saldo_relativo_per_capita!H$552/1000000</f>
        <v>-2.567357614438083E-2</v>
      </c>
      <c r="I286" s="336">
        <f>Saldo_relativo_per_capita!I286*Saldo_relativo_per_capita!I$552/1000000</f>
        <v>1.0371030991644019</v>
      </c>
      <c r="J286" s="336">
        <f>Saldo_relativo_per_capita!J286*Saldo_relativo_per_capita!J$552/1000000</f>
        <v>-1.3649284667992773E-2</v>
      </c>
      <c r="K286" s="336">
        <f>Saldo_relativo_per_capita!K286*Saldo_relativo_per_capita!K$552/1000000</f>
        <v>-5.7754148035237117E-2</v>
      </c>
      <c r="L286" s="336">
        <f>Saldo_relativo_per_capita!L286*Saldo_relativo_per_capita!L$552/1000000</f>
        <v>-4.8114119444206238E-2</v>
      </c>
      <c r="M286" s="336">
        <f>Saldo_relativo_per_capita!M286*Saldo_relativo_per_capita!M$552/1000000</f>
        <v>-0.17473318102585916</v>
      </c>
      <c r="N286" s="336">
        <f>Saldo_relativo_per_capita!N286*Saldo_relativo_per_capita!N$552/1000000</f>
        <v>-0.11611119320742343</v>
      </c>
      <c r="O286" s="336">
        <f>Saldo_relativo_per_capita!O286*Saldo_relativo_per_capita!O$552/1000000</f>
        <v>-2.5495761663518572E-2</v>
      </c>
      <c r="P286" s="336">
        <f>Saldo_relativo_per_capita!P286*Saldo_relativo_per_capita!P$552/1000000</f>
        <v>-6.3733235535849961E-2</v>
      </c>
      <c r="Q286" s="336">
        <f>Saldo_relativo_per_capita!Q286*Saldo_relativo_per_capita!Q$552/1000000</f>
        <v>-0.14990086319049106</v>
      </c>
      <c r="R286" s="336">
        <f>Saldo_relativo_per_capita!R286*Saldo_relativo_per_capita!R$552/1000000</f>
        <v>-3.4117612816167181E-2</v>
      </c>
      <c r="S286" s="336">
        <f>Saldo_relativo_per_capita!S286*Saldo_relativo_per_capita!S$552/1000000</f>
        <v>-1.4898486047374995E-2</v>
      </c>
      <c r="T286" s="336">
        <f>Saldo_relativo_per_capita!T286*Saldo_relativo_per_capita!T$552/1000000</f>
        <v>-5.0909941689728129E-2</v>
      </c>
      <c r="U286" s="336">
        <f>Saldo_relativo_per_capita!U286*Saldo_relativo_per_capita!U$552/1000000</f>
        <v>-7.3960103076668718E-3</v>
      </c>
      <c r="V286" s="336">
        <f>Saldo_relativo_per_capita!V286*Saldo_relativo_per_capita!V$552/1000000</f>
        <v>-3.9455814695069065E-3</v>
      </c>
      <c r="W286" s="148"/>
    </row>
    <row r="287" spans="1:23" s="115" customFormat="1">
      <c r="A287" s="351" t="str">
        <f>IF(B287="","",(IF(ISERROR(MATCH(B287,Tot_res!C:C,0)),"Eliminar!!!","")))</f>
        <v/>
      </c>
      <c r="B287" s="115" t="s">
        <v>293</v>
      </c>
      <c r="C287" s="329" t="str">
        <f>VLOOKUP(B287,Tot_res!C:D,2,FALSE)</f>
        <v>Transfer. a cc.aa. por fondos de compens. intert.</v>
      </c>
      <c r="D287" s="336">
        <f>Saldo_relativo_per_capita!D287*Saldo_relativo_per_capita!D$552/1000000</f>
        <v>0</v>
      </c>
      <c r="E287" s="336">
        <f>Saldo_relativo_per_capita!E287*Saldo_relativo_per_capita!E$552/1000000</f>
        <v>81.119366550882134</v>
      </c>
      <c r="F287" s="336">
        <f>Saldo_relativo_per_capita!F287*Saldo_relativo_per_capita!F$552/1000000</f>
        <v>-12.307490290994437</v>
      </c>
      <c r="G287" s="336">
        <f>Saldo_relativo_per_capita!G287*Saldo_relativo_per_capita!G$552/1000000</f>
        <v>3.2266905254034142</v>
      </c>
      <c r="H287" s="336">
        <f>Saldo_relativo_per_capita!H287*Saldo_relativo_per_capita!H$552/1000000</f>
        <v>-10.280583115966639</v>
      </c>
      <c r="I287" s="336">
        <f>Saldo_relativo_per_capita!I287*Saldo_relativo_per_capita!I$552/1000000</f>
        <v>21.852249433978258</v>
      </c>
      <c r="J287" s="336">
        <f>Saldo_relativo_per_capita!J287*Saldo_relativo_per_capita!J$552/1000000</f>
        <v>-0.45690814662105095</v>
      </c>
      <c r="K287" s="336">
        <f>Saldo_relativo_per_capita!K287*Saldo_relativo_per_capita!K$552/1000000</f>
        <v>-2.2409377436348339</v>
      </c>
      <c r="L287" s="336">
        <f>Saldo_relativo_per_capita!L287*Saldo_relativo_per_capita!L$552/1000000</f>
        <v>18.449341342501388</v>
      </c>
      <c r="M287" s="336">
        <f>Saldo_relativo_per_capita!M287*Saldo_relativo_per_capita!M$552/1000000</f>
        <v>-69.969176890331994</v>
      </c>
      <c r="N287" s="336">
        <f>Saldo_relativo_per_capita!N287*Saldo_relativo_per_capita!N$552/1000000</f>
        <v>7.372283758102002</v>
      </c>
      <c r="O287" s="336">
        <f>Saldo_relativo_per_capita!O287*Saldo_relativo_per_capita!O$552/1000000</f>
        <v>25.523564779381715</v>
      </c>
      <c r="P287" s="336">
        <f>Saldo_relativo_per_capita!P287*Saldo_relativo_per_capita!P$552/1000000</f>
        <v>17.723523927296299</v>
      </c>
      <c r="Q287" s="336">
        <f>Saldo_relativo_per_capita!Q287*Saldo_relativo_per_capita!Q$552/1000000</f>
        <v>-60.025462542439016</v>
      </c>
      <c r="R287" s="336">
        <f>Saldo_relativo_per_capita!R287*Saldo_relativo_per_capita!R$552/1000000</f>
        <v>4.6155941071277411</v>
      </c>
      <c r="S287" s="336">
        <f>Saldo_relativo_per_capita!S287*Saldo_relativo_per_capita!S$552/1000000</f>
        <v>-5.9658663542138104</v>
      </c>
      <c r="T287" s="336">
        <f>Saldo_relativo_per_capita!T287*Saldo_relativo_per_capita!T$552/1000000</f>
        <v>-20.386092067069431</v>
      </c>
      <c r="U287" s="336">
        <f>Saldo_relativo_per_capita!U287*Saldo_relativo_per_capita!U$552/1000000</f>
        <v>-2.9616169662891743</v>
      </c>
      <c r="V287" s="336">
        <f>Saldo_relativo_per_capita!V287*Saldo_relativo_per_capita!V$552/1000000</f>
        <v>4.7115196928873662</v>
      </c>
      <c r="W287" s="148"/>
    </row>
    <row r="288" spans="1:23" s="115"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6">
        <f>Saldo_relativo_per_capita!D288*Saldo_relativo_per_capita!D$552/1000000</f>
        <v>0</v>
      </c>
      <c r="E288" s="336">
        <f>Saldo_relativo_per_capita!E288*Saldo_relativo_per_capita!E$552/1000000</f>
        <v>-17.629630684480055</v>
      </c>
      <c r="F288" s="336">
        <f>Saldo_relativo_per_capita!F288*Saldo_relativo_per_capita!F$552/1000000</f>
        <v>27.22646040226061</v>
      </c>
      <c r="G288" s="336">
        <f>Saldo_relativo_per_capita!G288*Saldo_relativo_per_capita!G$552/1000000</f>
        <v>-2.2171521708761754</v>
      </c>
      <c r="H288" s="336">
        <f>Saldo_relativo_per_capita!H288*Saldo_relativo_per_capita!H$552/1000000</f>
        <v>-2.3167683813529663</v>
      </c>
      <c r="I288" s="336">
        <f>Saldo_relativo_per_capita!I288*Saldo_relativo_per_capita!I$552/1000000</f>
        <v>-4.4124275155512205</v>
      </c>
      <c r="J288" s="336">
        <f>Saldo_relativo_per_capita!J288*Saldo_relativo_per_capita!J$552/1000000</f>
        <v>26.768296595337667</v>
      </c>
      <c r="K288" s="336">
        <f>Saldo_relativo_per_capita!K288*Saldo_relativo_per_capita!K$552/1000000</f>
        <v>-5.2117002831061123</v>
      </c>
      <c r="L288" s="336">
        <f>Saldo_relativo_per_capita!L288*Saldo_relativo_per_capita!L$552/1000000</f>
        <v>-4.3417897840996424</v>
      </c>
      <c r="M288" s="336">
        <f>Saldo_relativo_per_capita!M288*Saldo_relativo_per_capita!M$552/1000000</f>
        <v>-15.767819282259852</v>
      </c>
      <c r="N288" s="336">
        <f>Saldo_relativo_per_capita!N288*Saldo_relativo_per_capita!N$552/1000000</f>
        <v>-10.477805648552021</v>
      </c>
      <c r="O288" s="336">
        <f>Saldo_relativo_per_capita!O288*Saldo_relativo_per_capita!O$552/1000000</f>
        <v>37.699277492610662</v>
      </c>
      <c r="P288" s="336">
        <f>Saldo_relativo_per_capita!P288*Saldo_relativo_per_capita!P$552/1000000</f>
        <v>-5.7512496155739381</v>
      </c>
      <c r="Q288" s="336">
        <f>Saldo_relativo_per_capita!Q288*Saldo_relativo_per_capita!Q$552/1000000</f>
        <v>-13.526965554943024</v>
      </c>
      <c r="R288" s="336">
        <f>Saldo_relativo_per_capita!R288*Saldo_relativo_per_capita!R$552/1000000</f>
        <v>-3.0787532743870938</v>
      </c>
      <c r="S288" s="336">
        <f>Saldo_relativo_per_capita!S288*Saldo_relativo_per_capita!S$552/1000000</f>
        <v>-1.3444306009601745</v>
      </c>
      <c r="T288" s="336">
        <f>Saldo_relativo_per_capita!T288*Saldo_relativo_per_capita!T$552/1000000</f>
        <v>-4.5940831359054846</v>
      </c>
      <c r="U288" s="336">
        <f>Saldo_relativo_per_capita!U288*Saldo_relativo_per_capita!U$552/1000000</f>
        <v>-0.66741161155741568</v>
      </c>
      <c r="V288" s="336">
        <f>Saldo_relativo_per_capita!V288*Saldo_relativo_per_capita!V$552/1000000</f>
        <v>-0.35604694660375402</v>
      </c>
      <c r="W288" s="148"/>
    </row>
    <row r="289" spans="1:24" s="115" customFormat="1">
      <c r="A289" s="351" t="str">
        <f>IF(B289="","",(IF(ISERROR(MATCH(B289,Tot_res!C:C,0)),"Eliminar!!!","")))</f>
        <v/>
      </c>
      <c r="B289" s="115" t="s">
        <v>294</v>
      </c>
      <c r="C289" s="329" t="str">
        <f>VLOOKUP(B289,Tot_res!C:D,2,FALSE)</f>
        <v>Infraestructuras REF Canarias</v>
      </c>
      <c r="D289" s="336">
        <f>Saldo_relativo_per_capita!D289*Saldo_relativo_per_capita!D$552/1000000</f>
        <v>0</v>
      </c>
      <c r="E289" s="336">
        <f>Saldo_relativo_per_capita!E289*Saldo_relativo_per_capita!E$552/1000000</f>
        <v>-21.743215557022772</v>
      </c>
      <c r="F289" s="336">
        <f>Saldo_relativo_per_capita!F289*Saldo_relativo_per_capita!F$552/1000000</f>
        <v>-3.4206995262058983</v>
      </c>
      <c r="G289" s="336">
        <f>Saldo_relativo_per_capita!G289*Saldo_relativo_per_capita!G$552/1000000</f>
        <v>-2.7344882281919141</v>
      </c>
      <c r="H289" s="336">
        <f>Saldo_relativo_per_capita!H289*Saldo_relativo_per_capita!H$552/1000000</f>
        <v>-2.857348245859634</v>
      </c>
      <c r="I289" s="336">
        <f>Saldo_relativo_per_capita!I289*Saldo_relativo_per_capita!I$552/1000000</f>
        <v>115.42469597955035</v>
      </c>
      <c r="J289" s="336">
        <f>Saldo_relativo_per_capita!J289*Saldo_relativo_per_capita!J$552/1000000</f>
        <v>-1.5191011717260916</v>
      </c>
      <c r="K289" s="336">
        <f>Saldo_relativo_per_capita!K289*Saldo_relativo_per_capita!K$552/1000000</f>
        <v>-6.4277649771717185</v>
      </c>
      <c r="L289" s="336">
        <f>Saldo_relativo_per_capita!L289*Saldo_relativo_per_capita!L$552/1000000</f>
        <v>-5.3548751456299781</v>
      </c>
      <c r="M289" s="336">
        <f>Saldo_relativo_per_capita!M289*Saldo_relativo_per_capita!M$552/1000000</f>
        <v>-19.446981031779188</v>
      </c>
      <c r="N289" s="336">
        <f>Saldo_relativo_per_capita!N289*Saldo_relativo_per_capita!N$552/1000000</f>
        <v>-12.922629569410995</v>
      </c>
      <c r="O289" s="336">
        <f>Saldo_relativo_per_capita!O289*Saldo_relativo_per_capita!O$552/1000000</f>
        <v>-2.8375583306517598</v>
      </c>
      <c r="P289" s="336">
        <f>Saldo_relativo_per_capita!P289*Saldo_relativo_per_capita!P$552/1000000</f>
        <v>-7.093209287915184</v>
      </c>
      <c r="Q289" s="336">
        <f>Saldo_relativo_per_capita!Q289*Saldo_relativo_per_capita!Q$552/1000000</f>
        <v>-16.683260878089271</v>
      </c>
      <c r="R289" s="336">
        <f>Saldo_relativo_per_capita!R289*Saldo_relativo_per_capita!R$552/1000000</f>
        <v>-3.797129803224947</v>
      </c>
      <c r="S289" s="336">
        <f>Saldo_relativo_per_capita!S289*Saldo_relativo_per_capita!S$552/1000000</f>
        <v>-1.6581314084967669</v>
      </c>
      <c r="T289" s="336">
        <f>Saldo_relativo_per_capita!T289*Saldo_relativo_per_capita!T$552/1000000</f>
        <v>-5.6660370088644374</v>
      </c>
      <c r="U289" s="336">
        <f>Saldo_relativo_per_capita!U289*Saldo_relativo_per_capita!U$552/1000000</f>
        <v>-0.82314115338377136</v>
      </c>
      <c r="V289" s="336">
        <f>Saldo_relativo_per_capita!V289*Saldo_relativo_per_capita!V$552/1000000</f>
        <v>-0.43912465592602506</v>
      </c>
      <c r="W289" s="148"/>
    </row>
    <row r="290" spans="1:24" s="115" customFormat="1">
      <c r="A290" s="351" t="str">
        <f>IF(B290="","",(IF(ISERROR(MATCH(B290,Tot_res!C:C,0)),"Eliminar!!!","")))</f>
        <v/>
      </c>
      <c r="B290" s="115" t="s">
        <v>295</v>
      </c>
      <c r="C290" s="329" t="str">
        <f>VLOOKUP(B290,Tot_res!C:D,2,FALSE)</f>
        <v>Transporte interinsular Canarias</v>
      </c>
      <c r="D290" s="336">
        <f>Saldo_relativo_per_capita!D290*Saldo_relativo_per_capita!D$552/1000000</f>
        <v>0</v>
      </c>
      <c r="E290" s="336">
        <f>Saldo_relativo_per_capita!E290*Saldo_relativo_per_capita!E$552/1000000</f>
        <v>-5.6289552577963091</v>
      </c>
      <c r="F290" s="336">
        <f>Saldo_relativo_per_capita!F290*Saldo_relativo_per_capita!F$552/1000000</f>
        <v>-0.88556195990794628</v>
      </c>
      <c r="G290" s="336">
        <f>Saldo_relativo_per_capita!G290*Saldo_relativo_per_capita!G$552/1000000</f>
        <v>-0.70791331894290466</v>
      </c>
      <c r="H290" s="336">
        <f>Saldo_relativo_per_capita!H290*Saldo_relativo_per_capita!H$552/1000000</f>
        <v>-0.73971972497378702</v>
      </c>
      <c r="I290" s="336">
        <f>Saldo_relativo_per_capita!I290*Saldo_relativo_per_capita!I$552/1000000</f>
        <v>29.881525462952023</v>
      </c>
      <c r="J290" s="336">
        <f>Saldo_relativo_per_capita!J290*Saldo_relativo_per_capita!J$552/1000000</f>
        <v>-0.39326991471370809</v>
      </c>
      <c r="K290" s="336">
        <f>Saldo_relativo_per_capita!K290*Saldo_relativo_per_capita!K$552/1000000</f>
        <v>-1.6640409680546786</v>
      </c>
      <c r="L290" s="336">
        <f>Saldo_relativo_per_capita!L290*Saldo_relativo_per_capita!L$552/1000000</f>
        <v>-1.3862877147488455</v>
      </c>
      <c r="M290" s="336">
        <f>Saldo_relativo_per_capita!M290*Saldo_relativo_per_capita!M$552/1000000</f>
        <v>-5.0344985009240002</v>
      </c>
      <c r="N290" s="336">
        <f>Saldo_relativo_per_capita!N290*Saldo_relativo_per_capita!N$552/1000000</f>
        <v>-3.3454529054602373</v>
      </c>
      <c r="O290" s="336">
        <f>Saldo_relativo_per_capita!O290*Saldo_relativo_per_capita!O$552/1000000</f>
        <v>-0.73459644654385259</v>
      </c>
      <c r="P290" s="336">
        <f>Saldo_relativo_per_capita!P290*Saldo_relativo_per_capita!P$552/1000000</f>
        <v>-1.8363133829560818</v>
      </c>
      <c r="Q290" s="336">
        <f>Saldo_relativo_per_capita!Q290*Saldo_relativo_per_capita!Q$552/1000000</f>
        <v>-4.3190175248286398</v>
      </c>
      <c r="R290" s="336">
        <f>Saldo_relativo_per_capita!R290*Saldo_relativo_per_capita!R$552/1000000</f>
        <v>-0.98301346984966309</v>
      </c>
      <c r="S290" s="336">
        <f>Saldo_relativo_per_capita!S290*Saldo_relativo_per_capita!S$552/1000000</f>
        <v>-0.42926252032489576</v>
      </c>
      <c r="T290" s="336">
        <f>Saldo_relativo_per_capita!T290*Saldo_relativo_per_capita!T$552/1000000</f>
        <v>-1.4668423227591398</v>
      </c>
      <c r="U290" s="336">
        <f>Saldo_relativo_per_capita!U290*Saldo_relativo_per_capita!U$552/1000000</f>
        <v>-0.21309749292126032</v>
      </c>
      <c r="V290" s="336">
        <f>Saldo_relativo_per_capita!V290*Saldo_relativo_per_capita!V$552/1000000</f>
        <v>-0.11368203724607014</v>
      </c>
      <c r="W290" s="148"/>
    </row>
    <row r="291" spans="1:24" s="115" customFormat="1">
      <c r="A291" s="351" t="str">
        <f>IF(B291="","",(IF(ISERROR(MATCH(B291,Tot_res!C:C,0)),"Eliminar!!!","")))</f>
        <v/>
      </c>
      <c r="B291" s="115" t="s">
        <v>296</v>
      </c>
      <c r="C291" s="329" t="str">
        <f>VLOOKUP(B291,Tot_res!C:D,2,FALSE)</f>
        <v>Ayudas de la UE gestionadas por las comunidades autónomas, excepto FEOGA Garantía</v>
      </c>
      <c r="D291" s="336">
        <f>Saldo_relativo_per_capita!D291*Saldo_relativo_per_capita!D$552/1000000</f>
        <v>0</v>
      </c>
      <c r="E291" s="336">
        <f>Saldo_relativo_per_capita!E291*Saldo_relativo_per_capita!E$552/1000000</f>
        <v>-105.08448163280167</v>
      </c>
      <c r="F291" s="336">
        <f>Saldo_relativo_per_capita!F291*Saldo_relativo_per_capita!F$552/1000000</f>
        <v>-27.549521822838351</v>
      </c>
      <c r="G291" s="336">
        <f>Saldo_relativo_per_capita!G291*Saldo_relativo_per_capita!G$552/1000000</f>
        <v>-1.9930869566206075</v>
      </c>
      <c r="H291" s="336">
        <f>Saldo_relativo_per_capita!H291*Saldo_relativo_per_capita!H$552/1000000</f>
        <v>-27.920626388478087</v>
      </c>
      <c r="I291" s="336">
        <f>Saldo_relativo_per_capita!I291*Saldo_relativo_per_capita!I$552/1000000</f>
        <v>26.989849069703215</v>
      </c>
      <c r="J291" s="336">
        <f>Saldo_relativo_per_capita!J291*Saldo_relativo_per_capita!J$552/1000000</f>
        <v>-1.3701970315739977</v>
      </c>
      <c r="K291" s="336">
        <f>Saldo_relativo_per_capita!K291*Saldo_relativo_per_capita!K$552/1000000</f>
        <v>-0.10003514836709441</v>
      </c>
      <c r="L291" s="336">
        <f>Saldo_relativo_per_capita!L291*Saldo_relativo_per_capita!L$552/1000000</f>
        <v>110.26679992216367</v>
      </c>
      <c r="M291" s="336">
        <f>Saldo_relativo_per_capita!M291*Saldo_relativo_per_capita!M$552/1000000</f>
        <v>-82.636858746166581</v>
      </c>
      <c r="N291" s="336">
        <f>Saldo_relativo_per_capita!N291*Saldo_relativo_per_capita!N$552/1000000</f>
        <v>-57.617810739304467</v>
      </c>
      <c r="O291" s="336">
        <f>Saldo_relativo_per_capita!O291*Saldo_relativo_per_capita!O$552/1000000</f>
        <v>33.285166157874059</v>
      </c>
      <c r="P291" s="336">
        <f>Saldo_relativo_per_capita!P291*Saldo_relativo_per_capita!P$552/1000000</f>
        <v>190.86863053480957</v>
      </c>
      <c r="Q291" s="336">
        <f>Saldo_relativo_per_capita!Q291*Saldo_relativo_per_capita!Q$552/1000000</f>
        <v>-142.12845424411034</v>
      </c>
      <c r="R291" s="336">
        <f>Saldo_relativo_per_capita!R291*Saldo_relativo_per_capita!R$552/1000000</f>
        <v>39.852070209316629</v>
      </c>
      <c r="S291" s="336">
        <f>Saldo_relativo_per_capita!S291*Saldo_relativo_per_capita!S$552/1000000</f>
        <v>-12.313209636035454</v>
      </c>
      <c r="T291" s="336">
        <f>Saldo_relativo_per_capita!T291*Saldo_relativo_per_capita!T$552/1000000</f>
        <v>21.426323705557511</v>
      </c>
      <c r="U291" s="336">
        <f>Saldo_relativo_per_capita!U291*Saldo_relativo_per_capita!U$552/1000000</f>
        <v>-5.7518505158871998</v>
      </c>
      <c r="V291" s="336">
        <f>Saldo_relativo_per_capita!V291*Saldo_relativo_per_capita!V$552/1000000</f>
        <v>41.777293262759308</v>
      </c>
      <c r="W291" s="148"/>
    </row>
    <row r="292" spans="1:24" s="115" customFormat="1">
      <c r="A292" s="352"/>
      <c r="C292" s="147"/>
      <c r="D292" s="217"/>
      <c r="E292" s="217"/>
      <c r="F292" s="217"/>
      <c r="G292" s="217"/>
      <c r="H292" s="217"/>
      <c r="I292" s="217"/>
      <c r="J292" s="217"/>
      <c r="K292" s="217"/>
      <c r="L292" s="217"/>
      <c r="M292" s="217"/>
      <c r="N292" s="217"/>
      <c r="O292" s="217"/>
      <c r="P292" s="217"/>
      <c r="Q292" s="217"/>
      <c r="R292" s="217"/>
      <c r="S292" s="217"/>
      <c r="T292" s="217"/>
      <c r="U292" s="217"/>
      <c r="V292" s="217"/>
      <c r="X292" s="231"/>
    </row>
    <row r="293" spans="1:24" s="115" customFormat="1" ht="13.5">
      <c r="A293" s="352"/>
      <c r="C293" s="112" t="s">
        <v>22</v>
      </c>
      <c r="D293" s="218">
        <f>Saldo_relativo_per_capita!D293*Saldo_relativo_per_capita!D$552/1000000</f>
        <v>0</v>
      </c>
      <c r="E293" s="218">
        <f>Saldo_relativo_per_capita!E293*Saldo_relativo_per_capita!E$552/1000000</f>
        <v>-230.04312834596354</v>
      </c>
      <c r="F293" s="218">
        <f>Saldo_relativo_per_capita!F293*Saldo_relativo_per_capita!F$552/1000000</f>
        <v>62.449300166158345</v>
      </c>
      <c r="G293" s="218">
        <f>Saldo_relativo_per_capita!G293*Saldo_relativo_per_capita!G$552/1000000</f>
        <v>-13.043699772080329</v>
      </c>
      <c r="H293" s="218">
        <f>Saldo_relativo_per_capita!H293*Saldo_relativo_per_capita!H$552/1000000</f>
        <v>-18.863118886528504</v>
      </c>
      <c r="I293" s="218">
        <f>Saldo_relativo_per_capita!I293*Saldo_relativo_per_capita!I$552/1000000</f>
        <v>-68.167142718352807</v>
      </c>
      <c r="J293" s="218">
        <f>Saldo_relativo_per_capita!J293*Saldo_relativo_per_capita!J$552/1000000</f>
        <v>-7.4051277762321108</v>
      </c>
      <c r="K293" s="218">
        <f>Saldo_relativo_per_capita!K293*Saldo_relativo_per_capita!K$552/1000000</f>
        <v>98.677680661654151</v>
      </c>
      <c r="L293" s="218">
        <f>Saldo_relativo_per_capita!L293*Saldo_relativo_per_capita!L$552/1000000</f>
        <v>-97.455663803115513</v>
      </c>
      <c r="M293" s="218">
        <f>Saldo_relativo_per_capita!M293*Saldo_relativo_per_capita!M$552/1000000</f>
        <v>212.91215810418012</v>
      </c>
      <c r="N293" s="218">
        <f>Saldo_relativo_per_capita!N293*Saldo_relativo_per_capita!N$552/1000000</f>
        <v>-303.70406212572647</v>
      </c>
      <c r="O293" s="218">
        <f>Saldo_relativo_per_capita!O293*Saldo_relativo_per_capita!O$552/1000000</f>
        <v>-18.346343702017396</v>
      </c>
      <c r="P293" s="218">
        <f>Saldo_relativo_per_capita!P293*Saldo_relativo_per_capita!P$552/1000000</f>
        <v>-25.000908329899577</v>
      </c>
      <c r="Q293" s="218">
        <f>Saldo_relativo_per_capita!Q293*Saldo_relativo_per_capita!Q$552/1000000</f>
        <v>115.29331018701656</v>
      </c>
      <c r="R293" s="218">
        <f>Saldo_relativo_per_capita!R293*Saldo_relativo_per_capita!R$552/1000000</f>
        <v>-68.252594940117831</v>
      </c>
      <c r="S293" s="218">
        <f>Saldo_relativo_per_capita!S293*Saldo_relativo_per_capita!S$552/1000000</f>
        <v>37.085401702244134</v>
      </c>
      <c r="T293" s="218">
        <f>Saldo_relativo_per_capita!T293*Saldo_relativo_per_capita!T$552/1000000</f>
        <v>212.81923029943445</v>
      </c>
      <c r="U293" s="218">
        <f>Saldo_relativo_per_capita!U293*Saldo_relativo_per_capita!U$552/1000000</f>
        <v>33.325207993908606</v>
      </c>
      <c r="V293" s="218">
        <f>Saldo_relativo_per_capita!V293*Saldo_relativo_per_capita!V$552/1000000</f>
        <v>77.719501285438909</v>
      </c>
      <c r="W293" s="219"/>
      <c r="X293" s="231"/>
    </row>
    <row r="294" spans="1:24" s="115" customFormat="1">
      <c r="A294" s="352"/>
      <c r="D294" s="217"/>
      <c r="E294" s="217"/>
      <c r="F294" s="217"/>
      <c r="G294" s="217"/>
      <c r="H294" s="217"/>
      <c r="I294" s="217"/>
      <c r="J294" s="217"/>
      <c r="K294" s="217"/>
      <c r="L294" s="217"/>
      <c r="M294" s="217"/>
      <c r="N294" s="217"/>
      <c r="O294" s="217"/>
      <c r="P294" s="217"/>
      <c r="Q294" s="217"/>
      <c r="R294" s="217"/>
      <c r="S294" s="217"/>
      <c r="T294" s="217"/>
      <c r="U294" s="217"/>
      <c r="V294" s="217"/>
      <c r="W294" s="148"/>
      <c r="X294" s="231"/>
    </row>
    <row r="295" spans="1:24" s="115" customFormat="1" ht="13.5">
      <c r="A295" s="352"/>
      <c r="C295" s="117" t="s">
        <v>28</v>
      </c>
      <c r="D295" s="218">
        <f>Saldo_relativo_per_capita!D295*Saldo_relativo_per_capita!D$552/1000000</f>
        <v>0</v>
      </c>
      <c r="E295" s="219">
        <f>Saldo_relativo_per_capita!E295*Saldo_relativo_per_capita!E$552/1000000</f>
        <v>39.990620877341932</v>
      </c>
      <c r="F295" s="219">
        <f>Saldo_relativo_per_capita!F295*Saldo_relativo_per_capita!F$552/1000000</f>
        <v>26.014808460998129</v>
      </c>
      <c r="G295" s="219">
        <f>Saldo_relativo_per_capita!G295*Saldo_relativo_per_capita!G$552/1000000</f>
        <v>-5.7515263446620324</v>
      </c>
      <c r="H295" s="219">
        <f>Saldo_relativo_per_capita!H295*Saldo_relativo_per_capita!H$552/1000000</f>
        <v>-14.20772019927179</v>
      </c>
      <c r="I295" s="219">
        <f>Saldo_relativo_per_capita!I295*Saldo_relativo_per_capita!I$552/1000000</f>
        <v>-10.361760816355559</v>
      </c>
      <c r="J295" s="219">
        <f>Saldo_relativo_per_capita!J295*Saldo_relativo_per_capita!J$552/1000000</f>
        <v>5.3324382473551575</v>
      </c>
      <c r="K295" s="219">
        <f>Saldo_relativo_per_capita!K295*Saldo_relativo_per_capita!K$552/1000000</f>
        <v>26.291481273382626</v>
      </c>
      <c r="L295" s="219">
        <f>Saldo_relativo_per_capita!L295*Saldo_relativo_per_capita!L$552/1000000</f>
        <v>-11.326290868409131</v>
      </c>
      <c r="M295" s="219">
        <f>Saldo_relativo_per_capita!M295*Saldo_relativo_per_capita!M$552/1000000</f>
        <v>-130.50926836312556</v>
      </c>
      <c r="N295" s="219">
        <f>Saldo_relativo_per_capita!N295*Saldo_relativo_per_capita!N$552/1000000</f>
        <v>-39.339653617340282</v>
      </c>
      <c r="O295" s="219">
        <f>Saldo_relativo_per_capita!O295*Saldo_relativo_per_capita!O$552/1000000</f>
        <v>10.081695578995054</v>
      </c>
      <c r="P295" s="219">
        <f>Saldo_relativo_per_capita!P295*Saldo_relativo_per_capita!P$552/1000000</f>
        <v>72.67416755882472</v>
      </c>
      <c r="Q295" s="219">
        <f>Saldo_relativo_per_capita!Q295*Saldo_relativo_per_capita!Q$552/1000000</f>
        <v>53.817553963275671</v>
      </c>
      <c r="R295" s="219">
        <f>Saldo_relativo_per_capita!R295*Saldo_relativo_per_capita!R$552/1000000</f>
        <v>17.237129938865781</v>
      </c>
      <c r="S295" s="219">
        <f>Saldo_relativo_per_capita!S295*Saldo_relativo_per_capita!S$552/1000000</f>
        <v>-11.213429354672588</v>
      </c>
      <c r="T295" s="219">
        <f>Saldo_relativo_per_capita!T295*Saldo_relativo_per_capita!T$552/1000000</f>
        <v>-45.779571150705969</v>
      </c>
      <c r="U295" s="219">
        <f>Saldo_relativo_per_capita!U295*Saldo_relativo_per_capita!U$552/1000000</f>
        <v>1.0567945017858869</v>
      </c>
      <c r="V295" s="219">
        <f>Saldo_relativo_per_capita!V295*Saldo_relativo_per_capita!V$552/1000000</f>
        <v>15.992530313718861</v>
      </c>
      <c r="W295" s="148"/>
      <c r="X295" s="231"/>
    </row>
    <row r="296" spans="1:24" s="115" customFormat="1">
      <c r="A296" s="351" t="str">
        <f>IF(B296="","",(IF(ISERROR(MATCH(B296,Tot_res!C:C,0)),"Eliminar!!!","")))</f>
        <v/>
      </c>
      <c r="B296" s="119" t="s">
        <v>297</v>
      </c>
      <c r="C296" s="329" t="str">
        <f>VLOOKUP(B296,Tot_res!C:D,2,FALSE)</f>
        <v>Plan nacional sobre drogas + AF 11/1</v>
      </c>
      <c r="D296" s="336">
        <f>Saldo_relativo_per_capita!D296*Saldo_relativo_per_capita!D$552/1000000</f>
        <v>0</v>
      </c>
      <c r="E296" s="336">
        <f>Saldo_relativo_per_capita!E296*Saldo_relativo_per_capita!E$552/1000000</f>
        <v>-0.54786912621296846</v>
      </c>
      <c r="F296" s="336">
        <f>Saldo_relativo_per_capita!F296*Saldo_relativo_per_capita!F$552/1000000</f>
        <v>2.3183676370234278E-2</v>
      </c>
      <c r="G296" s="336">
        <f>Saldo_relativo_per_capita!G296*Saldo_relativo_per_capita!G$552/1000000</f>
        <v>0.28793658267659411</v>
      </c>
      <c r="H296" s="336">
        <f>Saldo_relativo_per_capita!H296*Saldo_relativo_per_capita!H$552/1000000</f>
        <v>6.6630427671284284E-2</v>
      </c>
      <c r="I296" s="336">
        <f>Saldo_relativo_per_capita!I296*Saldo_relativo_per_capita!I$552/1000000</f>
        <v>-0.15492092933011725</v>
      </c>
      <c r="J296" s="336">
        <f>Saldo_relativo_per_capita!J296*Saldo_relativo_per_capita!J$552/1000000</f>
        <v>0.29573517913607045</v>
      </c>
      <c r="K296" s="336">
        <f>Saldo_relativo_per_capita!K296*Saldo_relativo_per_capita!K$552/1000000</f>
        <v>0.85163385959463478</v>
      </c>
      <c r="L296" s="336">
        <f>Saldo_relativo_per_capita!L296*Saldo_relativo_per_capita!L$552/1000000</f>
        <v>0.13239418616245122</v>
      </c>
      <c r="M296" s="336">
        <f>Saldo_relativo_per_capita!M296*Saldo_relativo_per_capita!M$552/1000000</f>
        <v>-0.46400717999692148</v>
      </c>
      <c r="N296" s="336">
        <f>Saldo_relativo_per_capita!N296*Saldo_relativo_per_capita!N$552/1000000</f>
        <v>-0.96339672830198964</v>
      </c>
      <c r="O296" s="336">
        <f>Saldo_relativo_per_capita!O296*Saldo_relativo_per_capita!O$552/1000000</f>
        <v>0.30649246602913799</v>
      </c>
      <c r="P296" s="336">
        <f>Saldo_relativo_per_capita!P296*Saldo_relativo_per_capita!P$552/1000000</f>
        <v>0.1084906459765098</v>
      </c>
      <c r="Q296" s="336">
        <f>Saldo_relativo_per_capita!Q296*Saldo_relativo_per_capita!Q$552/1000000</f>
        <v>-0.12854107780644605</v>
      </c>
      <c r="R296" s="336">
        <f>Saldo_relativo_per_capita!R296*Saldo_relativo_per_capita!R$552/1000000</f>
        <v>-0.11471389862991881</v>
      </c>
      <c r="S296" s="336">
        <f>Saldo_relativo_per_capita!S296*Saldo_relativo_per_capita!S$552/1000000</f>
        <v>0</v>
      </c>
      <c r="T296" s="336">
        <f>Saldo_relativo_per_capita!T296*Saldo_relativo_per_capita!T$552/1000000</f>
        <v>0</v>
      </c>
      <c r="U296" s="336">
        <f>Saldo_relativo_per_capita!U296*Saldo_relativo_per_capita!U$552/1000000</f>
        <v>5.3275958330849971E-2</v>
      </c>
      <c r="V296" s="336">
        <f>Saldo_relativo_per_capita!V296*Saldo_relativo_per_capita!V$552/1000000</f>
        <v>0.24767595833059355</v>
      </c>
      <c r="W296" s="148"/>
      <c r="X296" s="231"/>
    </row>
    <row r="297" spans="1:24" s="115" customFormat="1">
      <c r="A297" s="351" t="str">
        <f>IF(B297="","",(IF(ISERROR(MATCH(B297,Tot_res!C:C,0)),"Eliminar!!!","")))</f>
        <v/>
      </c>
      <c r="B297" s="119" t="s">
        <v>298</v>
      </c>
      <c r="C297" s="329" t="str">
        <f>VLOOKUP(B297,Tot_res!C:D,2,FALSE)</f>
        <v>Direc. y serv. grales. de sanidad, serv. soc. e igualdad</v>
      </c>
      <c r="D297" s="336">
        <f>Saldo_relativo_per_capita!D297*Saldo_relativo_per_capita!D$552/1000000</f>
        <v>0</v>
      </c>
      <c r="E297" s="336">
        <f>Saldo_relativo_per_capita!E297*Saldo_relativo_per_capita!E$552/1000000</f>
        <v>-0.35837819692344608</v>
      </c>
      <c r="F297" s="336">
        <f>Saldo_relativo_per_capita!F297*Saldo_relativo_per_capita!F$552/1000000</f>
        <v>6.9556181981378959E-2</v>
      </c>
      <c r="G297" s="336">
        <f>Saldo_relativo_per_capita!G297*Saldo_relativo_per_capita!G$552/1000000</f>
        <v>0.12372717843399701</v>
      </c>
      <c r="H297" s="336">
        <f>Saldo_relativo_per_capita!H297*Saldo_relativo_per_capita!H$552/1000000</f>
        <v>-6.9041712924503507E-2</v>
      </c>
      <c r="I297" s="336">
        <f>Saldo_relativo_per_capita!I297*Saldo_relativo_per_capita!I$552/1000000</f>
        <v>-0.13765834001163324</v>
      </c>
      <c r="J297" s="336">
        <f>Saldo_relativo_per_capita!J297*Saldo_relativo_per_capita!J$552/1000000</f>
        <v>2.6511219005328143E-2</v>
      </c>
      <c r="K297" s="336">
        <f>Saldo_relativo_per_capita!K297*Saldo_relativo_per_capita!K$552/1000000</f>
        <v>0.2802529258622804</v>
      </c>
      <c r="L297" s="336">
        <f>Saldo_relativo_per_capita!L297*Saldo_relativo_per_capita!L$552/1000000</f>
        <v>-5.1505252526531653E-3</v>
      </c>
      <c r="M297" s="336">
        <f>Saldo_relativo_per_capita!M297*Saldo_relativo_per_capita!M$552/1000000</f>
        <v>-4.6887548581774116E-2</v>
      </c>
      <c r="N297" s="336">
        <f>Saldo_relativo_per_capita!N297*Saldo_relativo_per_capita!N$552/1000000</f>
        <v>-1.5876491529299996E-2</v>
      </c>
      <c r="O297" s="336">
        <f>Saldo_relativo_per_capita!O297*Saldo_relativo_per_capita!O$552/1000000</f>
        <v>3.1863466176684986E-2</v>
      </c>
      <c r="P297" s="336">
        <f>Saldo_relativo_per_capita!P297*Saldo_relativo_per_capita!P$552/1000000</f>
        <v>0.28243751372790599</v>
      </c>
      <c r="Q297" s="336">
        <f>Saldo_relativo_per_capita!Q297*Saldo_relativo_per_capita!Q$552/1000000</f>
        <v>-0.20245776599393533</v>
      </c>
      <c r="R297" s="336">
        <f>Saldo_relativo_per_capita!R297*Saldo_relativo_per_capita!R$552/1000000</f>
        <v>-9.9517075695233478E-2</v>
      </c>
      <c r="S297" s="336">
        <f>Saldo_relativo_per_capita!S297*Saldo_relativo_per_capita!S$552/1000000</f>
        <v>7.5407731060728898E-3</v>
      </c>
      <c r="T297" s="336">
        <f>Saldo_relativo_per_capita!T297*Saldo_relativo_per_capita!T$552/1000000</f>
        <v>0.12786487197123375</v>
      </c>
      <c r="U297" s="336">
        <f>Saldo_relativo_per_capita!U297*Saldo_relativo_per_capita!U$552/1000000</f>
        <v>9.4970444416823709E-3</v>
      </c>
      <c r="V297" s="336">
        <f>Saldo_relativo_per_capita!V297*Saldo_relativo_per_capita!V$552/1000000</f>
        <v>-2.4283517794090156E-2</v>
      </c>
      <c r="W297" s="148"/>
      <c r="X297" s="231"/>
    </row>
    <row r="298" spans="1:24" s="115" customFormat="1">
      <c r="A298" s="351" t="str">
        <f>IF(B298="","",(IF(ISERROR(MATCH(B298,Tot_res!C:C,0)),"Eliminar!!!","")))</f>
        <v/>
      </c>
      <c r="B298" s="119" t="s">
        <v>299</v>
      </c>
      <c r="C298" s="329" t="str">
        <f>VLOOKUP(B298,Tot_res!C:D,2,FALSE)</f>
        <v>Políticas de salud y ordenación profesional</v>
      </c>
      <c r="D298" s="336">
        <f>Saldo_relativo_per_capita!D298*Saldo_relativo_per_capita!D$552/1000000</f>
        <v>0</v>
      </c>
      <c r="E298" s="336">
        <f>Saldo_relativo_per_capita!E298*Saldo_relativo_per_capita!E$552/1000000</f>
        <v>-0.43991821042346835</v>
      </c>
      <c r="F298" s="336">
        <f>Saldo_relativo_per_capita!F298*Saldo_relativo_per_capita!F$552/1000000</f>
        <v>-1.7626400807932276E-3</v>
      </c>
      <c r="G298" s="336">
        <f>Saldo_relativo_per_capita!G298*Saldo_relativo_per_capita!G$552/1000000</f>
        <v>2.8438069837601485E-2</v>
      </c>
      <c r="H298" s="336">
        <f>Saldo_relativo_per_capita!H298*Saldo_relativo_per_capita!H$552/1000000</f>
        <v>-5.6293259878773809E-2</v>
      </c>
      <c r="I298" s="336">
        <f>Saldo_relativo_per_capita!I298*Saldo_relativo_per_capita!I$552/1000000</f>
        <v>-0.13548090447942474</v>
      </c>
      <c r="J298" s="336">
        <f>Saldo_relativo_per_capita!J298*Saldo_relativo_per_capita!J$552/1000000</f>
        <v>-3.9927830528797099E-3</v>
      </c>
      <c r="K298" s="336">
        <f>Saldo_relativo_per_capita!K298*Saldo_relativo_per_capita!K$552/1000000</f>
        <v>3.4120620696197451E-2</v>
      </c>
      <c r="L298" s="336">
        <f>Saldo_relativo_per_capita!L298*Saldo_relativo_per_capita!L$552/1000000</f>
        <v>-5.7737460727189063E-2</v>
      </c>
      <c r="M298" s="336">
        <f>Saldo_relativo_per_capita!M298*Saldo_relativo_per_capita!M$552/1000000</f>
        <v>1.1597713781322359</v>
      </c>
      <c r="N298" s="336">
        <f>Saldo_relativo_per_capita!N298*Saldo_relativo_per_capita!N$552/1000000</f>
        <v>-0.20565564776668782</v>
      </c>
      <c r="O298" s="336">
        <f>Saldo_relativo_per_capita!O298*Saldo_relativo_per_capita!O$552/1000000</f>
        <v>-1.310580613474571E-2</v>
      </c>
      <c r="P298" s="336">
        <f>Saldo_relativo_per_capita!P298*Saldo_relativo_per_capita!P$552/1000000</f>
        <v>3.5744635767261626E-2</v>
      </c>
      <c r="Q298" s="336">
        <f>Saldo_relativo_per_capita!Q298*Saldo_relativo_per_capita!Q$552/1000000</f>
        <v>-0.23457477285706418</v>
      </c>
      <c r="R298" s="336">
        <f>Saldo_relativo_per_capita!R298*Saldo_relativo_per_capita!R$552/1000000</f>
        <v>-8.0674492137136192E-2</v>
      </c>
      <c r="S298" s="336">
        <f>Saldo_relativo_per_capita!S298*Saldo_relativo_per_capita!S$552/1000000</f>
        <v>-1.7540950984660596E-2</v>
      </c>
      <c r="T298" s="336">
        <f>Saldo_relativo_per_capita!T298*Saldo_relativo_per_capita!T$552/1000000</f>
        <v>1.0206331747543611E-2</v>
      </c>
      <c r="U298" s="336">
        <f>Saldo_relativo_per_capita!U298*Saldo_relativo_per_capita!U$552/1000000</f>
        <v>-2.9053308201357894E-3</v>
      </c>
      <c r="V298" s="336">
        <f>Saldo_relativo_per_capita!V298*Saldo_relativo_per_capita!V$552/1000000</f>
        <v>-1.8638776837885104E-2</v>
      </c>
      <c r="W298" s="148"/>
      <c r="X298" s="231"/>
    </row>
    <row r="299" spans="1:24" s="115" customFormat="1">
      <c r="A299" s="351" t="str">
        <f>IF(B299="","",(IF(ISERROR(MATCH(B299,Tot_res!C:C,0)),"Eliminar!!!","")))</f>
        <v/>
      </c>
      <c r="B299" s="119" t="s">
        <v>300</v>
      </c>
      <c r="C299" s="329" t="str">
        <f>VLOOKUP(B299,Tot_res!C:D,2,FALSE)</f>
        <v>Asistencia sanitaria del mutualismo administrativo</v>
      </c>
      <c r="D299" s="336">
        <f>Saldo_relativo_per_capita!D299*Saldo_relativo_per_capita!D$552/1000000</f>
        <v>0</v>
      </c>
      <c r="E299" s="336">
        <f>Saldo_relativo_per_capita!E299*Saldo_relativo_per_capita!E$552/1000000</f>
        <v>109.74987625082126</v>
      </c>
      <c r="F299" s="336">
        <f>Saldo_relativo_per_capita!F299*Saldo_relativo_per_capita!F$552/1000000</f>
        <v>13.502246614902415</v>
      </c>
      <c r="G299" s="336">
        <f>Saldo_relativo_per_capita!G299*Saldo_relativo_per_capita!G$552/1000000</f>
        <v>-8.3598538342907034</v>
      </c>
      <c r="H299" s="336">
        <f>Saldo_relativo_per_capita!H299*Saldo_relativo_per_capita!H$552/1000000</f>
        <v>-15.316395427142275</v>
      </c>
      <c r="I299" s="336">
        <f>Saldo_relativo_per_capita!I299*Saldo_relativo_per_capita!I$552/1000000</f>
        <v>-9.3638928576189162</v>
      </c>
      <c r="J299" s="336">
        <f>Saldo_relativo_per_capita!J299*Saldo_relativo_per_capita!J$552/1000000</f>
        <v>-1.8798674440320633</v>
      </c>
      <c r="K299" s="336">
        <f>Saldo_relativo_per_capita!K299*Saldo_relativo_per_capita!K$552/1000000</f>
        <v>46.397801234722955</v>
      </c>
      <c r="L299" s="336">
        <f>Saldo_relativo_per_capita!L299*Saldo_relativo_per_capita!L$552/1000000</f>
        <v>4.8232631299558992</v>
      </c>
      <c r="M299" s="336">
        <f>Saldo_relativo_per_capita!M299*Saldo_relativo_per_capita!M$552/1000000</f>
        <v>-171.75196770964317</v>
      </c>
      <c r="N299" s="336">
        <f>Saldo_relativo_per_capita!N299*Saldo_relativo_per_capita!N$552/1000000</f>
        <v>-36.776625700080182</v>
      </c>
      <c r="O299" s="336">
        <f>Saldo_relativo_per_capita!O299*Saldo_relativo_per_capita!O$552/1000000</f>
        <v>24.596010844983091</v>
      </c>
      <c r="P299" s="336">
        <f>Saldo_relativo_per_capita!P299*Saldo_relativo_per_capita!P$552/1000000</f>
        <v>18.616006054542819</v>
      </c>
      <c r="Q299" s="336">
        <f>Saldo_relativo_per_capita!Q299*Saldo_relativo_per_capita!Q$552/1000000</f>
        <v>56.814878488853729</v>
      </c>
      <c r="R299" s="336">
        <f>Saldo_relativo_per_capita!R299*Saldo_relativo_per_capita!R$552/1000000</f>
        <v>25.625494991539362</v>
      </c>
      <c r="S299" s="336">
        <f>Saldo_relativo_per_capita!S299*Saldo_relativo_per_capita!S$552/1000000</f>
        <v>-12.89858016485425</v>
      </c>
      <c r="T299" s="336">
        <f>Saldo_relativo_per_capita!T299*Saldo_relativo_per_capita!T$552/1000000</f>
        <v>-60.966514297228592</v>
      </c>
      <c r="U299" s="336">
        <f>Saldo_relativo_per_capita!U299*Saldo_relativo_per_capita!U$552/1000000</f>
        <v>-0.90270982088545648</v>
      </c>
      <c r="V299" s="336">
        <f>Saldo_relativo_per_capita!V299*Saldo_relativo_per_capita!V$552/1000000</f>
        <v>18.090829645454086</v>
      </c>
      <c r="W299" s="148"/>
      <c r="X299" s="231"/>
    </row>
    <row r="300" spans="1:24" s="115" customFormat="1">
      <c r="A300" s="351" t="str">
        <f>IF(B300="","",(IF(ISERROR(MATCH(B300,Tot_res!C:C,0)),"Eliminar!!!","")))</f>
        <v/>
      </c>
      <c r="B300" s="119" t="s">
        <v>302</v>
      </c>
      <c r="C300" s="329" t="str">
        <f>VLOOKUP(B300,Tot_res!C:D,2,FALSE)</f>
        <v>Prestaciones y farmacia</v>
      </c>
      <c r="D300" s="336">
        <f>Saldo_relativo_per_capita!D300*Saldo_relativo_per_capita!D$552/1000000</f>
        <v>0</v>
      </c>
      <c r="E300" s="336">
        <f>Saldo_relativo_per_capita!E300*Saldo_relativo_per_capita!E$552/1000000</f>
        <v>-0.70445610043140916</v>
      </c>
      <c r="F300" s="336">
        <f>Saldo_relativo_per_capita!F300*Saldo_relativo_per_capita!F$552/1000000</f>
        <v>0.19433171475182281</v>
      </c>
      <c r="G300" s="336">
        <f>Saldo_relativo_per_capita!G300*Saldo_relativo_per_capita!G$552/1000000</f>
        <v>0.14476471586019002</v>
      </c>
      <c r="H300" s="336">
        <f>Saldo_relativo_per_capita!H300*Saldo_relativo_per_capita!H$552/1000000</f>
        <v>-4.3586567873323379E-2</v>
      </c>
      <c r="I300" s="336">
        <f>Saldo_relativo_per_capita!I300*Saldo_relativo_per_capita!I$552/1000000</f>
        <v>-0.16181149211009113</v>
      </c>
      <c r="J300" s="336">
        <f>Saldo_relativo_per_capita!J300*Saldo_relativo_per_capita!J$552/1000000</f>
        <v>4.8680786098711029E-2</v>
      </c>
      <c r="K300" s="336">
        <f>Saldo_relativo_per_capita!K300*Saldo_relativo_per_capita!K$552/1000000</f>
        <v>0.41863263458632055</v>
      </c>
      <c r="L300" s="336">
        <f>Saldo_relativo_per_capita!L300*Saldo_relativo_per_capita!L$552/1000000</f>
        <v>0.21759289356231318</v>
      </c>
      <c r="M300" s="336">
        <f>Saldo_relativo_per_capita!M300*Saldo_relativo_per_capita!M$552/1000000</f>
        <v>-0.27290528561754912</v>
      </c>
      <c r="N300" s="336">
        <f>Saldo_relativo_per_capita!N300*Saldo_relativo_per_capita!N$552/1000000</f>
        <v>-6.3444369286885585E-2</v>
      </c>
      <c r="O300" s="336">
        <f>Saldo_relativo_per_capita!O300*Saldo_relativo_per_capita!O$552/1000000</f>
        <v>0.10376604362358613</v>
      </c>
      <c r="P300" s="336">
        <f>Saldo_relativo_per_capita!P300*Saldo_relativo_per_capita!P$552/1000000</f>
        <v>0.21807404973718636</v>
      </c>
      <c r="Q300" s="336">
        <f>Saldo_relativo_per_capita!Q300*Saldo_relativo_per_capita!Q$552/1000000</f>
        <v>-0.16537733926522155</v>
      </c>
      <c r="R300" s="336">
        <f>Saldo_relativo_per_capita!R300*Saldo_relativo_per_capita!R$552/1000000</f>
        <v>-0.10231568791186926</v>
      </c>
      <c r="S300" s="336">
        <f>Saldo_relativo_per_capita!S300*Saldo_relativo_per_capita!S$552/1000000</f>
        <v>3.7141333366552967E-2</v>
      </c>
      <c r="T300" s="336">
        <f>Saldo_relativo_per_capita!T300*Saldo_relativo_per_capita!T$552/1000000</f>
        <v>0.12745614248754919</v>
      </c>
      <c r="U300" s="336">
        <f>Saldo_relativo_per_capita!U300*Saldo_relativo_per_capita!U$552/1000000</f>
        <v>5.6904292873821594E-2</v>
      </c>
      <c r="V300" s="336">
        <f>Saldo_relativo_per_capita!V300*Saldo_relativo_per_capita!V$552/1000000</f>
        <v>-5.3447764451706077E-2</v>
      </c>
      <c r="W300" s="148"/>
      <c r="X300" s="231"/>
    </row>
    <row r="301" spans="1:24" s="115" customFormat="1">
      <c r="A301" s="351" t="str">
        <f>IF(B301="","",(IF(ISERROR(MATCH(B301,Tot_res!C:C,0)),"Eliminar!!!","")))</f>
        <v/>
      </c>
      <c r="B301" s="119" t="s">
        <v>303</v>
      </c>
      <c r="C301" s="329" t="str">
        <f>VLOOKUP(B301,Tot_res!C:D,2,FALSE)</f>
        <v>Salud pública, sanidad exterior y calidad + AF11/2</v>
      </c>
      <c r="D301" s="336">
        <f>Saldo_relativo_per_capita!D301*Saldo_relativo_per_capita!D$552/1000000</f>
        <v>0</v>
      </c>
      <c r="E301" s="336">
        <f>Saldo_relativo_per_capita!E301*Saldo_relativo_per_capita!E$552/1000000</f>
        <v>-0.14719722674405636</v>
      </c>
      <c r="F301" s="336">
        <f>Saldo_relativo_per_capita!F301*Saldo_relativo_per_capita!F$552/1000000</f>
        <v>1.5771712387252262E-2</v>
      </c>
      <c r="G301" s="336">
        <f>Saldo_relativo_per_capita!G301*Saldo_relativo_per_capita!G$552/1000000</f>
        <v>1.149864989792726E-2</v>
      </c>
      <c r="H301" s="336">
        <f>Saldo_relativo_per_capita!H301*Saldo_relativo_per_capita!H$552/1000000</f>
        <v>1.0155344154653878E-2</v>
      </c>
      <c r="I301" s="336">
        <f>Saldo_relativo_per_capita!I301*Saldo_relativo_per_capita!I$552/1000000</f>
        <v>-1.6159377291219839E-2</v>
      </c>
      <c r="J301" s="336">
        <f>Saldo_relativo_per_capita!J301*Saldo_relativo_per_capita!J$552/1000000</f>
        <v>5.9809163615327787E-2</v>
      </c>
      <c r="K301" s="336">
        <f>Saldo_relativo_per_capita!K301*Saldo_relativo_per_capita!K$552/1000000</f>
        <v>-2.5834216132248646E-2</v>
      </c>
      <c r="L301" s="336">
        <f>Saldo_relativo_per_capita!L301*Saldo_relativo_per_capita!L$552/1000000</f>
        <v>-1.4929226194992715E-2</v>
      </c>
      <c r="M301" s="336">
        <f>Saldo_relativo_per_capita!M301*Saldo_relativo_per_capita!M$552/1000000</f>
        <v>4.348822997732371E-6</v>
      </c>
      <c r="N301" s="336">
        <f>Saldo_relativo_per_capita!N301*Saldo_relativo_per_capita!N$552/1000000</f>
        <v>-2.0415866879216423E-2</v>
      </c>
      <c r="O301" s="336">
        <f>Saldo_relativo_per_capita!O301*Saldo_relativo_per_capita!O$552/1000000</f>
        <v>1.0357652044454815E-2</v>
      </c>
      <c r="P301" s="336">
        <f>Saldo_relativo_per_capita!P301*Saldo_relativo_per_capita!P$552/1000000</f>
        <v>-2.088812745683696E-2</v>
      </c>
      <c r="Q301" s="336">
        <f>Saldo_relativo_per_capita!Q301*Saldo_relativo_per_capita!Q$552/1000000</f>
        <v>8.9514701051050638E-2</v>
      </c>
      <c r="R301" s="336">
        <f>Saldo_relativo_per_capita!R301*Saldo_relativo_per_capita!R$552/1000000</f>
        <v>2.5465499667010345E-2</v>
      </c>
      <c r="S301" s="336">
        <f>Saldo_relativo_per_capita!S301*Saldo_relativo_per_capita!S$552/1000000</f>
        <v>0</v>
      </c>
      <c r="T301" s="336">
        <f>Saldo_relativo_per_capita!T301*Saldo_relativo_per_capita!T$552/1000000</f>
        <v>0</v>
      </c>
      <c r="U301" s="336">
        <f>Saldo_relativo_per_capita!U301*Saldo_relativo_per_capita!U$552/1000000</f>
        <v>3.0926939279538684E-2</v>
      </c>
      <c r="V301" s="336">
        <f>Saldo_relativo_per_capita!V301*Saldo_relativo_per_capita!V$552/1000000</f>
        <v>-8.0799702216415234E-3</v>
      </c>
      <c r="W301" s="148"/>
      <c r="X301" s="231"/>
    </row>
    <row r="302" spans="1:24" s="115" customFormat="1">
      <c r="A302" s="351" t="str">
        <f>IF(B302="","",(IF(ISERROR(MATCH(B302,Tot_res!C:C,0)),"Eliminar!!!","")))</f>
        <v/>
      </c>
      <c r="B302" s="119" t="s">
        <v>304</v>
      </c>
      <c r="C302" s="329" t="str">
        <f>VLOOKUP(B302,Tot_res!C:D,2,FALSE)</f>
        <v>Seguridad alimentaria y nutrición</v>
      </c>
      <c r="D302" s="336">
        <f>Saldo_relativo_per_capita!D302*Saldo_relativo_per_capita!D$552/1000000</f>
        <v>0</v>
      </c>
      <c r="E302" s="336">
        <f>Saldo_relativo_per_capita!E302*Saldo_relativo_per_capita!E$552/1000000</f>
        <v>0</v>
      </c>
      <c r="F302" s="336">
        <f>Saldo_relativo_per_capita!F302*Saldo_relativo_per_capita!F$552/1000000</f>
        <v>0</v>
      </c>
      <c r="G302" s="336">
        <f>Saldo_relativo_per_capita!G302*Saldo_relativo_per_capita!G$552/1000000</f>
        <v>0</v>
      </c>
      <c r="H302" s="336">
        <f>Saldo_relativo_per_capita!H302*Saldo_relativo_per_capita!H$552/1000000</f>
        <v>0</v>
      </c>
      <c r="I302" s="336">
        <f>Saldo_relativo_per_capita!I302*Saldo_relativo_per_capita!I$552/1000000</f>
        <v>0</v>
      </c>
      <c r="J302" s="336">
        <f>Saldo_relativo_per_capita!J302*Saldo_relativo_per_capita!J$552/1000000</f>
        <v>0</v>
      </c>
      <c r="K302" s="336">
        <f>Saldo_relativo_per_capita!K302*Saldo_relativo_per_capita!K$552/1000000</f>
        <v>0</v>
      </c>
      <c r="L302" s="336">
        <f>Saldo_relativo_per_capita!L302*Saldo_relativo_per_capita!L$552/1000000</f>
        <v>0</v>
      </c>
      <c r="M302" s="336">
        <f>Saldo_relativo_per_capita!M302*Saldo_relativo_per_capita!M$552/1000000</f>
        <v>0</v>
      </c>
      <c r="N302" s="336">
        <f>Saldo_relativo_per_capita!N302*Saldo_relativo_per_capita!N$552/1000000</f>
        <v>0</v>
      </c>
      <c r="O302" s="336">
        <f>Saldo_relativo_per_capita!O302*Saldo_relativo_per_capita!O$552/1000000</f>
        <v>0</v>
      </c>
      <c r="P302" s="336">
        <f>Saldo_relativo_per_capita!P302*Saldo_relativo_per_capita!P$552/1000000</f>
        <v>0</v>
      </c>
      <c r="Q302" s="336">
        <f>Saldo_relativo_per_capita!Q302*Saldo_relativo_per_capita!Q$552/1000000</f>
        <v>0</v>
      </c>
      <c r="R302" s="336">
        <f>Saldo_relativo_per_capita!R302*Saldo_relativo_per_capita!R$552/1000000</f>
        <v>0</v>
      </c>
      <c r="S302" s="336">
        <f>Saldo_relativo_per_capita!S302*Saldo_relativo_per_capita!S$552/1000000</f>
        <v>0</v>
      </c>
      <c r="T302" s="336">
        <f>Saldo_relativo_per_capita!T302*Saldo_relativo_per_capita!T$552/1000000</f>
        <v>0</v>
      </c>
      <c r="U302" s="336">
        <f>Saldo_relativo_per_capita!U302*Saldo_relativo_per_capita!U$552/1000000</f>
        <v>0</v>
      </c>
      <c r="V302" s="336">
        <f>Saldo_relativo_per_capita!V302*Saldo_relativo_per_capita!V$552/1000000</f>
        <v>0</v>
      </c>
      <c r="W302" s="148"/>
      <c r="X302" s="231"/>
    </row>
    <row r="303" spans="1:24" s="115" customFormat="1">
      <c r="A303" s="351" t="str">
        <f>IF(B303="","",(IF(ISERROR(MATCH(B303,Tot_res!C:C,0)),"Eliminar!!!","")))</f>
        <v/>
      </c>
      <c r="B303" s="119" t="s">
        <v>305</v>
      </c>
      <c r="C303" s="329" t="str">
        <f>VLOOKUP(B303,Tot_res!C:D,2,FALSE)</f>
        <v>Donación y trasplante de órganos, tejidos y células</v>
      </c>
      <c r="D303" s="336">
        <f>Saldo_relativo_per_capita!D303*Saldo_relativo_per_capita!D$552/1000000</f>
        <v>0</v>
      </c>
      <c r="E303" s="336">
        <f>Saldo_relativo_per_capita!E303*Saldo_relativo_per_capita!E$552/1000000</f>
        <v>-3.031761709797701E-2</v>
      </c>
      <c r="F303" s="336">
        <f>Saldo_relativo_per_capita!F303*Saldo_relativo_per_capita!F$552/1000000</f>
        <v>5.8842242921354881E-3</v>
      </c>
      <c r="G303" s="336">
        <f>Saldo_relativo_per_capita!G303*Saldo_relativo_per_capita!G$552/1000000</f>
        <v>1.046691247563894E-2</v>
      </c>
      <c r="H303" s="336">
        <f>Saldo_relativo_per_capita!H303*Saldo_relativo_per_capita!H$552/1000000</f>
        <v>-5.840701901518486E-3</v>
      </c>
      <c r="I303" s="336">
        <f>Saldo_relativo_per_capita!I303*Saldo_relativo_per_capita!I$552/1000000</f>
        <v>-1.1645442938894282E-2</v>
      </c>
      <c r="J303" s="336">
        <f>Saldo_relativo_per_capita!J303*Saldo_relativo_per_capita!J$552/1000000</f>
        <v>2.2427619579096342E-3</v>
      </c>
      <c r="K303" s="336">
        <f>Saldo_relativo_per_capita!K303*Saldo_relativo_per_capita!K$552/1000000</f>
        <v>2.3708476045196786E-2</v>
      </c>
      <c r="L303" s="336">
        <f>Saldo_relativo_per_capita!L303*Saldo_relativo_per_capita!L$552/1000000</f>
        <v>-4.3571750124283165E-4</v>
      </c>
      <c r="M303" s="336">
        <f>Saldo_relativo_per_capita!M303*Saldo_relativo_per_capita!M$552/1000000</f>
        <v>-3.9665324418959834E-3</v>
      </c>
      <c r="N303" s="336">
        <f>Saldo_relativo_per_capita!N303*Saldo_relativo_per_capita!N$552/1000000</f>
        <v>-1.3430989808438855E-3</v>
      </c>
      <c r="O303" s="336">
        <f>Saldo_relativo_per_capita!O303*Saldo_relativo_per_capita!O$552/1000000</f>
        <v>2.6955444702051255E-3</v>
      </c>
      <c r="P303" s="336">
        <f>Saldo_relativo_per_capita!P303*Saldo_relativo_per_capita!P$552/1000000</f>
        <v>2.3893284995617048E-2</v>
      </c>
      <c r="Q303" s="336">
        <f>Saldo_relativo_per_capita!Q303*Saldo_relativo_per_capita!Q$552/1000000</f>
        <v>-1.7127261313910437E-2</v>
      </c>
      <c r="R303" s="336">
        <f>Saldo_relativo_per_capita!R303*Saldo_relativo_per_capita!R$552/1000000</f>
        <v>-8.4188173877189562E-3</v>
      </c>
      <c r="S303" s="336">
        <f>Saldo_relativo_per_capita!S303*Saldo_relativo_per_capita!S$552/1000000</f>
        <v>6.3792461041227715E-4</v>
      </c>
      <c r="T303" s="336">
        <f>Saldo_relativo_per_capita!T303*Saldo_relativo_per_capita!T$552/1000000</f>
        <v>1.0816947743988413E-2</v>
      </c>
      <c r="U303" s="336">
        <f>Saldo_relativo_per_capita!U303*Saldo_relativo_per_capita!U$552/1000000</f>
        <v>8.0341873310697755E-4</v>
      </c>
      <c r="V303" s="336">
        <f>Saldo_relativo_per_capita!V303*Saldo_relativo_per_capita!V$552/1000000</f>
        <v>-2.0543057602089576E-3</v>
      </c>
      <c r="W303" s="148"/>
      <c r="X303" s="231"/>
    </row>
    <row r="304" spans="1:24" s="115" customFormat="1">
      <c r="A304" s="351" t="str">
        <f>IF(B304="","",(IF(ISERROR(MATCH(B304,Tot_res!C:C,0)),"Eliminar!!!","")))</f>
        <v/>
      </c>
      <c r="B304" s="115" t="s">
        <v>306</v>
      </c>
      <c r="C304" s="329" t="str">
        <f>VLOOKUP(B304,Tot_res!C:D,2,FALSE)</f>
        <v>Protec. y promoc. de derechos de consum. y usuar.</v>
      </c>
      <c r="D304" s="336">
        <f>Saldo_relativo_per_capita!D304*Saldo_relativo_per_capita!D$552/1000000</f>
        <v>0</v>
      </c>
      <c r="E304" s="336">
        <f>Saldo_relativo_per_capita!E304*Saldo_relativo_per_capita!E$552/1000000</f>
        <v>0</v>
      </c>
      <c r="F304" s="336">
        <f>Saldo_relativo_per_capita!F304*Saldo_relativo_per_capita!F$552/1000000</f>
        <v>0</v>
      </c>
      <c r="G304" s="336">
        <f>Saldo_relativo_per_capita!G304*Saldo_relativo_per_capita!G$552/1000000</f>
        <v>0</v>
      </c>
      <c r="H304" s="336">
        <f>Saldo_relativo_per_capita!H304*Saldo_relativo_per_capita!H$552/1000000</f>
        <v>0</v>
      </c>
      <c r="I304" s="336">
        <f>Saldo_relativo_per_capita!I304*Saldo_relativo_per_capita!I$552/1000000</f>
        <v>0</v>
      </c>
      <c r="J304" s="336">
        <f>Saldo_relativo_per_capita!J304*Saldo_relativo_per_capita!J$552/1000000</f>
        <v>0</v>
      </c>
      <c r="K304" s="336">
        <f>Saldo_relativo_per_capita!K304*Saldo_relativo_per_capita!K$552/1000000</f>
        <v>0</v>
      </c>
      <c r="L304" s="336">
        <f>Saldo_relativo_per_capita!L304*Saldo_relativo_per_capita!L$552/1000000</f>
        <v>0</v>
      </c>
      <c r="M304" s="336">
        <f>Saldo_relativo_per_capita!M304*Saldo_relativo_per_capita!M$552/1000000</f>
        <v>0</v>
      </c>
      <c r="N304" s="336">
        <f>Saldo_relativo_per_capita!N304*Saldo_relativo_per_capita!N$552/1000000</f>
        <v>0</v>
      </c>
      <c r="O304" s="336">
        <f>Saldo_relativo_per_capita!O304*Saldo_relativo_per_capita!O$552/1000000</f>
        <v>0</v>
      </c>
      <c r="P304" s="336">
        <f>Saldo_relativo_per_capita!P304*Saldo_relativo_per_capita!P$552/1000000</f>
        <v>0</v>
      </c>
      <c r="Q304" s="336">
        <f>Saldo_relativo_per_capita!Q304*Saldo_relativo_per_capita!Q$552/1000000</f>
        <v>0</v>
      </c>
      <c r="R304" s="336">
        <f>Saldo_relativo_per_capita!R304*Saldo_relativo_per_capita!R$552/1000000</f>
        <v>0</v>
      </c>
      <c r="S304" s="336">
        <f>Saldo_relativo_per_capita!S304*Saldo_relativo_per_capita!S$552/1000000</f>
        <v>0</v>
      </c>
      <c r="T304" s="336">
        <f>Saldo_relativo_per_capita!T304*Saldo_relativo_per_capita!T$552/1000000</f>
        <v>0</v>
      </c>
      <c r="U304" s="336">
        <f>Saldo_relativo_per_capita!U304*Saldo_relativo_per_capita!U$552/1000000</f>
        <v>0</v>
      </c>
      <c r="V304" s="336">
        <f>Saldo_relativo_per_capita!V304*Saldo_relativo_per_capita!V$552/1000000</f>
        <v>0</v>
      </c>
      <c r="W304" s="148"/>
      <c r="X304" s="231"/>
    </row>
    <row r="305" spans="1:24" s="115" customFormat="1">
      <c r="A305" s="351" t="str">
        <f>IF(B305="","",(IF(ISERROR(MATCH(B305,Tot_res!C:C,0)),"Eliminar!!!","")))</f>
        <v/>
      </c>
      <c r="B305" s="115" t="s">
        <v>783</v>
      </c>
      <c r="C305" s="329" t="str">
        <f>VLOOKUP(B305,Tot_res!C:D,2,FALSE)</f>
        <v>Atención Primaria de Salud, ISM</v>
      </c>
      <c r="D305" s="336">
        <f>Saldo_relativo_per_capita!D305*Saldo_relativo_per_capita!D$552/1000000</f>
        <v>0</v>
      </c>
      <c r="E305" s="336">
        <f>Saldo_relativo_per_capita!E305*Saldo_relativo_per_capita!E$552/1000000</f>
        <v>-0.19308169589146476</v>
      </c>
      <c r="F305" s="336">
        <f>Saldo_relativo_per_capita!F305*Saldo_relativo_per_capita!F$552/1000000</f>
        <v>-3.0376117273125239E-2</v>
      </c>
      <c r="G305" s="336">
        <f>Saldo_relativo_per_capita!G305*Saldo_relativo_per_capita!G$552/1000000</f>
        <v>-2.4282499665695078E-2</v>
      </c>
      <c r="H305" s="336">
        <f>Saldo_relativo_per_capita!H305*Saldo_relativo_per_capita!H$552/1000000</f>
        <v>-2.5373507594413185E-2</v>
      </c>
      <c r="I305" s="336">
        <f>Saldo_relativo_per_capita!I305*Saldo_relativo_per_capita!I$552/1000000</f>
        <v>-4.8325401873040914E-2</v>
      </c>
      <c r="J305" s="336">
        <f>Saldo_relativo_per_capita!J305*Saldo_relativo_per_capita!J$552/1000000</f>
        <v>-1.3489754065968846E-2</v>
      </c>
      <c r="K305" s="336">
        <f>Saldo_relativo_per_capita!K305*Saldo_relativo_per_capita!K$552/1000000</f>
        <v>-5.7079127019150765E-2</v>
      </c>
      <c r="L305" s="336">
        <f>Saldo_relativo_per_capita!L305*Saldo_relativo_per_capita!L$552/1000000</f>
        <v>-4.7551769502250339E-2</v>
      </c>
      <c r="M305" s="336">
        <f>Saldo_relativo_per_capita!M305*Saldo_relativo_per_capita!M$552/1000000</f>
        <v>-0.17269092824553745</v>
      </c>
      <c r="N305" s="336">
        <f>Saldo_relativo_per_capita!N305*Saldo_relativo_per_capita!N$552/1000000</f>
        <v>-0.11475410461233145</v>
      </c>
      <c r="O305" s="336">
        <f>Saldo_relativo_per_capita!O305*Saldo_relativo_per_capita!O$552/1000000</f>
        <v>-2.5197771380058701E-2</v>
      </c>
      <c r="P305" s="336">
        <f>Saldo_relativo_per_capita!P305*Saldo_relativo_per_capita!P$552/1000000</f>
        <v>-6.2988331925054222E-2</v>
      </c>
      <c r="Q305" s="336">
        <f>Saldo_relativo_per_capita!Q305*Saldo_relativo_per_capita!Q$552/1000000</f>
        <v>0.92515816352909286</v>
      </c>
      <c r="R305" s="336">
        <f>Saldo_relativo_per_capita!R305*Saldo_relativo_per_capita!R$552/1000000</f>
        <v>-3.3718851749593069E-2</v>
      </c>
      <c r="S305" s="336">
        <f>Saldo_relativo_per_capita!S305*Saldo_relativo_per_capita!S$552/1000000</f>
        <v>-1.4724354984378248E-2</v>
      </c>
      <c r="T305" s="336">
        <f>Saldo_relativo_per_capita!T305*Saldo_relativo_per_capita!T$552/1000000</f>
        <v>-5.0314914635613668E-2</v>
      </c>
      <c r="U305" s="336">
        <f>Saldo_relativo_per_capita!U305*Saldo_relativo_per_capita!U$552/1000000</f>
        <v>-7.309566951428279E-3</v>
      </c>
      <c r="V305" s="336">
        <f>Saldo_relativo_per_capita!V305*Saldo_relativo_per_capita!V$552/1000000</f>
        <v>-3.8994661599888254E-3</v>
      </c>
      <c r="W305" s="148"/>
      <c r="X305" s="231"/>
    </row>
    <row r="306" spans="1:24" s="115"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6">
        <f>Saldo_relativo_per_capita!D306*Saldo_relativo_per_capita!D$552/1000000</f>
        <v>0</v>
      </c>
      <c r="E306" s="336">
        <f>Saldo_relativo_per_capita!E306*Saldo_relativo_per_capita!E$552/1000000</f>
        <v>-36.934948274420066</v>
      </c>
      <c r="F306" s="336">
        <f>Saldo_relativo_per_capita!F306*Saldo_relativo_per_capita!F$552/1000000</f>
        <v>-2.0063772713716315</v>
      </c>
      <c r="G306" s="336">
        <f>Saldo_relativo_per_capita!G306*Saldo_relativo_per_capita!G$552/1000000</f>
        <v>3.8045495052976568</v>
      </c>
      <c r="H306" s="336">
        <f>Saldo_relativo_per_capita!H306*Saldo_relativo_per_capita!H$552/1000000</f>
        <v>3.3848099718263174</v>
      </c>
      <c r="I306" s="336">
        <f>Saldo_relativo_per_capita!I306*Saldo_relativo_per_capita!I$552/1000000</f>
        <v>-0.79626445138397406</v>
      </c>
      <c r="J306" s="336">
        <f>Saldo_relativo_per_capita!J306*Saldo_relativo_per_capita!J$552/1000000</f>
        <v>1.1367413063417768</v>
      </c>
      <c r="K306" s="336">
        <f>Saldo_relativo_per_capita!K306*Saldo_relativo_per_capita!K$552/1000000</f>
        <v>-0.76352883747467593</v>
      </c>
      <c r="L306" s="336">
        <f>Saldo_relativo_per_capita!L306*Saldo_relativo_per_capita!L$552/1000000</f>
        <v>0.74105592439035795</v>
      </c>
      <c r="M306" s="336">
        <f>Saldo_relativo_per_capita!M306*Saldo_relativo_per_capita!M$552/1000000</f>
        <v>37.371230978728995</v>
      </c>
      <c r="N306" s="336">
        <f>Saldo_relativo_per_capita!N306*Saldo_relativo_per_capita!N$552/1000000</f>
        <v>5.1984411031575339</v>
      </c>
      <c r="O306" s="336">
        <f>Saldo_relativo_per_capita!O306*Saldo_relativo_per_capita!O$552/1000000</f>
        <v>-5.1625204635840998</v>
      </c>
      <c r="P306" s="336">
        <f>Saldo_relativo_per_capita!P306*Saldo_relativo_per_capita!P$552/1000000</f>
        <v>-0.30639906898857244</v>
      </c>
      <c r="Q306" s="336">
        <f>Saldo_relativo_per_capita!Q306*Saldo_relativo_per_capita!Q$552/1000000</f>
        <v>-10.626953770444521</v>
      </c>
      <c r="R306" s="336">
        <f>Saldo_relativo_per_capita!R306*Saldo_relativo_per_capita!R$552/1000000</f>
        <v>-3.2425959571974121</v>
      </c>
      <c r="S306" s="336">
        <f>Saldo_relativo_per_capita!S306*Saldo_relativo_per_capita!S$552/1000000</f>
        <v>4.7443407584339372</v>
      </c>
      <c r="T306" s="336">
        <f>Saldo_relativo_per_capita!T306*Saldo_relativo_per_capita!T$552/1000000</f>
        <v>0.47039816602149875</v>
      </c>
      <c r="U306" s="336">
        <f>Saldo_relativo_per_capita!U306*Saldo_relativo_per_capita!U$552/1000000</f>
        <v>3.9591361662896754</v>
      </c>
      <c r="V306" s="336">
        <f>Saldo_relativo_per_capita!V306*Saldo_relativo_per_capita!V$552/1000000</f>
        <v>-0.97111578562272338</v>
      </c>
      <c r="W306" s="148"/>
      <c r="X306" s="231"/>
    </row>
    <row r="307" spans="1:24" s="115" customFormat="1">
      <c r="A307" s="351" t="str">
        <f>IF(B307="","",(IF(ISERROR(MATCH(B307,Tot_res!C:C,0)),"Eliminar!!!","")))</f>
        <v/>
      </c>
      <c r="B307" s="115" t="s">
        <v>786</v>
      </c>
      <c r="C307" s="329" t="str">
        <f>VLOOKUP(B307,Tot_res!C:D,2,FALSE)</f>
        <v>Atenció Primaria de Salud INGESA neto de Ceuta y Melilla</v>
      </c>
      <c r="D307" s="336">
        <f>Saldo_relativo_per_capita!D307*Saldo_relativo_per_capita!D$552/1000000</f>
        <v>0</v>
      </c>
      <c r="E307" s="336">
        <f>Saldo_relativo_per_capita!E307*Saldo_relativo_per_capita!E$552/1000000</f>
        <v>-0.28851646170752387</v>
      </c>
      <c r="F307" s="336">
        <f>Saldo_relativo_per_capita!F307*Saldo_relativo_per_capita!F$552/1000000</f>
        <v>7.8979901330989297E-2</v>
      </c>
      <c r="G307" s="336">
        <f>Saldo_relativo_per_capita!G307*Saldo_relativo_per_capita!G$552/1000000</f>
        <v>7.1021934429475381E-2</v>
      </c>
      <c r="H307" s="336">
        <f>Saldo_relativo_per_capita!H307*Saldo_relativo_per_capita!H$552/1000000</f>
        <v>5.1488678143649817E-2</v>
      </c>
      <c r="I307" s="336">
        <f>Saldo_relativo_per_capita!I307*Saldo_relativo_per_capita!I$552/1000000</f>
        <v>-7.2211267332359538E-2</v>
      </c>
      <c r="J307" s="336">
        <f>Saldo_relativo_per_capita!J307*Saldo_relativo_per_capita!J$552/1000000</f>
        <v>3.4226137385517344E-2</v>
      </c>
      <c r="K307" s="336">
        <f>Saldo_relativo_per_capita!K307*Saldo_relativo_per_capita!K$552/1000000</f>
        <v>0.15829950769105855</v>
      </c>
      <c r="L307" s="336">
        <f>Saldo_relativo_per_capita!L307*Saldo_relativo_per_capita!L$552/1000000</f>
        <v>0.10911206765815867</v>
      </c>
      <c r="M307" s="336">
        <f>Saldo_relativo_per_capita!M307*Saldo_relativo_per_capita!M$552/1000000</f>
        <v>-0.25804712019101778</v>
      </c>
      <c r="N307" s="336">
        <f>Saldo_relativo_per_capita!N307*Saldo_relativo_per_capita!N$552/1000000</f>
        <v>-0.17147377992668897</v>
      </c>
      <c r="O307" s="336">
        <f>Saldo_relativo_per_capita!O307*Saldo_relativo_per_capita!O$552/1000000</f>
        <v>6.2439518736150751E-2</v>
      </c>
      <c r="P307" s="336">
        <f>Saldo_relativo_per_capita!P307*Saldo_relativo_per_capita!P$552/1000000</f>
        <v>-9.4121664780131328E-2</v>
      </c>
      <c r="Q307" s="336">
        <f>Saldo_relativo_per_capita!Q307*Saldo_relativo_per_capita!Q$552/1000000</f>
        <v>0.325491565435859</v>
      </c>
      <c r="R307" s="336">
        <f>Saldo_relativo_per_capita!R307*Saldo_relativo_per_capita!R$552/1000000</f>
        <v>6.6873354969992582E-2</v>
      </c>
      <c r="S307" s="336">
        <f>Saldo_relativo_per_capita!S307*Saldo_relativo_per_capita!S$552/1000000</f>
        <v>-2.2002182969256531E-2</v>
      </c>
      <c r="T307" s="336">
        <f>Saldo_relativo_per_capita!T307*Saldo_relativo_per_capita!T$552/1000000</f>
        <v>-7.5184139411865789E-2</v>
      </c>
      <c r="U307" s="336">
        <f>Saldo_relativo_per_capita!U307*Saldo_relativo_per_capita!U$552/1000000</f>
        <v>1.8349808166507955E-2</v>
      </c>
      <c r="V307" s="336">
        <f>Saldo_relativo_per_capita!V307*Saldo_relativo_per_capita!V$552/1000000</f>
        <v>5.274142371484096E-3</v>
      </c>
      <c r="W307" s="148"/>
      <c r="X307" s="231"/>
    </row>
    <row r="308" spans="1:24" s="115" customFormat="1">
      <c r="A308" s="351" t="str">
        <f>IF(B308="","",(IF(ISERROR(MATCH(B308,Tot_res!C:C,0)),"Eliminar!!!","")))</f>
        <v/>
      </c>
      <c r="B308" s="115" t="s">
        <v>788</v>
      </c>
      <c r="C308" s="329" t="str">
        <f>VLOOKUP(B308,Tot_res!C:D,2,FALSE)</f>
        <v>Atención Especializada, INGESA neto de Ceuta y Melilla</v>
      </c>
      <c r="D308" s="336">
        <f>Saldo_relativo_per_capita!D308*Saldo_relativo_per_capita!D$552/1000000</f>
        <v>0</v>
      </c>
      <c r="E308" s="336">
        <f>Saldo_relativo_per_capita!E308*Saldo_relativo_per_capita!E$552/1000000</f>
        <v>-6.4155400384701203E-2</v>
      </c>
      <c r="F308" s="336">
        <f>Saldo_relativo_per_capita!F308*Saldo_relativo_per_capita!F$552/1000000</f>
        <v>1.4384802193158405E-2</v>
      </c>
      <c r="G308" s="336">
        <f>Saldo_relativo_per_capita!G308*Saldo_relativo_per_capita!G$552/1000000</f>
        <v>1.8351524624892371E-2</v>
      </c>
      <c r="H308" s="336">
        <f>Saldo_relativo_per_capita!H308*Saldo_relativo_per_capita!H$552/1000000</f>
        <v>-5.7016984379872873E-4</v>
      </c>
      <c r="I308" s="336">
        <f>Saldo_relativo_per_capita!I308*Saldo_relativo_per_capita!I$552/1000000</f>
        <v>-2.1317143309079981E-2</v>
      </c>
      <c r="J308" s="336">
        <f>Saldo_relativo_per_capita!J308*Saldo_relativo_per_capita!J$552/1000000</f>
        <v>5.6511939568850084E-3</v>
      </c>
      <c r="K308" s="336">
        <f>Saldo_relativo_per_capita!K308*Saldo_relativo_per_capita!K$552/1000000</f>
        <v>3.5624110960292596E-2</v>
      </c>
      <c r="L308" s="336">
        <f>Saldo_relativo_per_capita!L308*Saldo_relativo_per_capita!L$552/1000000</f>
        <v>9.8963821277578568E-3</v>
      </c>
      <c r="M308" s="336">
        <f>Saldo_relativo_per_capita!M308*Saldo_relativo_per_capita!M$552/1000000</f>
        <v>-2.105774596895478E-2</v>
      </c>
      <c r="N308" s="336">
        <f>Saldo_relativo_per_capita!N308*Saldo_relativo_per_capita!N$552/1000000</f>
        <v>-2.6562926021063256E-2</v>
      </c>
      <c r="O308" s="336">
        <f>Saldo_relativo_per_capita!O308*Saldo_relativo_per_capita!O$552/1000000</f>
        <v>9.2593781640058458E-3</v>
      </c>
      <c r="P308" s="336">
        <f>Saldo_relativo_per_capita!P308*Saldo_relativo_per_capita!P$552/1000000</f>
        <v>1.6227814326766614E-2</v>
      </c>
      <c r="Q308" s="336">
        <f>Saldo_relativo_per_capita!Q308*Saldo_relativo_per_capita!Q$552/1000000</f>
        <v>1.8276062405849083E-2</v>
      </c>
      <c r="R308" s="336">
        <f>Saldo_relativo_per_capita!R308*Saldo_relativo_per_capita!R$552/1000000</f>
        <v>-2.1045215044073048E-3</v>
      </c>
      <c r="S308" s="336">
        <f>Saldo_relativo_per_capita!S308*Saldo_relativo_per_capita!S$552/1000000</f>
        <v>-1.5744797154900285E-3</v>
      </c>
      <c r="T308" s="336">
        <f>Saldo_relativo_per_capita!T308*Saldo_relativo_per_capita!T$552/1000000</f>
        <v>9.1598455210349476E-3</v>
      </c>
      <c r="U308" s="336">
        <f>Saldo_relativo_per_capita!U308*Saldo_relativo_per_capita!U$552/1000000</f>
        <v>2.8918551732725491E-3</v>
      </c>
      <c r="V308" s="336">
        <f>Saldo_relativo_per_capita!V308*Saldo_relativo_per_capita!V$552/1000000</f>
        <v>-2.3805827064199265E-3</v>
      </c>
      <c r="W308" s="148"/>
      <c r="X308" s="231"/>
    </row>
    <row r="309" spans="1:24" s="115" customFormat="1">
      <c r="A309" s="351" t="str">
        <f>IF(B309="","",(IF(ISERROR(MATCH(B309,Tot_res!C:C,0)),"Eliminar!!!","")))</f>
        <v/>
      </c>
      <c r="B309" s="115" t="s">
        <v>790</v>
      </c>
      <c r="C309" s="329" t="str">
        <f>VLOOKUP(B309,Tot_res!C:D,2,FALSE)</f>
        <v>Atención Especializada, ISM</v>
      </c>
      <c r="D309" s="336">
        <f>Saldo_relativo_per_capita!D309*Saldo_relativo_per_capita!D$552/1000000</f>
        <v>0</v>
      </c>
      <c r="E309" s="336">
        <f>Saldo_relativo_per_capita!E309*Saldo_relativo_per_capita!E$552/1000000</f>
        <v>-4.9385575018426067E-2</v>
      </c>
      <c r="F309" s="336">
        <f>Saldo_relativo_per_capita!F309*Saldo_relativo_per_capita!F$552/1000000</f>
        <v>-7.7694677966972867E-3</v>
      </c>
      <c r="G309" s="336">
        <f>Saldo_relativo_per_capita!G309*Saldo_relativo_per_capita!G$552/1000000</f>
        <v>-6.2108694629924343E-3</v>
      </c>
      <c r="H309" s="336">
        <f>Saldo_relativo_per_capita!H309*Saldo_relativo_per_capita!H$552/1000000</f>
        <v>-6.4899226050349236E-3</v>
      </c>
      <c r="I309" s="336">
        <f>Saldo_relativo_per_capita!I309*Saldo_relativo_per_capita!I$552/1000000</f>
        <v>-1.2360455756708261E-2</v>
      </c>
      <c r="J309" s="336">
        <f>Saldo_relativo_per_capita!J309*Saldo_relativo_per_capita!J$552/1000000</f>
        <v>-3.4503491298289975E-3</v>
      </c>
      <c r="K309" s="336">
        <f>Saldo_relativo_per_capita!K309*Saldo_relativo_per_capita!K$552/1000000</f>
        <v>-1.4599444532407123E-2</v>
      </c>
      <c r="L309" s="336">
        <f>Saldo_relativo_per_capita!L309*Saldo_relativo_per_capita!L$552/1000000</f>
        <v>-1.2162579519357222E-2</v>
      </c>
      <c r="M309" s="336">
        <f>Saldo_relativo_per_capita!M309*Saldo_relativo_per_capita!M$552/1000000</f>
        <v>-4.4170115414076512E-2</v>
      </c>
      <c r="N309" s="336">
        <f>Saldo_relativo_per_capita!N309*Saldo_relativo_per_capita!N$552/1000000</f>
        <v>-2.9351293067108014E-2</v>
      </c>
      <c r="O309" s="336">
        <f>Saldo_relativo_per_capita!O309*Saldo_relativo_per_capita!O$552/1000000</f>
        <v>-6.444973579922071E-3</v>
      </c>
      <c r="P309" s="336">
        <f>Saldo_relativo_per_capita!P309*Saldo_relativo_per_capita!P$552/1000000</f>
        <v>-1.6110874607807902E-2</v>
      </c>
      <c r="Q309" s="336">
        <f>Saldo_relativo_per_capita!Q309*Saldo_relativo_per_capita!Q$552/1000000</f>
        <v>0.22533932880298665</v>
      </c>
      <c r="R309" s="336">
        <f>Saldo_relativo_per_capita!R309*Saldo_relativo_per_capita!R$552/1000000</f>
        <v>-8.6244575122790181E-3</v>
      </c>
      <c r="S309" s="336">
        <f>Saldo_relativo_per_capita!S309*Saldo_relativo_per_capita!S$552/1000000</f>
        <v>-3.7661298463408229E-3</v>
      </c>
      <c r="T309" s="336">
        <f>Saldo_relativo_per_capita!T309*Saldo_relativo_per_capita!T$552/1000000</f>
        <v>-1.5758244577651608E-3</v>
      </c>
      <c r="U309" s="336">
        <f>Saldo_relativo_per_capita!U309*Saldo_relativo_per_capita!U$552/1000000</f>
        <v>-1.869608433700974E-3</v>
      </c>
      <c r="V309" s="336">
        <f>Saldo_relativo_per_capita!V309*Saldo_relativo_per_capita!V$552/1000000</f>
        <v>-9.973880625338701E-4</v>
      </c>
      <c r="W309" s="148"/>
    </row>
    <row r="310" spans="1:24" s="115" customFormat="1">
      <c r="A310" s="351" t="str">
        <f>IF(B310="","",(IF(ISERROR(MATCH(B310,Tot_res!C:C,0)),"Eliminar!!!","")))</f>
        <v/>
      </c>
      <c r="B310" s="115" t="s">
        <v>792</v>
      </c>
      <c r="C310" s="329" t="str">
        <f>VLOOKUP(B310,Tot_res!C:D,2,FALSE)</f>
        <v>Atención Especializada, mutuas de la Seg. Social</v>
      </c>
      <c r="D310" s="336">
        <f>Saldo_relativo_per_capita!D310*Saldo_relativo_per_capita!D$552/1000000</f>
        <v>0</v>
      </c>
      <c r="E310" s="336">
        <f>Saldo_relativo_per_capita!E310*Saldo_relativo_per_capita!E$552/1000000</f>
        <v>-35.78941297842939</v>
      </c>
      <c r="F310" s="336">
        <f>Saldo_relativo_per_capita!F310*Saldo_relativo_per_capita!F$552/1000000</f>
        <v>18.03964393643173</v>
      </c>
      <c r="G310" s="336">
        <f>Saldo_relativo_per_capita!G310*Saldo_relativo_per_capita!G$552/1000000</f>
        <v>-3.799812006406218</v>
      </c>
      <c r="H310" s="336">
        <f>Saldo_relativo_per_capita!H310*Saldo_relativo_per_capita!H$552/1000000</f>
        <v>-0.51820106941774824</v>
      </c>
      <c r="I310" s="336">
        <f>Saldo_relativo_per_capita!I310*Saldo_relativo_per_capita!I$552/1000000</f>
        <v>-8.0243363764698774</v>
      </c>
      <c r="J310" s="336">
        <f>Saldo_relativo_per_capita!J310*Saldo_relativo_per_capita!J$552/1000000</f>
        <v>0.98979549655958599</v>
      </c>
      <c r="K310" s="336">
        <f>Saldo_relativo_per_capita!K310*Saldo_relativo_per_capita!K$552/1000000</f>
        <v>-13.752376913041806</v>
      </c>
      <c r="L310" s="336">
        <f>Saldo_relativo_per_capita!L310*Saldo_relativo_per_capita!L$552/1000000</f>
        <v>-11.141648163077978</v>
      </c>
      <c r="M310" s="336">
        <f>Saldo_relativo_per_capita!M310*Saldo_relativo_per_capita!M$552/1000000</f>
        <v>22.503026585477844</v>
      </c>
      <c r="N310" s="336">
        <f>Saldo_relativo_per_capita!N310*Saldo_relativo_per_capita!N$552/1000000</f>
        <v>-0.41998462578714996</v>
      </c>
      <c r="O310" s="336">
        <f>Saldo_relativo_per_capita!O310*Saldo_relativo_per_capita!O$552/1000000</f>
        <v>-6.6126276331156131</v>
      </c>
      <c r="P310" s="336">
        <f>Saldo_relativo_per_capita!P310*Saldo_relativo_per_capita!P$552/1000000</f>
        <v>-0.98357559516258242</v>
      </c>
      <c r="Q310" s="336">
        <f>Saldo_relativo_per_capita!Q310*Saldo_relativo_per_capita!Q$552/1000000</f>
        <v>25.639056149010408</v>
      </c>
      <c r="R310" s="336">
        <f>Saldo_relativo_per_capita!R310*Saldo_relativo_per_capita!R$552/1000000</f>
        <v>-2.5472112079876763</v>
      </c>
      <c r="S310" s="336">
        <f>Saldo_relativo_per_capita!S310*Saldo_relativo_per_capita!S$552/1000000</f>
        <v>-1.1585502237686471</v>
      </c>
      <c r="T310" s="336">
        <f>Saldo_relativo_per_capita!T310*Saldo_relativo_per_capita!T$552/1000000</f>
        <v>20.002213349361057</v>
      </c>
      <c r="U310" s="336">
        <f>Saldo_relativo_per_capita!U310*Saldo_relativo_per_capita!U$552/1000000</f>
        <v>-1.2257647370382592</v>
      </c>
      <c r="V310" s="336">
        <f>Saldo_relativo_per_capita!V310*Saldo_relativo_per_capita!V$552/1000000</f>
        <v>-1.2002339871376606</v>
      </c>
      <c r="W310" s="148"/>
    </row>
    <row r="311" spans="1:24" s="115" customFormat="1">
      <c r="A311" s="351" t="str">
        <f>IF(B311="","",(IF(ISERROR(MATCH(B311,Tot_res!C:C,0)),"Eliminar!!!","")))</f>
        <v/>
      </c>
      <c r="B311" s="115" t="s">
        <v>622</v>
      </c>
      <c r="C311" s="329" t="str">
        <f>VLOOKUP(B311,Tot_res!C:D,2,FALSE)</f>
        <v xml:space="preserve">Medicina Marítima </v>
      </c>
      <c r="D311" s="336">
        <f>Saldo_relativo_per_capita!D311*Saldo_relativo_per_capita!D$552/1000000</f>
        <v>0</v>
      </c>
      <c r="E311" s="336">
        <f>Saldo_relativo_per_capita!E311*Saldo_relativo_per_capita!E$552/1000000</f>
        <v>-1.6243779457717786</v>
      </c>
      <c r="F311" s="336">
        <f>Saldo_relativo_per_capita!F311*Saldo_relativo_per_capita!F$552/1000000</f>
        <v>-0.63470786146035052</v>
      </c>
      <c r="G311" s="336">
        <f>Saldo_relativo_per_capita!G311*Saldo_relativo_per_capita!G$552/1000000</f>
        <v>6.060190640945369E-2</v>
      </c>
      <c r="H311" s="336">
        <f>Saldo_relativo_per_capita!H311*Saldo_relativo_per_capita!H$552/1000000</f>
        <v>-0.12730919526701709</v>
      </c>
      <c r="I311" s="336">
        <f>Saldo_relativo_per_capita!I311*Saldo_relativo_per_capita!I$552/1000000</f>
        <v>5.0011146367450294</v>
      </c>
      <c r="J311" s="336">
        <f>Saldo_relativo_per_capita!J311*Saldo_relativo_per_capita!J$552/1000000</f>
        <v>4.3495674630992962</v>
      </c>
      <c r="K311" s="336">
        <f>Saldo_relativo_per_capita!K311*Saldo_relativo_per_capita!K$552/1000000</f>
        <v>-1.1926662752385908</v>
      </c>
      <c r="L311" s="336">
        <f>Saldo_relativo_per_capita!L311*Saldo_relativo_per_capita!L$552/1000000</f>
        <v>-0.993592487744686</v>
      </c>
      <c r="M311" s="336">
        <f>Saldo_relativo_per_capita!M311*Saldo_relativo_per_capita!M$552/1000000</f>
        <v>-2.341131762025253</v>
      </c>
      <c r="N311" s="336">
        <f>Saldo_relativo_per_capita!N311*Saldo_relativo_per_capita!N$552/1000000</f>
        <v>-1.6032058528442144</v>
      </c>
      <c r="O311" s="336">
        <f>Saldo_relativo_per_capita!O311*Saldo_relativo_per_capita!O$552/1000000</f>
        <v>-0.52650651307412555</v>
      </c>
      <c r="P311" s="336">
        <f>Saldo_relativo_per_capita!P311*Saldo_relativo_per_capita!P$552/1000000</f>
        <v>3.1425471292323799</v>
      </c>
      <c r="Q311" s="336">
        <f>Saldo_relativo_per_capita!Q311*Saldo_relativo_per_capita!Q$552/1000000</f>
        <v>-2.9967367006156915</v>
      </c>
      <c r="R311" s="336">
        <f>Saldo_relativo_per_capita!R311*Saldo_relativo_per_capita!R$552/1000000</f>
        <v>-0.35425807263312292</v>
      </c>
      <c r="S311" s="336">
        <f>Saldo_relativo_per_capita!S311*Saldo_relativo_per_capita!S$552/1000000</f>
        <v>-0.30766485984652786</v>
      </c>
      <c r="T311" s="336">
        <f>Saldo_relativo_per_capita!T311*Saldo_relativo_per_capita!T$552/1000000</f>
        <v>-5.0332592376285609E-2</v>
      </c>
      <c r="U311" s="336">
        <f>Saldo_relativo_per_capita!U311*Saldo_relativo_per_capita!U$552/1000000</f>
        <v>-0.15273313459475496</v>
      </c>
      <c r="V311" s="336">
        <f>Saldo_relativo_per_capita!V311*Saldo_relativo_per_capita!V$552/1000000</f>
        <v>0.35139211800624043</v>
      </c>
      <c r="W311" s="148"/>
    </row>
    <row r="312" spans="1:24" s="115" customFormat="1">
      <c r="A312" s="351" t="str">
        <f>IF(B312="","",(IF(ISERROR(MATCH(B312,Tot_res!C:C,0)),"Eliminar!!!","")))</f>
        <v/>
      </c>
      <c r="B312" s="115" t="s">
        <v>794</v>
      </c>
      <c r="C312" s="329" t="str">
        <f>VLOOKUP(B312,Tot_res!C:D,2,FALSE)</f>
        <v>Admón.,Ser.Grales.y Cont.Int.Asist.San., neto CyMel</v>
      </c>
      <c r="D312" s="336">
        <f>Saldo_relativo_per_capita!D312*Saldo_relativo_per_capita!D$552/1000000</f>
        <v>0</v>
      </c>
      <c r="E312" s="336">
        <f>Saldo_relativo_per_capita!E312*Saldo_relativo_per_capita!E$552/1000000</f>
        <v>-2.1206805798337097E-2</v>
      </c>
      <c r="F312" s="336">
        <f>Saldo_relativo_per_capita!F312*Saldo_relativo_per_capita!F$552/1000000</f>
        <v>5.6369902587235874E-3</v>
      </c>
      <c r="G312" s="336">
        <f>Saldo_relativo_per_capita!G312*Saldo_relativo_per_capita!G$552/1000000</f>
        <v>5.3558288732882377E-3</v>
      </c>
      <c r="H312" s="336">
        <f>Saldo_relativo_per_capita!H312*Saldo_relativo_per_capita!H$552/1000000</f>
        <v>3.148067821431972E-3</v>
      </c>
      <c r="I312" s="336">
        <f>Saldo_relativo_per_capita!I312*Saldo_relativo_per_capita!I$552/1000000</f>
        <v>-5.586291661002365E-3</v>
      </c>
      <c r="J312" s="336">
        <f>Saldo_relativo_per_capita!J312*Saldo_relativo_per_capita!J$552/1000000</f>
        <v>2.4119569332441315E-3</v>
      </c>
      <c r="K312" s="336">
        <f>Saldo_relativo_per_capita!K312*Saldo_relativo_per_capita!K$552/1000000</f>
        <v>1.1657939332121909E-2</v>
      </c>
      <c r="L312" s="336">
        <f>Saldo_relativo_per_capita!L312*Saldo_relativo_per_capita!L$552/1000000</f>
        <v>7.2592799894416792E-3</v>
      </c>
      <c r="M312" s="336">
        <f>Saldo_relativo_per_capita!M312*Saldo_relativo_per_capita!M$552/1000000</f>
        <v>-1.7043717895586449E-2</v>
      </c>
      <c r="N312" s="336">
        <f>Saldo_relativo_per_capita!N312*Saldo_relativo_per_capita!N$552/1000000</f>
        <v>-1.1991305470360012E-2</v>
      </c>
      <c r="O312" s="336">
        <f>Saldo_relativo_per_capita!O312*Saldo_relativo_per_capita!O$552/1000000</f>
        <v>4.3445717466135993E-3</v>
      </c>
      <c r="P312" s="336">
        <f>Saldo_relativo_per_capita!P312*Saldo_relativo_per_capita!P$552/1000000</f>
        <v>-4.9505191631315825E-3</v>
      </c>
      <c r="Q312" s="336">
        <f>Saldo_relativo_per_capita!Q312*Saldo_relativo_per_capita!Q$552/1000000</f>
        <v>2.1059579931336048E-2</v>
      </c>
      <c r="R312" s="336">
        <f>Saldo_relativo_per_capita!R312*Saldo_relativo_per_capita!R$552/1000000</f>
        <v>4.0164701579795039E-3</v>
      </c>
      <c r="S312" s="336">
        <f>Saldo_relativo_per_capita!S312*Saldo_relativo_per_capita!S$552/1000000</f>
        <v>-1.4415161371046363E-3</v>
      </c>
      <c r="T312" s="336">
        <f>Saldo_relativo_per_capita!T312*Saldo_relativo_per_capita!T$552/1000000</f>
        <v>-4.1558489576572002E-3</v>
      </c>
      <c r="U312" s="336">
        <f>Saldo_relativo_per_capita!U312*Saldo_relativo_per_capita!U$552/1000000</f>
        <v>1.2858279645500709E-3</v>
      </c>
      <c r="V312" s="336">
        <f>Saldo_relativo_per_capita!V312*Saldo_relativo_per_capita!V$552/1000000</f>
        <v>1.9949207444858137E-4</v>
      </c>
      <c r="W312" s="148"/>
    </row>
    <row r="313" spans="1:24" s="115" customFormat="1">
      <c r="A313" s="351" t="str">
        <f>IF(B313="","",(IF(ISERROR(MATCH(B313,Tot_res!C:C,0)),"Eliminar!!!","")))</f>
        <v/>
      </c>
      <c r="B313" s="115" t="s">
        <v>796</v>
      </c>
      <c r="C313" s="329" t="str">
        <f>VLOOKUP(B313,Tot_res!C:D,2,FALSE)</f>
        <v>Formación del Personal Sanitario, neto de CyMel</v>
      </c>
      <c r="D313" s="336">
        <f>Saldo_relativo_per_capita!D313*Saldo_relativo_per_capita!D$552/1000000</f>
        <v>0</v>
      </c>
      <c r="E313" s="336">
        <f>Saldo_relativo_per_capita!E313*Saldo_relativo_per_capita!E$552/1000000</f>
        <v>-8.2315966011758623E-5</v>
      </c>
      <c r="F313" s="336">
        <f>Saldo_relativo_per_capita!F313*Saldo_relativo_per_capita!F$552/1000000</f>
        <v>1.5962465945208585E-5</v>
      </c>
      <c r="G313" s="336">
        <f>Saldo_relativo_per_capita!G313*Saldo_relativo_per_capita!G$552/1000000</f>
        <v>2.5555029614952812E-5</v>
      </c>
      <c r="H313" s="336">
        <f>Saldo_relativo_per_capita!H313*Saldo_relativo_per_capita!H$552/1000000</f>
        <v>-1.0166747823843405E-5</v>
      </c>
      <c r="I313" s="336">
        <f>Saldo_relativo_per_capita!I313*Saldo_relativo_per_capita!I$552/1000000</f>
        <v>-3.1480534838002096E-5</v>
      </c>
      <c r="J313" s="336">
        <f>Saldo_relativo_per_capita!J313*Saldo_relativo_per_capita!J$552/1000000</f>
        <v>5.712731614467647E-6</v>
      </c>
      <c r="K313" s="336">
        <f>Saldo_relativo_per_capita!K313*Saldo_relativo_per_capita!K$552/1000000</f>
        <v>4.6041238700485961E-5</v>
      </c>
      <c r="L313" s="336">
        <f>Saldo_relativo_per_capita!L313*Saldo_relativo_per_capita!L$552/1000000</f>
        <v>1.4203815941527738E-6</v>
      </c>
      <c r="M313" s="336">
        <f>Saldo_relativo_per_capita!M313*Saldo_relativo_per_capita!M$552/1000000</f>
        <v>1.4944586957838469E-6</v>
      </c>
      <c r="N313" s="336">
        <f>Saldo_relativo_per_capita!N313*Saldo_relativo_per_capita!N$552/1000000</f>
        <v>-2.5002435401524146E-5</v>
      </c>
      <c r="O313" s="336">
        <f>Saldo_relativo_per_capita!O313*Saldo_relativo_per_capita!O$552/1000000</f>
        <v>8.2499301725615186E-6</v>
      </c>
      <c r="P313" s="336">
        <f>Saldo_relativo_per_capita!P313*Saldo_relativo_per_capita!P$552/1000000</f>
        <v>4.9989655804475061E-5</v>
      </c>
      <c r="Q313" s="336">
        <f>Saldo_relativo_per_capita!Q313*Saldo_relativo_per_capita!Q$552/1000000</f>
        <v>-1.9019929017013189E-5</v>
      </c>
      <c r="R313" s="336">
        <f>Saldo_relativo_per_capita!R313*Saldo_relativo_per_capita!R$552/1000000</f>
        <v>-1.6025364780501463E-5</v>
      </c>
      <c r="S313" s="336">
        <f>Saldo_relativo_per_capita!S313*Saldo_relativo_per_capita!S$552/1000000</f>
        <v>5.8445150134832813E-7</v>
      </c>
      <c r="T313" s="336">
        <f>Saldo_relativo_per_capita!T313*Saldo_relativo_per_capita!T$552/1000000</f>
        <v>3.2066960775922966E-5</v>
      </c>
      <c r="U313" s="336">
        <f>Saldo_relativo_per_capita!U313*Saldo_relativo_per_capita!U$552/1000000</f>
        <v>2.7775136155052662E-6</v>
      </c>
      <c r="V313" s="336">
        <f>Saldo_relativo_per_capita!V313*Saldo_relativo_per_capita!V$552/1000000</f>
        <v>-5.8438401622222103E-6</v>
      </c>
      <c r="W313" s="148"/>
    </row>
    <row r="314" spans="1:24" s="115" customFormat="1">
      <c r="A314" s="351" t="str">
        <f>IF(B314="","",(IF(ISERROR(MATCH(B314,Tot_res!C:C,0)),"Eliminar!!!","")))</f>
        <v/>
      </c>
      <c r="B314" s="115" t="s">
        <v>309</v>
      </c>
      <c r="C314" s="329" t="str">
        <f>VLOOKUP(B314,Tot_res!C:D,2,FALSE)</f>
        <v>ISM sanidad transferida</v>
      </c>
      <c r="D314" s="336">
        <f>Saldo_relativo_per_capita!D314*Saldo_relativo_per_capita!D$552/1000000</f>
        <v>0</v>
      </c>
      <c r="E314" s="336">
        <f>Saldo_relativo_per_capita!E314*Saldo_relativo_per_capita!E$552/1000000</f>
        <v>19.469037263790298</v>
      </c>
      <c r="F314" s="336">
        <f>Saldo_relativo_per_capita!F314*Saldo_relativo_per_capita!F$552/1000000</f>
        <v>-0.9831143399144231</v>
      </c>
      <c r="G314" s="336">
        <f>Saldo_relativo_per_capita!G314*Saldo_relativo_per_capita!G$552/1000000</f>
        <v>3.6870951217149623</v>
      </c>
      <c r="H314" s="336">
        <f>Saldo_relativo_per_capita!H314*Saldo_relativo_per_capita!H$552/1000000</f>
        <v>0.2767974191634871</v>
      </c>
      <c r="I314" s="336">
        <f>Saldo_relativo_per_capita!I314*Saldo_relativo_per_capita!I$552/1000000</f>
        <v>-1.5640377977322002</v>
      </c>
      <c r="J314" s="336">
        <f>Saldo_relativo_per_capita!J314*Saldo_relativo_per_capita!J$552/1000000</f>
        <v>1.2902658545436296</v>
      </c>
      <c r="K314" s="336">
        <f>Saldo_relativo_per_capita!K314*Saldo_relativo_per_capita!K$552/1000000</f>
        <v>-1.8473496061977281</v>
      </c>
      <c r="L314" s="336">
        <f>Saldo_relativo_per_capita!L314*Saldo_relativo_per_capita!L$552/1000000</f>
        <v>-1.5389994075157156</v>
      </c>
      <c r="M314" s="336">
        <f>Saldo_relativo_per_capita!M314*Saldo_relativo_per_capita!M$552/1000000</f>
        <v>-5.5890924572353446</v>
      </c>
      <c r="N314" s="336">
        <f>Saldo_relativo_per_capita!N314*Saldo_relativo_per_capita!N$552/1000000</f>
        <v>-3.7139837456525533</v>
      </c>
      <c r="O314" s="336">
        <f>Saldo_relativo_per_capita!O314*Saldo_relativo_per_capita!O$552/1000000</f>
        <v>-0.81551865746639784</v>
      </c>
      <c r="P314" s="336">
        <f>Saldo_relativo_per_capita!P314*Saldo_relativo_per_capita!P$552/1000000</f>
        <v>-2.0385993313765987</v>
      </c>
      <c r="Q314" s="336">
        <f>Saldo_relativo_per_capita!Q314*Saldo_relativo_per_capita!Q$552/1000000</f>
        <v>-4.7947950061474094</v>
      </c>
      <c r="R314" s="336">
        <f>Saldo_relativo_per_capita!R314*Saldo_relativo_per_capita!R$552/1000000</f>
        <v>0.63004918067989357</v>
      </c>
      <c r="S314" s="336">
        <f>Saldo_relativo_per_capita!S314*Saldo_relativo_per_capita!S$552/1000000</f>
        <v>-0.47654953399655919</v>
      </c>
      <c r="T314" s="336">
        <f>Saldo_relativo_per_capita!T314*Saldo_relativo_per_capita!T$552/1000000</f>
        <v>-1.6284278087642718</v>
      </c>
      <c r="U314" s="336">
        <f>Saldo_relativo_per_capita!U314*Saldo_relativo_per_capita!U$552/1000000</f>
        <v>-0.23657204190713052</v>
      </c>
      <c r="V314" s="336">
        <f>Saldo_relativo_per_capita!V314*Saldo_relativo_per_capita!V$552/1000000</f>
        <v>-0.12620510598593773</v>
      </c>
      <c r="W314" s="148"/>
      <c r="X314" s="231"/>
    </row>
    <row r="315" spans="1:24" s="115" customFormat="1">
      <c r="A315" s="351" t="str">
        <f>IF(B315="","",(IF(ISERROR(MATCH(B315,Tot_res!C:C,0)),"Eliminar!!!","")))</f>
        <v/>
      </c>
      <c r="B315" s="115" t="s">
        <v>798</v>
      </c>
      <c r="C315" s="329" t="str">
        <f>VLOOKUP(B315,Tot_res!C:D,2,FALSE)</f>
        <v>ISM transf. antes de 2002, sanidad</v>
      </c>
      <c r="D315" s="336">
        <f>Saldo_relativo_per_capita!D315*Saldo_relativo_per_capita!D$552/1000000</f>
        <v>0</v>
      </c>
      <c r="E315" s="336">
        <f>Saldo_relativo_per_capita!E315*Saldo_relativo_per_capita!E$552/1000000</f>
        <v>-13.990326007149637</v>
      </c>
      <c r="F315" s="336">
        <f>Saldo_relativo_per_capita!F315*Saldo_relativo_per_capita!F$552/1000000</f>
        <v>-2.2009946697449605</v>
      </c>
      <c r="G315" s="336">
        <f>Saldo_relativo_per_capita!G315*Saldo_relativo_per_capita!G$552/1000000</f>
        <v>-1.7594629310824985</v>
      </c>
      <c r="H315" s="336">
        <f>Saldo_relativo_per_capita!H315*Saldo_relativo_per_capita!H$552/1000000</f>
        <v>-1.8385152541350751</v>
      </c>
      <c r="I315" s="336">
        <f>Saldo_relativo_per_capita!I315*Saldo_relativo_per_capita!I$552/1000000</f>
        <v>5.2740899669135652</v>
      </c>
      <c r="J315" s="336">
        <f>Saldo_relativo_per_capita!J315*Saldo_relativo_per_capita!J$552/1000000</f>
        <v>-0.9774414724700955</v>
      </c>
      <c r="K315" s="336">
        <f>Saldo_relativo_per_capita!K315*Saldo_relativo_per_capita!K$552/1000000</f>
        <v>-4.1358430767580741</v>
      </c>
      <c r="L315" s="336">
        <f>Saldo_relativo_per_capita!L315*Saldo_relativo_per_capita!L$552/1000000</f>
        <v>-3.445509189681434</v>
      </c>
      <c r="M315" s="336">
        <f>Saldo_relativo_per_capita!M315*Saldo_relativo_per_capita!M$552/1000000</f>
        <v>-10.163942851990958</v>
      </c>
      <c r="N315" s="336">
        <f>Saldo_relativo_per_capita!N315*Saldo_relativo_per_capita!N$552/1000000</f>
        <v>-0.13659931338735778</v>
      </c>
      <c r="O315" s="336">
        <f>Saldo_relativo_per_capita!O315*Saldo_relativo_per_capita!O$552/1000000</f>
        <v>-1.8257817481508329</v>
      </c>
      <c r="P315" s="336">
        <f>Saldo_relativo_per_capita!P315*Saldo_relativo_per_capita!P$552/1000000</f>
        <v>53.902912436508181</v>
      </c>
      <c r="Q315" s="336">
        <f>Saldo_relativo_per_capita!Q315*Saldo_relativo_per_capita!Q$552/1000000</f>
        <v>-10.734578698108336</v>
      </c>
      <c r="R315" s="336">
        <f>Saldo_relativo_per_capita!R315*Saldo_relativo_per_capita!R$552/1000000</f>
        <v>-2.4432027406094914</v>
      </c>
      <c r="S315" s="336">
        <f>Saldo_relativo_per_capita!S315*Saldo_relativo_per_capita!S$552/1000000</f>
        <v>-1.0668982656556241</v>
      </c>
      <c r="T315" s="336">
        <f>Saldo_relativo_per_capita!T315*Saldo_relativo_per_capita!T$552/1000000</f>
        <v>-3.6457213384422991</v>
      </c>
      <c r="U315" s="336">
        <f>Saldo_relativo_per_capita!U315*Saldo_relativo_per_capita!U$552/1000000</f>
        <v>-0.52963707486313372</v>
      </c>
      <c r="V315" s="336">
        <f>Saldo_relativo_per_capita!V315*Saldo_relativo_per_capita!V$552/1000000</f>
        <v>-0.28254777119193097</v>
      </c>
      <c r="X315" s="231"/>
    </row>
    <row r="316" spans="1:24" s="115" customFormat="1">
      <c r="A316" s="351" t="str">
        <f>IF(B316="","",(IF(ISERROR(MATCH(B316,Tot_res!C:C,0)),"Eliminar!!!","")))</f>
        <v/>
      </c>
      <c r="B316" s="115" t="s">
        <v>623</v>
      </c>
      <c r="C316" s="329" t="str">
        <f>VLOOKUP(B316,Tot_res!C:D,2,FALSE)</f>
        <v>Compensación Fondo Cohesión Sanitaria, extrapresupuestario</v>
      </c>
      <c r="D316" s="336">
        <f>Saldo_relativo_per_capita!D316*Saldo_relativo_per_capita!D$552/1000000</f>
        <v>0</v>
      </c>
      <c r="E316" s="336">
        <f>Saldo_relativo_per_capita!E316*Saldo_relativo_per_capita!E$552/1000000</f>
        <v>0</v>
      </c>
      <c r="F316" s="336">
        <f>Saldo_relativo_per_capita!F316*Saldo_relativo_per_capita!F$552/1000000</f>
        <v>0</v>
      </c>
      <c r="G316" s="336">
        <f>Saldo_relativo_per_capita!G316*Saldo_relativo_per_capita!G$552/1000000</f>
        <v>0</v>
      </c>
      <c r="H316" s="336">
        <f>Saldo_relativo_per_capita!H316*Saldo_relativo_per_capita!H$552/1000000</f>
        <v>0</v>
      </c>
      <c r="I316" s="336">
        <f>Saldo_relativo_per_capita!I316*Saldo_relativo_per_capita!I$552/1000000</f>
        <v>0</v>
      </c>
      <c r="J316" s="336">
        <f>Saldo_relativo_per_capita!J316*Saldo_relativo_per_capita!J$552/1000000</f>
        <v>0</v>
      </c>
      <c r="K316" s="336">
        <f>Saldo_relativo_per_capita!K316*Saldo_relativo_per_capita!K$552/1000000</f>
        <v>0</v>
      </c>
      <c r="L316" s="336">
        <f>Saldo_relativo_per_capita!L316*Saldo_relativo_per_capita!L$552/1000000</f>
        <v>0</v>
      </c>
      <c r="M316" s="336">
        <f>Saldo_relativo_per_capita!M316*Saldo_relativo_per_capita!M$552/1000000</f>
        <v>0</v>
      </c>
      <c r="N316" s="336">
        <f>Saldo_relativo_per_capita!N316*Saldo_relativo_per_capita!N$552/1000000</f>
        <v>0</v>
      </c>
      <c r="O316" s="336">
        <f>Saldo_relativo_per_capita!O316*Saldo_relativo_per_capita!O$552/1000000</f>
        <v>0</v>
      </c>
      <c r="P316" s="336">
        <f>Saldo_relativo_per_capita!P316*Saldo_relativo_per_capita!P$552/1000000</f>
        <v>0</v>
      </c>
      <c r="Q316" s="336">
        <f>Saldo_relativo_per_capita!Q316*Saldo_relativo_per_capita!Q$552/1000000</f>
        <v>0</v>
      </c>
      <c r="R316" s="336">
        <f>Saldo_relativo_per_capita!R316*Saldo_relativo_per_capita!R$552/1000000</f>
        <v>0</v>
      </c>
      <c r="S316" s="336">
        <f>Saldo_relativo_per_capita!S316*Saldo_relativo_per_capita!S$552/1000000</f>
        <v>0</v>
      </c>
      <c r="T316" s="336">
        <f>Saldo_relativo_per_capita!T316*Saldo_relativo_per_capita!T$552/1000000</f>
        <v>0</v>
      </c>
      <c r="U316" s="336">
        <f>Saldo_relativo_per_capita!U316*Saldo_relativo_per_capita!U$552/1000000</f>
        <v>0</v>
      </c>
      <c r="V316" s="336">
        <f>Saldo_relativo_per_capita!V316*Saldo_relativo_per_capita!V$552/1000000</f>
        <v>0</v>
      </c>
      <c r="X316" s="231"/>
    </row>
    <row r="317" spans="1:24" s="115" customFormat="1">
      <c r="A317" s="351" t="str">
        <f>IF(B317="","",(IF(ISERROR(MATCH(B317,Tot_res!C:C,0)),"Eliminar!!!","")))</f>
        <v/>
      </c>
      <c r="B317" s="115" t="s">
        <v>1214</v>
      </c>
      <c r="C317" s="329" t="str">
        <f>VLOOKUP(B317,Tot_res!C:D,2,FALSE)</f>
        <v>Gestion del Hospital Militar San Carlos (San Fernando)</v>
      </c>
      <c r="D317" s="336">
        <f>Saldo_relativo_per_capita!D317*Saldo_relativo_per_capita!D$552/1000000</f>
        <v>0</v>
      </c>
      <c r="E317" s="336">
        <f>Saldo_relativo_per_capita!E317*Saldo_relativo_per_capita!E$552/1000000</f>
        <v>1.9670517985213307</v>
      </c>
      <c r="F317" s="336">
        <f>Saldo_relativo_per_capita!F317*Saldo_relativo_per_capita!F$552/1000000</f>
        <v>-6.7881933360108157E-2</v>
      </c>
      <c r="G317" s="336">
        <f>Saldo_relativo_per_capita!G317*Saldo_relativo_per_capita!G$552/1000000</f>
        <v>-5.4264441018006794E-2</v>
      </c>
      <c r="H317" s="336">
        <f>Saldo_relativo_per_capita!H317*Saldo_relativo_per_capita!H$552/1000000</f>
        <v>-5.6702531668193848E-2</v>
      </c>
      <c r="I317" s="336">
        <f>Saldo_relativo_per_capita!I317*Saldo_relativo_per_capita!I$552/1000000</f>
        <v>-0.10799345025075037</v>
      </c>
      <c r="J317" s="336">
        <f>Saldo_relativo_per_capita!J317*Saldo_relativo_per_capita!J$552/1000000</f>
        <v>-3.0145741745621481E-2</v>
      </c>
      <c r="K317" s="336">
        <f>Saldo_relativo_per_capita!K317*Saldo_relativo_per_capita!K$552/1000000</f>
        <v>-0.12755552204807838</v>
      </c>
      <c r="L317" s="336">
        <f>Saldo_relativo_per_capita!L317*Saldo_relativo_per_capita!L$552/1000000</f>
        <v>-0.10626460319083691</v>
      </c>
      <c r="M317" s="336">
        <f>Saldo_relativo_per_capita!M317*Saldo_relativo_per_capita!M$552/1000000</f>
        <v>-0.38591482833884633</v>
      </c>
      <c r="N317" s="336">
        <f>Saldo_relativo_per_capita!N317*Saldo_relativo_per_capita!N$552/1000000</f>
        <v>-0.25644259969278554</v>
      </c>
      <c r="O317" s="336">
        <f>Saldo_relativo_per_capita!O317*Saldo_relativo_per_capita!O$552/1000000</f>
        <v>-5.6309811496471206E-2</v>
      </c>
      <c r="P317" s="336">
        <f>Saldo_relativo_per_capita!P317*Saldo_relativo_per_capita!P$552/1000000</f>
        <v>-0.14076090475143835</v>
      </c>
      <c r="Q317" s="336">
        <f>Saldo_relativo_per_capita!Q317*Saldo_relativo_per_capita!Q$552/1000000</f>
        <v>-0.33107029555790002</v>
      </c>
      <c r="R317" s="336">
        <f>Saldo_relativo_per_capita!R317*Saldo_relativo_per_capita!R$552/1000000</f>
        <v>-7.5351988763564262E-2</v>
      </c>
      <c r="S317" s="336">
        <f>Saldo_relativo_per_capita!S317*Saldo_relativo_per_capita!S$552/1000000</f>
        <v>-3.2904721654615388E-2</v>
      </c>
      <c r="T317" s="336">
        <f>Saldo_relativo_per_capita!T317*Saldo_relativo_per_capita!T$552/1000000</f>
        <v>-0.11243944219744111</v>
      </c>
      <c r="U317" s="336">
        <f>Saldo_relativo_per_capita!U317*Saldo_relativo_per_capita!U$552/1000000</f>
        <v>-1.6334791317358294E-2</v>
      </c>
      <c r="V317" s="336">
        <f>Saldo_relativo_per_capita!V317*Saldo_relativo_per_capita!V$552/1000000</f>
        <v>-8.7141914693142867E-3</v>
      </c>
      <c r="X317" s="231"/>
    </row>
    <row r="318" spans="1:24" s="115" customFormat="1">
      <c r="A318" s="351" t="str">
        <f>IF(B318="","",(IF(ISERROR(MATCH(B318,Tot_res!C:C,0)),"Eliminar!!!","")))</f>
        <v/>
      </c>
      <c r="B318" s="115" t="s">
        <v>1216</v>
      </c>
      <c r="C318" s="329" t="str">
        <f>VLOOKUP(B318,Tot_res!C:D,2,FALSE)</f>
        <v>Gestion de funciones y servicios traspasados en materia sanitaria</v>
      </c>
      <c r="D318" s="336">
        <f>Saldo_relativo_per_capita!D318*Saldo_relativo_per_capita!D$552/1000000</f>
        <v>0</v>
      </c>
      <c r="E318" s="336">
        <f>Saldo_relativo_per_capita!E318*Saldo_relativo_per_capita!E$552/1000000</f>
        <v>-1.1714497420501364E-2</v>
      </c>
      <c r="F318" s="336">
        <f>Saldo_relativo_per_capita!F318*Saldo_relativo_per_capita!F$552/1000000</f>
        <v>-1.8429553655924906E-3</v>
      </c>
      <c r="G318" s="336">
        <f>Saldo_relativo_per_capita!G318*Saldo_relativo_per_capita!G$552/1000000</f>
        <v>-1.4732482972234177E-3</v>
      </c>
      <c r="H318" s="336">
        <f>Saldo_relativo_per_capita!H318*Saldo_relativo_per_capita!H$552/1000000</f>
        <v>6.3579378946867202E-2</v>
      </c>
      <c r="I318" s="336">
        <f>Saldo_relativo_per_capita!I318*Saldo_relativo_per_capita!I$552/1000000</f>
        <v>-2.9319599300839504E-3</v>
      </c>
      <c r="J318" s="336">
        <f>Saldo_relativo_per_capita!J318*Saldo_relativo_per_capita!J$552/1000000</f>
        <v>-8.1843951328156635E-4</v>
      </c>
      <c r="K318" s="336">
        <f>Saldo_relativo_per_capita!K318*Saldo_relativo_per_capita!K$552/1000000</f>
        <v>-3.4630589043830196E-3</v>
      </c>
      <c r="L318" s="336">
        <f>Saldo_relativo_per_capita!L318*Saldo_relativo_per_capita!L$552/1000000</f>
        <v>-2.8850227288635048E-3</v>
      </c>
      <c r="M318" s="336">
        <f>Saldo_relativo_per_capita!M318*Saldo_relativo_per_capita!M$552/1000000</f>
        <v>-1.0477365159530698E-2</v>
      </c>
      <c r="N318" s="336">
        <f>Saldo_relativo_per_capita!N318*Saldo_relativo_per_capita!N$552/1000000</f>
        <v>-6.9622687757453306E-3</v>
      </c>
      <c r="O318" s="336">
        <f>Saldo_relativo_per_capita!O318*Saldo_relativo_per_capita!O$552/1000000</f>
        <v>-1.5287789268228053E-3</v>
      </c>
      <c r="P318" s="336">
        <f>Saldo_relativo_per_capita!P318*Saldo_relativo_per_capita!P$552/1000000</f>
        <v>-3.8215774335880457E-3</v>
      </c>
      <c r="Q318" s="336">
        <f>Saldo_relativo_per_capita!Q318*Saldo_relativo_per_capita!Q$552/1000000</f>
        <v>-8.9883677052911715E-3</v>
      </c>
      <c r="R318" s="336">
        <f>Saldo_relativo_per_capita!R318*Saldo_relativo_per_capita!R$552/1000000</f>
        <v>-2.0457630642777935E-3</v>
      </c>
      <c r="S318" s="336">
        <f>Saldo_relativo_per_capita!S318*Saldo_relativo_per_capita!S$552/1000000</f>
        <v>-8.9334422761650444E-4</v>
      </c>
      <c r="T318" s="336">
        <f>Saldo_relativo_per_capita!T318*Saldo_relativo_per_capita!T$552/1000000</f>
        <v>-3.0526660488986203E-3</v>
      </c>
      <c r="U318" s="336">
        <f>Saldo_relativo_per_capita!U318*Saldo_relativo_per_capita!U$552/1000000</f>
        <v>-4.4348016937670689E-4</v>
      </c>
      <c r="V318" s="336">
        <f>Saldo_relativo_per_capita!V318*Saldo_relativo_per_capita!V$552/1000000</f>
        <v>-2.3658527579019863E-4</v>
      </c>
      <c r="X318" s="231"/>
    </row>
    <row r="319" spans="1:24" s="115" customFormat="1" ht="13.5">
      <c r="A319" s="352"/>
      <c r="C319" s="148"/>
      <c r="D319" s="217"/>
      <c r="E319" s="217"/>
      <c r="F319" s="217"/>
      <c r="G319" s="217"/>
      <c r="H319" s="217"/>
      <c r="I319" s="217"/>
      <c r="J319" s="217"/>
      <c r="K319" s="217"/>
      <c r="L319" s="217"/>
      <c r="M319" s="217"/>
      <c r="N319" s="217"/>
      <c r="O319" s="217"/>
      <c r="P319" s="217"/>
      <c r="Q319" s="217"/>
      <c r="R319" s="217"/>
      <c r="S319" s="217"/>
      <c r="T319" s="217"/>
      <c r="U319" s="217"/>
      <c r="V319" s="217"/>
      <c r="W319" s="219"/>
      <c r="X319" s="231"/>
    </row>
    <row r="320" spans="1:24" s="115" customFormat="1">
      <c r="A320" s="352"/>
      <c r="C320" s="148"/>
      <c r="D320" s="217"/>
      <c r="E320" s="217"/>
      <c r="F320" s="217"/>
      <c r="G320" s="217"/>
      <c r="H320" s="217"/>
      <c r="I320" s="217"/>
      <c r="J320" s="217"/>
      <c r="K320" s="217"/>
      <c r="L320" s="217"/>
      <c r="M320" s="217"/>
      <c r="N320" s="217"/>
      <c r="O320" s="217"/>
      <c r="P320" s="217"/>
      <c r="Q320" s="217"/>
      <c r="R320" s="217"/>
      <c r="S320" s="217"/>
      <c r="T320" s="217"/>
      <c r="U320" s="217"/>
      <c r="V320" s="217"/>
      <c r="W320" s="148"/>
      <c r="X320" s="231"/>
    </row>
    <row r="321" spans="1:24" s="115" customFormat="1" ht="13.5">
      <c r="A321" s="358"/>
      <c r="C321" s="117" t="s">
        <v>58</v>
      </c>
      <c r="D321" s="215">
        <f>Saldo_relativo_per_capita!D321*Saldo_relativo_per_capita!D$552/1000000</f>
        <v>0</v>
      </c>
      <c r="E321" s="215">
        <f>Saldo_relativo_per_capita!E321*Saldo_relativo_per_capita!E$552/1000000</f>
        <v>19.07840443266015</v>
      </c>
      <c r="F321" s="215">
        <f>Saldo_relativo_per_capita!F321*Saldo_relativo_per_capita!F$552/1000000</f>
        <v>1.0770335577538099</v>
      </c>
      <c r="G321" s="215">
        <f>Saldo_relativo_per_capita!G321*Saldo_relativo_per_capita!G$552/1000000</f>
        <v>0.85672577705174768</v>
      </c>
      <c r="H321" s="215">
        <f>Saldo_relativo_per_capita!H321*Saldo_relativo_per_capita!H$552/1000000</f>
        <v>-2.9891495442657616</v>
      </c>
      <c r="I321" s="215">
        <f>Saldo_relativo_per_capita!I321*Saldo_relativo_per_capita!I$552/1000000</f>
        <v>6.85821221118323</v>
      </c>
      <c r="J321" s="215">
        <f>Saldo_relativo_per_capita!J321*Saldo_relativo_per_capita!J$552/1000000</f>
        <v>0.38773990181567741</v>
      </c>
      <c r="K321" s="215">
        <f>Saldo_relativo_per_capita!K321*Saldo_relativo_per_capita!K$552/1000000</f>
        <v>-0.77564918042868969</v>
      </c>
      <c r="L321" s="215">
        <f>Saldo_relativo_per_capita!L321*Saldo_relativo_per_capita!L$552/1000000</f>
        <v>0.9589480970797295</v>
      </c>
      <c r="M321" s="215">
        <f>Saldo_relativo_per_capita!M321*Saldo_relativo_per_capita!M$552/1000000</f>
        <v>-36.342469134691939</v>
      </c>
      <c r="N321" s="215">
        <f>Saldo_relativo_per_capita!N321*Saldo_relativo_per_capita!N$552/1000000</f>
        <v>-0.8722124317999328</v>
      </c>
      <c r="O321" s="215">
        <f>Saldo_relativo_per_capita!O321*Saldo_relativo_per_capita!O$552/1000000</f>
        <v>1.7216984702159079</v>
      </c>
      <c r="P321" s="215">
        <f>Saldo_relativo_per_capita!P321*Saldo_relativo_per_capita!P$552/1000000</f>
        <v>-0.86914707324921714</v>
      </c>
      <c r="Q321" s="215">
        <f>Saldo_relativo_per_capita!Q321*Saldo_relativo_per_capita!Q$552/1000000</f>
        <v>7.4525742371714356</v>
      </c>
      <c r="R321" s="215">
        <f>Saldo_relativo_per_capita!R321*Saldo_relativo_per_capita!R$552/1000000</f>
        <v>7.0285308699618767</v>
      </c>
      <c r="S321" s="215">
        <f>Saldo_relativo_per_capita!S321*Saldo_relativo_per_capita!S$552/1000000</f>
        <v>0.20680235050806237</v>
      </c>
      <c r="T321" s="215">
        <f>Saldo_relativo_per_capita!T321*Saldo_relativo_per_capita!T$552/1000000</f>
        <v>-2.7758404091050601</v>
      </c>
      <c r="U321" s="215">
        <f>Saldo_relativo_per_capita!U321*Saldo_relativo_per_capita!U$552/1000000</f>
        <v>-0.1719056228785453</v>
      </c>
      <c r="V321" s="215">
        <f>Saldo_relativo_per_capita!V321*Saldo_relativo_per_capita!V$552/1000000</f>
        <v>-0.83029650898250562</v>
      </c>
      <c r="W321" s="148"/>
      <c r="X321" s="231"/>
    </row>
    <row r="322" spans="1:24" s="115"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6">
        <f>Saldo_relativo_per_capita!D322*Saldo_relativo_per_capita!D$552/1000000</f>
        <v>0</v>
      </c>
      <c r="E322" s="336">
        <f>Saldo_relativo_per_capita!E322*Saldo_relativo_per_capita!E$552/1000000</f>
        <v>0.87622824672903921</v>
      </c>
      <c r="F322" s="336">
        <f>Saldo_relativo_per_capita!F322*Saldo_relativo_per_capita!F$552/1000000</f>
        <v>-9.2963268249431727E-2</v>
      </c>
      <c r="G322" s="336">
        <f>Saldo_relativo_per_capita!G322*Saldo_relativo_per_capita!G$552/1000000</f>
        <v>-0.2947253137358134</v>
      </c>
      <c r="H322" s="336">
        <f>Saldo_relativo_per_capita!H322*Saldo_relativo_per_capita!H$552/1000000</f>
        <v>-0.13977762675194366</v>
      </c>
      <c r="I322" s="336">
        <f>Saldo_relativo_per_capita!I322*Saldo_relativo_per_capita!I$552/1000000</f>
        <v>-8.1402297209506216E-2</v>
      </c>
      <c r="J322" s="336">
        <f>Saldo_relativo_per_capita!J322*Saldo_relativo_per_capita!J$552/1000000</f>
        <v>-6.4148006480072128E-2</v>
      </c>
      <c r="K322" s="336">
        <f>Saldo_relativo_per_capita!K322*Saldo_relativo_per_capita!K$552/1000000</f>
        <v>-0.39352602462430042</v>
      </c>
      <c r="L322" s="336">
        <f>Saldo_relativo_per_capita!L322*Saldo_relativo_per_capita!L$552/1000000</f>
        <v>0.1012049755317958</v>
      </c>
      <c r="M322" s="336">
        <f>Saldo_relativo_per_capita!M322*Saldo_relativo_per_capita!M$552/1000000</f>
        <v>-5.6239388942039649E-2</v>
      </c>
      <c r="N322" s="336">
        <f>Saldo_relativo_per_capita!N322*Saldo_relativo_per_capita!N$552/1000000</f>
        <v>-5.7640240024219802E-2</v>
      </c>
      <c r="O322" s="336">
        <f>Saldo_relativo_per_capita!O322*Saldo_relativo_per_capita!O$552/1000000</f>
        <v>9.3102087541782846E-4</v>
      </c>
      <c r="P322" s="336">
        <f>Saldo_relativo_per_capita!P322*Saldo_relativo_per_capita!P$552/1000000</f>
        <v>-0.44827345070942443</v>
      </c>
      <c r="Q322" s="336">
        <f>Saldo_relativo_per_capita!Q322*Saldo_relativo_per_capita!Q$552/1000000</f>
        <v>0.48382735332584947</v>
      </c>
      <c r="R322" s="336">
        <f>Saldo_relativo_per_capita!R322*Saldo_relativo_per_capita!R$552/1000000</f>
        <v>0.22740914425973485</v>
      </c>
      <c r="S322" s="336">
        <f>Saldo_relativo_per_capita!S322*Saldo_relativo_per_capita!S$552/1000000</f>
        <v>-1.5071958455779992E-2</v>
      </c>
      <c r="T322" s="336">
        <f>Saldo_relativo_per_capita!T322*Saldo_relativo_per_capita!T$552/1000000</f>
        <v>-9.3855473327672162E-2</v>
      </c>
      <c r="U322" s="336">
        <f>Saldo_relativo_per_capita!U322*Saldo_relativo_per_capita!U$552/1000000</f>
        <v>-1.3352171861978646E-2</v>
      </c>
      <c r="V322" s="336">
        <f>Saldo_relativo_per_capita!V322*Saldo_relativo_per_capita!V$552/1000000</f>
        <v>6.1374479650335628E-2</v>
      </c>
      <c r="W322" s="148"/>
      <c r="X322" s="231"/>
    </row>
    <row r="323" spans="1:24" s="115"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6">
        <f>Saldo_relativo_per_capita!D323*Saldo_relativo_per_capita!D$552/1000000</f>
        <v>0</v>
      </c>
      <c r="E323" s="336">
        <f>Saldo_relativo_per_capita!E323*Saldo_relativo_per_capita!E$552/1000000</f>
        <v>5.5477200232226437E-2</v>
      </c>
      <c r="F323" s="336">
        <f>Saldo_relativo_per_capita!F323*Saldo_relativo_per_capita!F$552/1000000</f>
        <v>5.7241604358204195E-3</v>
      </c>
      <c r="G323" s="336">
        <f>Saldo_relativo_per_capita!G323*Saldo_relativo_per_capita!G$552/1000000</f>
        <v>2.9457050559857163E-3</v>
      </c>
      <c r="H323" s="336">
        <f>Saldo_relativo_per_capita!H323*Saldo_relativo_per_capita!H$552/1000000</f>
        <v>-8.1617448960162372E-3</v>
      </c>
      <c r="I323" s="336">
        <f>Saldo_relativo_per_capita!I323*Saldo_relativo_per_capita!I$552/1000000</f>
        <v>1.5002565775486709E-2</v>
      </c>
      <c r="J323" s="336">
        <f>Saldo_relativo_per_capita!J323*Saldo_relativo_per_capita!J$552/1000000</f>
        <v>2.730111989462413E-3</v>
      </c>
      <c r="K323" s="336">
        <f>Saldo_relativo_per_capita!K323*Saldo_relativo_per_capita!K$552/1000000</f>
        <v>1.6595467295506209E-2</v>
      </c>
      <c r="L323" s="336">
        <f>Saldo_relativo_per_capita!L323*Saldo_relativo_per_capita!L$552/1000000</f>
        <v>1.2952104447967759E-2</v>
      </c>
      <c r="M323" s="336">
        <f>Saldo_relativo_per_capita!M323*Saldo_relativo_per_capita!M$552/1000000</f>
        <v>-3.6435103568365712E-2</v>
      </c>
      <c r="N323" s="336">
        <f>Saldo_relativo_per_capita!N323*Saldo_relativo_per_capita!N$552/1000000</f>
        <v>-2.600105212371678E-2</v>
      </c>
      <c r="O323" s="336">
        <f>Saldo_relativo_per_capita!O323*Saldo_relativo_per_capita!O$552/1000000</f>
        <v>1.3863717369578692E-2</v>
      </c>
      <c r="P323" s="336">
        <f>Saldo_relativo_per_capita!P323*Saldo_relativo_per_capita!P$552/1000000</f>
        <v>-8.8620349342957219E-3</v>
      </c>
      <c r="Q323" s="336">
        <f>Saldo_relativo_per_capita!Q323*Saldo_relativo_per_capita!Q$552/1000000</f>
        <v>-5.2783404219757947E-2</v>
      </c>
      <c r="R323" s="336">
        <f>Saldo_relativo_per_capita!R323*Saldo_relativo_per_capita!R$552/1000000</f>
        <v>1.7661248086000295E-2</v>
      </c>
      <c r="S323" s="336">
        <f>Saldo_relativo_per_capita!S323*Saldo_relativo_per_capita!S$552/1000000</f>
        <v>2.2719473632661163E-3</v>
      </c>
      <c r="T323" s="336">
        <f>Saldo_relativo_per_capita!T323*Saldo_relativo_per_capita!T$552/1000000</f>
        <v>-1.5939865931796197E-2</v>
      </c>
      <c r="U323" s="336">
        <f>Saldo_relativo_per_capita!U323*Saldo_relativo_per_capita!U$552/1000000</f>
        <v>1.2392037582076448E-3</v>
      </c>
      <c r="V323" s="336">
        <f>Saldo_relativo_per_capita!V323*Saldo_relativo_per_capita!V$552/1000000</f>
        <v>1.719773864440762E-3</v>
      </c>
      <c r="W323" s="148"/>
      <c r="X323" s="231"/>
    </row>
    <row r="324" spans="1:24" s="115" customFormat="1">
      <c r="A324" s="351" t="str">
        <f>IF(B324="","",(IF(ISERROR(MATCH(B324,Tot_res!C:C,0)),"Eliminar!!!","")))</f>
        <v/>
      </c>
      <c r="B324" s="115" t="s">
        <v>639</v>
      </c>
      <c r="C324" s="329" t="str">
        <f>VLOOKUP(B324,Tot_res!C:D,2,FALSE)</f>
        <v>Educación infantil y primaria +AF12/1</v>
      </c>
      <c r="D324" s="336">
        <f>Saldo_relativo_per_capita!D324*Saldo_relativo_per_capita!D$552/1000000</f>
        <v>0</v>
      </c>
      <c r="E324" s="336">
        <f>Saldo_relativo_per_capita!E324*Saldo_relativo_per_capita!E$552/1000000</f>
        <v>48.68700351643735</v>
      </c>
      <c r="F324" s="336">
        <f>Saldo_relativo_per_capita!F324*Saldo_relativo_per_capita!F$552/1000000</f>
        <v>4.3285563538379019</v>
      </c>
      <c r="G324" s="336">
        <f>Saldo_relativo_per_capita!G324*Saldo_relativo_per_capita!G$552/1000000</f>
        <v>-2.5051443272707763</v>
      </c>
      <c r="H324" s="336">
        <f>Saldo_relativo_per_capita!H324*Saldo_relativo_per_capita!H$552/1000000</f>
        <v>-2.5866556364672411</v>
      </c>
      <c r="I324" s="336">
        <f>Saldo_relativo_per_capita!I324*Saldo_relativo_per_capita!I$552/1000000</f>
        <v>11.403891628390083</v>
      </c>
      <c r="J324" s="336">
        <f>Saldo_relativo_per_capita!J324*Saldo_relativo_per_capita!J$552/1000000</f>
        <v>1.99083377727939</v>
      </c>
      <c r="K324" s="336">
        <f>Saldo_relativo_per_capita!K324*Saldo_relativo_per_capita!K$552/1000000</f>
        <v>-5.8688481857127481</v>
      </c>
      <c r="L324" s="336">
        <f>Saldo_relativo_per_capita!L324*Saldo_relativo_per_capita!L$552/1000000</f>
        <v>-4.835894222052632</v>
      </c>
      <c r="M324" s="336">
        <f>Saldo_relativo_per_capita!M324*Saldo_relativo_per_capita!M$552/1000000</f>
        <v>-17.544635983674731</v>
      </c>
      <c r="N324" s="336">
        <f>Saldo_relativo_per_capita!N324*Saldo_relativo_per_capita!N$552/1000000</f>
        <v>-11.687052541045198</v>
      </c>
      <c r="O324" s="336">
        <f>Saldo_relativo_per_capita!O324*Saldo_relativo_per_capita!O$552/1000000</f>
        <v>-2.5749916330434481</v>
      </c>
      <c r="P324" s="336">
        <f>Saldo_relativo_per_capita!P324*Saldo_relativo_per_capita!P$552/1000000</f>
        <v>-6.4672867451555982</v>
      </c>
      <c r="Q324" s="336">
        <f>Saldo_relativo_per_capita!Q324*Saldo_relativo_per_capita!Q$552/1000000</f>
        <v>-15.033586881702142</v>
      </c>
      <c r="R324" s="336">
        <f>Saldo_relativo_per_capita!R324*Saldo_relativo_per_capita!R$552/1000000</f>
        <v>-3.4134479233453638</v>
      </c>
      <c r="S324" s="336">
        <f>Saldo_relativo_per_capita!S324*Saldo_relativo_per_capita!S$552/1000000</f>
        <v>1.64010438758849</v>
      </c>
      <c r="T324" s="336">
        <f>Saldo_relativo_per_capita!T324*Saldo_relativo_per_capita!T$552/1000000</f>
        <v>5.6026521949158949</v>
      </c>
      <c r="U324" s="336">
        <f>Saldo_relativo_per_capita!U324*Saldo_relativo_per_capita!U$552/1000000</f>
        <v>-0.74478870109247142</v>
      </c>
      <c r="V324" s="336">
        <f>Saldo_relativo_per_capita!V324*Saldo_relativo_per_capita!V$552/1000000</f>
        <v>-0.39070907788676873</v>
      </c>
      <c r="W324" s="148"/>
      <c r="X324" s="231"/>
    </row>
    <row r="325" spans="1:24" s="115"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6">
        <f>Saldo_relativo_per_capita!D325*Saldo_relativo_per_capita!D$552/1000000</f>
        <v>0</v>
      </c>
      <c r="E325" s="336">
        <f>Saldo_relativo_per_capita!E325*Saldo_relativo_per_capita!E$552/1000000</f>
        <v>-0.44696348140357672</v>
      </c>
      <c r="F325" s="336">
        <f>Saldo_relativo_per_capita!F325*Saldo_relativo_per_capita!F$552/1000000</f>
        <v>0.31956326749328384</v>
      </c>
      <c r="G325" s="336">
        <f>Saldo_relativo_per_capita!G325*Saldo_relativo_per_capita!G$552/1000000</f>
        <v>-0.19552733927208144</v>
      </c>
      <c r="H325" s="336">
        <f>Saldo_relativo_per_capita!H325*Saldo_relativo_per_capita!H$552/1000000</f>
        <v>0.15549792484080288</v>
      </c>
      <c r="I325" s="336">
        <f>Saldo_relativo_per_capita!I325*Saldo_relativo_per_capita!I$552/1000000</f>
        <v>-5.8324081596140866E-2</v>
      </c>
      <c r="J325" s="336">
        <f>Saldo_relativo_per_capita!J325*Saldo_relativo_per_capita!J$552/1000000</f>
        <v>0.13628596273354882</v>
      </c>
      <c r="K325" s="336">
        <f>Saldo_relativo_per_capita!K325*Saldo_relativo_per_capita!K$552/1000000</f>
        <v>0.82620822883325584</v>
      </c>
      <c r="L325" s="336">
        <f>Saldo_relativo_per_capita!L325*Saldo_relativo_per_capita!L$552/1000000</f>
        <v>0.29228037015170161</v>
      </c>
      <c r="M325" s="336">
        <f>Saldo_relativo_per_capita!M325*Saldo_relativo_per_capita!M$552/1000000</f>
        <v>-2.2965144012493122</v>
      </c>
      <c r="N325" s="336">
        <f>Saldo_relativo_per_capita!N325*Saldo_relativo_per_capita!N$552/1000000</f>
        <v>1.3710887651181785</v>
      </c>
      <c r="O325" s="336">
        <f>Saldo_relativo_per_capita!O325*Saldo_relativo_per_capita!O$552/1000000</f>
        <v>0.17871969011518635</v>
      </c>
      <c r="P325" s="336">
        <f>Saldo_relativo_per_capita!P325*Saldo_relativo_per_capita!P$552/1000000</f>
        <v>-0.33005305247841304</v>
      </c>
      <c r="Q325" s="336">
        <f>Saldo_relativo_per_capita!Q325*Saldo_relativo_per_capita!Q$552/1000000</f>
        <v>0.32099270990706935</v>
      </c>
      <c r="R325" s="336">
        <f>Saldo_relativo_per_capita!R325*Saldo_relativo_per_capita!R$552/1000000</f>
        <v>8.4583480201580075E-2</v>
      </c>
      <c r="S325" s="336">
        <f>Saldo_relativo_per_capita!S325*Saldo_relativo_per_capita!S$552/1000000</f>
        <v>0.11962304932727749</v>
      </c>
      <c r="T325" s="336">
        <f>Saldo_relativo_per_capita!T325*Saldo_relativo_per_capita!T$552/1000000</f>
        <v>-0.66887669945330286</v>
      </c>
      <c r="U325" s="336">
        <f>Saldo_relativo_per_capita!U325*Saldo_relativo_per_capita!U$552/1000000</f>
        <v>0.23832034661197649</v>
      </c>
      <c r="V325" s="336">
        <f>Saldo_relativo_per_capita!V325*Saldo_relativo_per_capita!V$552/1000000</f>
        <v>-4.6904739881030895E-2</v>
      </c>
      <c r="W325" s="148"/>
      <c r="X325" s="231"/>
    </row>
    <row r="326" spans="1:24" s="115" customFormat="1">
      <c r="A326" s="351" t="str">
        <f>IF(B326="","",(IF(ISERROR(MATCH(B326,Tot_res!C:C,0)),"Eliminar!!!","")))</f>
        <v/>
      </c>
      <c r="B326" s="115" t="s">
        <v>641</v>
      </c>
      <c r="C326" s="329" t="str">
        <f>VLOOKUP(B326,Tot_res!C:D,2,FALSE)</f>
        <v>Enseñanzas universitarias, neto del gasto directo del Estado en Ceuta y Melilla</v>
      </c>
      <c r="D326" s="336">
        <f>Saldo_relativo_per_capita!D326*Saldo_relativo_per_capita!D$552/1000000</f>
        <v>0</v>
      </c>
      <c r="E326" s="336">
        <f>Saldo_relativo_per_capita!E326*Saldo_relativo_per_capita!E$552/1000000</f>
        <v>-2.0609251010080079</v>
      </c>
      <c r="F326" s="336">
        <f>Saldo_relativo_per_capita!F326*Saldo_relativo_per_capita!F$552/1000000</f>
        <v>0.72677718403205505</v>
      </c>
      <c r="G326" s="336">
        <f>Saldo_relativo_per_capita!G326*Saldo_relativo_per_capita!G$552/1000000</f>
        <v>8.3641341156804327E-2</v>
      </c>
      <c r="H326" s="336">
        <f>Saldo_relativo_per_capita!H326*Saldo_relativo_per_capita!H$552/1000000</f>
        <v>-0.25452508794267109</v>
      </c>
      <c r="I326" s="336">
        <f>Saldo_relativo_per_capita!I326*Saldo_relativo_per_capita!I$552/1000000</f>
        <v>-2.03287802964413E-2</v>
      </c>
      <c r="J326" s="336">
        <f>Saldo_relativo_per_capita!J326*Saldo_relativo_per_capita!J$552/1000000</f>
        <v>0.25940672740390269</v>
      </c>
      <c r="K326" s="336">
        <f>Saldo_relativo_per_capita!K326*Saldo_relativo_per_capita!K$552/1000000</f>
        <v>0.35232806113587251</v>
      </c>
      <c r="L326" s="336">
        <f>Saldo_relativo_per_capita!L326*Saldo_relativo_per_capita!L$552/1000000</f>
        <v>0.65259452763387926</v>
      </c>
      <c r="M326" s="336">
        <f>Saldo_relativo_per_capita!M326*Saldo_relativo_per_capita!M$552/1000000</f>
        <v>-7.3171373618041109</v>
      </c>
      <c r="N326" s="336">
        <f>Saldo_relativo_per_capita!N326*Saldo_relativo_per_capita!N$552/1000000</f>
        <v>-1.5537708226964746</v>
      </c>
      <c r="O326" s="336">
        <f>Saldo_relativo_per_capita!O326*Saldo_relativo_per_capita!O$552/1000000</f>
        <v>6.4119230896599738E-2</v>
      </c>
      <c r="P326" s="336">
        <f>Saldo_relativo_per_capita!P326*Saldo_relativo_per_capita!P$552/1000000</f>
        <v>0.58063682673164774</v>
      </c>
      <c r="Q326" s="336">
        <f>Saldo_relativo_per_capita!Q326*Saldo_relativo_per_capita!Q$552/1000000</f>
        <v>8.3350046468432222</v>
      </c>
      <c r="R326" s="336">
        <f>Saldo_relativo_per_capita!R326*Saldo_relativo_per_capita!R$552/1000000</f>
        <v>4.4572636117806638E-2</v>
      </c>
      <c r="S326" s="336">
        <f>Saldo_relativo_per_capita!S326*Saldo_relativo_per_capita!S$552/1000000</f>
        <v>0.66891592596057925</v>
      </c>
      <c r="T326" s="336">
        <f>Saldo_relativo_per_capita!T326*Saldo_relativo_per_capita!T$552/1000000</f>
        <v>-0.74473308607078503</v>
      </c>
      <c r="U326" s="336">
        <f>Saldo_relativo_per_capita!U326*Saldo_relativo_per_capita!U$552/1000000</f>
        <v>-1.682987072884678E-3</v>
      </c>
      <c r="V326" s="336">
        <f>Saldo_relativo_per_capita!V326*Saldo_relativo_per_capita!V$552/1000000</f>
        <v>0.18510611897900811</v>
      </c>
      <c r="W326" s="148"/>
      <c r="X326" s="231"/>
    </row>
    <row r="327" spans="1:24" s="115" customFormat="1">
      <c r="A327" s="351" t="str">
        <f>IF(B327="","",(IF(ISERROR(MATCH(B327,Tot_res!C:C,0)),"Eliminar!!!","")))</f>
        <v/>
      </c>
      <c r="B327" s="115" t="s">
        <v>642</v>
      </c>
      <c r="C327" s="329" t="str">
        <f>VLOOKUP(B327,Tot_res!C:D,2,FALSE)</f>
        <v xml:space="preserve">Enseñanzas artísticas, neto del gasto directo del Estado en Ceuta y Melilla </v>
      </c>
      <c r="D327" s="336">
        <f>Saldo_relativo_per_capita!D327*Saldo_relativo_per_capita!D$552/1000000</f>
        <v>0</v>
      </c>
      <c r="E327" s="336">
        <f>Saldo_relativo_per_capita!E327*Saldo_relativo_per_capita!E$552/1000000</f>
        <v>-1.0801293529493794E-4</v>
      </c>
      <c r="F327" s="336">
        <f>Saldo_relativo_per_capita!F327*Saldo_relativo_per_capita!F$552/1000000</f>
        <v>1.455491439334658E-5</v>
      </c>
      <c r="G327" s="336">
        <f>Saldo_relativo_per_capita!G327*Saldo_relativo_per_capita!G$552/1000000</f>
        <v>-4.5014863838018728E-5</v>
      </c>
      <c r="H327" s="336">
        <f>Saldo_relativo_per_capita!H327*Saldo_relativo_per_capita!H$552/1000000</f>
        <v>-5.481078525575348E-5</v>
      </c>
      <c r="I327" s="336">
        <f>Saldo_relativo_per_capita!I327*Saldo_relativo_per_capita!I$552/1000000</f>
        <v>5.2941022219554261E-5</v>
      </c>
      <c r="J327" s="336">
        <f>Saldo_relativo_per_capita!J327*Saldo_relativo_per_capita!J$552/1000000</f>
        <v>-2.018625300702965E-5</v>
      </c>
      <c r="K327" s="336">
        <f>Saldo_relativo_per_capita!K327*Saldo_relativo_per_capita!K$552/1000000</f>
        <v>1.3150940834010333E-5</v>
      </c>
      <c r="L327" s="336">
        <f>Saldo_relativo_per_capita!L327*Saldo_relativo_per_capita!L$552/1000000</f>
        <v>3.2293962618334108E-6</v>
      </c>
      <c r="M327" s="336">
        <f>Saldo_relativo_per_capita!M327*Saldo_relativo_per_capita!M$552/1000000</f>
        <v>1.2017110709629982E-4</v>
      </c>
      <c r="N327" s="336">
        <f>Saldo_relativo_per_capita!N327*Saldo_relativo_per_capita!N$552/1000000</f>
        <v>-1.3679207961124132E-4</v>
      </c>
      <c r="O327" s="336">
        <f>Saldo_relativo_per_capita!O327*Saldo_relativo_per_capita!O$552/1000000</f>
        <v>-5.0969106467963866E-5</v>
      </c>
      <c r="P327" s="336">
        <f>Saldo_relativo_per_capita!P327*Saldo_relativo_per_capita!P$552/1000000</f>
        <v>1.9033938559091705E-5</v>
      </c>
      <c r="Q327" s="336">
        <f>Saldo_relativo_per_capita!Q327*Saldo_relativo_per_capita!Q$552/1000000</f>
        <v>1.155643679589602E-5</v>
      </c>
      <c r="R327" s="336">
        <f>Saldo_relativo_per_capita!R327*Saldo_relativo_per_capita!R$552/1000000</f>
        <v>-5.6091078979911521E-5</v>
      </c>
      <c r="S327" s="336">
        <f>Saldo_relativo_per_capita!S327*Saldo_relativo_per_capita!S$552/1000000</f>
        <v>7.3949420208234195E-5</v>
      </c>
      <c r="T327" s="336">
        <f>Saldo_relativo_per_capita!T327*Saldo_relativo_per_capita!T$552/1000000</f>
        <v>1.6167846490185243E-4</v>
      </c>
      <c r="U327" s="336">
        <f>Saldo_relativo_per_capita!U327*Saldo_relativo_per_capita!U$552/1000000</f>
        <v>7.2490091446627691E-6</v>
      </c>
      <c r="V327" s="336">
        <f>Saldo_relativo_per_capita!V327*Saldo_relativo_per_capita!V$552/1000000</f>
        <v>-5.6375479599249556E-6</v>
      </c>
      <c r="W327" s="148"/>
      <c r="X327" s="231"/>
    </row>
    <row r="328" spans="1:24" s="115" customFormat="1">
      <c r="A328" s="351" t="str">
        <f>IF(B328="","",(IF(ISERROR(MATCH(B328,Tot_res!C:C,0)),"Eliminar!!!","")))</f>
        <v/>
      </c>
      <c r="B328" s="115" t="s">
        <v>643</v>
      </c>
      <c r="C328" s="329" t="str">
        <f>VLOOKUP(B328,Tot_res!C:D,2,FALSE)</f>
        <v>Educación compensatoria,neto del gasto directo del Estado en Ceuta y Melilla  +AF12/2</v>
      </c>
      <c r="D328" s="336">
        <f>Saldo_relativo_per_capita!D328*Saldo_relativo_per_capita!D$552/1000000</f>
        <v>0</v>
      </c>
      <c r="E328" s="336">
        <f>Saldo_relativo_per_capita!E328*Saldo_relativo_per_capita!E$552/1000000</f>
        <v>-5.6782724323263048E-2</v>
      </c>
      <c r="F328" s="336">
        <f>Saldo_relativo_per_capita!F328*Saldo_relativo_per_capita!F$552/1000000</f>
        <v>-1.4057654172796565E-2</v>
      </c>
      <c r="G328" s="336">
        <f>Saldo_relativo_per_capita!G328*Saldo_relativo_per_capita!G$552/1000000</f>
        <v>-1.3264923036334565E-2</v>
      </c>
      <c r="H328" s="336">
        <f>Saldo_relativo_per_capita!H328*Saldo_relativo_per_capita!H$552/1000000</f>
        <v>-1.4347830360259509E-2</v>
      </c>
      <c r="I328" s="336">
        <f>Saldo_relativo_per_capita!I328*Saldo_relativo_per_capita!I$552/1000000</f>
        <v>-1.8266593354942545E-2</v>
      </c>
      <c r="J328" s="336">
        <f>Saldo_relativo_per_capita!J328*Saldo_relativo_per_capita!J$552/1000000</f>
        <v>5.6648707747909413E-3</v>
      </c>
      <c r="K328" s="336">
        <f>Saldo_relativo_per_capita!K328*Saldo_relativo_per_capita!K$552/1000000</f>
        <v>-9.8742834993038962E-3</v>
      </c>
      <c r="L328" s="336">
        <f>Saldo_relativo_per_capita!L328*Saldo_relativo_per_capita!L$552/1000000</f>
        <v>-2.3664294702010726E-2</v>
      </c>
      <c r="M328" s="336">
        <f>Saldo_relativo_per_capita!M328*Saldo_relativo_per_capita!M$552/1000000</f>
        <v>-2.1053040436507089E-2</v>
      </c>
      <c r="N328" s="336">
        <f>Saldo_relativo_per_capita!N328*Saldo_relativo_per_capita!N$552/1000000</f>
        <v>-5.8534173388231941E-2</v>
      </c>
      <c r="O328" s="336">
        <f>Saldo_relativo_per_capita!O328*Saldo_relativo_per_capita!O$552/1000000</f>
        <v>-1.2975036408729454E-2</v>
      </c>
      <c r="P328" s="336">
        <f>Saldo_relativo_per_capita!P328*Saldo_relativo_per_capita!P$552/1000000</f>
        <v>-3.5922754827609628E-2</v>
      </c>
      <c r="Q328" s="336">
        <f>Saldo_relativo_per_capita!Q328*Saldo_relativo_per_capita!Q$552/1000000</f>
        <v>0.24456081719076014</v>
      </c>
      <c r="R328" s="336">
        <f>Saldo_relativo_per_capita!R328*Saldo_relativo_per_capita!R$552/1000000</f>
        <v>3.1575531277603805E-2</v>
      </c>
      <c r="S328" s="336">
        <f>Saldo_relativo_per_capita!S328*Saldo_relativo_per_capita!S$552/1000000</f>
        <v>2.1171161544727649E-3</v>
      </c>
      <c r="T328" s="336">
        <f>Saldo_relativo_per_capita!T328*Saldo_relativo_per_capita!T$552/1000000</f>
        <v>-7.0342101982759321E-3</v>
      </c>
      <c r="U328" s="336">
        <f>Saldo_relativo_per_capita!U328*Saldo_relativo_per_capita!U$552/1000000</f>
        <v>2.0876145550835601E-3</v>
      </c>
      <c r="V328" s="336">
        <f>Saldo_relativo_per_capita!V328*Saldo_relativo_per_capita!V$552/1000000</f>
        <v>-2.2843124444627946E-4</v>
      </c>
      <c r="W328" s="148"/>
      <c r="X328" s="231"/>
    </row>
    <row r="329" spans="1:24" s="115"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6">
        <f>Saldo_relativo_per_capita!D329*Saldo_relativo_per_capita!D$552/1000000</f>
        <v>0</v>
      </c>
      <c r="E329" s="336">
        <f>Saldo_relativo_per_capita!E329*Saldo_relativo_per_capita!E$552/1000000</f>
        <v>-4.3649450374002433E-2</v>
      </c>
      <c r="F329" s="336">
        <f>Saldo_relativo_per_capita!F329*Saldo_relativo_per_capita!F$552/1000000</f>
        <v>3.5184487008548156E-2</v>
      </c>
      <c r="G329" s="336">
        <f>Saldo_relativo_per_capita!G329*Saldo_relativo_per_capita!G$552/1000000</f>
        <v>9.4309609779626616E-2</v>
      </c>
      <c r="H329" s="336">
        <f>Saldo_relativo_per_capita!H329*Saldo_relativo_per_capita!H$552/1000000</f>
        <v>-2.2342458146450476E-2</v>
      </c>
      <c r="I329" s="336">
        <f>Saldo_relativo_per_capita!I329*Saldo_relativo_per_capita!I$552/1000000</f>
        <v>-3.4643978002346941E-2</v>
      </c>
      <c r="J329" s="336">
        <f>Saldo_relativo_per_capita!J329*Saldo_relativo_per_capita!J$552/1000000</f>
        <v>1.9169624856129889E-2</v>
      </c>
      <c r="K329" s="336">
        <f>Saldo_relativo_per_capita!K329*Saldo_relativo_per_capita!K$552/1000000</f>
        <v>6.1553231188193579E-2</v>
      </c>
      <c r="L329" s="336">
        <f>Saldo_relativo_per_capita!L329*Saldo_relativo_per_capita!L$552/1000000</f>
        <v>-3.0189634112776288E-2</v>
      </c>
      <c r="M329" s="336">
        <f>Saldo_relativo_per_capita!M329*Saldo_relativo_per_capita!M$552/1000000</f>
        <v>-9.7362344257583527E-2</v>
      </c>
      <c r="N329" s="336">
        <f>Saldo_relativo_per_capita!N329*Saldo_relativo_per_capita!N$552/1000000</f>
        <v>-4.0649533087643935E-2</v>
      </c>
      <c r="O329" s="336">
        <f>Saldo_relativo_per_capita!O329*Saldo_relativo_per_capita!O$552/1000000</f>
        <v>6.9094576513509823E-2</v>
      </c>
      <c r="P329" s="336">
        <f>Saldo_relativo_per_capita!P329*Saldo_relativo_per_capita!P$552/1000000</f>
        <v>-3.3277105012937187E-2</v>
      </c>
      <c r="Q329" s="336">
        <f>Saldo_relativo_per_capita!Q329*Saldo_relativo_per_capita!Q$552/1000000</f>
        <v>9.3671632812489872E-3</v>
      </c>
      <c r="R329" s="336">
        <f>Saldo_relativo_per_capita!R329*Saldo_relativo_per_capita!R$552/1000000</f>
        <v>5.9577750692531448E-2</v>
      </c>
      <c r="S329" s="336">
        <f>Saldo_relativo_per_capita!S329*Saldo_relativo_per_capita!S$552/1000000</f>
        <v>-1.1296057758515049E-2</v>
      </c>
      <c r="T329" s="336">
        <f>Saldo_relativo_per_capita!T329*Saldo_relativo_per_capita!T$552/1000000</f>
        <v>-2.7750577050803856E-2</v>
      </c>
      <c r="U329" s="336">
        <f>Saldo_relativo_per_capita!U329*Saldo_relativo_per_capita!U$552/1000000</f>
        <v>-5.7560477930951974E-3</v>
      </c>
      <c r="V329" s="336">
        <f>Saldo_relativo_per_capita!V329*Saldo_relativo_per_capita!V$552/1000000</f>
        <v>-1.3392577236340487E-3</v>
      </c>
      <c r="W329" s="148"/>
      <c r="X329" s="231"/>
    </row>
    <row r="330" spans="1:24" s="115" customFormat="1">
      <c r="A330" s="351" t="str">
        <f>IF(B330="","",(IF(ISERROR(MATCH(B330,Tot_res!C:C,0)),"Eliminar!!!","")))</f>
        <v/>
      </c>
      <c r="B330" s="119" t="s">
        <v>645</v>
      </c>
      <c r="C330" s="329" t="str">
        <f>VLOOKUP(B330,Tot_res!C:D,2,FALSE)</f>
        <v xml:space="preserve">Otras enseñanzas y actividades educativas, neto del gasto directo del Estado en Ceuta y Melilla  </v>
      </c>
      <c r="D330" s="336">
        <f>Saldo_relativo_per_capita!D330*Saldo_relativo_per_capita!D$552/1000000</f>
        <v>0</v>
      </c>
      <c r="E330" s="336">
        <f>Saldo_relativo_per_capita!E330*Saldo_relativo_per_capita!E$552/1000000</f>
        <v>-0.67402682252348256</v>
      </c>
      <c r="F330" s="336">
        <f>Saldo_relativo_per_capita!F330*Saldo_relativo_per_capita!F$552/1000000</f>
        <v>-1.2262315029322747E-2</v>
      </c>
      <c r="G330" s="336">
        <f>Saldo_relativo_per_capita!G330*Saldo_relativo_per_capita!G$552/1000000</f>
        <v>-0.22079334290080174</v>
      </c>
      <c r="H330" s="336">
        <f>Saldo_relativo_per_capita!H330*Saldo_relativo_per_capita!H$552/1000000</f>
        <v>-9.2226506169788128E-2</v>
      </c>
      <c r="I330" s="336">
        <f>Saldo_relativo_per_capita!I330*Saldo_relativo_per_capita!I$552/1000000</f>
        <v>2.4462335641860751</v>
      </c>
      <c r="J330" s="336">
        <f>Saldo_relativo_per_capita!J330*Saldo_relativo_per_capita!J$552/1000000</f>
        <v>-5.5648806009908444E-2</v>
      </c>
      <c r="K330" s="336">
        <f>Saldo_relativo_per_capita!K330*Saldo_relativo_per_capita!K$552/1000000</f>
        <v>-9.5408245154980892E-2</v>
      </c>
      <c r="L330" s="336">
        <f>Saldo_relativo_per_capita!L330*Saldo_relativo_per_capita!L$552/1000000</f>
        <v>-0.19000647414465244</v>
      </c>
      <c r="M330" s="336">
        <f>Saldo_relativo_per_capita!M330*Saldo_relativo_per_capita!M$552/1000000</f>
        <v>-0.93348224822279369</v>
      </c>
      <c r="N330" s="336">
        <f>Saldo_relativo_per_capita!N330*Saldo_relativo_per_capita!N$552/1000000</f>
        <v>-0.5602573758714221</v>
      </c>
      <c r="O330" s="336">
        <f>Saldo_relativo_per_capita!O330*Saldo_relativo_per_capita!O$552/1000000</f>
        <v>-0.1578397804568043</v>
      </c>
      <c r="P330" s="336">
        <f>Saldo_relativo_per_capita!P330*Saldo_relativo_per_capita!P$552/1000000</f>
        <v>-0.4544339354573439</v>
      </c>
      <c r="Q330" s="336">
        <f>Saldo_relativo_per_capita!Q330*Saldo_relativo_per_capita!Q$552/1000000</f>
        <v>0.95533269791109598</v>
      </c>
      <c r="R330" s="336">
        <f>Saldo_relativo_per_capita!R330*Saldo_relativo_per_capita!R$552/1000000</f>
        <v>-0.18888693309795374</v>
      </c>
      <c r="S330" s="336">
        <f>Saldo_relativo_per_capita!S330*Saldo_relativo_per_capita!S$552/1000000</f>
        <v>-0.1135518170027872</v>
      </c>
      <c r="T330" s="336">
        <f>Saldo_relativo_per_capita!T330*Saldo_relativo_per_capita!T$552/1000000</f>
        <v>0.38026886564197576</v>
      </c>
      <c r="U330" s="336">
        <f>Saldo_relativo_per_capita!U330*Saldo_relativo_per_capita!U$552/1000000</f>
        <v>-1.0954682338541586E-2</v>
      </c>
      <c r="V330" s="336">
        <f>Saldo_relativo_per_capita!V330*Saldo_relativo_per_capita!V$552/1000000</f>
        <v>-2.2055843358561623E-2</v>
      </c>
      <c r="W330" s="148"/>
      <c r="X330" s="231"/>
    </row>
    <row r="331" spans="1:24" s="115"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6">
        <f>Saldo_relativo_per_capita!D331*Saldo_relativo_per_capita!D$552/1000000</f>
        <v>0</v>
      </c>
      <c r="E331" s="336">
        <f>Saldo_relativo_per_capita!E331*Saldo_relativo_per_capita!E$552/1000000</f>
        <v>6.3903219244786369E-2</v>
      </c>
      <c r="F331" s="336">
        <f>Saldo_relativo_per_capita!F331*Saldo_relativo_per_capita!F$552/1000000</f>
        <v>-6.6336465271731307E-3</v>
      </c>
      <c r="G331" s="336">
        <f>Saldo_relativo_per_capita!G331*Saldo_relativo_per_capita!G$552/1000000</f>
        <v>-1.835343907068469E-2</v>
      </c>
      <c r="H331" s="336">
        <f>Saldo_relativo_per_capita!H331*Saldo_relativo_per_capita!H$552/1000000</f>
        <v>-2.177853014671343E-2</v>
      </c>
      <c r="I331" s="336">
        <f>Saldo_relativo_per_capita!I331*Saldo_relativo_per_capita!I$552/1000000</f>
        <v>1.7036499240206608E-2</v>
      </c>
      <c r="J331" s="336">
        <f>Saldo_relativo_per_capita!J331*Saldo_relativo_per_capita!J$552/1000000</f>
        <v>-3.6684812994326205E-3</v>
      </c>
      <c r="K331" s="336">
        <f>Saldo_relativo_per_capita!K331*Saldo_relativo_per_capita!K$552/1000000</f>
        <v>-8.3562018412209043E-3</v>
      </c>
      <c r="L331" s="336">
        <f>Saldo_relativo_per_capita!L331*Saldo_relativo_per_capita!L$552/1000000</f>
        <v>1.5152155396023699E-2</v>
      </c>
      <c r="M331" s="336">
        <f>Saldo_relativo_per_capita!M331*Saldo_relativo_per_capita!M$552/1000000</f>
        <v>-4.5025797224957018E-2</v>
      </c>
      <c r="N331" s="336">
        <f>Saldo_relativo_per_capita!N331*Saldo_relativo_per_capita!N$552/1000000</f>
        <v>-2.0123495895180568E-3</v>
      </c>
      <c r="O331" s="336">
        <f>Saldo_relativo_per_capita!O331*Saldo_relativo_per_capita!O$552/1000000</f>
        <v>1.1865129410782948E-2</v>
      </c>
      <c r="P331" s="336">
        <f>Saldo_relativo_per_capita!P331*Saldo_relativo_per_capita!P$552/1000000</f>
        <v>-2.2054113108041278E-2</v>
      </c>
      <c r="Q331" s="336">
        <f>Saldo_relativo_per_capita!Q331*Saldo_relativo_per_capita!Q$552/1000000</f>
        <v>9.9734982615017273E-3</v>
      </c>
      <c r="R331" s="336">
        <f>Saldo_relativo_per_capita!R331*Saldo_relativo_per_capita!R$552/1000000</f>
        <v>2.2863381114320992E-2</v>
      </c>
      <c r="S331" s="336">
        <f>Saldo_relativo_per_capita!S331*Saldo_relativo_per_capita!S$552/1000000</f>
        <v>-2.2826734116134632E-3</v>
      </c>
      <c r="T331" s="336">
        <f>Saldo_relativo_per_capita!T331*Saldo_relativo_per_capita!T$552/1000000</f>
        <v>-1.3857995571684401E-2</v>
      </c>
      <c r="U331" s="336">
        <f>Saldo_relativo_per_capita!U331*Saldo_relativo_per_capita!U$552/1000000</f>
        <v>-1.5761730587327588E-3</v>
      </c>
      <c r="V331" s="336">
        <f>Saldo_relativo_per_capita!V331*Saldo_relativo_per_capita!V$552/1000000</f>
        <v>4.8055181821509375E-3</v>
      </c>
      <c r="W331" s="148"/>
      <c r="X331" s="231"/>
    </row>
    <row r="332" spans="1:24" s="115" customFormat="1">
      <c r="A332" s="351" t="str">
        <f>IF(B332="","",(IF(ISERROR(MATCH(B332,Tot_res!C:C,0)),"Eliminar!!!","")))</f>
        <v/>
      </c>
      <c r="B332" s="115" t="s">
        <v>647</v>
      </c>
      <c r="C332" s="329" t="str">
        <f>VLOOKUP(B332,Tot_res!C:D,2,FALSE)</f>
        <v>Formación del personal de las administraciones públicas + AF12/3</v>
      </c>
      <c r="D332" s="336">
        <f>Saldo_relativo_per_capita!D332*Saldo_relativo_per_capita!D$552/1000000</f>
        <v>0</v>
      </c>
      <c r="E332" s="336">
        <f>Saldo_relativo_per_capita!E332*Saldo_relativo_per_capita!E$552/1000000</f>
        <v>0.25762603790092664</v>
      </c>
      <c r="F332" s="336">
        <f>Saldo_relativo_per_capita!F332*Saldo_relativo_per_capita!F$552/1000000</f>
        <v>0.12599032703595819</v>
      </c>
      <c r="G332" s="336">
        <f>Saldo_relativo_per_capita!G332*Saldo_relativo_per_capita!G$552/1000000</f>
        <v>3.546314230901966E-2</v>
      </c>
      <c r="H332" s="336">
        <f>Saldo_relativo_per_capita!H332*Saldo_relativo_per_capita!H$552/1000000</f>
        <v>-6.4693569683039492E-2</v>
      </c>
      <c r="I332" s="336">
        <f>Saldo_relativo_per_capita!I332*Saldo_relativo_per_capita!I$552/1000000</f>
        <v>9.1658218020883503E-2</v>
      </c>
      <c r="J332" s="336">
        <f>Saldo_relativo_per_capita!J332*Saldo_relativo_per_capita!J$552/1000000</f>
        <v>2.3982045698695408E-2</v>
      </c>
      <c r="K332" s="336">
        <f>Saldo_relativo_per_capita!K332*Saldo_relativo_per_capita!K$552/1000000</f>
        <v>0.27406552287348707</v>
      </c>
      <c r="L332" s="336">
        <f>Saldo_relativo_per_capita!L332*Saldo_relativo_per_capita!L$552/1000000</f>
        <v>0.20759026206933154</v>
      </c>
      <c r="M332" s="336">
        <f>Saldo_relativo_per_capita!M332*Saldo_relativo_per_capita!M$552/1000000</f>
        <v>-0.76697393129233848</v>
      </c>
      <c r="N332" s="336">
        <f>Saldo_relativo_per_capita!N332*Saldo_relativo_per_capita!N$552/1000000</f>
        <v>-0.21787804994366181</v>
      </c>
      <c r="O332" s="336">
        <f>Saldo_relativo_per_capita!O332*Saldo_relativo_per_capita!O$552/1000000</f>
        <v>0.42028691781066746</v>
      </c>
      <c r="P332" s="336">
        <f>Saldo_relativo_per_capita!P332*Saldo_relativo_per_capita!P$552/1000000</f>
        <v>0.27697688937727127</v>
      </c>
      <c r="Q332" s="336">
        <f>Saldo_relativo_per_capita!Q332*Saldo_relativo_per_capita!Q$552/1000000</f>
        <v>-0.63236129653178863</v>
      </c>
      <c r="R332" s="336">
        <f>Saldo_relativo_per_capita!R332*Saldo_relativo_per_capita!R$552/1000000</f>
        <v>2.6331670713402523E-2</v>
      </c>
      <c r="S332" s="336">
        <f>Saldo_relativo_per_capita!S332*Saldo_relativo_per_capita!S$552/1000000</f>
        <v>1.9093985802250541E-2</v>
      </c>
      <c r="T332" s="336">
        <f>Saldo_relativo_per_capita!T332*Saldo_relativo_per_capita!T$552/1000000</f>
        <v>0</v>
      </c>
      <c r="U332" s="336">
        <f>Saldo_relativo_per_capita!U332*Saldo_relativo_per_capita!U$552/1000000</f>
        <v>-1.2090200942309814E-2</v>
      </c>
      <c r="V332" s="336">
        <f>Saldo_relativo_per_capita!V332*Saldo_relativo_per_capita!V$552/1000000</f>
        <v>-6.5067971218752518E-2</v>
      </c>
      <c r="W332" s="148"/>
      <c r="X332" s="231"/>
    </row>
    <row r="333" spans="1:24" s="115" customFormat="1">
      <c r="A333" s="351" t="str">
        <f>IF(B333="","",(IF(ISERROR(MATCH(B333,Tot_res!C:C,0)),"Eliminar!!!","")))</f>
        <v/>
      </c>
      <c r="B333" s="115" t="s">
        <v>311</v>
      </c>
      <c r="C333" s="329" t="str">
        <f>VLOOKUP(B333,Tot_res!C:D,2,FALSE)</f>
        <v>Profesores de religión</v>
      </c>
      <c r="D333" s="336">
        <f>Saldo_relativo_per_capita!D333*Saldo_relativo_per_capita!D$552/1000000</f>
        <v>0</v>
      </c>
      <c r="E333" s="336">
        <f>Saldo_relativo_per_capita!E333*Saldo_relativo_per_capita!E$552/1000000</f>
        <v>-27.579378195316554</v>
      </c>
      <c r="F333" s="336">
        <f>Saldo_relativo_per_capita!F333*Saldo_relativo_per_capita!F$552/1000000</f>
        <v>-4.3388598930254263</v>
      </c>
      <c r="G333" s="336">
        <f>Saldo_relativo_per_capita!G333*Saldo_relativo_per_capita!G$552/1000000</f>
        <v>3.8882196789006427</v>
      </c>
      <c r="H333" s="336">
        <f>Saldo_relativo_per_capita!H333*Saldo_relativo_per_capita!H$552/1000000</f>
        <v>5.9916332242818143E-2</v>
      </c>
      <c r="I333" s="336">
        <f>Saldo_relativo_per_capita!I333*Saldo_relativo_per_capita!I$552/1000000</f>
        <v>-6.9026974749923475</v>
      </c>
      <c r="J333" s="336">
        <f>Saldo_relativo_per_capita!J333*Saldo_relativo_per_capita!J$552/1000000</f>
        <v>-1.9268477388778213</v>
      </c>
      <c r="K333" s="336">
        <f>Saldo_relativo_per_capita!K333*Saldo_relativo_per_capita!K$552/1000000</f>
        <v>4.0696000981367169</v>
      </c>
      <c r="L333" s="336">
        <f>Saldo_relativo_per_capita!L333*Saldo_relativo_per_capita!L$552/1000000</f>
        <v>4.7569250974648485</v>
      </c>
      <c r="M333" s="336">
        <f>Saldo_relativo_per_capita!M333*Saldo_relativo_per_capita!M$552/1000000</f>
        <v>-7.2277297051262801</v>
      </c>
      <c r="N333" s="336">
        <f>Saldo_relativo_per_capita!N333*Saldo_relativo_per_capita!N$552/1000000</f>
        <v>11.960631732931585</v>
      </c>
      <c r="O333" s="336">
        <f>Saldo_relativo_per_capita!O333*Saldo_relativo_per_capita!O$552/1000000</f>
        <v>3.7086756062396184</v>
      </c>
      <c r="P333" s="336">
        <f>Saldo_relativo_per_capita!P333*Saldo_relativo_per_capita!P$552/1000000</f>
        <v>6.0733833683869696</v>
      </c>
      <c r="Q333" s="336">
        <f>Saldo_relativo_per_capita!Q333*Saldo_relativo_per_capita!Q$552/1000000</f>
        <v>12.812235376467591</v>
      </c>
      <c r="R333" s="336">
        <f>Saldo_relativo_per_capita!R333*Saldo_relativo_per_capita!R$552/1000000</f>
        <v>10.116346975021191</v>
      </c>
      <c r="S333" s="336">
        <f>Saldo_relativo_per_capita!S333*Saldo_relativo_per_capita!S$552/1000000</f>
        <v>-2.1031955044797868</v>
      </c>
      <c r="T333" s="336">
        <f>Saldo_relativo_per_capita!T333*Saldo_relativo_per_capita!T$552/1000000</f>
        <v>-7.1868752405235066</v>
      </c>
      <c r="U333" s="336">
        <f>Saldo_relativo_per_capita!U333*Saldo_relativo_per_capita!U$552/1000000</f>
        <v>0.37664092734705668</v>
      </c>
      <c r="V333" s="336">
        <f>Saldo_relativo_per_capita!V333*Saldo_relativo_per_capita!V$552/1000000</f>
        <v>-0.55699144079728702</v>
      </c>
      <c r="W333" s="148"/>
      <c r="X333" s="231"/>
    </row>
    <row r="334" spans="1:24" s="115" customFormat="1">
      <c r="A334" s="352"/>
      <c r="D334" s="217"/>
      <c r="E334" s="217"/>
      <c r="F334" s="217"/>
      <c r="G334" s="217"/>
      <c r="H334" s="217"/>
      <c r="I334" s="217"/>
      <c r="J334" s="217"/>
      <c r="K334" s="217"/>
      <c r="L334" s="217"/>
      <c r="M334" s="217"/>
      <c r="N334" s="217"/>
      <c r="O334" s="217"/>
      <c r="P334" s="217"/>
      <c r="Q334" s="217"/>
      <c r="R334" s="217"/>
      <c r="S334" s="217"/>
      <c r="T334" s="217"/>
      <c r="U334" s="217"/>
      <c r="V334" s="217"/>
      <c r="W334" s="148"/>
    </row>
    <row r="335" spans="1:24" s="115" customFormat="1" ht="13.5">
      <c r="A335" s="352"/>
      <c r="C335" s="117" t="s">
        <v>76</v>
      </c>
      <c r="D335" s="218">
        <f>Saldo_relativo_per_capita!D335*Saldo_relativo_per_capita!D$552/1000000</f>
        <v>0</v>
      </c>
      <c r="E335" s="218">
        <f>Saldo_relativo_per_capita!E335*Saldo_relativo_per_capita!E$552/1000000</f>
        <v>-219.45829297404472</v>
      </c>
      <c r="F335" s="218">
        <f>Saldo_relativo_per_capita!F335*Saldo_relativo_per_capita!F$552/1000000</f>
        <v>8.377900745741174</v>
      </c>
      <c r="G335" s="218">
        <f>Saldo_relativo_per_capita!G335*Saldo_relativo_per_capita!G$552/1000000</f>
        <v>-8.3668060767389143</v>
      </c>
      <c r="H335" s="218">
        <f>Saldo_relativo_per_capita!H335*Saldo_relativo_per_capita!H$552/1000000</f>
        <v>6.4578260306424051E-2</v>
      </c>
      <c r="I335" s="218">
        <f>Saldo_relativo_per_capita!I335*Saldo_relativo_per_capita!I$552/1000000</f>
        <v>-27.77614219936418</v>
      </c>
      <c r="J335" s="218">
        <f>Saldo_relativo_per_capita!J335*Saldo_relativo_per_capita!J$552/1000000</f>
        <v>-13.602336646439051</v>
      </c>
      <c r="K335" s="218">
        <f>Saldo_relativo_per_capita!K335*Saldo_relativo_per_capita!K$552/1000000</f>
        <v>81.015712956036808</v>
      </c>
      <c r="L335" s="218">
        <f>Saldo_relativo_per_capita!L335*Saldo_relativo_per_capita!L$552/1000000</f>
        <v>-69.50121027458141</v>
      </c>
      <c r="M335" s="218">
        <f>Saldo_relativo_per_capita!M335*Saldo_relativo_per_capita!M$552/1000000</f>
        <v>343.29649210356695</v>
      </c>
      <c r="N335" s="218">
        <f>Saldo_relativo_per_capita!N335*Saldo_relativo_per_capita!N$552/1000000</f>
        <v>-247.70508083324751</v>
      </c>
      <c r="O335" s="218">
        <f>Saldo_relativo_per_capita!O335*Saldo_relativo_per_capita!O$552/1000000</f>
        <v>-18.965902760281342</v>
      </c>
      <c r="P335" s="218">
        <f>Saldo_relativo_per_capita!P335*Saldo_relativo_per_capita!P$552/1000000</f>
        <v>-89.39963818350158</v>
      </c>
      <c r="Q335" s="218">
        <f>Saldo_relativo_per_capita!Q335*Saldo_relativo_per_capita!Q$552/1000000</f>
        <v>-65.311420839980343</v>
      </c>
      <c r="R335" s="218">
        <f>Saldo_relativo_per_capita!R335*Saldo_relativo_per_capita!R$552/1000000</f>
        <v>-76.912066489612741</v>
      </c>
      <c r="S335" s="218">
        <f>Saldo_relativo_per_capita!S335*Saldo_relativo_per_capita!S$552/1000000</f>
        <v>46.955104557158784</v>
      </c>
      <c r="T335" s="218">
        <f>Saldo_relativo_per_capita!T335*Saldo_relativo_per_capita!T$552/1000000</f>
        <v>258.75695541065153</v>
      </c>
      <c r="U335" s="218">
        <f>Saldo_relativo_per_capita!U335*Saldo_relativo_per_capita!U$552/1000000</f>
        <v>30.909740370068494</v>
      </c>
      <c r="V335" s="218">
        <f>Saldo_relativo_per_capita!V335*Saldo_relativo_per_capita!V$552/1000000</f>
        <v>67.622412874263858</v>
      </c>
      <c r="W335" s="148"/>
    </row>
    <row r="336" spans="1:24" s="115" customFormat="1">
      <c r="A336" s="351" t="str">
        <f>IF(B336="","",(IF(ISERROR(MATCH(B336,Tot_res!C:C,0)),"Eliminar!!!","")))</f>
        <v/>
      </c>
      <c r="B336" s="115" t="s">
        <v>313</v>
      </c>
      <c r="C336" s="329" t="str">
        <f>VLOOKUP(B336,Tot_res!C:D,2,FALSE)</f>
        <v>Dirección y servicios generales de justicia</v>
      </c>
      <c r="D336" s="336">
        <f>Saldo_relativo_per_capita!D336*Saldo_relativo_per_capita!D$552/1000000</f>
        <v>0</v>
      </c>
      <c r="E336" s="336">
        <f>Saldo_relativo_per_capita!E336*Saldo_relativo_per_capita!E$552/1000000</f>
        <v>-1.261108808190152</v>
      </c>
      <c r="F336" s="336">
        <f>Saldo_relativo_per_capita!F336*Saldo_relativo_per_capita!F$552/1000000</f>
        <v>-0.16162288903213351</v>
      </c>
      <c r="G336" s="336">
        <f>Saldo_relativo_per_capita!G336*Saldo_relativo_per_capita!G$552/1000000</f>
        <v>-9.0273422790777769E-2</v>
      </c>
      <c r="H336" s="336">
        <f>Saldo_relativo_per_capita!H336*Saldo_relativo_per_capita!H$552/1000000</f>
        <v>0.70433098183372311</v>
      </c>
      <c r="I336" s="336">
        <f>Saldo_relativo_per_capita!I336*Saldo_relativo_per_capita!I$552/1000000</f>
        <v>-0.18127555726365646</v>
      </c>
      <c r="J336" s="336">
        <f>Saldo_relativo_per_capita!J336*Saldo_relativo_per_capita!J$552/1000000</f>
        <v>-6.1332405974394419E-2</v>
      </c>
      <c r="K336" s="336">
        <f>Saldo_relativo_per_capita!K336*Saldo_relativo_per_capita!K$552/1000000</f>
        <v>1.5425985056172118</v>
      </c>
      <c r="L336" s="336">
        <f>Saldo_relativo_per_capita!L336*Saldo_relativo_per_capita!L$552/1000000</f>
        <v>0.78744173579916843</v>
      </c>
      <c r="M336" s="336">
        <f>Saldo_relativo_per_capita!M336*Saldo_relativo_per_capita!M$552/1000000</f>
        <v>-0.86634994822577627</v>
      </c>
      <c r="N336" s="336">
        <f>Saldo_relativo_per_capita!N336*Saldo_relativo_per_capita!N$552/1000000</f>
        <v>-0.71481246590653236</v>
      </c>
      <c r="O336" s="336">
        <f>Saldo_relativo_per_capita!O336*Saldo_relativo_per_capita!O$552/1000000</f>
        <v>0.49910109520985324</v>
      </c>
      <c r="P336" s="336">
        <f>Saldo_relativo_per_capita!P336*Saldo_relativo_per_capita!P$552/1000000</f>
        <v>-0.30081736686173227</v>
      </c>
      <c r="Q336" s="336">
        <f>Saldo_relativo_per_capita!Q336*Saldo_relativo_per_capita!Q$552/1000000</f>
        <v>-0.47855929567152533</v>
      </c>
      <c r="R336" s="336">
        <f>Saldo_relativo_per_capita!R336*Saldo_relativo_per_capita!R$552/1000000</f>
        <v>0.68668370131464529</v>
      </c>
      <c r="S336" s="336">
        <f>Saldo_relativo_per_capita!S336*Saldo_relativo_per_capita!S$552/1000000</f>
        <v>-9.6286144861244316E-2</v>
      </c>
      <c r="T336" s="336">
        <f>Saldo_relativo_per_capita!T336*Saldo_relativo_per_capita!T$552/1000000</f>
        <v>-0.25984084499494736</v>
      </c>
      <c r="U336" s="336">
        <f>Saldo_relativo_per_capita!U336*Saldo_relativo_per_capita!U$552/1000000</f>
        <v>0.19667172896022658</v>
      </c>
      <c r="V336" s="336">
        <f>Saldo_relativo_per_capita!V336*Saldo_relativo_per_capita!V$552/1000000</f>
        <v>5.5451401038045744E-2</v>
      </c>
      <c r="W336" s="148"/>
    </row>
    <row r="337" spans="1:23" s="115" customFormat="1">
      <c r="A337" s="351" t="str">
        <f>IF(B337="","",(IF(ISERROR(MATCH(B337,Tot_res!C:C,0)),"Eliminar!!!","")))</f>
        <v/>
      </c>
      <c r="B337" s="115" t="s">
        <v>314</v>
      </c>
      <c r="C337" s="329" t="str">
        <f>VLOOKUP(B337,Tot_res!C:D,2,FALSE)</f>
        <v>Formación del personal de la administración de justicia</v>
      </c>
      <c r="D337" s="336">
        <f>Saldo_relativo_per_capita!D337*Saldo_relativo_per_capita!D$552/1000000</f>
        <v>0</v>
      </c>
      <c r="E337" s="336">
        <f>Saldo_relativo_per_capita!E337*Saldo_relativo_per_capita!E$552/1000000</f>
        <v>-8.6855287051959731E-2</v>
      </c>
      <c r="F337" s="336">
        <f>Saldo_relativo_per_capita!F337*Saldo_relativo_per_capita!F$552/1000000</f>
        <v>1.5895714754825716E-3</v>
      </c>
      <c r="G337" s="336">
        <f>Saldo_relativo_per_capita!G337*Saldo_relativo_per_capita!G$552/1000000</f>
        <v>1.5223984573744293E-2</v>
      </c>
      <c r="H337" s="336">
        <f>Saldo_relativo_per_capita!H337*Saldo_relativo_per_capita!H$552/1000000</f>
        <v>9.2974279323666791E-3</v>
      </c>
      <c r="I337" s="336">
        <f>Saldo_relativo_per_capita!I337*Saldo_relativo_per_capita!I$552/1000000</f>
        <v>1.5231096782785588E-2</v>
      </c>
      <c r="J337" s="336">
        <f>Saldo_relativo_per_capita!J337*Saldo_relativo_per_capita!J$552/1000000</f>
        <v>5.8142882935685626E-3</v>
      </c>
      <c r="K337" s="336">
        <f>Saldo_relativo_per_capita!K337*Saldo_relativo_per_capita!K$552/1000000</f>
        <v>2.0474760230507757E-2</v>
      </c>
      <c r="L337" s="336">
        <f>Saldo_relativo_per_capita!L337*Saldo_relativo_per_capita!L$552/1000000</f>
        <v>-2.6883955835537814E-2</v>
      </c>
      <c r="M337" s="336">
        <f>Saldo_relativo_per_capita!M337*Saldo_relativo_per_capita!M$552/1000000</f>
        <v>5.1014343757782013E-3</v>
      </c>
      <c r="N337" s="336">
        <f>Saldo_relativo_per_capita!N337*Saldo_relativo_per_capita!N$552/1000000</f>
        <v>-2.5628926109068986E-2</v>
      </c>
      <c r="O337" s="336">
        <f>Saldo_relativo_per_capita!O337*Saldo_relativo_per_capita!O$552/1000000</f>
        <v>-8.6751676401022135E-3</v>
      </c>
      <c r="P337" s="336">
        <f>Saldo_relativo_per_capita!P337*Saldo_relativo_per_capita!P$552/1000000</f>
        <v>1.2616841881488492E-2</v>
      </c>
      <c r="Q337" s="336">
        <f>Saldo_relativo_per_capita!Q337*Saldo_relativo_per_capita!Q$552/1000000</f>
        <v>4.1220443652806603E-2</v>
      </c>
      <c r="R337" s="336">
        <f>Saldo_relativo_per_capita!R337*Saldo_relativo_per_capita!R$552/1000000</f>
        <v>-5.5406709980003951E-3</v>
      </c>
      <c r="S337" s="336">
        <f>Saldo_relativo_per_capita!S337*Saldo_relativo_per_capita!S$552/1000000</f>
        <v>-3.1554310312282615E-3</v>
      </c>
      <c r="T337" s="336">
        <f>Saldo_relativo_per_capita!T337*Saldo_relativo_per_capita!T$552/1000000</f>
        <v>3.2715035397470754E-3</v>
      </c>
      <c r="U337" s="336">
        <f>Saldo_relativo_per_capita!U337*Saldo_relativo_per_capita!U$552/1000000</f>
        <v>2.2250973076541037E-3</v>
      </c>
      <c r="V337" s="336">
        <f>Saldo_relativo_per_capita!V337*Saldo_relativo_per_capita!V$552/1000000</f>
        <v>2.4672988619967983E-2</v>
      </c>
    </row>
    <row r="338" spans="1:23" s="115" customFormat="1" ht="13.5">
      <c r="A338" s="351" t="str">
        <f>IF(B338="","",(IF(ISERROR(MATCH(B338,Tot_res!C:C,0)),"Eliminar!!!","")))</f>
        <v/>
      </c>
      <c r="B338" s="115" t="s">
        <v>315</v>
      </c>
      <c r="C338" s="329" t="str">
        <f>VLOOKUP(B338,Tot_res!C:D,2,FALSE)</f>
        <v>Formación de la carrera fiscal</v>
      </c>
      <c r="D338" s="336">
        <f>Saldo_relativo_per_capita!D338*Saldo_relativo_per_capita!D$552/1000000</f>
        <v>0</v>
      </c>
      <c r="E338" s="336">
        <f>Saldo_relativo_per_capita!E338*Saldo_relativo_per_capita!E$552/1000000</f>
        <v>-1.3073225918144513E-3</v>
      </c>
      <c r="F338" s="336">
        <f>Saldo_relativo_per_capita!F338*Saldo_relativo_per_capita!F$552/1000000</f>
        <v>-9.1735810003196238E-4</v>
      </c>
      <c r="G338" s="336">
        <f>Saldo_relativo_per_capita!G338*Saldo_relativo_per_capita!G$552/1000000</f>
        <v>-9.7370497258274604E-4</v>
      </c>
      <c r="H338" s="336">
        <f>Saldo_relativo_per_capita!H338*Saldo_relativo_per_capita!H$552/1000000</f>
        <v>2.4144027820275373E-3</v>
      </c>
      <c r="I338" s="336">
        <f>Saldo_relativo_per_capita!I338*Saldo_relativo_per_capita!I$552/1000000</f>
        <v>6.2280694829036677E-3</v>
      </c>
      <c r="J338" s="336">
        <f>Saldo_relativo_per_capita!J338*Saldo_relativo_per_capita!J$552/1000000</f>
        <v>-3.4215056101168583E-4</v>
      </c>
      <c r="K338" s="336">
        <f>Saldo_relativo_per_capita!K338*Saldo_relativo_per_capita!K$552/1000000</f>
        <v>2.5003658041846477E-3</v>
      </c>
      <c r="L338" s="336">
        <f>Saldo_relativo_per_capita!L338*Saldo_relativo_per_capita!L$552/1000000</f>
        <v>-9.6749016320128271E-3</v>
      </c>
      <c r="M338" s="336">
        <f>Saldo_relativo_per_capita!M338*Saldo_relativo_per_capita!M$552/1000000</f>
        <v>1.1504704142059518E-2</v>
      </c>
      <c r="N338" s="336">
        <f>Saldo_relativo_per_capita!N338*Saldo_relativo_per_capita!N$552/1000000</f>
        <v>-4.0059196019843086E-4</v>
      </c>
      <c r="O338" s="336">
        <f>Saldo_relativo_per_capita!O338*Saldo_relativo_per_capita!O$552/1000000</f>
        <v>-1.7023551653923703E-4</v>
      </c>
      <c r="P338" s="336">
        <f>Saldo_relativo_per_capita!P338*Saldo_relativo_per_capita!P$552/1000000</f>
        <v>3.7433352459484508E-3</v>
      </c>
      <c r="Q338" s="336">
        <f>Saldo_relativo_per_capita!Q338*Saldo_relativo_per_capita!Q$552/1000000</f>
        <v>1.9391599153372641E-3</v>
      </c>
      <c r="R338" s="336">
        <f>Saldo_relativo_per_capita!R338*Saldo_relativo_per_capita!R$552/1000000</f>
        <v>-6.2440831644154388E-3</v>
      </c>
      <c r="S338" s="336">
        <f>Saldo_relativo_per_capita!S338*Saldo_relativo_per_capita!S$552/1000000</f>
        <v>-3.5372104141966764E-3</v>
      </c>
      <c r="T338" s="336">
        <f>Saldo_relativo_per_capita!T338*Saldo_relativo_per_capita!T$552/1000000</f>
        <v>-1.9103395519440667E-3</v>
      </c>
      <c r="U338" s="336">
        <f>Saldo_relativo_per_capita!U338*Saldo_relativo_per_capita!U$552/1000000</f>
        <v>-8.8882643445175355E-4</v>
      </c>
      <c r="V338" s="336">
        <f>Saldo_relativo_per_capita!V338*Saldo_relativo_per_capita!V$552/1000000</f>
        <v>-1.9633124732618282E-3</v>
      </c>
      <c r="W338" s="219"/>
    </row>
    <row r="339" spans="1:23" s="115" customFormat="1">
      <c r="A339" s="351" t="str">
        <f>IF(B339="","",(IF(ISERROR(MATCH(B339,Tot_res!C:C,0)),"Eliminar!!!","")))</f>
        <v/>
      </c>
      <c r="B339" s="115" t="s">
        <v>317</v>
      </c>
      <c r="C339" s="329" t="str">
        <f>VLOOKUP(B339,Tot_res!C:D,2,FALSE)</f>
        <v>Tribunales de justicia y ministerio fiscal</v>
      </c>
      <c r="D339" s="336">
        <f>Saldo_relativo_per_capita!D339*Saldo_relativo_per_capita!D$552/1000000</f>
        <v>0</v>
      </c>
      <c r="E339" s="336">
        <f>Saldo_relativo_per_capita!E339*Saldo_relativo_per_capita!E$552/1000000</f>
        <v>-68.506275313540854</v>
      </c>
      <c r="F339" s="336">
        <f>Saldo_relativo_per_capita!F339*Saldo_relativo_per_capita!F$552/1000000</f>
        <v>-8.7916910030949751</v>
      </c>
      <c r="G339" s="336">
        <f>Saldo_relativo_per_capita!G339*Saldo_relativo_per_capita!G$552/1000000</f>
        <v>-4.9244171545927431</v>
      </c>
      <c r="H339" s="336">
        <f>Saldo_relativo_per_capita!H339*Saldo_relativo_per_capita!H$552/1000000</f>
        <v>38.29837489376451</v>
      </c>
      <c r="I339" s="336">
        <f>Saldo_relativo_per_capita!I339*Saldo_relativo_per_capita!I$552/1000000</f>
        <v>-9.8814291220363248</v>
      </c>
      <c r="J339" s="336">
        <f>Saldo_relativo_per_capita!J339*Saldo_relativo_per_capita!J$552/1000000</f>
        <v>-3.3414744612178846</v>
      </c>
      <c r="K339" s="336">
        <f>Saldo_relativo_per_capita!K339*Saldo_relativo_per_capita!K$552/1000000</f>
        <v>83.88229676387698</v>
      </c>
      <c r="L339" s="336">
        <f>Saldo_relativo_per_capita!L339*Saldo_relativo_per_capita!L$552/1000000</f>
        <v>42.867219394933571</v>
      </c>
      <c r="M339" s="336">
        <f>Saldo_relativo_per_capita!M339*Saldo_relativo_per_capita!M$552/1000000</f>
        <v>-47.139255157686947</v>
      </c>
      <c r="N339" s="336">
        <f>Saldo_relativo_per_capita!N339*Saldo_relativo_per_capita!N$552/1000000</f>
        <v>-38.854167813762452</v>
      </c>
      <c r="O339" s="336">
        <f>Saldo_relativo_per_capita!O339*Saldo_relativo_per_capita!O$552/1000000</f>
        <v>27.156034345479547</v>
      </c>
      <c r="P339" s="336">
        <f>Saldo_relativo_per_capita!P339*Saldo_relativo_per_capita!P$552/1000000</f>
        <v>-16.378467921839707</v>
      </c>
      <c r="Q339" s="336">
        <f>Saldo_relativo_per_capita!Q339*Saldo_relativo_per_capita!Q$552/1000000</f>
        <v>-26.073035603414272</v>
      </c>
      <c r="R339" s="336">
        <f>Saldo_relativo_per_capita!R339*Saldo_relativo_per_capita!R$552/1000000</f>
        <v>37.361997691211243</v>
      </c>
      <c r="S339" s="336">
        <f>Saldo_relativo_per_capita!S339*Saldo_relativo_per_capita!S$552/1000000</f>
        <v>-5.230519202333495</v>
      </c>
      <c r="T339" s="336">
        <f>Saldo_relativo_per_capita!T339*Saldo_relativo_per_capita!T$552/1000000</f>
        <v>-14.134667184974907</v>
      </c>
      <c r="U339" s="336">
        <f>Saldo_relativo_per_capita!U339*Saldo_relativo_per_capita!U$552/1000000</f>
        <v>10.696064790632601</v>
      </c>
      <c r="V339" s="336">
        <f>Saldo_relativo_per_capita!V339*Saldo_relativo_per_capita!V$552/1000000</f>
        <v>2.9934120585960451</v>
      </c>
      <c r="W339" s="148"/>
    </row>
    <row r="340" spans="1:23" s="115" customFormat="1">
      <c r="A340" s="351" t="str">
        <f>IF(B340="","",(IF(ISERROR(MATCH(B340,Tot_res!C:C,0)),"Eliminar!!!","")))</f>
        <v/>
      </c>
      <c r="B340" s="115" t="s">
        <v>318</v>
      </c>
      <c r="C340" s="329" t="str">
        <f>VLOOKUP(B340,Tot_res!C:D,2,FALSE)</f>
        <v>Dirección y serv. grales. seguridad y protecc. civil</v>
      </c>
      <c r="D340" s="336">
        <f>Saldo_relativo_per_capita!D340*Saldo_relativo_per_capita!D$552/1000000</f>
        <v>0</v>
      </c>
      <c r="E340" s="336">
        <f>Saldo_relativo_per_capita!E340*Saldo_relativo_per_capita!E$552/1000000</f>
        <v>0.10559223800151461</v>
      </c>
      <c r="F340" s="336">
        <f>Saldo_relativo_per_capita!F340*Saldo_relativo_per_capita!F$552/1000000</f>
        <v>0.10703062688057102</v>
      </c>
      <c r="G340" s="336">
        <f>Saldo_relativo_per_capita!G340*Saldo_relativo_per_capita!G$552/1000000</f>
        <v>8.105484229796088E-3</v>
      </c>
      <c r="H340" s="336">
        <f>Saldo_relativo_per_capita!H340*Saldo_relativo_per_capita!H$552/1000000</f>
        <v>1.8273843188036737E-2</v>
      </c>
      <c r="I340" s="336">
        <f>Saldo_relativo_per_capita!I340*Saldo_relativo_per_capita!I$552/1000000</f>
        <v>5.4865235743652277E-2</v>
      </c>
      <c r="J340" s="336">
        <f>Saldo_relativo_per_capita!J340*Saldo_relativo_per_capita!J$552/1000000</f>
        <v>-1.4002342995447515E-2</v>
      </c>
      <c r="K340" s="336">
        <f>Saldo_relativo_per_capita!K340*Saldo_relativo_per_capita!K$552/1000000</f>
        <v>0.27436028325873291</v>
      </c>
      <c r="L340" s="336">
        <f>Saldo_relativo_per_capita!L340*Saldo_relativo_per_capita!L$552/1000000</f>
        <v>-6.1171337043415604E-2</v>
      </c>
      <c r="M340" s="336">
        <f>Saldo_relativo_per_capita!M340*Saldo_relativo_per_capita!M$552/1000000</f>
        <v>-1.7976384237151763</v>
      </c>
      <c r="N340" s="336">
        <f>Saldo_relativo_per_capita!N340*Saldo_relativo_per_capita!N$552/1000000</f>
        <v>-0.25191786859836318</v>
      </c>
      <c r="O340" s="336">
        <f>Saldo_relativo_per_capita!O340*Saldo_relativo_per_capita!O$552/1000000</f>
        <v>4.7862201351032294E-2</v>
      </c>
      <c r="P340" s="336">
        <f>Saldo_relativo_per_capita!P340*Saldo_relativo_per_capita!P$552/1000000</f>
        <v>-1.2678875584415446E-2</v>
      </c>
      <c r="Q340" s="336">
        <f>Saldo_relativo_per_capita!Q340*Saldo_relativo_per_capita!Q$552/1000000</f>
        <v>0.33125392149348021</v>
      </c>
      <c r="R340" s="336">
        <f>Saldo_relativo_per_capita!R340*Saldo_relativo_per_capita!R$552/1000000</f>
        <v>-0.12179152419861508</v>
      </c>
      <c r="S340" s="336">
        <f>Saldo_relativo_per_capita!S340*Saldo_relativo_per_capita!S$552/1000000</f>
        <v>1.3321143038506578</v>
      </c>
      <c r="T340" s="336">
        <f>Saldo_relativo_per_capita!T340*Saldo_relativo_per_capita!T$552/1000000</f>
        <v>-0.26482277573861529</v>
      </c>
      <c r="U340" s="336">
        <f>Saldo_relativo_per_capita!U340*Saldo_relativo_per_capita!U$552/1000000</f>
        <v>5.389526774989821E-2</v>
      </c>
      <c r="V340" s="336">
        <f>Saldo_relativo_per_capita!V340*Saldo_relativo_per_capita!V$552/1000000</f>
        <v>0.19066974212668591</v>
      </c>
      <c r="W340" s="148"/>
    </row>
    <row r="341" spans="1:23" s="115" customFormat="1">
      <c r="A341" s="351" t="str">
        <f>IF(B341="","",(IF(ISERROR(MATCH(B341,Tot_res!C:C,0)),"Eliminar!!!","")))</f>
        <v/>
      </c>
      <c r="B341" s="115" t="s">
        <v>319</v>
      </c>
      <c r="C341" s="329" t="str">
        <f>VLOOKUP(B341,Tot_res!C:D,2,FALSE)</f>
        <v>Formac. fuerzas y cuerpos de segur. del estado</v>
      </c>
      <c r="D341" s="336">
        <f>Saldo_relativo_per_capita!D341*Saldo_relativo_per_capita!D$552/1000000</f>
        <v>0</v>
      </c>
      <c r="E341" s="336">
        <f>Saldo_relativo_per_capita!E341*Saldo_relativo_per_capita!E$552/1000000</f>
        <v>0.54246722290920379</v>
      </c>
      <c r="F341" s="336">
        <f>Saldo_relativo_per_capita!F341*Saldo_relativo_per_capita!F$552/1000000</f>
        <v>0.50489710848854763</v>
      </c>
      <c r="G341" s="336">
        <f>Saldo_relativo_per_capita!G341*Saldo_relativo_per_capita!G$552/1000000</f>
        <v>0.14580427792433145</v>
      </c>
      <c r="H341" s="336">
        <f>Saldo_relativo_per_capita!H341*Saldo_relativo_per_capita!H$552/1000000</f>
        <v>0.23245752781082157</v>
      </c>
      <c r="I341" s="336">
        <f>Saldo_relativo_per_capita!I341*Saldo_relativo_per_capita!I$552/1000000</f>
        <v>0.43328753398152625</v>
      </c>
      <c r="J341" s="336">
        <f>Saldo_relativo_per_capita!J341*Saldo_relativo_per_capita!J$552/1000000</f>
        <v>3.9258454043485953E-3</v>
      </c>
      <c r="K341" s="336">
        <f>Saldo_relativo_per_capita!K341*Saldo_relativo_per_capita!K$552/1000000</f>
        <v>0.95418788156252166</v>
      </c>
      <c r="L341" s="336">
        <f>Saldo_relativo_per_capita!L341*Saldo_relativo_per_capita!L$552/1000000</f>
        <v>0.1738630644882623</v>
      </c>
      <c r="M341" s="336">
        <f>Saldo_relativo_per_capita!M341*Saldo_relativo_per_capita!M$552/1000000</f>
        <v>-4.7650166533195701</v>
      </c>
      <c r="N341" s="336">
        <f>Saldo_relativo_per_capita!N341*Saldo_relativo_per_capita!N$552/1000000</f>
        <v>-0.26906018817302874</v>
      </c>
      <c r="O341" s="336">
        <f>Saldo_relativo_per_capita!O341*Saldo_relativo_per_capita!O$552/1000000</f>
        <v>0.21369424317714711</v>
      </c>
      <c r="P341" s="336">
        <f>Saldo_relativo_per_capita!P341*Saldo_relativo_per_capita!P$552/1000000</f>
        <v>0.17116035279486633</v>
      </c>
      <c r="Q341" s="336">
        <f>Saldo_relativo_per_capita!Q341*Saldo_relativo_per_capita!Q$552/1000000</f>
        <v>1.3717291830691798</v>
      </c>
      <c r="R341" s="336">
        <f>Saldo_relativo_per_capita!R341*Saldo_relativo_per_capita!R$552/1000000</f>
        <v>-0.28840130202564823</v>
      </c>
      <c r="S341" s="336">
        <f>Saldo_relativo_per_capita!S341*Saldo_relativo_per_capita!S$552/1000000</f>
        <v>0.22740684235918673</v>
      </c>
      <c r="T341" s="336">
        <f>Saldo_relativo_per_capita!T341*Saldo_relativo_per_capita!T$552/1000000</f>
        <v>-0.51973400943084824</v>
      </c>
      <c r="U341" s="336">
        <f>Saldo_relativo_per_capita!U341*Saldo_relativo_per_capita!U$552/1000000</f>
        <v>0.25924804740691687</v>
      </c>
      <c r="V341" s="336">
        <f>Saldo_relativo_per_capita!V341*Saldo_relativo_per_capita!V$552/1000000</f>
        <v>0.60808302157222471</v>
      </c>
      <c r="W341" s="148"/>
    </row>
    <row r="342" spans="1:23" s="115" customFormat="1">
      <c r="A342" s="351" t="str">
        <f>IF(B342="","",(IF(ISERROR(MATCH(B342,Tot_res!C:C,0)),"Eliminar!!!","")))</f>
        <v/>
      </c>
      <c r="B342" s="115" t="s">
        <v>320</v>
      </c>
      <c r="C342" s="329" t="str">
        <f>VLOOKUP(B342,Tot_res!C:D,2,FALSE)</f>
        <v>Fuerzas y cuerpos en reserva</v>
      </c>
      <c r="D342" s="336">
        <f>Saldo_relativo_per_capita!D342*Saldo_relativo_per_capita!D$552/1000000</f>
        <v>0</v>
      </c>
      <c r="E342" s="336">
        <f>Saldo_relativo_per_capita!E342*Saldo_relativo_per_capita!E$552/1000000</f>
        <v>44.781908973584621</v>
      </c>
      <c r="F342" s="336">
        <f>Saldo_relativo_per_capita!F342*Saldo_relativo_per_capita!F$552/1000000</f>
        <v>0.1357781397792133</v>
      </c>
      <c r="G342" s="336">
        <f>Saldo_relativo_per_capita!G342*Saldo_relativo_per_capita!G$552/1000000</f>
        <v>1.5814050466803438</v>
      </c>
      <c r="H342" s="336">
        <f>Saldo_relativo_per_capita!H342*Saldo_relativo_per_capita!H$552/1000000</f>
        <v>-3.4701557840687474</v>
      </c>
      <c r="I342" s="336">
        <f>Saldo_relativo_per_capita!I342*Saldo_relativo_per_capita!I$552/1000000</f>
        <v>0.95945704151632627</v>
      </c>
      <c r="J342" s="336">
        <f>Saldo_relativo_per_capita!J342*Saldo_relativo_per_capita!J$552/1000000</f>
        <v>0.46351314536967214</v>
      </c>
      <c r="K342" s="336">
        <f>Saldo_relativo_per_capita!K342*Saldo_relativo_per_capita!K$552/1000000</f>
        <v>3.0796069286180985</v>
      </c>
      <c r="L342" s="336">
        <f>Saldo_relativo_per_capita!L342*Saldo_relativo_per_capita!L$552/1000000</f>
        <v>-5.3722917798655851</v>
      </c>
      <c r="M342" s="336">
        <f>Saldo_relativo_per_capita!M342*Saldo_relativo_per_capita!M$552/1000000</f>
        <v>-38.711414419275876</v>
      </c>
      <c r="N342" s="336">
        <f>Saldo_relativo_per_capita!N342*Saldo_relativo_per_capita!N$552/1000000</f>
        <v>-2.0389230128878135</v>
      </c>
      <c r="O342" s="336">
        <f>Saldo_relativo_per_capita!O342*Saldo_relativo_per_capita!O$552/1000000</f>
        <v>-0.73377922412546381</v>
      </c>
      <c r="P342" s="336">
        <f>Saldo_relativo_per_capita!P342*Saldo_relativo_per_capita!P$552/1000000</f>
        <v>4.7109514393080403</v>
      </c>
      <c r="Q342" s="336">
        <f>Saldo_relativo_per_capita!Q342*Saldo_relativo_per_capita!Q$552/1000000</f>
        <v>-7.8759762995434643</v>
      </c>
      <c r="R342" s="336">
        <f>Saldo_relativo_per_capita!R342*Saldo_relativo_per_capita!R$552/1000000</f>
        <v>-1.6404711005149166</v>
      </c>
      <c r="S342" s="336">
        <f>Saldo_relativo_per_capita!S342*Saldo_relativo_per_capita!S$552/1000000</f>
        <v>-0.88622660249217422</v>
      </c>
      <c r="T342" s="336">
        <f>Saldo_relativo_per_capita!T342*Saldo_relativo_per_capita!T$552/1000000</f>
        <v>-6.6068963181815938</v>
      </c>
      <c r="U342" s="336">
        <f>Saldo_relativo_per_capita!U342*Saldo_relativo_per_capita!U$552/1000000</f>
        <v>2.5055308644822074</v>
      </c>
      <c r="V342" s="336">
        <f>Saldo_relativo_per_capita!V342*Saldo_relativo_per_capita!V$552/1000000</f>
        <v>9.1179829616169599</v>
      </c>
      <c r="W342" s="148"/>
    </row>
    <row r="343" spans="1:23" s="115" customFormat="1">
      <c r="A343" s="351" t="str">
        <f>IF(B343="","",(IF(ISERROR(MATCH(B343,Tot_res!C:C,0)),"Eliminar!!!","")))</f>
        <v/>
      </c>
      <c r="B343" s="115" t="s">
        <v>321</v>
      </c>
      <c r="C343" s="329" t="str">
        <f>VLOOKUP(B343,Tot_res!C:D,2,FALSE)</f>
        <v>Seguridad ciudadana</v>
      </c>
      <c r="D343" s="336">
        <f>Saldo_relativo_per_capita!D343*Saldo_relativo_per_capita!D$552/1000000</f>
        <v>0</v>
      </c>
      <c r="E343" s="336">
        <f>Saldo_relativo_per_capita!E343*Saldo_relativo_per_capita!E$552/1000000</f>
        <v>40.272860897901538</v>
      </c>
      <c r="F343" s="336">
        <f>Saldo_relativo_per_capita!F343*Saldo_relativo_per_capita!F$552/1000000</f>
        <v>30.11656761699717</v>
      </c>
      <c r="G343" s="336">
        <f>Saldo_relativo_per_capita!G343*Saldo_relativo_per_capita!G$552/1000000</f>
        <v>10.111782407064581</v>
      </c>
      <c r="H343" s="336">
        <f>Saldo_relativo_per_capita!H343*Saldo_relativo_per_capita!H$552/1000000</f>
        <v>17.622233705455272</v>
      </c>
      <c r="I343" s="336">
        <f>Saldo_relativo_per_capita!I343*Saldo_relativo_per_capita!I$552/1000000</f>
        <v>32.972253372047639</v>
      </c>
      <c r="J343" s="336">
        <f>Saldo_relativo_per_capita!J343*Saldo_relativo_per_capita!J$552/1000000</f>
        <v>-0.86009774798774319</v>
      </c>
      <c r="K343" s="336">
        <f>Saldo_relativo_per_capita!K343*Saldo_relativo_per_capita!K$552/1000000</f>
        <v>51.304191939728028</v>
      </c>
      <c r="L343" s="336">
        <f>Saldo_relativo_per_capita!L343*Saldo_relativo_per_capita!L$552/1000000</f>
        <v>3.732415013356273</v>
      </c>
      <c r="M343" s="336">
        <f>Saldo_relativo_per_capita!M343*Saldo_relativo_per_capita!M$552/1000000</f>
        <v>-336.73310984688254</v>
      </c>
      <c r="N343" s="336">
        <f>Saldo_relativo_per_capita!N343*Saldo_relativo_per_capita!N$552/1000000</f>
        <v>-21.836586762486988</v>
      </c>
      <c r="O343" s="336">
        <f>Saldo_relativo_per_capita!O343*Saldo_relativo_per_capita!O$552/1000000</f>
        <v>10.945295781828605</v>
      </c>
      <c r="P343" s="336">
        <f>Saldo_relativo_per_capita!P343*Saldo_relativo_per_capita!P$552/1000000</f>
        <v>2.5129975586132773</v>
      </c>
      <c r="Q343" s="336">
        <f>Saldo_relativo_per_capita!Q343*Saldo_relativo_per_capita!Q$552/1000000</f>
        <v>121.36005976930321</v>
      </c>
      <c r="R343" s="336">
        <f>Saldo_relativo_per_capita!R343*Saldo_relativo_per_capita!R$552/1000000</f>
        <v>-22.09629197946655</v>
      </c>
      <c r="S343" s="336">
        <f>Saldo_relativo_per_capita!S343*Saldo_relativo_per_capita!S$552/1000000</f>
        <v>16.66859992169822</v>
      </c>
      <c r="T343" s="336">
        <f>Saldo_relativo_per_capita!T343*Saldo_relativo_per_capita!T$552/1000000</f>
        <v>-29.305805034453179</v>
      </c>
      <c r="U343" s="336">
        <f>Saldo_relativo_per_capita!U343*Saldo_relativo_per_capita!U$552/1000000</f>
        <v>18.625440999876393</v>
      </c>
      <c r="V343" s="336">
        <f>Saldo_relativo_per_capita!V343*Saldo_relativo_per_capita!V$552/1000000</f>
        <v>54.587192387405651</v>
      </c>
      <c r="W343" s="148"/>
    </row>
    <row r="344" spans="1:23" s="115" customFormat="1" ht="13.5">
      <c r="A344" s="351" t="str">
        <f>IF(B344="","",(IF(ISERROR(MATCH(B344,Tot_res!C:C,0)),"Eliminar!!!","")))</f>
        <v/>
      </c>
      <c r="B344" s="115" t="s">
        <v>323</v>
      </c>
      <c r="C344" s="329" t="str">
        <f>VLOOKUP(B344,Tot_res!C:D,2,FALSE)</f>
        <v>Seguridad vial</v>
      </c>
      <c r="D344" s="336">
        <f>Saldo_relativo_per_capita!D344*Saldo_relativo_per_capita!D$552/1000000</f>
        <v>0</v>
      </c>
      <c r="E344" s="336">
        <f>Saldo_relativo_per_capita!E344*Saldo_relativo_per_capita!E$552/1000000</f>
        <v>-5.1111017846405478</v>
      </c>
      <c r="F344" s="336">
        <f>Saldo_relativo_per_capita!F344*Saldo_relativo_per_capita!F$552/1000000</f>
        <v>14.414522581179618</v>
      </c>
      <c r="G344" s="336">
        <f>Saldo_relativo_per_capita!G344*Saldo_relativo_per_capita!G$552/1000000</f>
        <v>4.6393523798576632</v>
      </c>
      <c r="H344" s="336">
        <f>Saldo_relativo_per_capita!H344*Saldo_relativo_per_capita!H$552/1000000</f>
        <v>1.7390004966245427</v>
      </c>
      <c r="I344" s="336">
        <f>Saldo_relativo_per_capita!I344*Saldo_relativo_per_capita!I$552/1000000</f>
        <v>1.1326853062196245</v>
      </c>
      <c r="J344" s="336">
        <f>Saldo_relativo_per_capita!J344*Saldo_relativo_per_capita!J$552/1000000</f>
        <v>2.52631359530278</v>
      </c>
      <c r="K344" s="336">
        <f>Saldo_relativo_per_capita!K344*Saldo_relativo_per_capita!K$552/1000000</f>
        <v>36.450246752175588</v>
      </c>
      <c r="L344" s="336">
        <f>Saldo_relativo_per_capita!L344*Saldo_relativo_per_capita!L$552/1000000</f>
        <v>15.138504726127035</v>
      </c>
      <c r="M344" s="336">
        <f>Saldo_relativo_per_capita!M344*Saldo_relativo_per_capita!M$552/1000000</f>
        <v>-63.912658825524709</v>
      </c>
      <c r="N344" s="336">
        <f>Saldo_relativo_per_capita!N344*Saldo_relativo_per_capita!N$552/1000000</f>
        <v>-5.8961774369104987</v>
      </c>
      <c r="O344" s="336">
        <f>Saldo_relativo_per_capita!O344*Saldo_relativo_per_capita!O$552/1000000</f>
        <v>9.6394529315244384</v>
      </c>
      <c r="P344" s="336">
        <f>Saldo_relativo_per_capita!P344*Saldo_relativo_per_capita!P$552/1000000</f>
        <v>18.204889316310428</v>
      </c>
      <c r="Q344" s="336">
        <f>Saldo_relativo_per_capita!Q344*Saldo_relativo_per_capita!Q$552/1000000</f>
        <v>-12.477012089676938</v>
      </c>
      <c r="R344" s="336">
        <f>Saldo_relativo_per_capita!R344*Saldo_relativo_per_capita!R$552/1000000</f>
        <v>-2.7767920217586677</v>
      </c>
      <c r="S344" s="336">
        <f>Saldo_relativo_per_capita!S344*Saldo_relativo_per_capita!S$552/1000000</f>
        <v>2.0222519123198124</v>
      </c>
      <c r="T344" s="336">
        <f>Saldo_relativo_per_capita!T344*Saldo_relativo_per_capita!T$552/1000000</f>
        <v>-17.790946014326703</v>
      </c>
      <c r="U344" s="336">
        <f>Saldo_relativo_per_capita!U344*Saldo_relativo_per_capita!U$552/1000000</f>
        <v>2.9303974623745841</v>
      </c>
      <c r="V344" s="336">
        <f>Saldo_relativo_per_capita!V344*Saldo_relativo_per_capita!V$552/1000000</f>
        <v>-0.87292928717807949</v>
      </c>
      <c r="W344" s="219"/>
    </row>
    <row r="345" spans="1:23" s="115" customFormat="1">
      <c r="A345" s="351" t="str">
        <f>IF(B345="","",(IF(ISERROR(MATCH(B345,Tot_res!C:C,0)),"Eliminar!!!","")))</f>
        <v/>
      </c>
      <c r="B345" s="115" t="s">
        <v>324</v>
      </c>
      <c r="C345" s="329" t="str">
        <f>VLOOKUP(B345,Tot_res!C:D,2,FALSE)</f>
        <v>Actuaciones policiales en materia de droga</v>
      </c>
      <c r="D345" s="336">
        <f>Saldo_relativo_per_capita!D345*Saldo_relativo_per_capita!D$552/1000000</f>
        <v>0</v>
      </c>
      <c r="E345" s="336">
        <f>Saldo_relativo_per_capita!E345*Saldo_relativo_per_capita!E$552/1000000</f>
        <v>1.0061928378768061</v>
      </c>
      <c r="F345" s="336">
        <f>Saldo_relativo_per_capita!F345*Saldo_relativo_per_capita!F$552/1000000</f>
        <v>0.32482305539070738</v>
      </c>
      <c r="G345" s="336">
        <f>Saldo_relativo_per_capita!G345*Saldo_relativo_per_capita!G$552/1000000</f>
        <v>0.12413107493730091</v>
      </c>
      <c r="H345" s="336">
        <f>Saldo_relativo_per_capita!H345*Saldo_relativo_per_capita!H$552/1000000</f>
        <v>0.19272038194413679</v>
      </c>
      <c r="I345" s="336">
        <f>Saldo_relativo_per_capita!I345*Saldo_relativo_per_capita!I$552/1000000</f>
        <v>0.47434719088607186</v>
      </c>
      <c r="J345" s="336">
        <f>Saldo_relativo_per_capita!J345*Saldo_relativo_per_capita!J$552/1000000</f>
        <v>-1.4011299759422268E-2</v>
      </c>
      <c r="K345" s="336">
        <f>Saldo_relativo_per_capita!K345*Saldo_relativo_per_capita!K$552/1000000</f>
        <v>0.62354240998788579</v>
      </c>
      <c r="L345" s="336">
        <f>Saldo_relativo_per_capita!L345*Saldo_relativo_per_capita!L$552/1000000</f>
        <v>0.1329359309450884</v>
      </c>
      <c r="M345" s="336">
        <f>Saldo_relativo_per_capita!M345*Saldo_relativo_per_capita!M$552/1000000</f>
        <v>-4.2806746418371642</v>
      </c>
      <c r="N345" s="336">
        <f>Saldo_relativo_per_capita!N345*Saldo_relativo_per_capita!N$552/1000000</f>
        <v>-7.1406184003221101E-2</v>
      </c>
      <c r="O345" s="336">
        <f>Saldo_relativo_per_capita!O345*Saldo_relativo_per_capita!O$552/1000000</f>
        <v>0.21511454555780621</v>
      </c>
      <c r="P345" s="336">
        <f>Saldo_relativo_per_capita!P345*Saldo_relativo_per_capita!P$552/1000000</f>
        <v>0.10209061242240058</v>
      </c>
      <c r="Q345" s="336">
        <f>Saldo_relativo_per_capita!Q345*Saldo_relativo_per_capita!Q$552/1000000</f>
        <v>0.90621197431558864</v>
      </c>
      <c r="R345" s="336">
        <f>Saldo_relativo_per_capita!R345*Saldo_relativo_per_capita!R$552/1000000</f>
        <v>-0.18989027508270467</v>
      </c>
      <c r="S345" s="336">
        <f>Saldo_relativo_per_capita!S345*Saldo_relativo_per_capita!S$552/1000000</f>
        <v>0.15540308021680585</v>
      </c>
      <c r="T345" s="336">
        <f>Saldo_relativo_per_capita!T345*Saldo_relativo_per_capita!T$552/1000000</f>
        <v>-0.50488462410702539</v>
      </c>
      <c r="U345" s="336">
        <f>Saldo_relativo_per_capita!U345*Saldo_relativo_per_capita!U$552/1000000</f>
        <v>0.21419481785614786</v>
      </c>
      <c r="V345" s="336">
        <f>Saldo_relativo_per_capita!V345*Saldo_relativo_per_capita!V$552/1000000</f>
        <v>0.58915911245276209</v>
      </c>
      <c r="W345" s="148"/>
    </row>
    <row r="346" spans="1:23" s="115" customFormat="1">
      <c r="A346" s="351" t="str">
        <f>IF(B346="","",(IF(ISERROR(MATCH(B346,Tot_res!C:C,0)),"Eliminar!!!","")))</f>
        <v/>
      </c>
      <c r="B346" s="115" t="s">
        <v>326</v>
      </c>
      <c r="C346" s="329" t="str">
        <f>VLOOKUP(B346,Tot_res!C:D,2,FALSE)</f>
        <v>Centros e instituciones penitenciarias</v>
      </c>
      <c r="D346" s="336">
        <f>Saldo_relativo_per_capita!D346*Saldo_relativo_per_capita!D$552/1000000</f>
        <v>0</v>
      </c>
      <c r="E346" s="336">
        <f>Saldo_relativo_per_capita!E346*Saldo_relativo_per_capita!E$552/1000000</f>
        <v>47.251467069560761</v>
      </c>
      <c r="F346" s="336">
        <f>Saldo_relativo_per_capita!F346*Saldo_relativo_per_capita!F$552/1000000</f>
        <v>7.0499339295452286</v>
      </c>
      <c r="G346" s="336">
        <f>Saldo_relativo_per_capita!G346*Saldo_relativo_per_capita!G$552/1000000</f>
        <v>-2.6492814761431953</v>
      </c>
      <c r="H346" s="336">
        <f>Saldo_relativo_per_capita!H346*Saldo_relativo_per_capita!H$552/1000000</f>
        <v>5.6277164580622392</v>
      </c>
      <c r="I346" s="336">
        <f>Saldo_relativo_per_capita!I346*Saldo_relativo_per_capita!I$552/1000000</f>
        <v>12.6515417882602</v>
      </c>
      <c r="J346" s="336">
        <f>Saldo_relativo_per_capita!J346*Saldo_relativo_per_capita!J$552/1000000</f>
        <v>0.33997174270280472</v>
      </c>
      <c r="K346" s="336">
        <f>Saldo_relativo_per_capita!K346*Saldo_relativo_per_capita!K$552/1000000</f>
        <v>42.448470405059957</v>
      </c>
      <c r="L346" s="336">
        <f>Saldo_relativo_per_capita!L346*Saldo_relativo_per_capita!L$552/1000000</f>
        <v>-7.2117033780425235</v>
      </c>
      <c r="M346" s="336">
        <f>Saldo_relativo_per_capita!M346*Saldo_relativo_per_capita!M$552/1000000</f>
        <v>-126.7674507001573</v>
      </c>
      <c r="N346" s="336">
        <f>Saldo_relativo_per_capita!N346*Saldo_relativo_per_capita!N$552/1000000</f>
        <v>5.5539549637276293</v>
      </c>
      <c r="O346" s="336">
        <f>Saldo_relativo_per_capita!O346*Saldo_relativo_per_capita!O$552/1000000</f>
        <v>-2.7467370618137585</v>
      </c>
      <c r="P346" s="336">
        <f>Saldo_relativo_per_capita!P346*Saldo_relativo_per_capita!P$552/1000000</f>
        <v>7.5382589685139711</v>
      </c>
      <c r="Q346" s="336">
        <f>Saldo_relativo_per_capita!Q346*Saldo_relativo_per_capita!Q$552/1000000</f>
        <v>22.45869096456887</v>
      </c>
      <c r="R346" s="336">
        <f>Saldo_relativo_per_capita!R346*Saldo_relativo_per_capita!R$552/1000000</f>
        <v>-3.4472339085810817</v>
      </c>
      <c r="S346" s="336">
        <f>Saldo_relativo_per_capita!S346*Saldo_relativo_per_capita!S$552/1000000</f>
        <v>-3.1929536811969168</v>
      </c>
      <c r="T346" s="336">
        <f>Saldo_relativo_per_capita!T346*Saldo_relativo_per_capita!T$552/1000000</f>
        <v>-15.411726605440604</v>
      </c>
      <c r="U346" s="336">
        <f>Saldo_relativo_per_capita!U346*Saldo_relativo_per_capita!U$552/1000000</f>
        <v>0.35793716983214002</v>
      </c>
      <c r="V346" s="336">
        <f>Saldo_relativo_per_capita!V346*Saldo_relativo_per_capita!V$552/1000000</f>
        <v>10.149143351541539</v>
      </c>
      <c r="W346" s="148"/>
    </row>
    <row r="347" spans="1:23" s="115" customFormat="1">
      <c r="A347" s="351" t="str">
        <f>IF(B347="","",(IF(ISERROR(MATCH(B347,Tot_res!C:C,0)),"Eliminar!!!","")))</f>
        <v/>
      </c>
      <c r="B347" s="115" t="s">
        <v>327</v>
      </c>
      <c r="C347" s="329" t="str">
        <f>VLOOKUP(B347,Tot_res!C:D,2,FALSE)</f>
        <v>Protección civil</v>
      </c>
      <c r="D347" s="336">
        <f>Saldo_relativo_per_capita!D347*Saldo_relativo_per_capita!D$552/1000000</f>
        <v>0</v>
      </c>
      <c r="E347" s="336">
        <f>Saldo_relativo_per_capita!E347*Saldo_relativo_per_capita!E$552/1000000</f>
        <v>0.40944689991463595</v>
      </c>
      <c r="F347" s="336">
        <f>Saldo_relativo_per_capita!F347*Saldo_relativo_per_capita!F$552/1000000</f>
        <v>-7.2451114794322313E-2</v>
      </c>
      <c r="G347" s="336">
        <f>Saldo_relativo_per_capita!G347*Saldo_relativo_per_capita!G$552/1000000</f>
        <v>1.7799062551258874E-3</v>
      </c>
      <c r="H347" s="336">
        <f>Saldo_relativo_per_capita!H347*Saldo_relativo_per_capita!H$552/1000000</f>
        <v>-7.6653034351931562E-2</v>
      </c>
      <c r="I347" s="336">
        <f>Saldo_relativo_per_capita!I347*Saldo_relativo_per_capita!I$552/1000000</f>
        <v>-0.14121196836405794</v>
      </c>
      <c r="J347" s="336">
        <f>Saldo_relativo_per_capita!J347*Saldo_relativo_per_capita!J$552/1000000</f>
        <v>0.14446536460430898</v>
      </c>
      <c r="K347" s="336">
        <f>Saldo_relativo_per_capita!K347*Saldo_relativo_per_capita!K$552/1000000</f>
        <v>0.29977346837871183</v>
      </c>
      <c r="L347" s="336">
        <f>Saldo_relativo_per_capita!L347*Saldo_relativo_per_capita!L$552/1000000</f>
        <v>2.2249071448515897E-2</v>
      </c>
      <c r="M347" s="336">
        <f>Saldo_relativo_per_capita!M347*Saldo_relativo_per_capita!M$552/1000000</f>
        <v>-0.25275102587804793</v>
      </c>
      <c r="N347" s="336">
        <f>Saldo_relativo_per_capita!N347*Saldo_relativo_per_capita!N$552/1000000</f>
        <v>-0.20510294933821313</v>
      </c>
      <c r="O347" s="336">
        <f>Saldo_relativo_per_capita!O347*Saldo_relativo_per_capita!O$552/1000000</f>
        <v>0.17117932007466233</v>
      </c>
      <c r="P347" s="336">
        <f>Saldo_relativo_per_capita!P347*Saldo_relativo_per_capita!P$552/1000000</f>
        <v>-8.4494595748584284E-2</v>
      </c>
      <c r="Q347" s="336">
        <f>Saldo_relativo_per_capita!Q347*Saldo_relativo_per_capita!Q$552/1000000</f>
        <v>-0.42622741373988343</v>
      </c>
      <c r="R347" s="336">
        <f>Saldo_relativo_per_capita!R347*Saldo_relativo_per_capita!R$552/1000000</f>
        <v>-4.9470897712258967E-2</v>
      </c>
      <c r="S347" s="336">
        <f>Saldo_relativo_per_capita!S347*Saldo_relativo_per_capita!S$552/1000000</f>
        <v>-4.8233644389505739E-2</v>
      </c>
      <c r="T347" s="336">
        <f>Saldo_relativo_per_capita!T347*Saldo_relativo_per_capita!T$552/1000000</f>
        <v>0.3463849072338776</v>
      </c>
      <c r="U347" s="336">
        <f>Saldo_relativo_per_capita!U347*Saldo_relativo_per_capita!U$552/1000000</f>
        <v>-2.5225263592546048E-2</v>
      </c>
      <c r="V347" s="336">
        <f>Saldo_relativo_per_capita!V347*Saldo_relativo_per_capita!V$552/1000000</f>
        <v>-1.3457030000486005E-2</v>
      </c>
      <c r="W347" s="148"/>
    </row>
    <row r="348" spans="1:23" s="115" customFormat="1">
      <c r="A348" s="351" t="str">
        <f>IF(B348="","",(IF(ISERROR(MATCH(B348,Tot_res!C:C,0)),"Eliminar!!!","")))</f>
        <v/>
      </c>
      <c r="B348" s="115" t="s">
        <v>819</v>
      </c>
      <c r="C348" s="329" t="str">
        <f>VLOOKUP(B348,Tot_res!C:D,2,FALSE)</f>
        <v>Otras transferencias a Comunidades Autónomas: Transferencias a PV para prejubilaciones policía autónoma</v>
      </c>
      <c r="D348" s="336">
        <f>Saldo_relativo_per_capita!D348*Saldo_relativo_per_capita!D$552/1000000</f>
        <v>0</v>
      </c>
      <c r="E348" s="336">
        <f>Saldo_relativo_per_capita!E348*Saldo_relativo_per_capita!E$552/1000000</f>
        <v>-1.8358997564940611</v>
      </c>
      <c r="F348" s="336">
        <f>Saldo_relativo_per_capita!F348*Saldo_relativo_per_capita!F$552/1000000</f>
        <v>-0.27162513457314968</v>
      </c>
      <c r="G348" s="336">
        <f>Saldo_relativo_per_capita!G348*Saldo_relativo_per_capita!G$552/1000000</f>
        <v>-0.22596668469801665</v>
      </c>
      <c r="H348" s="336">
        <f>Saldo_relativo_per_capita!H348*Saldo_relativo_per_capita!H$552/1000000</f>
        <v>-0.22859718671874416</v>
      </c>
      <c r="I348" s="336">
        <f>Saldo_relativo_per_capita!I348*Saldo_relativo_per_capita!I$552/1000000</f>
        <v>-0.45156140332975209</v>
      </c>
      <c r="J348" s="336">
        <f>Saldo_relativo_per_capita!J348*Saldo_relativo_per_capita!J$552/1000000</f>
        <v>-0.1247221930378979</v>
      </c>
      <c r="K348" s="336">
        <f>Saldo_relativo_per_capita!K348*Saldo_relativo_per_capita!K$552/1000000</f>
        <v>-0.5255670156749801</v>
      </c>
      <c r="L348" s="336">
        <f>Saldo_relativo_per_capita!L348*Saldo_relativo_per_capita!L$552/1000000</f>
        <v>-0.44969131284060038</v>
      </c>
      <c r="M348" s="336">
        <f>Saldo_relativo_per_capita!M348*Saldo_relativo_per_capita!M$552/1000000</f>
        <v>-1.5275268557674009</v>
      </c>
      <c r="N348" s="336">
        <f>Saldo_relativo_per_capita!N348*Saldo_relativo_per_capita!N$552/1000000</f>
        <v>-1.0677449103824288</v>
      </c>
      <c r="O348" s="336">
        <f>Saldo_relativo_per_capita!O348*Saldo_relativo_per_capita!O$552/1000000</f>
        <v>-0.24185727917385644</v>
      </c>
      <c r="P348" s="336">
        <f>Saldo_relativo_per_capita!P348*Saldo_relativo_per_capita!P$552/1000000</f>
        <v>-0.58531727789105426</v>
      </c>
      <c r="Q348" s="336">
        <f>Saldo_relativo_per_capita!Q348*Saldo_relativo_per_capita!Q$552/1000000</f>
        <v>-1.2685514042413875</v>
      </c>
      <c r="R348" s="336">
        <f>Saldo_relativo_per_capita!R348*Saldo_relativo_per_capita!R$552/1000000</f>
        <v>-0.3169135210720368</v>
      </c>
      <c r="S348" s="336">
        <f>Saldo_relativo_per_capita!S348*Saldo_relativo_per_capita!S$552/1000000</f>
        <v>-0.12857391856584605</v>
      </c>
      <c r="T348" s="336">
        <f>Saldo_relativo_per_capita!T348*Saldo_relativo_per_capita!T$552/1000000</f>
        <v>9.3527035244742596</v>
      </c>
      <c r="U348" s="336">
        <f>Saldo_relativo_per_capita!U348*Saldo_relativo_per_capita!U$552/1000000</f>
        <v>-6.5744068558296564E-2</v>
      </c>
      <c r="V348" s="336">
        <f>Saldo_relativo_per_capita!V348*Saldo_relativo_per_capita!V$552/1000000</f>
        <v>-3.6843601454749346E-2</v>
      </c>
      <c r="W348" s="148"/>
    </row>
    <row r="349" spans="1:23" s="115" customFormat="1">
      <c r="A349" s="351" t="str">
        <f>IF(B349="","",(IF(ISERROR(MATCH(B349,Tot_res!C:C,0)),"Eliminar!!!","")))</f>
        <v/>
      </c>
      <c r="B349" s="115" t="s">
        <v>329</v>
      </c>
      <c r="C349" s="329" t="str">
        <f>VLOOKUP(B349,Tot_res!C:D,2,FALSE)</f>
        <v>Administración de Justicia + AF13</v>
      </c>
      <c r="D349" s="336">
        <f>Saldo_relativo_per_capita!D349*Saldo_relativo_per_capita!D$552/1000000</f>
        <v>0</v>
      </c>
      <c r="E349" s="336">
        <f>Saldo_relativo_per_capita!E349*Saldo_relativo_per_capita!E$552/1000000</f>
        <v>26.536786349914582</v>
      </c>
      <c r="F349" s="336">
        <f>Saldo_relativo_per_capita!F349*Saldo_relativo_per_capita!F$552/1000000</f>
        <v>9.9337552711760058</v>
      </c>
      <c r="G349" s="336">
        <f>Saldo_relativo_per_capita!G349*Saldo_relativo_per_capita!G$552/1000000</f>
        <v>20.259675249074924</v>
      </c>
      <c r="H349" s="336">
        <f>Saldo_relativo_per_capita!H349*Saldo_relativo_per_capita!H$552/1000000</f>
        <v>-22.808733997983918</v>
      </c>
      <c r="I349" s="336">
        <f>Saldo_relativo_per_capita!I349*Saldo_relativo_per_capita!I$552/1000000</f>
        <v>8.8442422367114926</v>
      </c>
      <c r="J349" s="336">
        <f>Saldo_relativo_per_capita!J349*Saldo_relativo_per_capita!J$552/1000000</f>
        <v>7.9522149097429295</v>
      </c>
      <c r="K349" s="336">
        <f>Saldo_relativo_per_capita!K349*Saldo_relativo_per_capita!K$552/1000000</f>
        <v>-52.439482876898992</v>
      </c>
      <c r="L349" s="336">
        <f>Saldo_relativo_per_capita!L349*Saldo_relativo_per_capita!L$552/1000000</f>
        <v>-44.868835364999676</v>
      </c>
      <c r="M349" s="336">
        <f>Saldo_relativo_per_capita!M349*Saldo_relativo_per_capita!M$552/1000000</f>
        <v>52.269562763976289</v>
      </c>
      <c r="N349" s="336">
        <f>Saldo_relativo_per_capita!N349*Saldo_relativo_per_capita!N$552/1000000</f>
        <v>-5.4775547950676682</v>
      </c>
      <c r="O349" s="336">
        <f>Saldo_relativo_per_capita!O349*Saldo_relativo_per_capita!O$552/1000000</f>
        <v>-24.131785807757257</v>
      </c>
      <c r="P349" s="336">
        <f>Saldo_relativo_per_capita!P349*Saldo_relativo_per_capita!P$552/1000000</f>
        <v>-8.5134928796090943</v>
      </c>
      <c r="Q349" s="336">
        <f>Saldo_relativo_per_capita!Q349*Saldo_relativo_per_capita!Q$552/1000000</f>
        <v>46.307926159853871</v>
      </c>
      <c r="R349" s="336">
        <f>Saldo_relativo_per_capita!R349*Saldo_relativo_per_capita!R$552/1000000</f>
        <v>-31.620669992715428</v>
      </c>
      <c r="S349" s="336">
        <f>Saldo_relativo_per_capita!S349*Saldo_relativo_per_capita!S$552/1000000</f>
        <v>3.4385270132928021</v>
      </c>
      <c r="T349" s="336">
        <f>Saldo_relativo_per_capita!T349*Saldo_relativo_per_capita!T$552/1000000</f>
        <v>11.96336195300953</v>
      </c>
      <c r="U349" s="336">
        <f>Saldo_relativo_per_capita!U349*Saldo_relativo_per_capita!U$552/1000000</f>
        <v>6.0306466216340224</v>
      </c>
      <c r="V349" s="336">
        <f>Saldo_relativo_per_capita!V349*Saldo_relativo_per_capita!V$552/1000000</f>
        <v>-3.6761428133542506</v>
      </c>
      <c r="W349" s="148"/>
    </row>
    <row r="350" spans="1:23" s="115" customFormat="1">
      <c r="A350" s="351" t="str">
        <f>IF(B350="","",(IF(ISERROR(MATCH(B350,Tot_res!C:C,0)),"Eliminar!!!","")))</f>
        <v/>
      </c>
      <c r="B350" s="115" t="s">
        <v>331</v>
      </c>
      <c r="C350" s="329" t="str">
        <f>VLOOKUP(B350,Tot_res!C:D,2,FALSE)</f>
        <v>Instituciones Penitenciarias transferidas, Cataluña</v>
      </c>
      <c r="D350" s="336">
        <f>Saldo_relativo_per_capita!D350*Saldo_relativo_per_capita!D$552/1000000</f>
        <v>0</v>
      </c>
      <c r="E350" s="336">
        <f>Saldo_relativo_per_capita!E350*Saldo_relativo_per_capita!E$552/1000000</f>
        <v>-57.329159683475233</v>
      </c>
      <c r="F350" s="336">
        <f>Saldo_relativo_per_capita!F350*Saldo_relativo_per_capita!F$552/1000000</f>
        <v>-8.4819667625681294</v>
      </c>
      <c r="G350" s="336">
        <f>Saldo_relativo_per_capita!G350*Saldo_relativo_per_capita!G$552/1000000</f>
        <v>-7.0562023358708377</v>
      </c>
      <c r="H350" s="336">
        <f>Saldo_relativo_per_capita!H350*Saldo_relativo_per_capita!H$552/1000000</f>
        <v>-7.1383443318379687</v>
      </c>
      <c r="I350" s="336">
        <f>Saldo_relativo_per_capita!I350*Saldo_relativo_per_capita!I$552/1000000</f>
        <v>-14.100789385049012</v>
      </c>
      <c r="J350" s="336">
        <f>Saldo_relativo_per_capita!J350*Saldo_relativo_per_capita!J$552/1000000</f>
        <v>-3.8946671763807732</v>
      </c>
      <c r="K350" s="336">
        <f>Saldo_relativo_per_capita!K350*Saldo_relativo_per_capita!K$552/1000000</f>
        <v>-16.411743211697484</v>
      </c>
      <c r="L350" s="336">
        <f>Saldo_relativo_per_capita!L350*Saldo_relativo_per_capita!L$552/1000000</f>
        <v>-14.042392560333559</v>
      </c>
      <c r="M350" s="336">
        <f>Saldo_relativo_per_capita!M350*Saldo_relativo_per_capita!M$552/1000000</f>
        <v>257.92831728194608</v>
      </c>
      <c r="N350" s="336">
        <f>Saldo_relativo_per_capita!N350*Saldo_relativo_per_capita!N$552/1000000</f>
        <v>-33.342189981781956</v>
      </c>
      <c r="O350" s="336">
        <f>Saldo_relativo_per_capita!O350*Saldo_relativo_per_capita!O$552/1000000</f>
        <v>-7.5524137575175478</v>
      </c>
      <c r="P350" s="336">
        <f>Saldo_relativo_per_capita!P350*Saldo_relativo_per_capita!P$552/1000000</f>
        <v>-18.277548962582397</v>
      </c>
      <c r="Q350" s="336">
        <f>Saldo_relativo_per_capita!Q350*Saldo_relativo_per_capita!Q$552/1000000</f>
        <v>-39.612721644089675</v>
      </c>
      <c r="R350" s="336">
        <f>Saldo_relativo_per_capita!R350*Saldo_relativo_per_capita!R$552/1000000</f>
        <v>-9.8961753173749436</v>
      </c>
      <c r="S350" s="336">
        <f>Saldo_relativo_per_capita!S350*Saldo_relativo_per_capita!S$552/1000000</f>
        <v>-4.0149439981775892</v>
      </c>
      <c r="T350" s="336">
        <f>Saldo_relativo_per_capita!T350*Saldo_relativo_per_capita!T$552/1000000</f>
        <v>-13.573579935941432</v>
      </c>
      <c r="U350" s="336">
        <f>Saldo_relativo_per_capita!U350*Saldo_relativo_per_capita!U$552/1000000</f>
        <v>-2.0529727678691589</v>
      </c>
      <c r="V350" s="336">
        <f>Saldo_relativo_per_capita!V350*Saldo_relativo_per_capita!V$552/1000000</f>
        <v>-1.1505054693984205</v>
      </c>
      <c r="W350" s="148"/>
    </row>
    <row r="351" spans="1:23" s="115" customFormat="1">
      <c r="A351" s="351" t="str">
        <f>IF(B351="","",(IF(ISERROR(MATCH(B351,Tot_res!C:C,0)),"Eliminar!!!","")))</f>
        <v/>
      </c>
      <c r="B351" s="115" t="s">
        <v>332</v>
      </c>
      <c r="C351" s="329" t="str">
        <f>VLOOKUP(B351,Tot_res!C:D,2,FALSE)</f>
        <v>Policía áutonómica catalana y tráfico</v>
      </c>
      <c r="D351" s="336">
        <f>Saldo_relativo_per_capita!D351*Saldo_relativo_per_capita!D$552/1000000</f>
        <v>0</v>
      </c>
      <c r="E351" s="336">
        <f>Saldo_relativo_per_capita!E351*Saldo_relativo_per_capita!E$552/1000000</f>
        <v>-162.20073216059026</v>
      </c>
      <c r="F351" s="336">
        <f>Saldo_relativo_per_capita!F351*Saldo_relativo_per_capita!F$552/1000000</f>
        <v>-23.997931011832051</v>
      </c>
      <c r="G351" s="336">
        <f>Saldo_relativo_per_capita!G351*Saldo_relativo_per_capita!G$552/1000000</f>
        <v>-19.9640321168255</v>
      </c>
      <c r="H351" s="336">
        <f>Saldo_relativo_per_capita!H351*Saldo_relativo_per_capita!H$552/1000000</f>
        <v>-20.196435521315681</v>
      </c>
      <c r="I351" s="336">
        <f>Saldo_relativo_per_capita!I351*Saldo_relativo_per_capita!I$552/1000000</f>
        <v>-39.89520123659667</v>
      </c>
      <c r="J351" s="336">
        <f>Saldo_relativo_per_capita!J351*Saldo_relativo_per_capita!J$552/1000000</f>
        <v>-11.019137050300575</v>
      </c>
      <c r="K351" s="336">
        <f>Saldo_relativo_per_capita!K351*Saldo_relativo_per_capita!K$552/1000000</f>
        <v>-46.433556320488556</v>
      </c>
      <c r="L351" s="336">
        <f>Saldo_relativo_per_capita!L351*Saldo_relativo_per_capita!L$552/1000000</f>
        <v>-39.729979772040124</v>
      </c>
      <c r="M351" s="336">
        <f>Saldo_relativo_per_capita!M351*Saldo_relativo_per_capita!M$552/1000000</f>
        <v>729.75362170082019</v>
      </c>
      <c r="N351" s="336">
        <f>Saldo_relativo_per_capita!N351*Saldo_relativo_per_capita!N$552/1000000</f>
        <v>-94.33467465320949</v>
      </c>
      <c r="O351" s="336">
        <f>Saldo_relativo_per_capita!O351*Saldo_relativo_per_capita!O$552/1000000</f>
        <v>-21.367957385256449</v>
      </c>
      <c r="P351" s="336">
        <f>Saldo_relativo_per_capita!P351*Saldo_relativo_per_capita!P$552/1000000</f>
        <v>-51.712459073186764</v>
      </c>
      <c r="Q351" s="336">
        <f>Saldo_relativo_per_capita!Q351*Saldo_relativo_per_capita!Q$552/1000000</f>
        <v>-112.0758177691733</v>
      </c>
      <c r="R351" s="336">
        <f>Saldo_relativo_per_capita!R351*Saldo_relativo_per_capita!R$552/1000000</f>
        <v>-27.999135011400774</v>
      </c>
      <c r="S351" s="336">
        <f>Saldo_relativo_per_capita!S351*Saldo_relativo_per_capita!S$552/1000000</f>
        <v>-11.359434878929241</v>
      </c>
      <c r="T351" s="336">
        <f>Saldo_relativo_per_capita!T351*Saldo_relativo_per_capita!T$552/1000000</f>
        <v>-38.403573605573158</v>
      </c>
      <c r="U351" s="336">
        <f>Saldo_relativo_per_capita!U351*Saldo_relativo_per_capita!U$552/1000000</f>
        <v>-5.8084522412791344</v>
      </c>
      <c r="V351" s="336">
        <f>Saldo_relativo_per_capita!V351*Saldo_relativo_per_capita!V$552/1000000</f>
        <v>-3.2551118928222724</v>
      </c>
      <c r="W351" s="148"/>
    </row>
    <row r="352" spans="1:23" s="115" customFormat="1">
      <c r="A352" s="351" t="str">
        <f>IF(B352="","",(IF(ISERROR(MATCH(B352,Tot_res!C:C,0)),"Eliminar!!!","")))</f>
        <v/>
      </c>
      <c r="B352" s="115" t="s">
        <v>225</v>
      </c>
      <c r="C352" s="329" t="str">
        <f>VLOOKUP(B352,Tot_res!C:D,2,FALSE)</f>
        <v>Ajuste forales, seguridad ciudadana y vial</v>
      </c>
      <c r="D352" s="336">
        <f>Saldo_relativo_per_capita!D352*Saldo_relativo_per_capita!D$552/1000000</f>
        <v>0</v>
      </c>
      <c r="E352" s="336">
        <f>Saldo_relativo_per_capita!E352*Saldo_relativo_per_capita!E$552/1000000</f>
        <v>-83.983537477802614</v>
      </c>
      <c r="F352" s="336">
        <f>Saldo_relativo_per_capita!F352*Saldo_relativo_per_capita!F$552/1000000</f>
        <v>-12.425536627827912</v>
      </c>
      <c r="G352" s="336">
        <f>Saldo_relativo_per_capita!G352*Saldo_relativo_per_capita!G$552/1000000</f>
        <v>-10.33688329983287</v>
      </c>
      <c r="H352" s="336">
        <f>Saldo_relativo_per_capita!H352*Saldo_relativo_per_capita!H$552/1000000</f>
        <v>-10.457216049081163</v>
      </c>
      <c r="I352" s="336">
        <f>Saldo_relativo_per_capita!I352*Saldo_relativo_per_capita!I$552/1000000</f>
        <v>-20.656750950550094</v>
      </c>
      <c r="J352" s="336">
        <f>Saldo_relativo_per_capita!J352*Saldo_relativo_per_capita!J$552/1000000</f>
        <v>-5.7054373128274438</v>
      </c>
      <c r="K352" s="336">
        <f>Saldo_relativo_per_capita!K352*Saldo_relativo_per_capita!K$552/1000000</f>
        <v>-24.042149906009513</v>
      </c>
      <c r="L352" s="336">
        <f>Saldo_relativo_per_capita!L352*Saldo_relativo_per_capita!L$552/1000000</f>
        <v>-20.571203352361792</v>
      </c>
      <c r="M352" s="336">
        <f>Saldo_relativo_per_capita!M352*Saldo_relativo_per_capita!M$552/1000000</f>
        <v>-69.876968220027393</v>
      </c>
      <c r="N352" s="336">
        <f>Saldo_relativo_per_capita!N352*Saldo_relativo_per_capita!N$552/1000000</f>
        <v>-48.844167215905294</v>
      </c>
      <c r="O352" s="336">
        <f>Saldo_relativo_per_capita!O352*Saldo_relativo_per_capita!O$552/1000000</f>
        <v>-11.063801167753274</v>
      </c>
      <c r="P352" s="336">
        <f>Saldo_relativo_per_capita!P352*Saldo_relativo_per_capita!P$552/1000000</f>
        <v>-26.775435516175364</v>
      </c>
      <c r="Q352" s="336">
        <f>Saldo_relativo_per_capita!Q352*Saldo_relativo_per_capita!Q$552/1000000</f>
        <v>-58.030093431721838</v>
      </c>
      <c r="R352" s="336">
        <f>Saldo_relativo_per_capita!R352*Saldo_relativo_per_capita!R$552/1000000</f>
        <v>-14.497261345577119</v>
      </c>
      <c r="S352" s="336">
        <f>Saldo_relativo_per_capita!S352*Saldo_relativo_per_capita!S$552/1000000</f>
        <v>48.078100474288902</v>
      </c>
      <c r="T352" s="336">
        <f>Saldo_relativo_per_capita!T352*Saldo_relativo_per_capita!T$552/1000000</f>
        <v>373.88123130169078</v>
      </c>
      <c r="U352" s="336">
        <f>Saldo_relativo_per_capita!U352*Saldo_relativo_per_capita!U$552/1000000</f>
        <v>-3.0074732709006633</v>
      </c>
      <c r="V352" s="336">
        <f>Saldo_relativo_per_capita!V352*Saldo_relativo_per_capita!V$552/1000000</f>
        <v>-1.6854166316254287</v>
      </c>
      <c r="W352" s="148"/>
    </row>
    <row r="353" spans="1:23" s="115" customFormat="1">
      <c r="A353" s="351" t="str">
        <f>IF(B353="","",(IF(ISERROR(MATCH(B353,Tot_res!C:C,0)),"Eliminar!!!","")))</f>
        <v/>
      </c>
      <c r="B353" s="115" t="s">
        <v>1218</v>
      </c>
      <c r="C353" s="329" t="str">
        <f>VLOOKUP(B353,Tot_res!C:D,2,FALSE)</f>
        <v>Administración de justicia, coste efectivo</v>
      </c>
      <c r="D353" s="336">
        <f>Saldo_relativo_per_capita!D353*Saldo_relativo_per_capita!D$552/1000000</f>
        <v>0</v>
      </c>
      <c r="E353" s="336">
        <f>Saldo_relativo_per_capita!E353*Saldo_relativo_per_capita!E$552/1000000</f>
        <v>-4.9037869331567091E-2</v>
      </c>
      <c r="F353" s="336">
        <f>Saldo_relativo_per_capita!F353*Saldo_relativo_per_capita!F$552/1000000</f>
        <v>-7.2552533488015264E-3</v>
      </c>
      <c r="G353" s="336">
        <f>Saldo_relativo_per_capita!G353*Saldo_relativo_per_capita!G$552/1000000</f>
        <v>-6.0356916102377658E-3</v>
      </c>
      <c r="H353" s="336">
        <f>Saldo_relativo_per_capita!H353*Saldo_relativo_per_capita!H$552/1000000</f>
        <v>-6.1059537331628177E-3</v>
      </c>
      <c r="I353" s="336">
        <f>Saldo_relativo_per_capita!I353*Saldo_relativo_per_capita!I$552/1000000</f>
        <v>-1.2061447806905398E-2</v>
      </c>
      <c r="J353" s="336">
        <f>Saldo_relativo_per_capita!J353*Saldo_relativo_per_capita!J$552/1000000</f>
        <v>-3.3313968169038808E-3</v>
      </c>
      <c r="K353" s="336">
        <f>Saldo_relativo_per_capita!K353*Saldo_relativo_per_capita!K$552/1000000</f>
        <v>-1.4038177492254996E-2</v>
      </c>
      <c r="L353" s="336">
        <f>Saldo_relativo_per_capita!L353*Saldo_relativo_per_capita!L$552/1000000</f>
        <v>-1.2011496684726293E-2</v>
      </c>
      <c r="M353" s="336">
        <f>Saldo_relativo_per_capita!M353*Saldo_relativo_per_capita!M$552/1000000</f>
        <v>-4.080106339609052E-2</v>
      </c>
      <c r="N353" s="336">
        <f>Saldo_relativo_per_capita!N353*Saldo_relativo_per_capita!N$552/1000000</f>
        <v>-2.8520040492172015E-2</v>
      </c>
      <c r="O353" s="336">
        <f>Saldo_relativo_per_capita!O353*Saldo_relativo_per_capita!O$552/1000000</f>
        <v>-6.4601379302237959E-3</v>
      </c>
      <c r="P353" s="336">
        <f>Saldo_relativo_per_capita!P353*Saldo_relativo_per_capita!P$552/1000000</f>
        <v>-1.5634139113097547E-2</v>
      </c>
      <c r="Q353" s="336">
        <f>Saldo_relativo_per_capita!Q353*Saldo_relativo_per_capita!Q$552/1000000</f>
        <v>0.22754253511904529</v>
      </c>
      <c r="R353" s="336">
        <f>Saldo_relativo_per_capita!R353*Saldo_relativo_per_capita!R$552/1000000</f>
        <v>-8.4649304956687325E-3</v>
      </c>
      <c r="S353" s="336">
        <f>Saldo_relativo_per_capita!S353*Saldo_relativo_per_capita!S$552/1000000</f>
        <v>-3.4342784761407005E-3</v>
      </c>
      <c r="T353" s="336">
        <f>Saldo_relativo_per_capita!T353*Saldo_relativo_per_capita!T$552/1000000</f>
        <v>-1.161048658196428E-2</v>
      </c>
      <c r="U353" s="336">
        <f>Saldo_relativo_per_capita!U353*Saldo_relativo_per_capita!U$552/1000000</f>
        <v>-1.7560594100431567E-3</v>
      </c>
      <c r="V353" s="336">
        <f>Saldo_relativo_per_capita!V353*Saldo_relativo_per_capita!V$552/1000000</f>
        <v>-9.84112399084671E-4</v>
      </c>
      <c r="W353" s="148"/>
    </row>
    <row r="354" spans="1:23" s="115" customFormat="1">
      <c r="A354" s="352"/>
      <c r="D354" s="217"/>
      <c r="E354" s="217"/>
      <c r="F354" s="217"/>
      <c r="G354" s="217"/>
      <c r="H354" s="217"/>
      <c r="I354" s="217"/>
      <c r="J354" s="217"/>
      <c r="K354" s="217"/>
      <c r="L354" s="217"/>
      <c r="M354" s="217"/>
      <c r="N354" s="217"/>
      <c r="O354" s="217"/>
      <c r="P354" s="217"/>
      <c r="Q354" s="217"/>
      <c r="R354" s="217"/>
      <c r="S354" s="217"/>
      <c r="T354" s="217"/>
      <c r="U354" s="217"/>
      <c r="V354" s="217"/>
      <c r="W354" s="148"/>
    </row>
    <row r="355" spans="1:23" s="115" customFormat="1" ht="13.5">
      <c r="A355" s="352"/>
      <c r="C355" s="117" t="s">
        <v>6</v>
      </c>
      <c r="D355" s="218">
        <f>Saldo_relativo_per_capita!D355*Saldo_relativo_per_capita!D$552/1000000</f>
        <v>0</v>
      </c>
      <c r="E355" s="218">
        <f>Saldo_relativo_per_capita!E355*Saldo_relativo_per_capita!E$552/1000000</f>
        <v>25.131753569786973</v>
      </c>
      <c r="F355" s="218">
        <f>Saldo_relativo_per_capita!F355*Saldo_relativo_per_capita!F$552/1000000</f>
        <v>38.006821029452915</v>
      </c>
      <c r="G355" s="218">
        <f>Saldo_relativo_per_capita!G355*Saldo_relativo_per_capita!G$552/1000000</f>
        <v>10.728898142236854</v>
      </c>
      <c r="H355" s="218">
        <f>Saldo_relativo_per_capita!H355*Saldo_relativo_per_capita!H$552/1000000</f>
        <v>-11.141142102691544</v>
      </c>
      <c r="I355" s="218">
        <f>Saldo_relativo_per_capita!I355*Saldo_relativo_per_capita!I$552/1000000</f>
        <v>-11.218591892238866</v>
      </c>
      <c r="J355" s="218">
        <f>Saldo_relativo_per_capita!J355*Saldo_relativo_per_capita!J$552/1000000</f>
        <v>-0.77466655543440832</v>
      </c>
      <c r="K355" s="218">
        <f>Saldo_relativo_per_capita!K355*Saldo_relativo_per_capita!K$552/1000000</f>
        <v>-2.3825077744357679</v>
      </c>
      <c r="L355" s="218">
        <f>Saldo_relativo_per_capita!L355*Saldo_relativo_per_capita!L$552/1000000</f>
        <v>-3.7820544232947206</v>
      </c>
      <c r="M355" s="218">
        <f>Saldo_relativo_per_capita!M355*Saldo_relativo_per_capita!M$552/1000000</f>
        <v>44.232464736994672</v>
      </c>
      <c r="N355" s="218">
        <f>Saldo_relativo_per_capita!N355*Saldo_relativo_per_capita!N$552/1000000</f>
        <v>-6.1604915487300849</v>
      </c>
      <c r="O355" s="218">
        <f>Saldo_relativo_per_capita!O355*Saldo_relativo_per_capita!O$552/1000000</f>
        <v>-3.3742384785951094</v>
      </c>
      <c r="P355" s="218">
        <f>Saldo_relativo_per_capita!P355*Saldo_relativo_per_capita!P$552/1000000</f>
        <v>-19.792619638613374</v>
      </c>
      <c r="Q355" s="218">
        <f>Saldo_relativo_per_capita!Q355*Saldo_relativo_per_capita!Q$552/1000000</f>
        <v>-58.474600316356302</v>
      </c>
      <c r="R355" s="218">
        <f>Saldo_relativo_per_capita!R355*Saldo_relativo_per_capita!R$552/1000000</f>
        <v>-3.081397692611946</v>
      </c>
      <c r="S355" s="218">
        <f>Saldo_relativo_per_capita!S355*Saldo_relativo_per_capita!S$552/1000000</f>
        <v>1.710926844348527E-2</v>
      </c>
      <c r="T355" s="218">
        <f>Saldo_relativo_per_capita!T355*Saldo_relativo_per_capita!T$552/1000000</f>
        <v>6.3262384647073178E-2</v>
      </c>
      <c r="U355" s="218">
        <f>Saldo_relativo_per_capita!U355*Saldo_relativo_per_capita!U$552/1000000</f>
        <v>4.6699353623815707</v>
      </c>
      <c r="V355" s="218">
        <f>Saldo_relativo_per_capita!V355*Saldo_relativo_per_capita!V$552/1000000</f>
        <v>-2.667934070941552</v>
      </c>
      <c r="W355" s="148"/>
    </row>
    <row r="356" spans="1:23" s="115" customFormat="1">
      <c r="A356" s="351" t="str">
        <f>IF(B356="","",(IF(ISERROR(MATCH(B356,Tot_res!C:C,0)),"Eliminar!!!","")))</f>
        <v/>
      </c>
      <c r="B356" s="119" t="s">
        <v>333</v>
      </c>
      <c r="C356" s="329" t="str">
        <f>VLOOKUP(B356,Tot_res!C:D,2,FALSE)</f>
        <v>Promoción, administración y ayudas para rehabilitación y acceso a vivienda+AF15</v>
      </c>
      <c r="D356" s="336">
        <f>Saldo_relativo_per_capita!D356*Saldo_relativo_per_capita!D$552/1000000</f>
        <v>0</v>
      </c>
      <c r="E356" s="336">
        <f>Saldo_relativo_per_capita!E356*Saldo_relativo_per_capita!E$552/1000000</f>
        <v>23.361950949168097</v>
      </c>
      <c r="F356" s="336">
        <f>Saldo_relativo_per_capita!F356*Saldo_relativo_per_capita!F$552/1000000</f>
        <v>38.00953710098625</v>
      </c>
      <c r="G356" s="336">
        <f>Saldo_relativo_per_capita!G356*Saldo_relativo_per_capita!G$552/1000000</f>
        <v>11.222925514487924</v>
      </c>
      <c r="H356" s="336">
        <f>Saldo_relativo_per_capita!H356*Saldo_relativo_per_capita!H$552/1000000</f>
        <v>-12.574693517879979</v>
      </c>
      <c r="I356" s="336">
        <f>Saldo_relativo_per_capita!I356*Saldo_relativo_per_capita!I$552/1000000</f>
        <v>-11.441368227203455</v>
      </c>
      <c r="J356" s="336">
        <f>Saldo_relativo_per_capita!J356*Saldo_relativo_per_capita!J$552/1000000</f>
        <v>-0.50166996532019248</v>
      </c>
      <c r="K356" s="336">
        <f>Saldo_relativo_per_capita!K356*Saldo_relativo_per_capita!K$552/1000000</f>
        <v>-7.4110639813851709</v>
      </c>
      <c r="L356" s="336">
        <f>Saldo_relativo_per_capita!L356*Saldo_relativo_per_capita!L$552/1000000</f>
        <v>-3.5833316161844402</v>
      </c>
      <c r="M356" s="336">
        <f>Saldo_relativo_per_capita!M356*Saldo_relativo_per_capita!M$552/1000000</f>
        <v>47.057656128692869</v>
      </c>
      <c r="N356" s="336">
        <f>Saldo_relativo_per_capita!N356*Saldo_relativo_per_capita!N$552/1000000</f>
        <v>-4.1242992647479113</v>
      </c>
      <c r="O356" s="336">
        <f>Saldo_relativo_per_capita!O356*Saldo_relativo_per_capita!O$552/1000000</f>
        <v>-3.2551041964606693</v>
      </c>
      <c r="P356" s="336">
        <f>Saldo_relativo_per_capita!P356*Saldo_relativo_per_capita!P$552/1000000</f>
        <v>-20.771112212059325</v>
      </c>
      <c r="Q356" s="336">
        <f>Saldo_relativo_per_capita!Q356*Saldo_relativo_per_capita!Q$552/1000000</f>
        <v>-55.70200078402339</v>
      </c>
      <c r="R356" s="336">
        <f>Saldo_relativo_per_capita!R356*Saldo_relativo_per_capita!R$552/1000000</f>
        <v>-2.395387769642257</v>
      </c>
      <c r="S356" s="336">
        <f>Saldo_relativo_per_capita!S356*Saldo_relativo_per_capita!S$552/1000000</f>
        <v>0</v>
      </c>
      <c r="T356" s="336">
        <f>Saldo_relativo_per_capita!T356*Saldo_relativo_per_capita!T$552/1000000</f>
        <v>0</v>
      </c>
      <c r="U356" s="336">
        <f>Saldo_relativo_per_capita!U356*Saldo_relativo_per_capita!U$552/1000000</f>
        <v>4.6965612868888487</v>
      </c>
      <c r="V356" s="336">
        <f>Saldo_relativo_per_capita!V356*Saldo_relativo_per_capita!V$552/1000000</f>
        <v>-2.5885994453172048</v>
      </c>
      <c r="W356" s="148"/>
    </row>
    <row r="357" spans="1:23" s="115" customFormat="1">
      <c r="A357" s="351" t="str">
        <f>IF(B357="","",(IF(ISERROR(MATCH(B357,Tot_res!C:C,0)),"Eliminar!!!","")))</f>
        <v/>
      </c>
      <c r="B357" s="119" t="s">
        <v>824</v>
      </c>
      <c r="C357" s="329" t="str">
        <f>VLOOKUP(B357,Tot_res!C:D,2,FALSE)</f>
        <v>Ordenación y fomento de la edificación, neto de actuaciones relacionadas con el 1% cultural</v>
      </c>
      <c r="D357" s="336">
        <f>Saldo_relativo_per_capita!D357*Saldo_relativo_per_capita!D$552/1000000</f>
        <v>0</v>
      </c>
      <c r="E357" s="336">
        <f>Saldo_relativo_per_capita!E357*Saldo_relativo_per_capita!E$552/1000000</f>
        <v>1.7698026206188766</v>
      </c>
      <c r="F357" s="336">
        <f>Saldo_relativo_per_capita!F357*Saldo_relativo_per_capita!F$552/1000000</f>
        <v>-2.7160715333440881E-3</v>
      </c>
      <c r="G357" s="336">
        <f>Saldo_relativo_per_capita!G357*Saldo_relativo_per_capita!G$552/1000000</f>
        <v>-0.49402737225106724</v>
      </c>
      <c r="H357" s="336">
        <f>Saldo_relativo_per_capita!H357*Saldo_relativo_per_capita!H$552/1000000</f>
        <v>1.4335514151884425</v>
      </c>
      <c r="I357" s="336">
        <f>Saldo_relativo_per_capita!I357*Saldo_relativo_per_capita!I$552/1000000</f>
        <v>0.22277633496459734</v>
      </c>
      <c r="J357" s="336">
        <f>Saldo_relativo_per_capita!J357*Saldo_relativo_per_capita!J$552/1000000</f>
        <v>-0.27299659011421357</v>
      </c>
      <c r="K357" s="336">
        <f>Saldo_relativo_per_capita!K357*Saldo_relativo_per_capita!K$552/1000000</f>
        <v>5.0285562069494176</v>
      </c>
      <c r="L357" s="336">
        <f>Saldo_relativo_per_capita!L357*Saldo_relativo_per_capita!L$552/1000000</f>
        <v>-0.19872280711027787</v>
      </c>
      <c r="M357" s="336">
        <f>Saldo_relativo_per_capita!M357*Saldo_relativo_per_capita!M$552/1000000</f>
        <v>-2.8251913916981843</v>
      </c>
      <c r="N357" s="336">
        <f>Saldo_relativo_per_capita!N357*Saldo_relativo_per_capita!N$552/1000000</f>
        <v>-2.0361922839821469</v>
      </c>
      <c r="O357" s="336">
        <f>Saldo_relativo_per_capita!O357*Saldo_relativo_per_capita!O$552/1000000</f>
        <v>-0.11913428213443787</v>
      </c>
      <c r="P357" s="336">
        <f>Saldo_relativo_per_capita!P357*Saldo_relativo_per_capita!P$552/1000000</f>
        <v>0.97849257344596219</v>
      </c>
      <c r="Q357" s="336">
        <f>Saldo_relativo_per_capita!Q357*Saldo_relativo_per_capita!Q$552/1000000</f>
        <v>-2.7725995323328894</v>
      </c>
      <c r="R357" s="336">
        <f>Saldo_relativo_per_capita!R357*Saldo_relativo_per_capita!R$552/1000000</f>
        <v>-0.68600992296968033</v>
      </c>
      <c r="S357" s="336">
        <f>Saldo_relativo_per_capita!S357*Saldo_relativo_per_capita!S$552/1000000</f>
        <v>1.7109268443488188E-2</v>
      </c>
      <c r="T357" s="336">
        <f>Saldo_relativo_per_capita!T357*Saldo_relativo_per_capita!T$552/1000000</f>
        <v>6.326238464707172E-2</v>
      </c>
      <c r="U357" s="336">
        <f>Saldo_relativo_per_capita!U357*Saldo_relativo_per_capita!U$552/1000000</f>
        <v>-2.6625924507274121E-2</v>
      </c>
      <c r="V357" s="336">
        <f>Saldo_relativo_per_capita!V357*Saldo_relativo_per_capita!V$552/1000000</f>
        <v>-7.9334625624346553E-2</v>
      </c>
      <c r="W357" s="148"/>
    </row>
    <row r="358" spans="1:23" s="115" customFormat="1">
      <c r="A358" s="351" t="str">
        <f>IF(B358="","",(IF(ISERROR(MATCH(B358,Tot_res!C:C,0)),"Eliminar!!!","")))</f>
        <v/>
      </c>
      <c r="B358" s="119" t="s">
        <v>334</v>
      </c>
      <c r="C358" s="329" t="str">
        <f>VLOOKUP(B358,Tot_res!C:D,2,FALSE)</f>
        <v>Suelo y políticas urbanas</v>
      </c>
      <c r="D358" s="336">
        <f>Saldo_relativo_per_capita!D358*Saldo_relativo_per_capita!D$552/1000000</f>
        <v>0</v>
      </c>
      <c r="E358" s="336">
        <f>Saldo_relativo_per_capita!E358*Saldo_relativo_per_capita!E$552/1000000</f>
        <v>0</v>
      </c>
      <c r="F358" s="336">
        <f>Saldo_relativo_per_capita!F358*Saldo_relativo_per_capita!F$552/1000000</f>
        <v>0</v>
      </c>
      <c r="G358" s="336">
        <f>Saldo_relativo_per_capita!G358*Saldo_relativo_per_capita!G$552/1000000</f>
        <v>0</v>
      </c>
      <c r="H358" s="336">
        <f>Saldo_relativo_per_capita!H358*Saldo_relativo_per_capita!H$552/1000000</f>
        <v>0</v>
      </c>
      <c r="I358" s="336">
        <f>Saldo_relativo_per_capita!I358*Saldo_relativo_per_capita!I$552/1000000</f>
        <v>0</v>
      </c>
      <c r="J358" s="336">
        <f>Saldo_relativo_per_capita!J358*Saldo_relativo_per_capita!J$552/1000000</f>
        <v>0</v>
      </c>
      <c r="K358" s="336">
        <f>Saldo_relativo_per_capita!K358*Saldo_relativo_per_capita!K$552/1000000</f>
        <v>0</v>
      </c>
      <c r="L358" s="336">
        <f>Saldo_relativo_per_capita!L358*Saldo_relativo_per_capita!L$552/1000000</f>
        <v>0</v>
      </c>
      <c r="M358" s="336">
        <f>Saldo_relativo_per_capita!M358*Saldo_relativo_per_capita!M$552/1000000</f>
        <v>0</v>
      </c>
      <c r="N358" s="336">
        <f>Saldo_relativo_per_capita!N358*Saldo_relativo_per_capita!N$552/1000000</f>
        <v>0</v>
      </c>
      <c r="O358" s="336">
        <f>Saldo_relativo_per_capita!O358*Saldo_relativo_per_capita!O$552/1000000</f>
        <v>0</v>
      </c>
      <c r="P358" s="336">
        <f>Saldo_relativo_per_capita!P358*Saldo_relativo_per_capita!P$552/1000000</f>
        <v>0</v>
      </c>
      <c r="Q358" s="336">
        <f>Saldo_relativo_per_capita!Q358*Saldo_relativo_per_capita!Q$552/1000000</f>
        <v>0</v>
      </c>
      <c r="R358" s="336">
        <f>Saldo_relativo_per_capita!R358*Saldo_relativo_per_capita!R$552/1000000</f>
        <v>0</v>
      </c>
      <c r="S358" s="336">
        <f>Saldo_relativo_per_capita!S358*Saldo_relativo_per_capita!S$552/1000000</f>
        <v>0</v>
      </c>
      <c r="T358" s="336">
        <f>Saldo_relativo_per_capita!T358*Saldo_relativo_per_capita!T$552/1000000</f>
        <v>0</v>
      </c>
      <c r="U358" s="336">
        <f>Saldo_relativo_per_capita!U358*Saldo_relativo_per_capita!U$552/1000000</f>
        <v>0</v>
      </c>
      <c r="V358" s="336">
        <f>Saldo_relativo_per_capita!V358*Saldo_relativo_per_capita!V$552/1000000</f>
        <v>0</v>
      </c>
      <c r="W358" s="148"/>
    </row>
    <row r="359" spans="1:23" s="115" customFormat="1">
      <c r="A359" s="352"/>
      <c r="D359" s="217"/>
      <c r="E359" s="217"/>
      <c r="F359" s="217"/>
      <c r="G359" s="217"/>
      <c r="H359" s="217"/>
      <c r="I359" s="217"/>
      <c r="J359" s="217"/>
      <c r="K359" s="217"/>
      <c r="L359" s="217"/>
      <c r="M359" s="217"/>
      <c r="N359" s="217"/>
      <c r="O359" s="217"/>
      <c r="P359" s="217"/>
      <c r="Q359" s="217"/>
      <c r="R359" s="217"/>
      <c r="S359" s="217"/>
      <c r="T359" s="217"/>
      <c r="U359" s="217"/>
      <c r="V359" s="217"/>
      <c r="W359" s="148"/>
    </row>
    <row r="360" spans="1:23" s="115" customFormat="1" ht="13.5">
      <c r="A360" s="352"/>
      <c r="C360" s="117" t="s">
        <v>45</v>
      </c>
      <c r="D360" s="218">
        <f>Saldo_relativo_per_capita!D360*Saldo_relativo_per_capita!D$552/1000000</f>
        <v>0</v>
      </c>
      <c r="E360" s="218">
        <f>Saldo_relativo_per_capita!E360*Saldo_relativo_per_capita!E$552/1000000</f>
        <v>-94.785614251707713</v>
      </c>
      <c r="F360" s="218">
        <f>Saldo_relativo_per_capita!F360*Saldo_relativo_per_capita!F$552/1000000</f>
        <v>-11.027263627787637</v>
      </c>
      <c r="G360" s="218">
        <f>Saldo_relativo_per_capita!G360*Saldo_relativo_per_capita!G$552/1000000</f>
        <v>-10.510991269967874</v>
      </c>
      <c r="H360" s="218">
        <f>Saldo_relativo_per_capita!H360*Saldo_relativo_per_capita!H$552/1000000</f>
        <v>9.4103146993942062</v>
      </c>
      <c r="I360" s="218">
        <f>Saldo_relativo_per_capita!I360*Saldo_relativo_per_capita!I$552/1000000</f>
        <v>-25.668860021577309</v>
      </c>
      <c r="J360" s="218">
        <f>Saldo_relativo_per_capita!J360*Saldo_relativo_per_capita!J$552/1000000</f>
        <v>1.2516972764705745</v>
      </c>
      <c r="K360" s="218">
        <f>Saldo_relativo_per_capita!K360*Saldo_relativo_per_capita!K$552/1000000</f>
        <v>-5.4713566129008919</v>
      </c>
      <c r="L360" s="218">
        <f>Saldo_relativo_per_capita!L360*Saldo_relativo_per_capita!L$552/1000000</f>
        <v>-13.805056333909697</v>
      </c>
      <c r="M360" s="218">
        <f>Saldo_relativo_per_capita!M360*Saldo_relativo_per_capita!M$552/1000000</f>
        <v>-7.7650612385639421</v>
      </c>
      <c r="N360" s="218">
        <f>Saldo_relativo_per_capita!N360*Saldo_relativo_per_capita!N$552/1000000</f>
        <v>-9.6266236946086767</v>
      </c>
      <c r="O360" s="218">
        <f>Saldo_relativo_per_capita!O360*Saldo_relativo_per_capita!O$552/1000000</f>
        <v>-7.8095965123519173</v>
      </c>
      <c r="P360" s="218">
        <f>Saldo_relativo_per_capita!P360*Saldo_relativo_per_capita!P$552/1000000</f>
        <v>12.386329006639714</v>
      </c>
      <c r="Q360" s="218">
        <f>Saldo_relativo_per_capita!Q360*Saldo_relativo_per_capita!Q$552/1000000</f>
        <v>177.80920314290663</v>
      </c>
      <c r="R360" s="218">
        <f>Saldo_relativo_per_capita!R360*Saldo_relativo_per_capita!R$552/1000000</f>
        <v>-12.524791566720637</v>
      </c>
      <c r="S360" s="218">
        <f>Saldo_relativo_per_capita!S360*Saldo_relativo_per_capita!S$552/1000000</f>
        <v>1.1198148808063899</v>
      </c>
      <c r="T360" s="218">
        <f>Saldo_relativo_per_capita!T360*Saldo_relativo_per_capita!T$552/1000000</f>
        <v>2.5544240639469606</v>
      </c>
      <c r="U360" s="218">
        <f>Saldo_relativo_per_capita!U360*Saldo_relativo_per_capita!U$552/1000000</f>
        <v>-3.1393566174488159</v>
      </c>
      <c r="V360" s="218">
        <f>Saldo_relativo_per_capita!V360*Saldo_relativo_per_capita!V$552/1000000</f>
        <v>-2.3972113226197176</v>
      </c>
      <c r="W360" s="148"/>
    </row>
    <row r="361" spans="1:23" s="115" customFormat="1">
      <c r="A361" s="351" t="str">
        <f>IF(B361="","",(IF(ISERROR(MATCH(B361,Tot_res!C:C,0)),"Eliminar!!!","")))</f>
        <v/>
      </c>
      <c r="B361" s="102" t="s">
        <v>648</v>
      </c>
      <c r="C361" s="329" t="str">
        <f>VLOOKUP(B361,Tot_res!C:D,2,FALSE)</f>
        <v>Dirección y servicios generales de Cultura</v>
      </c>
      <c r="D361" s="336">
        <f>Saldo_relativo_per_capita!D361*Saldo_relativo_per_capita!D$552/1000000</f>
        <v>0</v>
      </c>
      <c r="E361" s="336">
        <f>Saldo_relativo_per_capita!E361*Saldo_relativo_per_capita!E$552/1000000</f>
        <v>-1.1307877693432338</v>
      </c>
      <c r="F361" s="336">
        <f>Saldo_relativo_per_capita!F361*Saldo_relativo_per_capita!F$552/1000000</f>
        <v>-0.12207713189817686</v>
      </c>
      <c r="G361" s="336">
        <f>Saldo_relativo_per_capita!G361*Saldo_relativo_per_capita!G$552/1000000</f>
        <v>-0.12896440151500882</v>
      </c>
      <c r="H361" s="336">
        <f>Saldo_relativo_per_capita!H361*Saldo_relativo_per_capita!H$552/1000000</f>
        <v>-0.10837704708700502</v>
      </c>
      <c r="I361" s="336">
        <f>Saldo_relativo_per_capita!I361*Saldo_relativo_per_capita!I$552/1000000</f>
        <v>-0.28275597667746</v>
      </c>
      <c r="J361" s="336">
        <f>Saldo_relativo_per_capita!J361*Saldo_relativo_per_capita!J$552/1000000</f>
        <v>2.2786941976576065E-2</v>
      </c>
      <c r="K361" s="336">
        <f>Saldo_relativo_per_capita!K361*Saldo_relativo_per_capita!K$552/1000000</f>
        <v>-1.7174113979950327E-2</v>
      </c>
      <c r="L361" s="336">
        <f>Saldo_relativo_per_capita!L361*Saldo_relativo_per_capita!L$552/1000000</f>
        <v>-0.14691963697024629</v>
      </c>
      <c r="M361" s="336">
        <f>Saldo_relativo_per_capita!M361*Saldo_relativo_per_capita!M$552/1000000</f>
        <v>-0.63881695846965114</v>
      </c>
      <c r="N361" s="336">
        <f>Saldo_relativo_per_capita!N361*Saldo_relativo_per_capita!N$552/1000000</f>
        <v>-0.56241432733108809</v>
      </c>
      <c r="O361" s="336">
        <f>Saldo_relativo_per_capita!O361*Saldo_relativo_per_capita!O$552/1000000</f>
        <v>-0.10159775701949812</v>
      </c>
      <c r="P361" s="336">
        <f>Saldo_relativo_per_capita!P361*Saldo_relativo_per_capita!P$552/1000000</f>
        <v>-0.23875327501333407</v>
      </c>
      <c r="Q361" s="336">
        <f>Saldo_relativo_per_capita!Q361*Saldo_relativo_per_capita!Q$552/1000000</f>
        <v>3.874286498327665</v>
      </c>
      <c r="R361" s="336">
        <f>Saldo_relativo_per_capita!R361*Saldo_relativo_per_capita!R$552/1000000</f>
        <v>-0.1555619537921315</v>
      </c>
      <c r="S361" s="336">
        <f>Saldo_relativo_per_capita!S361*Saldo_relativo_per_capita!S$552/1000000</f>
        <v>-5.5530538363705889E-2</v>
      </c>
      <c r="T361" s="336">
        <f>Saldo_relativo_per_capita!T361*Saldo_relativo_per_capita!T$552/1000000</f>
        <v>-0.15848161601992536</v>
      </c>
      <c r="U361" s="336">
        <f>Saldo_relativo_per_capita!U361*Saldo_relativo_per_capita!U$552/1000000</f>
        <v>-2.5442906201118509E-2</v>
      </c>
      <c r="V361" s="336">
        <f>Saldo_relativo_per_capita!V361*Saldo_relativo_per_capita!V$552/1000000</f>
        <v>-2.3418030622709352E-2</v>
      </c>
      <c r="W361" s="148"/>
    </row>
    <row r="362" spans="1:23" s="115" customFormat="1">
      <c r="A362" s="351" t="str">
        <f>IF(B362="","",(IF(ISERROR(MATCH(B362,Tot_res!C:C,0)),"Eliminar!!!","")))</f>
        <v/>
      </c>
      <c r="B362" s="115" t="s">
        <v>335</v>
      </c>
      <c r="C362" s="329" t="str">
        <f>VLOOKUP(B362,Tot_res!C:D,2,FALSE)</f>
        <v>Archivos</v>
      </c>
      <c r="D362" s="336">
        <f>Saldo_relativo_per_capita!D362*Saldo_relativo_per_capita!D$552/1000000</f>
        <v>0</v>
      </c>
      <c r="E362" s="336">
        <f>Saldo_relativo_per_capita!E362*Saldo_relativo_per_capita!E$552/1000000</f>
        <v>-1.3717137873369551</v>
      </c>
      <c r="F362" s="336">
        <f>Saldo_relativo_per_capita!F362*Saldo_relativo_per_capita!F$552/1000000</f>
        <v>-0.32495813109047927</v>
      </c>
      <c r="G362" s="336">
        <f>Saldo_relativo_per_capita!G362*Saldo_relativo_per_capita!G$552/1000000</f>
        <v>-0.3003965569507086</v>
      </c>
      <c r="H362" s="336">
        <f>Saldo_relativo_per_capita!H362*Saldo_relativo_per_capita!H$552/1000000</f>
        <v>0.31299513208412949</v>
      </c>
      <c r="I362" s="336">
        <f>Saldo_relativo_per_capita!I362*Saldo_relativo_per_capita!I$552/1000000</f>
        <v>-0.55629287672359318</v>
      </c>
      <c r="J362" s="336">
        <f>Saldo_relativo_per_capita!J362*Saldo_relativo_per_capita!J$552/1000000</f>
        <v>-0.13491990537904414</v>
      </c>
      <c r="K362" s="336">
        <f>Saldo_relativo_per_capita!K362*Saldo_relativo_per_capita!K$552/1000000</f>
        <v>2.4307091687559867</v>
      </c>
      <c r="L362" s="336">
        <f>Saldo_relativo_per_capita!L362*Saldo_relativo_per_capita!L$552/1000000</f>
        <v>-0.29882208445549241</v>
      </c>
      <c r="M362" s="336">
        <f>Saldo_relativo_per_capita!M362*Saldo_relativo_per_capita!M$552/1000000</f>
        <v>-0.97457620270518341</v>
      </c>
      <c r="N362" s="336">
        <f>Saldo_relativo_per_capita!N362*Saldo_relativo_per_capita!N$552/1000000</f>
        <v>-1.3492880040521502</v>
      </c>
      <c r="O362" s="336">
        <f>Saldo_relativo_per_capita!O362*Saldo_relativo_per_capita!O$552/1000000</f>
        <v>-0.28514532776979284</v>
      </c>
      <c r="P362" s="336">
        <f>Saldo_relativo_per_capita!P362*Saldo_relativo_per_capita!P$552/1000000</f>
        <v>0.52219922879224245</v>
      </c>
      <c r="Q362" s="336">
        <f>Saldo_relativo_per_capita!Q362*Saldo_relativo_per_capita!Q$552/1000000</f>
        <v>3.5303832455108974</v>
      </c>
      <c r="R362" s="336">
        <f>Saldo_relativo_per_capita!R362*Saldo_relativo_per_capita!R$552/1000000</f>
        <v>-0.43211018038887578</v>
      </c>
      <c r="S362" s="336">
        <f>Saldo_relativo_per_capita!S362*Saldo_relativo_per_capita!S$552/1000000</f>
        <v>-0.15070647557909639</v>
      </c>
      <c r="T362" s="336">
        <f>Saldo_relativo_per_capita!T362*Saldo_relativo_per_capita!T$552/1000000</f>
        <v>-0.48440411830940816</v>
      </c>
      <c r="U362" s="336">
        <f>Saldo_relativo_per_capita!U362*Saldo_relativo_per_capita!U$552/1000000</f>
        <v>-8.2231602611563245E-2</v>
      </c>
      <c r="V362" s="336">
        <f>Saldo_relativo_per_capita!V362*Saldo_relativo_per_capita!V$552/1000000</f>
        <v>-5.0721521790917962E-2</v>
      </c>
      <c r="W362" s="148"/>
    </row>
    <row r="363" spans="1:23" s="115" customFormat="1">
      <c r="A363" s="351" t="str">
        <f>IF(B363="","",(IF(ISERROR(MATCH(B363,Tot_res!C:C,0)),"Eliminar!!!","")))</f>
        <v/>
      </c>
      <c r="B363" s="115" t="s">
        <v>337</v>
      </c>
      <c r="C363" s="329" t="str">
        <f>VLOOKUP(B363,Tot_res!C:D,2,FALSE)</f>
        <v>Bibliotecas</v>
      </c>
      <c r="D363" s="336">
        <f>Saldo_relativo_per_capita!D363*Saldo_relativo_per_capita!D$552/1000000</f>
        <v>0</v>
      </c>
      <c r="E363" s="336">
        <f>Saldo_relativo_per_capita!E363*Saldo_relativo_per_capita!E$552/1000000</f>
        <v>-4.8898865998986034</v>
      </c>
      <c r="F363" s="336">
        <f>Saldo_relativo_per_capita!F363*Saldo_relativo_per_capita!F$552/1000000</f>
        <v>-0.81632124375245974</v>
      </c>
      <c r="G363" s="336">
        <f>Saldo_relativo_per_capita!G363*Saldo_relativo_per_capita!G$552/1000000</f>
        <v>-0.624105328773918</v>
      </c>
      <c r="H363" s="336">
        <f>Saldo_relativo_per_capita!H363*Saldo_relativo_per_capita!H$552/1000000</f>
        <v>-0.44072344560453175</v>
      </c>
      <c r="I363" s="336">
        <f>Saldo_relativo_per_capita!I363*Saldo_relativo_per_capita!I$552/1000000</f>
        <v>-1.3115679243072644</v>
      </c>
      <c r="J363" s="336">
        <f>Saldo_relativo_per_capita!J363*Saldo_relativo_per_capita!J$552/1000000</f>
        <v>-0.3998957801012421</v>
      </c>
      <c r="K363" s="336">
        <f>Saldo_relativo_per_capita!K363*Saldo_relativo_per_capita!K$552/1000000</f>
        <v>3.2307318826740747</v>
      </c>
      <c r="L363" s="336">
        <f>Saldo_relativo_per_capita!L363*Saldo_relativo_per_capita!L$552/1000000</f>
        <v>-1.1618713477454541</v>
      </c>
      <c r="M363" s="336">
        <f>Saldo_relativo_per_capita!M363*Saldo_relativo_per_capita!M$552/1000000</f>
        <v>-4.2224530704288226</v>
      </c>
      <c r="N363" s="336">
        <f>Saldo_relativo_per_capita!N363*Saldo_relativo_per_capita!N$552/1000000</f>
        <v>-3.3230563900175234</v>
      </c>
      <c r="O363" s="336">
        <f>Saldo_relativo_per_capita!O363*Saldo_relativo_per_capita!O$552/1000000</f>
        <v>-0.32886816148946585</v>
      </c>
      <c r="P363" s="336">
        <f>Saldo_relativo_per_capita!P363*Saldo_relativo_per_capita!P$552/1000000</f>
        <v>0.59475775949981791</v>
      </c>
      <c r="Q363" s="336">
        <f>Saldo_relativo_per_capita!Q363*Saldo_relativo_per_capita!Q$552/1000000</f>
        <v>16.363678715263646</v>
      </c>
      <c r="R363" s="336">
        <f>Saldo_relativo_per_capita!R363*Saldo_relativo_per_capita!R$552/1000000</f>
        <v>-0.87085920081423529</v>
      </c>
      <c r="S363" s="336">
        <f>Saldo_relativo_per_capita!S363*Saldo_relativo_per_capita!S$552/1000000</f>
        <v>-0.42976180871668396</v>
      </c>
      <c r="T363" s="336">
        <f>Saldo_relativo_per_capita!T363*Saldo_relativo_per_capita!T$552/1000000</f>
        <v>-1.4223974932538161</v>
      </c>
      <c r="U363" s="336">
        <f>Saldo_relativo_per_capita!U363*Saldo_relativo_per_capita!U$552/1000000</f>
        <v>4.0912520467569893E-2</v>
      </c>
      <c r="V363" s="336">
        <f>Saldo_relativo_per_capita!V363*Saldo_relativo_per_capita!V$552/1000000</f>
        <v>1.1686916998910024E-2</v>
      </c>
      <c r="W363" s="216"/>
    </row>
    <row r="364" spans="1:23" s="115" customFormat="1">
      <c r="A364" s="351" t="str">
        <f>IF(B364="","",(IF(ISERROR(MATCH(B364,Tot_res!C:C,0)),"Eliminar!!!","")))</f>
        <v/>
      </c>
      <c r="B364" s="115" t="s">
        <v>338</v>
      </c>
      <c r="C364" s="329" t="str">
        <f>VLOOKUP(B364,Tot_res!C:D,2,FALSE)</f>
        <v>Museos</v>
      </c>
      <c r="D364" s="336">
        <f>Saldo_relativo_per_capita!D364*Saldo_relativo_per_capita!D$552/1000000</f>
        <v>0</v>
      </c>
      <c r="E364" s="336">
        <f>Saldo_relativo_per_capita!E364*Saldo_relativo_per_capita!E$552/1000000</f>
        <v>-16.20607270904657</v>
      </c>
      <c r="F364" s="336">
        <f>Saldo_relativo_per_capita!F364*Saldo_relativo_per_capita!F$552/1000000</f>
        <v>-2.4879932071190183</v>
      </c>
      <c r="G364" s="336">
        <f>Saldo_relativo_per_capita!G364*Saldo_relativo_per_capita!G$552/1000000</f>
        <v>-2.1269651851313411</v>
      </c>
      <c r="H364" s="336">
        <f>Saldo_relativo_per_capita!H364*Saldo_relativo_per_capita!H$552/1000000</f>
        <v>-1.7688193272426067</v>
      </c>
      <c r="I364" s="336">
        <f>Saldo_relativo_per_capita!I364*Saldo_relativo_per_capita!I$552/1000000</f>
        <v>-4.3056922452376032</v>
      </c>
      <c r="J364" s="336">
        <f>Saldo_relativo_per_capita!J364*Saldo_relativo_per_capita!J$552/1000000</f>
        <v>2.7295341153687969</v>
      </c>
      <c r="K364" s="336">
        <f>Saldo_relativo_per_capita!K364*Saldo_relativo_per_capita!K$552/1000000</f>
        <v>-1.2553402658855148</v>
      </c>
      <c r="L364" s="336">
        <f>Saldo_relativo_per_capita!L364*Saldo_relativo_per_capita!L$552/1000000</f>
        <v>0.55224029377455253</v>
      </c>
      <c r="M364" s="336">
        <f>Saldo_relativo_per_capita!M364*Saldo_relativo_per_capita!M$552/1000000</f>
        <v>-11.521634833934897</v>
      </c>
      <c r="N364" s="336">
        <f>Saldo_relativo_per_capita!N364*Saldo_relativo_per_capita!N$552/1000000</f>
        <v>-4.5363565986751198</v>
      </c>
      <c r="O364" s="336">
        <f>Saldo_relativo_per_capita!O364*Saldo_relativo_per_capita!O$552/1000000</f>
        <v>0.24826758471698199</v>
      </c>
      <c r="P364" s="336">
        <f>Saldo_relativo_per_capita!P364*Saldo_relativo_per_capita!P$552/1000000</f>
        <v>-5.47654962997012</v>
      </c>
      <c r="Q364" s="336">
        <f>Saldo_relativo_per_capita!Q364*Saldo_relativo_per_capita!Q$552/1000000</f>
        <v>52.286379255694101</v>
      </c>
      <c r="R364" s="336">
        <f>Saldo_relativo_per_capita!R364*Saldo_relativo_per_capita!R$552/1000000</f>
        <v>-0.38396538093193017</v>
      </c>
      <c r="S364" s="336">
        <f>Saldo_relativo_per_capita!S364*Saldo_relativo_per_capita!S$552/1000000</f>
        <v>-1.2256045667404729</v>
      </c>
      <c r="T364" s="336">
        <f>Saldo_relativo_per_capita!T364*Saldo_relativo_per_capita!T$552/1000000</f>
        <v>-3.75502408245646</v>
      </c>
      <c r="U364" s="336">
        <f>Saldo_relativo_per_capita!U364*Saldo_relativo_per_capita!U$552/1000000</f>
        <v>-0.4148459520513938</v>
      </c>
      <c r="V364" s="336">
        <f>Saldo_relativo_per_capita!V364*Saldo_relativo_per_capita!V$552/1000000</f>
        <v>-0.35155726513139851</v>
      </c>
      <c r="W364" s="148"/>
    </row>
    <row r="365" spans="1:23" s="115" customFormat="1">
      <c r="A365" s="351" t="str">
        <f>IF(B365="","",(IF(ISERROR(MATCH(B365,Tot_res!C:C,0)),"Eliminar!!!","")))</f>
        <v/>
      </c>
      <c r="B365" s="119" t="s">
        <v>340</v>
      </c>
      <c r="C365" s="329" t="str">
        <f>VLOOKUP(B365,Tot_res!C:D,2,FALSE)</f>
        <v>Exposiciones</v>
      </c>
      <c r="D365" s="336">
        <f>Saldo_relativo_per_capita!D365*Saldo_relativo_per_capita!D$552/1000000</f>
        <v>0</v>
      </c>
      <c r="E365" s="336">
        <f>Saldo_relativo_per_capita!E365*Saldo_relativo_per_capita!E$552/1000000</f>
        <v>-0.32866773819774109</v>
      </c>
      <c r="F365" s="336">
        <f>Saldo_relativo_per_capita!F365*Saldo_relativo_per_capita!F$552/1000000</f>
        <v>-3.7696209659896826E-2</v>
      </c>
      <c r="G365" s="336">
        <f>Saldo_relativo_per_capita!G365*Saldo_relativo_per_capita!G$552/1000000</f>
        <v>-4.1334183471216354E-2</v>
      </c>
      <c r="H365" s="336">
        <f>Saldo_relativo_per_capita!H365*Saldo_relativo_per_capita!H$552/1000000</f>
        <v>-4.3191320195813739E-2</v>
      </c>
      <c r="I365" s="336">
        <f>Saldo_relativo_per_capita!I365*Saldo_relativo_per_capita!I$552/1000000</f>
        <v>-8.2260519091552853E-2</v>
      </c>
      <c r="J365" s="336">
        <f>Saldo_relativo_per_capita!J365*Saldo_relativo_per_capita!J$552/1000000</f>
        <v>-2.296254410463645E-2</v>
      </c>
      <c r="K365" s="336">
        <f>Saldo_relativo_per_capita!K365*Saldo_relativo_per_capita!K$552/1000000</f>
        <v>0.21015935068460584</v>
      </c>
      <c r="L365" s="336">
        <f>Saldo_relativo_per_capita!L365*Saldo_relativo_per_capita!L$552/1000000</f>
        <v>8.247918000651052E-3</v>
      </c>
      <c r="M365" s="336">
        <f>Saldo_relativo_per_capita!M365*Saldo_relativo_per_capita!M$552/1000000</f>
        <v>0.50568034643977289</v>
      </c>
      <c r="N365" s="336">
        <f>Saldo_relativo_per_capita!N365*Saldo_relativo_per_capita!N$552/1000000</f>
        <v>-8.7168531093780519E-2</v>
      </c>
      <c r="O365" s="336">
        <f>Saldo_relativo_per_capita!O365*Saldo_relativo_per_capita!O$552/1000000</f>
        <v>-4.2892178302406145E-2</v>
      </c>
      <c r="P365" s="336">
        <f>Saldo_relativo_per_capita!P365*Saldo_relativo_per_capita!P$552/1000000</f>
        <v>-0.1072200681223211</v>
      </c>
      <c r="Q365" s="336">
        <f>Saldo_relativo_per_capita!Q365*Saldo_relativo_per_capita!Q$552/1000000</f>
        <v>0.23260290900065902</v>
      </c>
      <c r="R365" s="336">
        <f>Saldo_relativo_per_capita!R365*Saldo_relativo_per_capita!R$552/1000000</f>
        <v>-5.7396941165222058E-2</v>
      </c>
      <c r="S365" s="336">
        <f>Saldo_relativo_per_capita!S365*Saldo_relativo_per_capita!S$552/1000000</f>
        <v>-2.506410784716006E-2</v>
      </c>
      <c r="T365" s="336">
        <f>Saldo_relativo_per_capita!T365*Saldo_relativo_per_capita!T$552/1000000</f>
        <v>-6.1755930118217041E-2</v>
      </c>
      <c r="U365" s="336">
        <f>Saldo_relativo_per_capita!U365*Saldo_relativo_per_capita!U$552/1000000</f>
        <v>-1.2442499150625546E-2</v>
      </c>
      <c r="V365" s="336">
        <f>Saldo_relativo_per_capita!V365*Saldo_relativo_per_capita!V$552/1000000</f>
        <v>-6.6377536050987885E-3</v>
      </c>
      <c r="W365" s="216"/>
    </row>
    <row r="366" spans="1:23" s="115" customFormat="1">
      <c r="A366" s="351" t="str">
        <f>IF(B366="","",(IF(ISERROR(MATCH(B366,Tot_res!C:C,0)),"Eliminar!!!","")))</f>
        <v/>
      </c>
      <c r="B366" s="115" t="s">
        <v>341</v>
      </c>
      <c r="C366" s="329" t="str">
        <f>VLOOKUP(B366,Tot_res!C:D,2,FALSE)</f>
        <v>Promoción y cooperación cultural</v>
      </c>
      <c r="D366" s="336">
        <f>Saldo_relativo_per_capita!D366*Saldo_relativo_per_capita!D$552/1000000</f>
        <v>0</v>
      </c>
      <c r="E366" s="336">
        <f>Saldo_relativo_per_capita!E366*Saldo_relativo_per_capita!E$552/1000000</f>
        <v>-0.6521233140226731</v>
      </c>
      <c r="F366" s="336">
        <f>Saldo_relativo_per_capita!F366*Saldo_relativo_per_capita!F$552/1000000</f>
        <v>-4.2658813209202819E-2</v>
      </c>
      <c r="G366" s="336">
        <f>Saldo_relativo_per_capita!G366*Saldo_relativo_per_capita!G$552/1000000</f>
        <v>7.2181132540272461E-2</v>
      </c>
      <c r="H366" s="336">
        <f>Saldo_relativo_per_capita!H366*Saldo_relativo_per_capita!H$552/1000000</f>
        <v>-8.5568691759681473E-2</v>
      </c>
      <c r="I366" s="336">
        <f>Saldo_relativo_per_capita!I366*Saldo_relativo_per_capita!I$552/1000000</f>
        <v>-0.26382543437510569</v>
      </c>
      <c r="J366" s="336">
        <f>Saldo_relativo_per_capita!J366*Saldo_relativo_per_capita!J$552/1000000</f>
        <v>0.32997770939107485</v>
      </c>
      <c r="K366" s="336">
        <f>Saldo_relativo_per_capita!K366*Saldo_relativo_per_capita!K$552/1000000</f>
        <v>-7.5135759317149831E-2</v>
      </c>
      <c r="L366" s="336">
        <f>Saldo_relativo_per_capita!L366*Saldo_relativo_per_capita!L$552/1000000</f>
        <v>-0.25151757670907771</v>
      </c>
      <c r="M366" s="336">
        <f>Saldo_relativo_per_capita!M366*Saldo_relativo_per_capita!M$552/1000000</f>
        <v>-0.59228254598724084</v>
      </c>
      <c r="N366" s="336">
        <f>Saldo_relativo_per_capita!N366*Saldo_relativo_per_capita!N$552/1000000</f>
        <v>-0.6109618788496316</v>
      </c>
      <c r="O366" s="336">
        <f>Saldo_relativo_per_capita!O366*Saldo_relativo_per_capita!O$552/1000000</f>
        <v>-7.2301859138898542E-2</v>
      </c>
      <c r="P366" s="336">
        <f>Saldo_relativo_per_capita!P366*Saldo_relativo_per_capita!P$552/1000000</f>
        <v>-0.18816144628436443</v>
      </c>
      <c r="Q366" s="336">
        <f>Saldo_relativo_per_capita!Q366*Saldo_relativo_per_capita!Q$552/1000000</f>
        <v>1.073902335244229</v>
      </c>
      <c r="R366" s="336">
        <f>Saldo_relativo_per_capita!R366*Saldo_relativo_per_capita!R$552/1000000</f>
        <v>-0.19440894256386129</v>
      </c>
      <c r="S366" s="336">
        <f>Saldo_relativo_per_capita!S366*Saldo_relativo_per_capita!S$552/1000000</f>
        <v>-2.4943325068312573E-2</v>
      </c>
      <c r="T366" s="336">
        <f>Saldo_relativo_per_capita!T366*Saldo_relativo_per_capita!T$552/1000000</f>
        <v>1.6372292910952442</v>
      </c>
      <c r="U366" s="336">
        <f>Saldo_relativo_per_capita!U366*Saldo_relativo_per_capita!U$552/1000000</f>
        <v>-4.6082106063637045E-2</v>
      </c>
      <c r="V366" s="336">
        <f>Saldo_relativo_per_capita!V366*Saldo_relativo_per_capita!V$552/1000000</f>
        <v>-1.3318774921982931E-2</v>
      </c>
      <c r="W366" s="148"/>
    </row>
    <row r="367" spans="1:23" s="115" customFormat="1">
      <c r="A367" s="351" t="str">
        <f>IF(B367="","",(IF(ISERROR(MATCH(B367,Tot_res!C:C,0)),"Eliminar!!!","")))</f>
        <v/>
      </c>
      <c r="B367" s="115" t="s">
        <v>343</v>
      </c>
      <c r="C367" s="329" t="str">
        <f>VLOOKUP(B367,Tot_res!C:D,2,FALSE)</f>
        <v>Promoción del libro y publicaciones culturales</v>
      </c>
      <c r="D367" s="336">
        <f>Saldo_relativo_per_capita!D367*Saldo_relativo_per_capita!D$552/1000000</f>
        <v>0</v>
      </c>
      <c r="E367" s="336">
        <f>Saldo_relativo_per_capita!E367*Saldo_relativo_per_capita!E$552/1000000</f>
        <v>0</v>
      </c>
      <c r="F367" s="336">
        <f>Saldo_relativo_per_capita!F367*Saldo_relativo_per_capita!F$552/1000000</f>
        <v>0</v>
      </c>
      <c r="G367" s="336">
        <f>Saldo_relativo_per_capita!G367*Saldo_relativo_per_capita!G$552/1000000</f>
        <v>0</v>
      </c>
      <c r="H367" s="336">
        <f>Saldo_relativo_per_capita!H367*Saldo_relativo_per_capita!H$552/1000000</f>
        <v>0</v>
      </c>
      <c r="I367" s="336">
        <f>Saldo_relativo_per_capita!I367*Saldo_relativo_per_capita!I$552/1000000</f>
        <v>0</v>
      </c>
      <c r="J367" s="336">
        <f>Saldo_relativo_per_capita!J367*Saldo_relativo_per_capita!J$552/1000000</f>
        <v>0</v>
      </c>
      <c r="K367" s="336">
        <f>Saldo_relativo_per_capita!K367*Saldo_relativo_per_capita!K$552/1000000</f>
        <v>0</v>
      </c>
      <c r="L367" s="336">
        <f>Saldo_relativo_per_capita!L367*Saldo_relativo_per_capita!L$552/1000000</f>
        <v>0</v>
      </c>
      <c r="M367" s="336">
        <f>Saldo_relativo_per_capita!M367*Saldo_relativo_per_capita!M$552/1000000</f>
        <v>0</v>
      </c>
      <c r="N367" s="336">
        <f>Saldo_relativo_per_capita!N367*Saldo_relativo_per_capita!N$552/1000000</f>
        <v>0</v>
      </c>
      <c r="O367" s="336">
        <f>Saldo_relativo_per_capita!O367*Saldo_relativo_per_capita!O$552/1000000</f>
        <v>0</v>
      </c>
      <c r="P367" s="336">
        <f>Saldo_relativo_per_capita!P367*Saldo_relativo_per_capita!P$552/1000000</f>
        <v>0</v>
      </c>
      <c r="Q367" s="336">
        <f>Saldo_relativo_per_capita!Q367*Saldo_relativo_per_capita!Q$552/1000000</f>
        <v>0</v>
      </c>
      <c r="R367" s="336">
        <f>Saldo_relativo_per_capita!R367*Saldo_relativo_per_capita!R$552/1000000</f>
        <v>0</v>
      </c>
      <c r="S367" s="336">
        <f>Saldo_relativo_per_capita!S367*Saldo_relativo_per_capita!S$552/1000000</f>
        <v>0</v>
      </c>
      <c r="T367" s="336">
        <f>Saldo_relativo_per_capita!T367*Saldo_relativo_per_capita!T$552/1000000</f>
        <v>0</v>
      </c>
      <c r="U367" s="336">
        <f>Saldo_relativo_per_capita!U367*Saldo_relativo_per_capita!U$552/1000000</f>
        <v>0</v>
      </c>
      <c r="V367" s="336">
        <f>Saldo_relativo_per_capita!V367*Saldo_relativo_per_capita!V$552/1000000</f>
        <v>0</v>
      </c>
      <c r="W367" s="148"/>
    </row>
    <row r="368" spans="1:23" s="115" customFormat="1">
      <c r="A368" s="351" t="str">
        <f>IF(B368="","",(IF(ISERROR(MATCH(B368,Tot_res!C:C,0)),"Eliminar!!!","")))</f>
        <v/>
      </c>
      <c r="B368" s="119" t="s">
        <v>345</v>
      </c>
      <c r="C368" s="329" t="str">
        <f>VLOOKUP(B368,Tot_res!C:D,2,FALSE)</f>
        <v>Fomento de las industrias culturales</v>
      </c>
      <c r="D368" s="336">
        <f>Saldo_relativo_per_capita!D368*Saldo_relativo_per_capita!D$552/1000000</f>
        <v>0</v>
      </c>
      <c r="E368" s="336">
        <f>Saldo_relativo_per_capita!E368*Saldo_relativo_per_capita!E$552/1000000</f>
        <v>-0.29309583508215481</v>
      </c>
      <c r="F368" s="336">
        <f>Saldo_relativo_per_capita!F368*Saldo_relativo_per_capita!F$552/1000000</f>
        <v>-2.6660990966129697E-3</v>
      </c>
      <c r="G368" s="336">
        <f>Saldo_relativo_per_capita!G368*Saldo_relativo_per_capita!G$552/1000000</f>
        <v>-2.4717073669585227E-2</v>
      </c>
      <c r="H368" s="336">
        <f>Saldo_relativo_per_capita!H368*Saldo_relativo_per_capita!H$552/1000000</f>
        <v>-3.6995605796451919E-2</v>
      </c>
      <c r="I368" s="336">
        <f>Saldo_relativo_per_capita!I368*Saldo_relativo_per_capita!I$552/1000000</f>
        <v>1.1595864439756111E-2</v>
      </c>
      <c r="J368" s="336">
        <f>Saldo_relativo_per_capita!J368*Saldo_relativo_per_capita!J$552/1000000</f>
        <v>-3.0089560808824998E-2</v>
      </c>
      <c r="K368" s="336">
        <f>Saldo_relativo_per_capita!K368*Saldo_relativo_per_capita!K$552/1000000</f>
        <v>-7.7170175820737028E-2</v>
      </c>
      <c r="L368" s="336">
        <f>Saldo_relativo_per_capita!L368*Saldo_relativo_per_capita!L$552/1000000</f>
        <v>-0.10284437960397588</v>
      </c>
      <c r="M368" s="336">
        <f>Saldo_relativo_per_capita!M368*Saldo_relativo_per_capita!M$552/1000000</f>
        <v>2.1478581381012659E-2</v>
      </c>
      <c r="N368" s="336">
        <f>Saldo_relativo_per_capita!N368*Saldo_relativo_per_capita!N$552/1000000</f>
        <v>-7.7096198230405588E-2</v>
      </c>
      <c r="O368" s="336">
        <f>Saldo_relativo_per_capita!O368*Saldo_relativo_per_capita!O$552/1000000</f>
        <v>-3.6154354981731675E-2</v>
      </c>
      <c r="P368" s="336">
        <f>Saldo_relativo_per_capita!P368*Saldo_relativo_per_capita!P$552/1000000</f>
        <v>-8.938937880793453E-2</v>
      </c>
      <c r="Q368" s="336">
        <f>Saldo_relativo_per_capita!Q368*Saldo_relativo_per_capita!Q$552/1000000</f>
        <v>0.84612037256187811</v>
      </c>
      <c r="R368" s="336">
        <f>Saldo_relativo_per_capita!R368*Saldo_relativo_per_capita!R$552/1000000</f>
        <v>-7.8622576786509149E-2</v>
      </c>
      <c r="S368" s="336">
        <f>Saldo_relativo_per_capita!S368*Saldo_relativo_per_capita!S$552/1000000</f>
        <v>-8.9368275109445432E-3</v>
      </c>
      <c r="T368" s="336">
        <f>Saldo_relativo_per_capita!T368*Saldo_relativo_per_capita!T$552/1000000</f>
        <v>4.911192554672112E-3</v>
      </c>
      <c r="U368" s="336">
        <f>Saldo_relativo_per_capita!U368*Saldo_relativo_per_capita!U$552/1000000</f>
        <v>-1.6097402202736508E-2</v>
      </c>
      <c r="V368" s="336">
        <f>Saldo_relativo_per_capita!V368*Saldo_relativo_per_capita!V$552/1000000</f>
        <v>-1.0230542538713685E-2</v>
      </c>
      <c r="W368" s="148"/>
    </row>
    <row r="369" spans="1:23" s="115" customFormat="1">
      <c r="A369" s="351" t="str">
        <f>IF(B369="","",(IF(ISERROR(MATCH(B369,Tot_res!C:C,0)),"Eliminar!!!","")))</f>
        <v/>
      </c>
      <c r="B369" s="119" t="s">
        <v>347</v>
      </c>
      <c r="C369" s="329" t="str">
        <f>VLOOKUP(B369,Tot_res!C:D,2,FALSE)</f>
        <v>Música y danza</v>
      </c>
      <c r="D369" s="336">
        <f>Saldo_relativo_per_capita!D369*Saldo_relativo_per_capita!D$552/1000000</f>
        <v>0</v>
      </c>
      <c r="E369" s="336">
        <f>Saldo_relativo_per_capita!E369*Saldo_relativo_per_capita!E$552/1000000</f>
        <v>-10.240315161188599</v>
      </c>
      <c r="F369" s="336">
        <f>Saldo_relativo_per_capita!F369*Saldo_relativo_per_capita!F$552/1000000</f>
        <v>-1.6424865405588387</v>
      </c>
      <c r="G369" s="336">
        <f>Saldo_relativo_per_capita!G369*Saldo_relativo_per_capita!G$552/1000000</f>
        <v>-1.2654347187450652</v>
      </c>
      <c r="H369" s="336">
        <f>Saldo_relativo_per_capita!H369*Saldo_relativo_per_capita!H$552/1000000</f>
        <v>-1.4653391715139927</v>
      </c>
      <c r="I369" s="336">
        <f>Saldo_relativo_per_capita!I369*Saldo_relativo_per_capita!I$552/1000000</f>
        <v>-2.8172964008150538</v>
      </c>
      <c r="J369" s="336">
        <f>Saldo_relativo_per_capita!J369*Saldo_relativo_per_capita!J$552/1000000</f>
        <v>-0.73043313467807058</v>
      </c>
      <c r="K369" s="336">
        <f>Saldo_relativo_per_capita!K369*Saldo_relativo_per_capita!K$552/1000000</f>
        <v>-3.3563482484542071</v>
      </c>
      <c r="L369" s="336">
        <f>Saldo_relativo_per_capita!L369*Saldo_relativo_per_capita!L$552/1000000</f>
        <v>-2.8236473671296385</v>
      </c>
      <c r="M369" s="336">
        <f>Saldo_relativo_per_capita!M369*Saldo_relativo_per_capita!M$552/1000000</f>
        <v>-1.0405094153342316</v>
      </c>
      <c r="N369" s="336">
        <f>Saldo_relativo_per_capita!N369*Saldo_relativo_per_capita!N$552/1000000</f>
        <v>-6.5676822051875536</v>
      </c>
      <c r="O369" s="336">
        <f>Saldo_relativo_per_capita!O369*Saldo_relativo_per_capita!O$552/1000000</f>
        <v>-1.5362817960700437</v>
      </c>
      <c r="P369" s="336">
        <f>Saldo_relativo_per_capita!P369*Saldo_relativo_per_capita!P$552/1000000</f>
        <v>-3.7668139316859421</v>
      </c>
      <c r="Q369" s="336">
        <f>Saldo_relativo_per_capita!Q369*Saldo_relativo_per_capita!Q$552/1000000</f>
        <v>42.99553694560052</v>
      </c>
      <c r="R369" s="336">
        <f>Saldo_relativo_per_capita!R369*Saldo_relativo_per_capita!R$552/1000000</f>
        <v>-2.0229900733330672</v>
      </c>
      <c r="S369" s="336">
        <f>Saldo_relativo_per_capita!S369*Saldo_relativo_per_capita!S$552/1000000</f>
        <v>-0.76222197230133448</v>
      </c>
      <c r="T369" s="336">
        <f>Saldo_relativo_per_capita!T369*Saldo_relativo_per_capita!T$552/1000000</f>
        <v>-2.2804924096884056</v>
      </c>
      <c r="U369" s="336">
        <f>Saldo_relativo_per_capita!U369*Saldo_relativo_per_capita!U$552/1000000</f>
        <v>-0.43149330245035972</v>
      </c>
      <c r="V369" s="336">
        <f>Saldo_relativo_per_capita!V369*Saldo_relativo_per_capita!V$552/1000000</f>
        <v>-0.2457510964661086</v>
      </c>
      <c r="W369" s="148"/>
    </row>
    <row r="370" spans="1:23" s="115" customFormat="1">
      <c r="A370" s="351" t="str">
        <f>IF(B370="","",(IF(ISERROR(MATCH(B370,Tot_res!C:C,0)),"Eliminar!!!","")))</f>
        <v/>
      </c>
      <c r="B370" s="115" t="s">
        <v>348</v>
      </c>
      <c r="C370" s="329" t="str">
        <f>VLOOKUP(B370,Tot_res!C:D,2,FALSE)</f>
        <v>Teatro</v>
      </c>
      <c r="D370" s="336">
        <f>Saldo_relativo_per_capita!D370*Saldo_relativo_per_capita!D$552/1000000</f>
        <v>0</v>
      </c>
      <c r="E370" s="336">
        <f>Saldo_relativo_per_capita!E370*Saldo_relativo_per_capita!E$552/1000000</f>
        <v>-4.863279483858002</v>
      </c>
      <c r="F370" s="336">
        <f>Saldo_relativo_per_capita!F370*Saldo_relativo_per_capita!F$552/1000000</f>
        <v>-0.56731753265938489</v>
      </c>
      <c r="G370" s="336">
        <f>Saldo_relativo_per_capita!G370*Saldo_relativo_per_capita!G$552/1000000</f>
        <v>-0.58961969698682615</v>
      </c>
      <c r="H370" s="336">
        <f>Saldo_relativo_per_capita!H370*Saldo_relativo_per_capita!H$552/1000000</f>
        <v>-0.50394457919095659</v>
      </c>
      <c r="I370" s="336">
        <f>Saldo_relativo_per_capita!I370*Saldo_relativo_per_capita!I$552/1000000</f>
        <v>-1.3283274997676713</v>
      </c>
      <c r="J370" s="336">
        <f>Saldo_relativo_per_capita!J370*Saldo_relativo_per_capita!J$552/1000000</f>
        <v>-0.33112596128765043</v>
      </c>
      <c r="K370" s="336">
        <f>Saldo_relativo_per_capita!K370*Saldo_relativo_per_capita!K$552/1000000</f>
        <v>-1.2219800184869496</v>
      </c>
      <c r="L370" s="336">
        <f>Saldo_relativo_per_capita!L370*Saldo_relativo_per_capita!L$552/1000000</f>
        <v>-1.1702746238787654</v>
      </c>
      <c r="M370" s="336">
        <f>Saldo_relativo_per_capita!M370*Saldo_relativo_per_capita!M$552/1000000</f>
        <v>-2.6026610558359531</v>
      </c>
      <c r="N370" s="336">
        <f>Saldo_relativo_per_capita!N370*Saldo_relativo_per_capita!N$552/1000000</f>
        <v>-2.4247945309470573</v>
      </c>
      <c r="O370" s="336">
        <f>Saldo_relativo_per_capita!O370*Saldo_relativo_per_capita!O$552/1000000</f>
        <v>-0.47778003222035803</v>
      </c>
      <c r="P370" s="336">
        <f>Saldo_relativo_per_capita!P370*Saldo_relativo_per_capita!P$552/1000000</f>
        <v>-1.5439387040217243</v>
      </c>
      <c r="Q370" s="336">
        <f>Saldo_relativo_per_capita!Q370*Saldo_relativo_per_capita!Q$552/1000000</f>
        <v>19.839332431470357</v>
      </c>
      <c r="R370" s="336">
        <f>Saldo_relativo_per_capita!R370*Saldo_relativo_per_capita!R$552/1000000</f>
        <v>-0.78643610691296761</v>
      </c>
      <c r="S370" s="336">
        <f>Saldo_relativo_per_capita!S370*Saldo_relativo_per_capita!S$552/1000000</f>
        <v>-0.38243789057597433</v>
      </c>
      <c r="T370" s="336">
        <f>Saldo_relativo_per_capita!T370*Saldo_relativo_per_capita!T$552/1000000</f>
        <v>-0.77171598711859568</v>
      </c>
      <c r="U370" s="336">
        <f>Saldo_relativo_per_capita!U370*Saldo_relativo_per_capita!U$552/1000000</f>
        <v>-0.16022079989954832</v>
      </c>
      <c r="V370" s="336">
        <f>Saldo_relativo_per_capita!V370*Saldo_relativo_per_capita!V$552/1000000</f>
        <v>-0.11347792782196893</v>
      </c>
      <c r="W370" s="148"/>
    </row>
    <row r="371" spans="1:23" s="115" customFormat="1">
      <c r="A371" s="351" t="str">
        <f>IF(B371="","",(IF(ISERROR(MATCH(B371,Tot_res!C:C,0)),"Eliminar!!!","")))</f>
        <v/>
      </c>
      <c r="B371" s="115" t="s">
        <v>350</v>
      </c>
      <c r="C371" s="329" t="str">
        <f>VLOOKUP(B371,Tot_res!C:D,2,FALSE)</f>
        <v>Cinematografía</v>
      </c>
      <c r="D371" s="336">
        <f>Saldo_relativo_per_capita!D371*Saldo_relativo_per_capita!D$552/1000000</f>
        <v>0</v>
      </c>
      <c r="E371" s="336">
        <f>Saldo_relativo_per_capita!E371*Saldo_relativo_per_capita!E$552/1000000</f>
        <v>-1.080713715019181</v>
      </c>
      <c r="F371" s="336">
        <f>Saldo_relativo_per_capita!F371*Saldo_relativo_per_capita!F$552/1000000</f>
        <v>-0.10792475350270885</v>
      </c>
      <c r="G371" s="336">
        <f>Saldo_relativo_per_capita!G371*Saldo_relativo_per_capita!G$552/1000000</f>
        <v>-0.36244027847872046</v>
      </c>
      <c r="H371" s="336">
        <f>Saldo_relativo_per_capita!H371*Saldo_relativo_per_capita!H$552/1000000</f>
        <v>-9.4265846197521805E-2</v>
      </c>
      <c r="I371" s="336">
        <f>Saldo_relativo_per_capita!I371*Saldo_relativo_per_capita!I$552/1000000</f>
        <v>-0.70761741102417175</v>
      </c>
      <c r="J371" s="336">
        <f>Saldo_relativo_per_capita!J371*Saldo_relativo_per_capita!J$552/1000000</f>
        <v>6.8401524115088957E-2</v>
      </c>
      <c r="K371" s="336">
        <f>Saldo_relativo_per_capita!K371*Saldo_relativo_per_capita!K$552/1000000</f>
        <v>4.8800175448580722E-2</v>
      </c>
      <c r="L371" s="336">
        <f>Saldo_relativo_per_capita!L371*Saldo_relativo_per_capita!L$552/1000000</f>
        <v>-0.99865894970083768</v>
      </c>
      <c r="M371" s="336">
        <f>Saldo_relativo_per_capita!M371*Saldo_relativo_per_capita!M$552/1000000</f>
        <v>4.1671547158362694E-2</v>
      </c>
      <c r="N371" s="336">
        <f>Saldo_relativo_per_capita!N371*Saldo_relativo_per_capita!N$552/1000000</f>
        <v>-0.29211328594132652</v>
      </c>
      <c r="O371" s="336">
        <f>Saldo_relativo_per_capita!O371*Saldo_relativo_per_capita!O$552/1000000</f>
        <v>-0.7751684071976459</v>
      </c>
      <c r="P371" s="336">
        <f>Saldo_relativo_per_capita!P371*Saldo_relativo_per_capita!P$552/1000000</f>
        <v>-1.4173084111379122</v>
      </c>
      <c r="Q371" s="336">
        <f>Saldo_relativo_per_capita!Q371*Saldo_relativo_per_capita!Q$552/1000000</f>
        <v>3.8906372009479546</v>
      </c>
      <c r="R371" s="336">
        <f>Saldo_relativo_per_capita!R371*Saldo_relativo_per_capita!R$552/1000000</f>
        <v>-0.34877085212584596</v>
      </c>
      <c r="S371" s="336">
        <f>Saldo_relativo_per_capita!S371*Saldo_relativo_per_capita!S$552/1000000</f>
        <v>0.67301222444345399</v>
      </c>
      <c r="T371" s="336">
        <f>Saldo_relativo_per_capita!T371*Saldo_relativo_per_capita!T$552/1000000</f>
        <v>1.5765125827188124</v>
      </c>
      <c r="U371" s="336">
        <f>Saldo_relativo_per_capita!U371*Saldo_relativo_per_capita!U$552/1000000</f>
        <v>0.16690561827030115</v>
      </c>
      <c r="V371" s="336">
        <f>Saldo_relativo_per_capita!V371*Saldo_relativo_per_capita!V$552/1000000</f>
        <v>-0.28095896277668092</v>
      </c>
      <c r="W371" s="148"/>
    </row>
    <row r="372" spans="1:23" s="115" customFormat="1">
      <c r="A372" s="351" t="str">
        <f>IF(B372="","",(IF(ISERROR(MATCH(B372,Tot_res!C:C,0)),"Eliminar!!!","")))</f>
        <v/>
      </c>
      <c r="B372" s="115" t="s">
        <v>831</v>
      </c>
      <c r="C372" s="329" t="str">
        <f>VLOOKUP(B372,Tot_res!C:D,2,FALSE)</f>
        <v>Fomento y apoyo de las actividades deportivas</v>
      </c>
      <c r="D372" s="336">
        <f>Saldo_relativo_per_capita!D372*Saldo_relativo_per_capita!D$552/1000000</f>
        <v>0</v>
      </c>
      <c r="E372" s="336">
        <f>Saldo_relativo_per_capita!E372*Saldo_relativo_per_capita!E$552/1000000</f>
        <v>-2.9123271623337281</v>
      </c>
      <c r="F372" s="336">
        <f>Saldo_relativo_per_capita!F372*Saldo_relativo_per_capita!F$552/1000000</f>
        <v>1.157345794724246</v>
      </c>
      <c r="G372" s="336">
        <f>Saldo_relativo_per_capita!G372*Saldo_relativo_per_capita!G$552/1000000</f>
        <v>0.29669323380130641</v>
      </c>
      <c r="H372" s="336">
        <f>Saldo_relativo_per_capita!H372*Saldo_relativo_per_capita!H$552/1000000</f>
        <v>0.1373422109180428</v>
      </c>
      <c r="I372" s="336">
        <f>Saldo_relativo_per_capita!I372*Saldo_relativo_per_capita!I$552/1000000</f>
        <v>-4.630985582043963E-2</v>
      </c>
      <c r="J372" s="336">
        <f>Saldo_relativo_per_capita!J372*Saldo_relativo_per_capita!J$552/1000000</f>
        <v>0.60631216988385461</v>
      </c>
      <c r="K372" s="336">
        <f>Saldo_relativo_per_capita!K372*Saldo_relativo_per_capita!K$552/1000000</f>
        <v>-0.29111750519577623</v>
      </c>
      <c r="L372" s="336">
        <f>Saldo_relativo_per_capita!L372*Saldo_relativo_per_capita!L$552/1000000</f>
        <v>-0.61992115018319116</v>
      </c>
      <c r="M372" s="336">
        <f>Saldo_relativo_per_capita!M372*Saldo_relativo_per_capita!M$552/1000000</f>
        <v>0.82630601198894571</v>
      </c>
      <c r="N372" s="336">
        <f>Saldo_relativo_per_capita!N372*Saldo_relativo_per_capita!N$552/1000000</f>
        <v>-0.58339639007774224</v>
      </c>
      <c r="O372" s="336">
        <f>Saldo_relativo_per_capita!O372*Saldo_relativo_per_capita!O$552/1000000</f>
        <v>-0.20800687316786906</v>
      </c>
      <c r="P372" s="336">
        <f>Saldo_relativo_per_capita!P372*Saldo_relativo_per_capita!P$552/1000000</f>
        <v>7.6222440577242659E-2</v>
      </c>
      <c r="Q372" s="336">
        <f>Saldo_relativo_per_capita!Q372*Saldo_relativo_per_capita!Q$552/1000000</f>
        <v>-8.105874457653503E-2</v>
      </c>
      <c r="R372" s="336">
        <f>Saldo_relativo_per_capita!R372*Saldo_relativo_per_capita!R$552/1000000</f>
        <v>-0.50960391416333073</v>
      </c>
      <c r="S372" s="336">
        <f>Saldo_relativo_per_capita!S372*Saldo_relativo_per_capita!S$552/1000000</f>
        <v>0.67305963620932063</v>
      </c>
      <c r="T372" s="336">
        <f>Saldo_relativo_per_capita!T372*Saldo_relativo_per_capita!T$552/1000000</f>
        <v>1.0974067649549977</v>
      </c>
      <c r="U372" s="336">
        <f>Saldo_relativo_per_capita!U372*Saldo_relativo_per_capita!U$552/1000000</f>
        <v>0.22417472813786202</v>
      </c>
      <c r="V372" s="336">
        <f>Saldo_relativo_per_capita!V372*Saldo_relativo_per_capita!V$552/1000000</f>
        <v>0.15687860432282216</v>
      </c>
      <c r="W372" s="148"/>
    </row>
    <row r="373" spans="1:23" s="115" customFormat="1">
      <c r="A373" s="351" t="str">
        <f>IF(B373="","",(IF(ISERROR(MATCH(B373,Tot_res!C:C,0)),"Eliminar!!!","")))</f>
        <v/>
      </c>
      <c r="B373" s="119" t="s">
        <v>353</v>
      </c>
      <c r="C373" s="329" t="str">
        <f>VLOOKUP(B373,Tot_res!C:D,2,FALSE)</f>
        <v>Administración del patrimonio histórico-nacional</v>
      </c>
      <c r="D373" s="336">
        <f>Saldo_relativo_per_capita!D373*Saldo_relativo_per_capita!D$552/1000000</f>
        <v>0</v>
      </c>
      <c r="E373" s="336">
        <f>Saldo_relativo_per_capita!E373*Saldo_relativo_per_capita!E$552/1000000</f>
        <v>-14.599104374148942</v>
      </c>
      <c r="F373" s="336">
        <f>Saldo_relativo_per_capita!F373*Saldo_relativo_per_capita!F$552/1000000</f>
        <v>-2.1871044720203332</v>
      </c>
      <c r="G373" s="336">
        <f>Saldo_relativo_per_capita!G373*Saldo_relativo_per_capita!G$552/1000000</f>
        <v>-1.8194661823445775</v>
      </c>
      <c r="H373" s="336">
        <f>Saldo_relativo_per_capita!H373*Saldo_relativo_per_capita!H$552/1000000</f>
        <v>-1.4932734985905771</v>
      </c>
      <c r="I373" s="336">
        <f>Saldo_relativo_per_capita!I373*Saldo_relativo_per_capita!I$552/1000000</f>
        <v>-3.5218608441299804</v>
      </c>
      <c r="J373" s="336">
        <f>Saldo_relativo_per_capita!J373*Saldo_relativo_per_capita!J$552/1000000</f>
        <v>-1.0042534045387062</v>
      </c>
      <c r="K373" s="336">
        <f>Saldo_relativo_per_capita!K373*Saldo_relativo_per_capita!K$552/1000000</f>
        <v>-1.6728094048389817</v>
      </c>
      <c r="L373" s="336">
        <f>Saldo_relativo_per_capita!L373*Saldo_relativo_per_capita!L$552/1000000</f>
        <v>-3.6208794995645199</v>
      </c>
      <c r="M373" s="336">
        <f>Saldo_relativo_per_capita!M373*Saldo_relativo_per_capita!M$552/1000000</f>
        <v>-12.299527518431232</v>
      </c>
      <c r="N373" s="336">
        <f>Saldo_relativo_per_capita!N373*Saldo_relativo_per_capita!N$552/1000000</f>
        <v>-8.5973990298952359</v>
      </c>
      <c r="O373" s="336">
        <f>Saldo_relativo_per_capita!O373*Saldo_relativo_per_capita!O$552/1000000</f>
        <v>-1.556484965570252</v>
      </c>
      <c r="P373" s="336">
        <f>Saldo_relativo_per_capita!P373*Saldo_relativo_per_capita!P$552/1000000</f>
        <v>-4.7129292288727553</v>
      </c>
      <c r="Q373" s="336">
        <f>Saldo_relativo_per_capita!Q373*Saldo_relativo_per_capita!Q$552/1000000</f>
        <v>64.998145150295187</v>
      </c>
      <c r="R373" s="336">
        <f>Saldo_relativo_per_capita!R373*Saldo_relativo_per_capita!R$552/1000000</f>
        <v>-2.55176304015305</v>
      </c>
      <c r="S373" s="336">
        <f>Saldo_relativo_per_capita!S373*Saldo_relativo_per_capita!S$552/1000000</f>
        <v>-1.035267199121481</v>
      </c>
      <c r="T373" s="336">
        <f>Saldo_relativo_per_capita!T373*Saldo_relativo_per_capita!T$552/1000000</f>
        <v>-3.4999945425669807</v>
      </c>
      <c r="U373" s="336">
        <f>Saldo_relativo_per_capita!U373*Saldo_relativo_per_capita!U$552/1000000</f>
        <v>-0.52936613019491707</v>
      </c>
      <c r="V373" s="336">
        <f>Saldo_relativo_per_capita!V373*Saldo_relativo_per_capita!V$552/1000000</f>
        <v>-0.29666181531266367</v>
      </c>
      <c r="W373" s="148"/>
    </row>
    <row r="374" spans="1:23" s="115" customFormat="1">
      <c r="A374" s="351" t="str">
        <f>IF(B374="","",(IF(ISERROR(MATCH(B374,Tot_res!C:C,0)),"Eliminar!!!","")))</f>
        <v/>
      </c>
      <c r="B374" s="119" t="s">
        <v>354</v>
      </c>
      <c r="C374" s="329" t="str">
        <f>VLOOKUP(B374,Tot_res!C:D,2,FALSE)</f>
        <v>Conservación y restauración de bienes culturales + AF17/1</v>
      </c>
      <c r="D374" s="336">
        <f>Saldo_relativo_per_capita!D374*Saldo_relativo_per_capita!D$552/1000000</f>
        <v>0</v>
      </c>
      <c r="E374" s="336">
        <f>Saldo_relativo_per_capita!E374*Saldo_relativo_per_capita!E$552/1000000</f>
        <v>-2.4907564239997373</v>
      </c>
      <c r="F374" s="336">
        <f>Saldo_relativo_per_capita!F374*Saldo_relativo_per_capita!F$552/1000000</f>
        <v>0.53533419426678575</v>
      </c>
      <c r="G374" s="336">
        <f>Saldo_relativo_per_capita!G374*Saldo_relativo_per_capita!G$552/1000000</f>
        <v>-8.904773977816817E-2</v>
      </c>
      <c r="H374" s="336">
        <f>Saldo_relativo_per_capita!H374*Saldo_relativo_per_capita!H$552/1000000</f>
        <v>-0.22884685450820652</v>
      </c>
      <c r="I374" s="336">
        <f>Saldo_relativo_per_capita!I374*Saldo_relativo_per_capita!I$552/1000000</f>
        <v>-2.7482831036728182E-2</v>
      </c>
      <c r="J374" s="336">
        <f>Saldo_relativo_per_capita!J374*Saldo_relativo_per_capita!J$552/1000000</f>
        <v>0.12475961665756839</v>
      </c>
      <c r="K374" s="336">
        <f>Saldo_relativo_per_capita!K374*Saldo_relativo_per_capita!K$552/1000000</f>
        <v>0.25835983620194897</v>
      </c>
      <c r="L374" s="336">
        <f>Saldo_relativo_per_capita!L374*Saldo_relativo_per_capita!L$552/1000000</f>
        <v>2.7310309582090233</v>
      </c>
      <c r="M374" s="336">
        <f>Saldo_relativo_per_capita!M374*Saldo_relativo_per_capita!M$552/1000000</f>
        <v>-1.821226156654363</v>
      </c>
      <c r="N374" s="336">
        <f>Saldo_relativo_per_capita!N374*Saldo_relativo_per_capita!N$552/1000000</f>
        <v>-1.3934688415213778</v>
      </c>
      <c r="O374" s="336">
        <f>Saldo_relativo_per_capita!O374*Saldo_relativo_per_capita!O$552/1000000</f>
        <v>-0.33606702677863759</v>
      </c>
      <c r="P374" s="336">
        <f>Saldo_relativo_per_capita!P374*Saldo_relativo_per_capita!P$552/1000000</f>
        <v>3.4754849439930529</v>
      </c>
      <c r="Q374" s="336">
        <f>Saldo_relativo_per_capita!Q374*Saldo_relativo_per_capita!Q$552/1000000</f>
        <v>-0.24152109472737293</v>
      </c>
      <c r="R374" s="336">
        <f>Saldo_relativo_per_capita!R374*Saldo_relativo_per_capita!R$552/1000000</f>
        <v>-7.6840669391642982E-2</v>
      </c>
      <c r="S374" s="336">
        <f>Saldo_relativo_per_capita!S374*Saldo_relativo_per_capita!S$552/1000000</f>
        <v>1.5021804693396623E-2</v>
      </c>
      <c r="T374" s="336">
        <f>Saldo_relativo_per_capita!T374*Saldo_relativo_per_capita!T$552/1000000</f>
        <v>-0.31291888160983156</v>
      </c>
      <c r="U374" s="336">
        <f>Saldo_relativo_per_capita!U374*Saldo_relativo_per_capita!U$552/1000000</f>
        <v>-8.3648241680645719E-2</v>
      </c>
      <c r="V374" s="336">
        <f>Saldo_relativo_per_capita!V374*Saldo_relativo_per_capita!V$552/1000000</f>
        <v>-3.8166592335062095E-2</v>
      </c>
      <c r="W374" s="148"/>
    </row>
    <row r="375" spans="1:23" s="115" customFormat="1">
      <c r="A375" s="351" t="str">
        <f>IF(B375="","",(IF(ISERROR(MATCH(B375,Tot_res!C:C,0)),"Eliminar!!!","")))</f>
        <v/>
      </c>
      <c r="B375" s="115" t="s">
        <v>356</v>
      </c>
      <c r="C375" s="329" t="str">
        <f>VLOOKUP(B375,Tot_res!C:D,2,FALSE)</f>
        <v>Protección del patrimonio histórico + AF17/2</v>
      </c>
      <c r="D375" s="336">
        <f>Saldo_relativo_per_capita!D375*Saldo_relativo_per_capita!D$552/1000000</f>
        <v>0</v>
      </c>
      <c r="E375" s="336">
        <f>Saldo_relativo_per_capita!E375*Saldo_relativo_per_capita!E$552/1000000</f>
        <v>-0.75105057918843499</v>
      </c>
      <c r="F375" s="336">
        <f>Saldo_relativo_per_capita!F375*Saldo_relativo_per_capita!F$552/1000000</f>
        <v>-3.1292592657815192E-2</v>
      </c>
      <c r="G375" s="336">
        <f>Saldo_relativo_per_capita!G375*Saldo_relativo_per_capita!G$552/1000000</f>
        <v>-4.687442317431318E-2</v>
      </c>
      <c r="H375" s="336">
        <f>Saldo_relativo_per_capita!H375*Saldo_relativo_per_capita!H$552/1000000</f>
        <v>-0.10856107155576955</v>
      </c>
      <c r="I375" s="336">
        <f>Saldo_relativo_per_capita!I375*Saldo_relativo_per_capita!I$552/1000000</f>
        <v>-0.21602998588601302</v>
      </c>
      <c r="J375" s="336">
        <f>Saldo_relativo_per_capita!J375*Saldo_relativo_per_capita!J$552/1000000</f>
        <v>8.4024559602700714E-3</v>
      </c>
      <c r="K375" s="336">
        <f>Saldo_relativo_per_capita!K375*Saldo_relativo_per_capita!K$552/1000000</f>
        <v>0.82133454566953656</v>
      </c>
      <c r="L375" s="336">
        <f>Saldo_relativo_per_capita!L375*Saldo_relativo_per_capita!L$552/1000000</f>
        <v>-0.13863601282540228</v>
      </c>
      <c r="M375" s="336">
        <f>Saldo_relativo_per_capita!M375*Saldo_relativo_per_capita!M$552/1000000</f>
        <v>-0.63293128068557913</v>
      </c>
      <c r="N375" s="336">
        <f>Saldo_relativo_per_capita!N375*Saldo_relativo_per_capita!N$552/1000000</f>
        <v>-0.34664594633002621</v>
      </c>
      <c r="O375" s="336">
        <f>Saldo_relativo_per_capita!O375*Saldo_relativo_per_capita!O$552/1000000</f>
        <v>-4.903760555685887E-2</v>
      </c>
      <c r="P375" s="336">
        <f>Saldo_relativo_per_capita!P375*Saldo_relativo_per_capita!P$552/1000000</f>
        <v>-0.18965727727280204</v>
      </c>
      <c r="Q375" s="336">
        <f>Saldo_relativo_per_capita!Q375*Saldo_relativo_per_capita!Q$552/1000000</f>
        <v>1.7415178629229129</v>
      </c>
      <c r="R375" s="336">
        <f>Saldo_relativo_per_capita!R375*Saldo_relativo_per_capita!R$552/1000000</f>
        <v>-3.7559898524691729E-2</v>
      </c>
      <c r="S375" s="336">
        <f>Saldo_relativo_per_capita!S375*Saldo_relativo_per_capita!S$552/1000000</f>
        <v>3.2621777579114174E-3</v>
      </c>
      <c r="T375" s="336">
        <f>Saldo_relativo_per_capita!T375*Saldo_relativo_per_capita!T$552/1000000</f>
        <v>1.3824455599552331E-2</v>
      </c>
      <c r="U375" s="336">
        <f>Saldo_relativo_per_capita!U375*Saldo_relativo_per_capita!U$552/1000000</f>
        <v>-2.2400286402164953E-2</v>
      </c>
      <c r="V375" s="336">
        <f>Saldo_relativo_per_capita!V375*Saldo_relativo_per_capita!V$552/1000000</f>
        <v>-1.7664537850312526E-2</v>
      </c>
      <c r="W375" s="148"/>
    </row>
    <row r="376" spans="1:23" s="115" customFormat="1">
      <c r="A376" s="351" t="str">
        <f>IF(B376="","",(IF(ISERROR(MATCH(B376,Tot_res!C:C,0)),"Eliminar!!!","")))</f>
        <v/>
      </c>
      <c r="B376" s="115" t="s">
        <v>834</v>
      </c>
      <c r="C376" s="329" t="str">
        <f>VLOOKUP(B376,Tot_res!C:D,2,FALSE)</f>
        <v>Dirección y Servicios Generales de Economía y Hacienda, transferencias a RTVE</v>
      </c>
      <c r="D376" s="336">
        <f>Saldo_relativo_per_capita!D376*Saldo_relativo_per_capita!D$552/1000000</f>
        <v>0</v>
      </c>
      <c r="E376" s="336">
        <f>Saldo_relativo_per_capita!E376*Saldo_relativo_per_capita!E$552/1000000</f>
        <v>0</v>
      </c>
      <c r="F376" s="336">
        <f>Saldo_relativo_per_capita!F376*Saldo_relativo_per_capita!F$552/1000000</f>
        <v>0</v>
      </c>
      <c r="G376" s="336">
        <f>Saldo_relativo_per_capita!G376*Saldo_relativo_per_capita!G$552/1000000</f>
        <v>0</v>
      </c>
      <c r="H376" s="336">
        <f>Saldo_relativo_per_capita!H376*Saldo_relativo_per_capita!H$552/1000000</f>
        <v>0</v>
      </c>
      <c r="I376" s="336">
        <f>Saldo_relativo_per_capita!I376*Saldo_relativo_per_capita!I$552/1000000</f>
        <v>0</v>
      </c>
      <c r="J376" s="336">
        <f>Saldo_relativo_per_capita!J376*Saldo_relativo_per_capita!J$552/1000000</f>
        <v>0</v>
      </c>
      <c r="K376" s="336">
        <f>Saldo_relativo_per_capita!K376*Saldo_relativo_per_capita!K$552/1000000</f>
        <v>0</v>
      </c>
      <c r="L376" s="336">
        <f>Saldo_relativo_per_capita!L376*Saldo_relativo_per_capita!L$552/1000000</f>
        <v>0</v>
      </c>
      <c r="M376" s="336">
        <f>Saldo_relativo_per_capita!M376*Saldo_relativo_per_capita!M$552/1000000</f>
        <v>0</v>
      </c>
      <c r="N376" s="336">
        <f>Saldo_relativo_per_capita!N376*Saldo_relativo_per_capita!N$552/1000000</f>
        <v>0</v>
      </c>
      <c r="O376" s="336">
        <f>Saldo_relativo_per_capita!O376*Saldo_relativo_per_capita!O$552/1000000</f>
        <v>0</v>
      </c>
      <c r="P376" s="336">
        <f>Saldo_relativo_per_capita!P376*Saldo_relativo_per_capita!P$552/1000000</f>
        <v>0</v>
      </c>
      <c r="Q376" s="336">
        <f>Saldo_relativo_per_capita!Q376*Saldo_relativo_per_capita!Q$552/1000000</f>
        <v>0</v>
      </c>
      <c r="R376" s="336">
        <f>Saldo_relativo_per_capita!R376*Saldo_relativo_per_capita!R$552/1000000</f>
        <v>0</v>
      </c>
      <c r="S376" s="336">
        <f>Saldo_relativo_per_capita!S376*Saldo_relativo_per_capita!S$552/1000000</f>
        <v>0</v>
      </c>
      <c r="T376" s="336">
        <f>Saldo_relativo_per_capita!T376*Saldo_relativo_per_capita!T$552/1000000</f>
        <v>0</v>
      </c>
      <c r="U376" s="336">
        <f>Saldo_relativo_per_capita!U376*Saldo_relativo_per_capita!U$552/1000000</f>
        <v>0</v>
      </c>
      <c r="V376" s="336">
        <f>Saldo_relativo_per_capita!V376*Saldo_relativo_per_capita!V$552/1000000</f>
        <v>0</v>
      </c>
      <c r="W376" s="148"/>
    </row>
    <row r="377" spans="1:23" s="115" customFormat="1">
      <c r="A377" s="351" t="str">
        <f>IF(B377="","",(IF(ISERROR(MATCH(B377,Tot_res!C:C,0)),"Eliminar!!!","")))</f>
        <v/>
      </c>
      <c r="B377" s="115" t="s">
        <v>358</v>
      </c>
      <c r="C377" s="329" t="str">
        <f>VLOOKUP(B377,Tot_res!C:D,2,FALSE)</f>
        <v>Normalización lingüística + AF08</v>
      </c>
      <c r="D377" s="336">
        <f>Saldo_relativo_per_capita!D377*Saldo_relativo_per_capita!D$552/1000000</f>
        <v>0</v>
      </c>
      <c r="E377" s="336">
        <f>Saldo_relativo_per_capita!E377*Saldo_relativo_per_capita!E$552/1000000</f>
        <v>-33.287479913441778</v>
      </c>
      <c r="F377" s="336">
        <f>Saldo_relativo_per_capita!F377*Saldo_relativo_per_capita!F$552/1000000</f>
        <v>-5.2368733810267214</v>
      </c>
      <c r="G377" s="336">
        <f>Saldo_relativo_per_capita!G377*Saldo_relativo_per_capita!G$552/1000000</f>
        <v>-4.186327534249263</v>
      </c>
      <c r="H377" s="336">
        <f>Saldo_relativo_per_capita!H377*Saldo_relativo_per_capita!H$552/1000000</f>
        <v>15.640988011445893</v>
      </c>
      <c r="I377" s="336">
        <f>Saldo_relativo_per_capita!I377*Saldo_relativo_per_capita!I$552/1000000</f>
        <v>-8.3313482240289414</v>
      </c>
      <c r="J377" s="336">
        <f>Saldo_relativo_per_capita!J377*Saldo_relativo_per_capita!J$552/1000000</f>
        <v>-2.3256472626002944</v>
      </c>
      <c r="K377" s="336">
        <f>Saldo_relativo_per_capita!K377*Saldo_relativo_per_capita!K$552/1000000</f>
        <v>-9.840499304474795</v>
      </c>
      <c r="L377" s="336">
        <f>Saldo_relativo_per_capita!L377*Saldo_relativo_per_capita!L$552/1000000</f>
        <v>-8.1979732198154114</v>
      </c>
      <c r="M377" s="336">
        <f>Saldo_relativo_per_capita!M377*Saldo_relativo_per_capita!M$552/1000000</f>
        <v>35.127767093984488</v>
      </c>
      <c r="N377" s="336">
        <f>Saldo_relativo_per_capita!N377*Saldo_relativo_per_capita!N$552/1000000</f>
        <v>21.686638971996803</v>
      </c>
      <c r="O377" s="336">
        <f>Saldo_relativo_per_capita!O377*Saldo_relativo_per_capita!O$552/1000000</f>
        <v>-4.344121304738759</v>
      </c>
      <c r="P377" s="336">
        <f>Saldo_relativo_per_capita!P377*Saldo_relativo_per_capita!P$552/1000000</f>
        <v>20.494980816134387</v>
      </c>
      <c r="Q377" s="336">
        <f>Saldo_relativo_per_capita!Q377*Saldo_relativo_per_capita!Q$552/1000000</f>
        <v>-25.541011167997965</v>
      </c>
      <c r="R377" s="336">
        <f>Saldo_relativo_per_capita!R377*Saldo_relativo_per_capita!R$552/1000000</f>
        <v>-5.8131641900940929</v>
      </c>
      <c r="S377" s="336">
        <f>Saldo_relativo_per_capita!S377*Saldo_relativo_per_capita!S$552/1000000</f>
        <v>3.6418554754092827</v>
      </c>
      <c r="T377" s="336">
        <f>Saldo_relativo_per_capita!T377*Saldo_relativo_per_capita!T$552/1000000</f>
        <v>12.444663793753122</v>
      </c>
      <c r="U377" s="336">
        <f>Saldo_relativo_per_capita!U377*Saldo_relativo_per_capita!U$552/1000000</f>
        <v>-1.2601767451245109</v>
      </c>
      <c r="V377" s="336">
        <f>Saldo_relativo_per_capita!V377*Saldo_relativo_per_capita!V$552/1000000</f>
        <v>-0.67227191513140205</v>
      </c>
      <c r="W377" s="148"/>
    </row>
    <row r="378" spans="1:23" s="115" customFormat="1">
      <c r="A378" s="351" t="str">
        <f>IF(B378="","",(IF(ISERROR(MATCH(B378,Tot_res!C:C,0)),"Eliminar!!!","")))</f>
        <v/>
      </c>
      <c r="B378" s="115" t="s">
        <v>359</v>
      </c>
      <c r="C378" s="329" t="str">
        <f>VLOOKUP(B378,Tot_res!C:D,2,FALSE)</f>
        <v>Aportación a la Iglesia Católica ligadas a la casilla del IRPF</v>
      </c>
      <c r="D378" s="336">
        <f>Saldo_relativo_per_capita!D378*Saldo_relativo_per_capita!D$552/1000000</f>
        <v>0</v>
      </c>
      <c r="E378" s="336">
        <f>Saldo_relativo_per_capita!E378*Saldo_relativo_per_capita!E$552/1000000</f>
        <v>-0.57370250767886799</v>
      </c>
      <c r="F378" s="336">
        <f>Saldo_relativo_per_capita!F378*Saldo_relativo_per_capita!F$552/1000000</f>
        <v>0.98476485557013027</v>
      </c>
      <c r="G378" s="336">
        <f>Saldo_relativo_per_capita!G378*Saldo_relativo_per_capita!G$552/1000000</f>
        <v>0.82644291752457621</v>
      </c>
      <c r="H378" s="336">
        <f>Saldo_relativo_per_capita!H378*Saldo_relativo_per_capita!H$552/1000000</f>
        <v>-0.19796832184881952</v>
      </c>
      <c r="I378" s="336">
        <f>Saldo_relativo_per_capita!I378*Saldo_relativo_per_capita!I$552/1000000</f>
        <v>-1.6815501350707287</v>
      </c>
      <c r="J378" s="336">
        <f>Saldo_relativo_per_capita!J378*Saldo_relativo_per_capita!J$552/1000000</f>
        <v>2.2102982087952805</v>
      </c>
      <c r="K378" s="336">
        <f>Saldo_relativo_per_capita!K378*Saldo_relativo_per_capita!K$552/1000000</f>
        <v>5.3620912333914816</v>
      </c>
      <c r="L378" s="336">
        <f>Saldo_relativo_per_capita!L378*Saldo_relativo_per_capita!L$552/1000000</f>
        <v>2.4324224982621359</v>
      </c>
      <c r="M378" s="336">
        <f>Saldo_relativo_per_capita!M378*Saldo_relativo_per_capita!M$552/1000000</f>
        <v>-8.1796417777643526</v>
      </c>
      <c r="N378" s="336">
        <f>Saldo_relativo_per_capita!N378*Saldo_relativo_per_capita!N$552/1000000</f>
        <v>-0.67091354555517391</v>
      </c>
      <c r="O378" s="336">
        <f>Saldo_relativo_per_capita!O378*Saldo_relativo_per_capita!O$552/1000000</f>
        <v>2.196451258729518</v>
      </c>
      <c r="P378" s="336">
        <f>Saldo_relativo_per_capita!P378*Saldo_relativo_per_capita!P$552/1000000</f>
        <v>4.9499120321919081</v>
      </c>
      <c r="Q378" s="336">
        <f>Saldo_relativo_per_capita!Q378*Saldo_relativo_per_capita!Q$552/1000000</f>
        <v>-7.3858696760042717</v>
      </c>
      <c r="R378" s="336">
        <f>Saldo_relativo_per_capita!R378*Saldo_relativo_per_capita!R$552/1000000</f>
        <v>1.9349774070005563</v>
      </c>
      <c r="S378" s="336">
        <f>Saldo_relativo_per_capita!S378*Saldo_relativo_per_capita!S$552/1000000</f>
        <v>8.0092141464511296E-2</v>
      </c>
      <c r="T378" s="336">
        <f>Saldo_relativo_per_capita!T378*Saldo_relativo_per_capita!T$552/1000000</f>
        <v>-1.2644576289974014</v>
      </c>
      <c r="U378" s="336">
        <f>Saldo_relativo_per_capita!U378*Saldo_relativo_per_capita!U$552/1000000</f>
        <v>-0.45661410493902943</v>
      </c>
      <c r="V378" s="336">
        <f>Saldo_relativo_per_capita!V378*Saldo_relativo_per_capita!V$552/1000000</f>
        <v>-0.56673485507142218</v>
      </c>
      <c r="W378" s="148"/>
    </row>
    <row r="379" spans="1:23" s="115" customFormat="1">
      <c r="A379" s="351" t="str">
        <f>IF(B379="","",(IF(ISERROR(MATCH(B379,Tot_res!C:C,0)),"Eliminar!!!","")))</f>
        <v/>
      </c>
      <c r="B379" s="115" t="s">
        <v>837</v>
      </c>
      <c r="C379" s="329" t="str">
        <f>VLOOKUP(B379,Tot_res!C:D,2,FALSE)</f>
        <v>Ordenación y fomento de la edificación, actuaciones relacionadas con el 1% cultural</v>
      </c>
      <c r="D379" s="336">
        <f>Saldo_relativo_per_capita!D379*Saldo_relativo_per_capita!D$552/1000000</f>
        <v>0</v>
      </c>
      <c r="E379" s="336">
        <f>Saldo_relativo_per_capita!E379*Saldo_relativo_per_capita!E$552/1000000</f>
        <v>0.88546282207755633</v>
      </c>
      <c r="F379" s="336">
        <f>Saldo_relativo_per_capita!F379*Saldo_relativo_per_capita!F$552/1000000</f>
        <v>-9.7338364097138891E-2</v>
      </c>
      <c r="G379" s="336">
        <f>Saldo_relativo_per_capita!G379*Saldo_relativo_per_capita!G$552/1000000</f>
        <v>-0.10061525056530908</v>
      </c>
      <c r="H379" s="336">
        <f>Saldo_relativo_per_capita!H379*Saldo_relativo_per_capita!H$552/1000000</f>
        <v>-0.10513587396191065</v>
      </c>
      <c r="I379" s="336">
        <f>Saldo_relativo_per_capita!I379*Saldo_relativo_per_capita!I$552/1000000</f>
        <v>-0.20023772202473897</v>
      </c>
      <c r="J379" s="336">
        <f>Saldo_relativo_per_capita!J379*Saldo_relativo_per_capita!J$552/1000000</f>
        <v>0.13055208782053371</v>
      </c>
      <c r="K379" s="336">
        <f>Saldo_relativo_per_capita!K379*Saldo_relativo_per_capita!K$552/1000000</f>
        <v>-2.5968009273019399E-2</v>
      </c>
      <c r="L379" s="336">
        <f>Saldo_relativo_per_capita!L379*Saldo_relativo_per_capita!L$552/1000000</f>
        <v>2.967846425962783E-3</v>
      </c>
      <c r="M379" s="336">
        <f>Saldo_relativo_per_capita!M379*Saldo_relativo_per_capita!M$552/1000000</f>
        <v>0.23829599671502422</v>
      </c>
      <c r="N379" s="336">
        <f>Saldo_relativo_per_capita!N379*Saldo_relativo_per_capita!N$552/1000000</f>
        <v>0.10949303709976056</v>
      </c>
      <c r="O379" s="336">
        <f>Saldo_relativo_per_capita!O379*Saldo_relativo_per_capita!O$552/1000000</f>
        <v>-0.10440770579619026</v>
      </c>
      <c r="P379" s="336">
        <f>Saldo_relativo_per_capita!P379*Saldo_relativo_per_capita!P$552/1000000</f>
        <v>3.4931366403061427E-3</v>
      </c>
      <c r="Q379" s="336">
        <f>Saldo_relativo_per_capita!Q379*Saldo_relativo_per_capita!Q$552/1000000</f>
        <v>-0.61385909662711546</v>
      </c>
      <c r="R379" s="336">
        <f>Saldo_relativo_per_capita!R379*Saldo_relativo_per_capita!R$552/1000000</f>
        <v>-0.13971505257972811</v>
      </c>
      <c r="S379" s="336">
        <f>Saldo_relativo_per_capita!S379*Saldo_relativo_per_capita!S$552/1000000</f>
        <v>0.13398613265368128</v>
      </c>
      <c r="T379" s="336">
        <f>Saldo_relativo_per_capita!T379*Saldo_relativo_per_capita!T$552/1000000</f>
        <v>-0.2084813265903733</v>
      </c>
      <c r="U379" s="336">
        <f>Saldo_relativo_per_capita!U379*Saldo_relativo_per_capita!U$552/1000000</f>
        <v>-3.0287405352294343E-2</v>
      </c>
      <c r="V379" s="336">
        <f>Saldo_relativo_per_capita!V379*Saldo_relativo_per_capita!V$552/1000000</f>
        <v>0.12179474743499356</v>
      </c>
      <c r="W379" s="148"/>
    </row>
    <row r="380" spans="1:23" s="115" customFormat="1">
      <c r="A380" s="352"/>
      <c r="D380" s="217"/>
      <c r="E380" s="217"/>
      <c r="F380" s="217"/>
      <c r="G380" s="217"/>
      <c r="H380" s="217"/>
      <c r="I380" s="217"/>
      <c r="J380" s="217"/>
      <c r="K380" s="217"/>
      <c r="L380" s="217"/>
      <c r="M380" s="217"/>
      <c r="N380" s="217"/>
      <c r="O380" s="217"/>
      <c r="P380" s="217"/>
      <c r="Q380" s="217"/>
      <c r="R380" s="217"/>
      <c r="S380" s="217"/>
      <c r="T380" s="217"/>
      <c r="U380" s="217"/>
      <c r="V380" s="217"/>
      <c r="W380" s="148"/>
    </row>
    <row r="381" spans="1:23" s="115" customFormat="1">
      <c r="A381" s="352"/>
      <c r="C381" s="147" t="s">
        <v>68</v>
      </c>
      <c r="D381" s="215">
        <f>Saldo_relativo_per_capita!D381*Saldo_relativo_per_capita!D$552/1000000</f>
        <v>0</v>
      </c>
      <c r="E381" s="215">
        <f>Saldo_relativo_per_capita!E381*Saldo_relativo_per_capita!E$552/1000000</f>
        <v>-4294.9079162094558</v>
      </c>
      <c r="F381" s="215">
        <f>Saldo_relativo_per_capita!F381*Saldo_relativo_per_capita!F$552/1000000</f>
        <v>588.59324553549993</v>
      </c>
      <c r="G381" s="215">
        <f>Saldo_relativo_per_capita!G381*Saldo_relativo_per_capita!G$552/1000000</f>
        <v>1844.7120607201703</v>
      </c>
      <c r="H381" s="215">
        <f>Saldo_relativo_per_capita!H381*Saldo_relativo_per_capita!H$552/1000000</f>
        <v>-750.11195110969754</v>
      </c>
      <c r="I381" s="215">
        <f>Saldo_relativo_per_capita!I381*Saldo_relativo_per_capita!I$552/1000000</f>
        <v>-1797.9653951252265</v>
      </c>
      <c r="J381" s="215">
        <f>Saldo_relativo_per_capita!J381*Saldo_relativo_per_capita!J$552/1000000</f>
        <v>319.69244354055917</v>
      </c>
      <c r="K381" s="215">
        <f>Saldo_relativo_per_capita!K381*Saldo_relativo_per_capita!K$552/1000000</f>
        <v>1430.381032131696</v>
      </c>
      <c r="L381" s="215">
        <f>Saldo_relativo_per_capita!L381*Saldo_relativo_per_capita!L$552/1000000</f>
        <v>-1050.3608285208322</v>
      </c>
      <c r="M381" s="215">
        <f>Saldo_relativo_per_capita!M381*Saldo_relativo_per_capita!M$552/1000000</f>
        <v>2043.573877948425</v>
      </c>
      <c r="N381" s="215">
        <f>Saldo_relativo_per_capita!N381*Saldo_relativo_per_capita!N$552/1000000</f>
        <v>-1811.0216308454085</v>
      </c>
      <c r="O381" s="215">
        <f>Saldo_relativo_per_capita!O381*Saldo_relativo_per_capita!O$552/1000000</f>
        <v>-346.51353976200767</v>
      </c>
      <c r="P381" s="215">
        <f>Saldo_relativo_per_capita!P381*Saldo_relativo_per_capita!P$552/1000000</f>
        <v>1311.403344559739</v>
      </c>
      <c r="Q381" s="215">
        <f>Saldo_relativo_per_capita!Q381*Saldo_relativo_per_capita!Q$552/1000000</f>
        <v>993.40591247180089</v>
      </c>
      <c r="R381" s="215">
        <f>Saldo_relativo_per_capita!R381*Saldo_relativo_per_capita!R$552/1000000</f>
        <v>-926.6810394985373</v>
      </c>
      <c r="S381" s="215">
        <f>Saldo_relativo_per_capita!S381*Saldo_relativo_per_capita!S$552/1000000</f>
        <v>192.34057820051572</v>
      </c>
      <c r="T381" s="215">
        <f>Saldo_relativo_per_capita!T381*Saldo_relativo_per_capita!T$552/1000000</f>
        <v>2438.5361686803431</v>
      </c>
      <c r="U381" s="215">
        <f>Saldo_relativo_per_capita!U381*Saldo_relativo_per_capita!U$552/1000000</f>
        <v>0.15477700459203678</v>
      </c>
      <c r="V381" s="215">
        <f>Saldo_relativo_per_capita!V381*Saldo_relativo_per_capita!V$552/1000000</f>
        <v>-185.2311397222139</v>
      </c>
      <c r="W381" s="148"/>
    </row>
    <row r="382" spans="1:23" s="115" customFormat="1">
      <c r="A382" s="352"/>
      <c r="D382" s="217"/>
      <c r="E382" s="217"/>
      <c r="F382" s="217"/>
      <c r="G382" s="217"/>
      <c r="H382" s="217"/>
      <c r="I382" s="217"/>
      <c r="J382" s="217"/>
      <c r="K382" s="217"/>
      <c r="L382" s="217"/>
      <c r="M382" s="217"/>
      <c r="N382" s="217"/>
      <c r="O382" s="217"/>
      <c r="P382" s="217"/>
      <c r="Q382" s="217"/>
      <c r="R382" s="217"/>
      <c r="S382" s="217"/>
      <c r="T382" s="217"/>
      <c r="U382" s="217"/>
      <c r="V382" s="217"/>
      <c r="W382" s="148"/>
    </row>
    <row r="383" spans="1:23" s="115" customFormat="1" ht="13.5">
      <c r="A383" s="352"/>
      <c r="C383" s="117" t="s">
        <v>3</v>
      </c>
      <c r="D383" s="218">
        <f>Saldo_relativo_per_capita!D383*Saldo_relativo_per_capita!D$552/1000000</f>
        <v>0</v>
      </c>
      <c r="E383" s="218">
        <f>Saldo_relativo_per_capita!E383*Saldo_relativo_per_capita!E$552/1000000</f>
        <v>-4280.077514428056</v>
      </c>
      <c r="F383" s="218">
        <f>Saldo_relativo_per_capita!F383*Saldo_relativo_per_capita!F$552/1000000</f>
        <v>586.69584855473761</v>
      </c>
      <c r="G383" s="218">
        <f>Saldo_relativo_per_capita!G383*Saldo_relativo_per_capita!G$552/1000000</f>
        <v>1830.6415048432168</v>
      </c>
      <c r="H383" s="218">
        <f>Saldo_relativo_per_capita!H383*Saldo_relativo_per_capita!H$552/1000000</f>
        <v>-740.03441856235702</v>
      </c>
      <c r="I383" s="218">
        <f>Saldo_relativo_per_capita!I383*Saldo_relativo_per_capita!I$552/1000000</f>
        <v>-1751.884804786474</v>
      </c>
      <c r="J383" s="218">
        <f>Saldo_relativo_per_capita!J383*Saldo_relativo_per_capita!J$552/1000000</f>
        <v>312.3665122622748</v>
      </c>
      <c r="K383" s="218">
        <f>Saldo_relativo_per_capita!K383*Saldo_relativo_per_capita!K$552/1000000</f>
        <v>1382.7125904990373</v>
      </c>
      <c r="L383" s="218">
        <f>Saldo_relativo_per_capita!L383*Saldo_relativo_per_capita!L$552/1000000</f>
        <v>-1052.4443008521007</v>
      </c>
      <c r="M383" s="218">
        <f>Saldo_relativo_per_capita!M383*Saldo_relativo_per_capita!M$552/1000000</f>
        <v>2049.0769162434503</v>
      </c>
      <c r="N383" s="218">
        <f>Saldo_relativo_per_capita!N383*Saldo_relativo_per_capita!N$552/1000000</f>
        <v>-1736.0666412756614</v>
      </c>
      <c r="O383" s="218">
        <f>Saldo_relativo_per_capita!O383*Saldo_relativo_per_capita!O$552/1000000</f>
        <v>-354.01424176995323</v>
      </c>
      <c r="P383" s="218">
        <f>Saldo_relativo_per_capita!P383*Saldo_relativo_per_capita!P$552/1000000</f>
        <v>1293.6781453659112</v>
      </c>
      <c r="Q383" s="218">
        <f>Saldo_relativo_per_capita!Q383*Saldo_relativo_per_capita!Q$552/1000000</f>
        <v>993.16211318365833</v>
      </c>
      <c r="R383" s="218">
        <f>Saldo_relativo_per_capita!R383*Saldo_relativo_per_capita!R$552/1000000</f>
        <v>-939.25562150838152</v>
      </c>
      <c r="S383" s="218">
        <f>Saldo_relativo_per_capita!S383*Saldo_relativo_per_capita!S$552/1000000</f>
        <v>193.53615905887258</v>
      </c>
      <c r="T383" s="218">
        <f>Saldo_relativo_per_capita!T383*Saldo_relativo_per_capita!T$552/1000000</f>
        <v>2417.422563821764</v>
      </c>
      <c r="U383" s="218">
        <f>Saldo_relativo_per_capita!U383*Saldo_relativo_per_capita!U$552/1000000</f>
        <v>-4.5149174950183779</v>
      </c>
      <c r="V383" s="218">
        <f>Saldo_relativo_per_capita!V383*Saldo_relativo_per_capita!V$552/1000000</f>
        <v>-200.9998931549612</v>
      </c>
      <c r="W383" s="148"/>
    </row>
    <row r="384" spans="1:23" s="115" customFormat="1">
      <c r="A384" s="351" t="str">
        <f>IF(B384="","",(IF(ISERROR(MATCH(B384,Tot_res!C:C,0)),"Eliminar!!!","")))</f>
        <v/>
      </c>
      <c r="B384" s="115" t="s">
        <v>360</v>
      </c>
      <c r="C384" s="329" t="str">
        <f>VLOOKUP(B384,Tot_res!C:D,2,FALSE)</f>
        <v>Pensiones de clases pasivas</v>
      </c>
      <c r="D384" s="336">
        <f>Saldo_relativo_per_capita!D384*Saldo_relativo_per_capita!D$552/1000000</f>
        <v>0</v>
      </c>
      <c r="E384" s="336">
        <f>Saldo_relativo_per_capita!E384*Saldo_relativo_per_capita!E$552/1000000</f>
        <v>235.17858037987659</v>
      </c>
      <c r="F384" s="336">
        <f>Saldo_relativo_per_capita!F384*Saldo_relativo_per_capita!F$552/1000000</f>
        <v>101.84463823968528</v>
      </c>
      <c r="G384" s="336">
        <f>Saldo_relativo_per_capita!G384*Saldo_relativo_per_capita!G$552/1000000</f>
        <v>52.973965989489017</v>
      </c>
      <c r="H384" s="336">
        <f>Saldo_relativo_per_capita!H384*Saldo_relativo_per_capita!H$552/1000000</f>
        <v>-107.36566164438442</v>
      </c>
      <c r="I384" s="336">
        <f>Saldo_relativo_per_capita!I384*Saldo_relativo_per_capita!I$552/1000000</f>
        <v>-56.123843424020421</v>
      </c>
      <c r="J384" s="336">
        <f>Saldo_relativo_per_capita!J384*Saldo_relativo_per_capita!J$552/1000000</f>
        <v>-1.5556706327650416</v>
      </c>
      <c r="K384" s="336">
        <f>Saldo_relativo_per_capita!K384*Saldo_relativo_per_capita!K$552/1000000</f>
        <v>426.62201144422158</v>
      </c>
      <c r="L384" s="336">
        <f>Saldo_relativo_per_capita!L384*Saldo_relativo_per_capita!L$552/1000000</f>
        <v>-32.017824647750786</v>
      </c>
      <c r="M384" s="336">
        <f>Saldo_relativo_per_capita!M384*Saldo_relativo_per_capita!M$552/1000000</f>
        <v>-906.00039563232713</v>
      </c>
      <c r="N384" s="336">
        <f>Saldo_relativo_per_capita!N384*Saldo_relativo_per_capita!N$552/1000000</f>
        <v>-288.57813029844448</v>
      </c>
      <c r="O384" s="336">
        <f>Saldo_relativo_per_capita!O384*Saldo_relativo_per_capita!O$552/1000000</f>
        <v>94.988655947667851</v>
      </c>
      <c r="P384" s="336">
        <f>Saldo_relativo_per_capita!P384*Saldo_relativo_per_capita!P$552/1000000</f>
        <v>167.00164887559325</v>
      </c>
      <c r="Q384" s="336">
        <f>Saldo_relativo_per_capita!Q384*Saldo_relativo_per_capita!Q$552/1000000</f>
        <v>525.19065327471219</v>
      </c>
      <c r="R384" s="336">
        <f>Saldo_relativo_per_capita!R384*Saldo_relativo_per_capita!R$552/1000000</f>
        <v>44.142929236594355</v>
      </c>
      <c r="S384" s="336">
        <f>Saldo_relativo_per_capita!S384*Saldo_relativo_per_capita!S$552/1000000</f>
        <v>-45.875817315370021</v>
      </c>
      <c r="T384" s="336">
        <f>Saldo_relativo_per_capita!T384*Saldo_relativo_per_capita!T$552/1000000</f>
        <v>-267.52655817542296</v>
      </c>
      <c r="U384" s="336">
        <f>Saldo_relativo_per_capita!U384*Saldo_relativo_per_capita!U$552/1000000</f>
        <v>13.148199026951099</v>
      </c>
      <c r="V384" s="336">
        <f>Saldo_relativo_per_capita!V384*Saldo_relativo_per_capita!V$552/1000000</f>
        <v>43.952619355696605</v>
      </c>
      <c r="W384" s="148"/>
    </row>
    <row r="385" spans="1:23" s="115" customFormat="1" ht="13.5">
      <c r="A385" s="351" t="str">
        <f>IF(B385="","",(IF(ISERROR(MATCH(B385,Tot_res!C:C,0)),"Eliminar!!!","")))</f>
        <v/>
      </c>
      <c r="B385" s="115" t="s">
        <v>361</v>
      </c>
      <c r="C385" s="329" t="str">
        <f>VLOOKUP(B385,Tot_res!C:D,2,FALSE)</f>
        <v>Otras pensiones y prestac. de clases pasivas</v>
      </c>
      <c r="D385" s="336">
        <f>Saldo_relativo_per_capita!D385*Saldo_relativo_per_capita!D$552/1000000</f>
        <v>0</v>
      </c>
      <c r="E385" s="336">
        <f>Saldo_relativo_per_capita!E385*Saldo_relativo_per_capita!E$552/1000000</f>
        <v>-2.1683022757476884</v>
      </c>
      <c r="F385" s="336">
        <f>Saldo_relativo_per_capita!F385*Saldo_relativo_per_capita!F$552/1000000</f>
        <v>-0.46831339609498912</v>
      </c>
      <c r="G385" s="336">
        <f>Saldo_relativo_per_capita!G385*Saldo_relativo_per_capita!G$552/1000000</f>
        <v>-0.3384009894265394</v>
      </c>
      <c r="H385" s="336">
        <f>Saldo_relativo_per_capita!H385*Saldo_relativo_per_capita!H$552/1000000</f>
        <v>-0.49000622299967789</v>
      </c>
      <c r="I385" s="336">
        <f>Saldo_relativo_per_capita!I385*Saldo_relativo_per_capita!I$552/1000000</f>
        <v>7.8161220784114596</v>
      </c>
      <c r="J385" s="336">
        <f>Saldo_relativo_per_capita!J385*Saldo_relativo_per_capita!J$552/1000000</f>
        <v>-0.1661597240155997</v>
      </c>
      <c r="K385" s="336">
        <f>Saldo_relativo_per_capita!K385*Saldo_relativo_per_capita!K$552/1000000</f>
        <v>-0.76681349516341657</v>
      </c>
      <c r="L385" s="336">
        <f>Saldo_relativo_per_capita!L385*Saldo_relativo_per_capita!L$552/1000000</f>
        <v>-0.62734488648941833</v>
      </c>
      <c r="M385" s="336">
        <f>Saldo_relativo_per_capita!M385*Saldo_relativo_per_capita!M$552/1000000</f>
        <v>-2.8134725333904278</v>
      </c>
      <c r="N385" s="336">
        <f>Saldo_relativo_per_capita!N385*Saldo_relativo_per_capita!N$552/1000000</f>
        <v>-1.7530053150579537</v>
      </c>
      <c r="O385" s="336">
        <f>Saldo_relativo_per_capita!O385*Saldo_relativo_per_capita!O$552/1000000</f>
        <v>-0.32411791959906661</v>
      </c>
      <c r="P385" s="336">
        <f>Saldo_relativo_per_capita!P385*Saldo_relativo_per_capita!P$552/1000000</f>
        <v>-0.90174886623811734</v>
      </c>
      <c r="Q385" s="336">
        <f>Saldo_relativo_per_capita!Q385*Saldo_relativo_per_capita!Q$552/1000000</f>
        <v>4.1164056718753086</v>
      </c>
      <c r="R385" s="336">
        <f>Saldo_relativo_per_capita!R385*Saldo_relativo_per_capita!R$552/1000000</f>
        <v>-0.46793033627609087</v>
      </c>
      <c r="S385" s="336">
        <f>Saldo_relativo_per_capita!S385*Saldo_relativo_per_capita!S$552/1000000</f>
        <v>-0.31399644673212274</v>
      </c>
      <c r="T385" s="336">
        <f>Saldo_relativo_per_capita!T385*Saldo_relativo_per_capita!T$552/1000000</f>
        <v>-0.52689370816892256</v>
      </c>
      <c r="U385" s="336">
        <f>Saldo_relativo_per_capita!U385*Saldo_relativo_per_capita!U$552/1000000</f>
        <v>-0.11284094782277089</v>
      </c>
      <c r="V385" s="336">
        <f>Saldo_relativo_per_capita!V385*Saldo_relativo_per_capita!V$552/1000000</f>
        <v>0.30681931293604359</v>
      </c>
      <c r="W385" s="219"/>
    </row>
    <row r="386" spans="1:23" s="115" customFormat="1">
      <c r="A386" s="351" t="str">
        <f>IF(B386="","",(IF(ISERROR(MATCH(B386,Tot_res!C:C,0)),"Eliminar!!!","")))</f>
        <v/>
      </c>
      <c r="B386" s="115" t="s">
        <v>362</v>
      </c>
      <c r="C386" s="329" t="str">
        <f>VLOOKUP(B386,Tot_res!C:D,2,FALSE)</f>
        <v>Pensiones no contrib. y prestac. asistenciales</v>
      </c>
      <c r="D386" s="336">
        <f>Saldo_relativo_per_capita!D386*Saldo_relativo_per_capita!D$552/1000000</f>
        <v>0</v>
      </c>
      <c r="E386" s="336">
        <f>Saldo_relativo_per_capita!E386*Saldo_relativo_per_capita!E$552/1000000</f>
        <v>4.1573749155356818</v>
      </c>
      <c r="F386" s="336">
        <f>Saldo_relativo_per_capita!F386*Saldo_relativo_per_capita!F$552/1000000</f>
        <v>-0.30928025536825804</v>
      </c>
      <c r="G386" s="336">
        <f>Saldo_relativo_per_capita!G386*Saldo_relativo_per_capita!G$552/1000000</f>
        <v>-0.24809011611810997</v>
      </c>
      <c r="H386" s="336">
        <f>Saldo_relativo_per_capita!H386*Saldo_relativo_per_capita!H$552/1000000</f>
        <v>-0.27729869851293587</v>
      </c>
      <c r="I386" s="336">
        <f>Saldo_relativo_per_capita!I386*Saldo_relativo_per_capita!I$552/1000000</f>
        <v>2.9191304094208177</v>
      </c>
      <c r="J386" s="336">
        <f>Saldo_relativo_per_capita!J386*Saldo_relativo_per_capita!J$552/1000000</f>
        <v>-9.2921630650166093E-2</v>
      </c>
      <c r="K386" s="336">
        <f>Saldo_relativo_per_capita!K386*Saldo_relativo_per_capita!K$552/1000000</f>
        <v>-0.54133660143297913</v>
      </c>
      <c r="L386" s="336">
        <f>Saldo_relativo_per_capita!L386*Saldo_relativo_per_capita!L$552/1000000</f>
        <v>-0.48873956108923333</v>
      </c>
      <c r="M386" s="336">
        <f>Saldo_relativo_per_capita!M386*Saldo_relativo_per_capita!M$552/1000000</f>
        <v>-1.8835349248223872</v>
      </c>
      <c r="N386" s="336">
        <f>Saldo_relativo_per_capita!N386*Saldo_relativo_per_capita!N$552/1000000</f>
        <v>-0.75440099639838309</v>
      </c>
      <c r="O386" s="336">
        <f>Saldo_relativo_per_capita!O386*Saldo_relativo_per_capita!O$552/1000000</f>
        <v>-0.1564896630670928</v>
      </c>
      <c r="P386" s="336">
        <f>Saldo_relativo_per_capita!P386*Saldo_relativo_per_capita!P$552/1000000</f>
        <v>-0.68104118201381103</v>
      </c>
      <c r="Q386" s="336">
        <f>Saldo_relativo_per_capita!Q386*Saldo_relativo_per_capita!Q$552/1000000</f>
        <v>-0.60619361461525523</v>
      </c>
      <c r="R386" s="336">
        <f>Saldo_relativo_per_capita!R386*Saldo_relativo_per_capita!R$552/1000000</f>
        <v>-0.1853593683054334</v>
      </c>
      <c r="S386" s="336">
        <f>Saldo_relativo_per_capita!S386*Saldo_relativo_per_capita!S$552/1000000</f>
        <v>-0.16267564932624698</v>
      </c>
      <c r="T386" s="336">
        <f>Saldo_relativo_per_capita!T386*Saldo_relativo_per_capita!T$552/1000000</f>
        <v>-0.5635882557638463</v>
      </c>
      <c r="U386" s="336">
        <f>Saldo_relativo_per_capita!U386*Saldo_relativo_per_capita!U$552/1000000</f>
        <v>-8.1876042489171061E-2</v>
      </c>
      <c r="V386" s="336">
        <f>Saldo_relativo_per_capita!V386*Saldo_relativo_per_capita!V$552/1000000</f>
        <v>-4.3678764983190184E-2</v>
      </c>
      <c r="W386" s="148"/>
    </row>
    <row r="387" spans="1:23" s="115" customFormat="1">
      <c r="A387" s="351" t="str">
        <f>IF(B387="","",(IF(ISERROR(MATCH(B387,Tot_res!C:C,0)),"Eliminar!!!","")))</f>
        <v/>
      </c>
      <c r="B387" s="115" t="s">
        <v>363</v>
      </c>
      <c r="C387" s="329" t="str">
        <f>VLOOKUP(B387,Tot_res!C:D,2,FALSE)</f>
        <v>Pensiones de guerra</v>
      </c>
      <c r="D387" s="336">
        <f>Saldo_relativo_per_capita!D387*Saldo_relativo_per_capita!D$552/1000000</f>
        <v>0</v>
      </c>
      <c r="E387" s="336">
        <f>Saldo_relativo_per_capita!E387*Saldo_relativo_per_capita!E$552/1000000</f>
        <v>-21.003069940560309</v>
      </c>
      <c r="F387" s="336">
        <f>Saldo_relativo_per_capita!F387*Saldo_relativo_per_capita!F$552/1000000</f>
        <v>1.3580317788040275</v>
      </c>
      <c r="G387" s="336">
        <f>Saldo_relativo_per_capita!G387*Saldo_relativo_per_capita!G$552/1000000</f>
        <v>3.1376382723411331</v>
      </c>
      <c r="H387" s="336">
        <f>Saldo_relativo_per_capita!H387*Saldo_relativo_per_capita!H$552/1000000</f>
        <v>-3.6186585003119296</v>
      </c>
      <c r="I387" s="336">
        <f>Saldo_relativo_per_capita!I387*Saldo_relativo_per_capita!I$552/1000000</f>
        <v>-10.331860500849318</v>
      </c>
      <c r="J387" s="336">
        <f>Saldo_relativo_per_capita!J387*Saldo_relativo_per_capita!J$552/1000000</f>
        <v>0.80937848540576662</v>
      </c>
      <c r="K387" s="336">
        <f>Saldo_relativo_per_capita!K387*Saldo_relativo_per_capita!K$552/1000000</f>
        <v>-6.8291010661736804</v>
      </c>
      <c r="L387" s="336">
        <f>Saldo_relativo_per_capita!L387*Saldo_relativo_per_capita!L$552/1000000</f>
        <v>0.3794103992082119</v>
      </c>
      <c r="M387" s="336">
        <f>Saldo_relativo_per_capita!M387*Saldo_relativo_per_capita!M$552/1000000</f>
        <v>13.535246612574992</v>
      </c>
      <c r="N387" s="336">
        <f>Saldo_relativo_per_capita!N387*Saldo_relativo_per_capita!N$552/1000000</f>
        <v>11.598461666029877</v>
      </c>
      <c r="O387" s="336">
        <f>Saldo_relativo_per_capita!O387*Saldo_relativo_per_capita!O$552/1000000</f>
        <v>-2.0227274637221155</v>
      </c>
      <c r="P387" s="336">
        <f>Saldo_relativo_per_capita!P387*Saldo_relativo_per_capita!P$552/1000000</f>
        <v>-11.10723572703705</v>
      </c>
      <c r="Q387" s="336">
        <f>Saldo_relativo_per_capita!Q387*Saldo_relativo_per_capita!Q$552/1000000</f>
        <v>28.959555773457161</v>
      </c>
      <c r="R387" s="336">
        <f>Saldo_relativo_per_capita!R387*Saldo_relativo_per_capita!R$552/1000000</f>
        <v>0.18538288505005571</v>
      </c>
      <c r="S387" s="336">
        <f>Saldo_relativo_per_capita!S387*Saldo_relativo_per_capita!S$552/1000000</f>
        <v>-2.1225555590599914</v>
      </c>
      <c r="T387" s="336">
        <f>Saldo_relativo_per_capita!T387*Saldo_relativo_per_capita!T$552/1000000</f>
        <v>-1.0973209021398795</v>
      </c>
      <c r="U387" s="336">
        <f>Saldo_relativo_per_capita!U387*Saldo_relativo_per_capita!U$552/1000000</f>
        <v>-1.0845356917986217</v>
      </c>
      <c r="V387" s="336">
        <f>Saldo_relativo_per_capita!V387*Saldo_relativo_per_capita!V$552/1000000</f>
        <v>-0.74604052121823827</v>
      </c>
      <c r="W387" s="148"/>
    </row>
    <row r="388" spans="1:23" s="115" customFormat="1">
      <c r="A388" s="351" t="str">
        <f>IF(B388="","",(IF(ISERROR(MATCH(B388,Tot_res!C:C,0)),"Eliminar!!!","")))</f>
        <v/>
      </c>
      <c r="B388" s="115" t="s">
        <v>364</v>
      </c>
      <c r="C388" s="329" t="str">
        <f>VLOOKUP(B388,Tot_res!C:D,2,FALSE)</f>
        <v>Gestión de pensiones de clases pasivas</v>
      </c>
      <c r="D388" s="336">
        <f>Saldo_relativo_per_capita!D388*Saldo_relativo_per_capita!D$552/1000000</f>
        <v>0</v>
      </c>
      <c r="E388" s="336">
        <f>Saldo_relativo_per_capita!E388*Saldo_relativo_per_capita!E$552/1000000</f>
        <v>0.10732581933342468</v>
      </c>
      <c r="F388" s="336">
        <f>Saldo_relativo_per_capita!F388*Saldo_relativo_per_capita!F$552/1000000</f>
        <v>5.2007896777188332E-2</v>
      </c>
      <c r="G388" s="336">
        <f>Saldo_relativo_per_capita!G388*Saldo_relativo_per_capita!G$552/1000000</f>
        <v>2.823443971509736E-2</v>
      </c>
      <c r="H388" s="336">
        <f>Saldo_relativo_per_capita!H388*Saldo_relativo_per_capita!H$552/1000000</f>
        <v>-5.6432389802633799E-2</v>
      </c>
      <c r="I388" s="336">
        <f>Saldo_relativo_per_capita!I388*Saldo_relativo_per_capita!I$552/1000000</f>
        <v>-2.9685505608776218E-2</v>
      </c>
      <c r="J388" s="336">
        <f>Saldo_relativo_per_capita!J388*Saldo_relativo_per_capita!J$552/1000000</f>
        <v>-4.6191658078947314E-4</v>
      </c>
      <c r="K388" s="336">
        <f>Saldo_relativo_per_capita!K388*Saldo_relativo_per_capita!K$552/1000000</f>
        <v>0.21212636853057157</v>
      </c>
      <c r="L388" s="336">
        <f>Saldo_relativo_per_capita!L388*Saldo_relativo_per_capita!L$552/1000000</f>
        <v>-1.6334109889841703E-2</v>
      </c>
      <c r="M388" s="336">
        <f>Saldo_relativo_per_capita!M388*Saldo_relativo_per_capita!M$552/1000000</f>
        <v>-0.4532228522898033</v>
      </c>
      <c r="N388" s="336">
        <f>Saldo_relativo_per_capita!N388*Saldo_relativo_per_capita!N$552/1000000</f>
        <v>-0.14110469575793233</v>
      </c>
      <c r="O388" s="336">
        <f>Saldo_relativo_per_capita!O388*Saldo_relativo_per_capita!O$552/1000000</f>
        <v>4.6898680047139263E-2</v>
      </c>
      <c r="P388" s="336">
        <f>Saldo_relativo_per_capita!P388*Saldo_relativo_per_capita!P$552/1000000</f>
        <v>7.8462967504086809E-2</v>
      </c>
      <c r="Q388" s="336">
        <f>Saldo_relativo_per_capita!Q388*Saldo_relativo_per_capita!Q$552/1000000</f>
        <v>0.28261502215103612</v>
      </c>
      <c r="R388" s="336">
        <f>Saldo_relativo_per_capita!R388*Saldo_relativo_per_capita!R$552/1000000</f>
        <v>2.2203732845534379E-2</v>
      </c>
      <c r="S388" s="336">
        <f>Saldo_relativo_per_capita!S388*Saldo_relativo_per_capita!S$552/1000000</f>
        <v>-2.4457492111929956E-2</v>
      </c>
      <c r="T388" s="336">
        <f>Saldo_relativo_per_capita!T388*Saldo_relativo_per_capita!T$552/1000000</f>
        <v>-0.13625398619072598</v>
      </c>
      <c r="U388" s="336">
        <f>Saldo_relativo_per_capita!U388*Saldo_relativo_per_capita!U$552/1000000</f>
        <v>6.0499443181140054E-3</v>
      </c>
      <c r="V388" s="336">
        <f>Saldo_relativo_per_capita!V388*Saldo_relativo_per_capita!V$552/1000000</f>
        <v>2.2028077010238702E-2</v>
      </c>
      <c r="W388" s="148"/>
    </row>
    <row r="389" spans="1:23" s="115" customFormat="1">
      <c r="A389" s="351" t="str">
        <f>IF(B389="","",(IF(ISERROR(MATCH(B389,Tot_res!C:C,0)),"Eliminar!!!","")))</f>
        <v/>
      </c>
      <c r="B389" s="115" t="s">
        <v>365</v>
      </c>
      <c r="C389" s="329" t="str">
        <f>VLOOKUP(B389,Tot_res!C:D,2,FALSE)</f>
        <v>Prestaciones económicas del mutualismo administrativo</v>
      </c>
      <c r="D389" s="336">
        <f>Saldo_relativo_per_capita!D389*Saldo_relativo_per_capita!D$552/1000000</f>
        <v>0</v>
      </c>
      <c r="E389" s="336">
        <f>Saldo_relativo_per_capita!E389*Saldo_relativo_per_capita!E$552/1000000</f>
        <v>2.2387771312472182</v>
      </c>
      <c r="F389" s="336">
        <f>Saldo_relativo_per_capita!F389*Saldo_relativo_per_capita!F$552/1000000</f>
        <v>1.4193596562719188</v>
      </c>
      <c r="G389" s="336">
        <f>Saldo_relativo_per_capita!G389*Saldo_relativo_per_capita!G$552/1000000</f>
        <v>1.8951595406282449</v>
      </c>
      <c r="H389" s="336">
        <f>Saldo_relativo_per_capita!H389*Saldo_relativo_per_capita!H$552/1000000</f>
        <v>-1.548199573661766</v>
      </c>
      <c r="I389" s="336">
        <f>Saldo_relativo_per_capita!I389*Saldo_relativo_per_capita!I$552/1000000</f>
        <v>-0.86002180300655018</v>
      </c>
      <c r="J389" s="336">
        <f>Saldo_relativo_per_capita!J389*Saldo_relativo_per_capita!J$552/1000000</f>
        <v>0.64177600913356836</v>
      </c>
      <c r="K389" s="336">
        <f>Saldo_relativo_per_capita!K389*Saldo_relativo_per_capita!K$552/1000000</f>
        <v>5.1267853603013753</v>
      </c>
      <c r="L389" s="336">
        <f>Saldo_relativo_per_capita!L389*Saldo_relativo_per_capita!L$552/1000000</f>
        <v>-2.7677555991652993</v>
      </c>
      <c r="M389" s="336">
        <f>Saldo_relativo_per_capita!M389*Saldo_relativo_per_capita!M$552/1000000</f>
        <v>-13.492446428061669</v>
      </c>
      <c r="N389" s="336">
        <f>Saldo_relativo_per_capita!N389*Saldo_relativo_per_capita!N$552/1000000</f>
        <v>-2.2590002546065664</v>
      </c>
      <c r="O389" s="336">
        <f>Saldo_relativo_per_capita!O389*Saldo_relativo_per_capita!O$552/1000000</f>
        <v>-0.19865669892361199</v>
      </c>
      <c r="P389" s="336">
        <f>Saldo_relativo_per_capita!P389*Saldo_relativo_per_capita!P$552/1000000</f>
        <v>2.9324258458492296</v>
      </c>
      <c r="Q389" s="336">
        <f>Saldo_relativo_per_capita!Q389*Saldo_relativo_per_capita!Q$552/1000000</f>
        <v>11.038998682669188</v>
      </c>
      <c r="R389" s="336">
        <f>Saldo_relativo_per_capita!R389*Saldo_relativo_per_capita!R$552/1000000</f>
        <v>-3.2186783989430985E-2</v>
      </c>
      <c r="S389" s="336">
        <f>Saldo_relativo_per_capita!S389*Saldo_relativo_per_capita!S$552/1000000</f>
        <v>-1.1082428301617016</v>
      </c>
      <c r="T389" s="336">
        <f>Saldo_relativo_per_capita!T389*Saldo_relativo_per_capita!T$552/1000000</f>
        <v>-4.0162953228241971</v>
      </c>
      <c r="U389" s="336">
        <f>Saldo_relativo_per_capita!U389*Saldo_relativo_per_capita!U$552/1000000</f>
        <v>-8.178932124612566E-2</v>
      </c>
      <c r="V389" s="336">
        <f>Saldo_relativo_per_capita!V389*Saldo_relativo_per_capita!V$552/1000000</f>
        <v>1.0713123895460035</v>
      </c>
      <c r="W389" s="148"/>
    </row>
    <row r="390" spans="1:23" s="115" customFormat="1">
      <c r="A390" s="351" t="str">
        <f>IF(B390="","",(IF(ISERROR(MATCH(B390,Tot_res!C:C,0)),"Eliminar!!!","")))</f>
        <v/>
      </c>
      <c r="B390" s="115" t="s">
        <v>367</v>
      </c>
      <c r="C390" s="329" t="str">
        <f>VLOOKUP(B390,Tot_res!C:D,2,FALSE)</f>
        <v>Prestaciones de garantía salarial</v>
      </c>
      <c r="D390" s="336">
        <f>Saldo_relativo_per_capita!D390*Saldo_relativo_per_capita!D$552/1000000</f>
        <v>0</v>
      </c>
      <c r="E390" s="336">
        <f>Saldo_relativo_per_capita!E390*Saldo_relativo_per_capita!E$552/1000000</f>
        <v>-157.72928995828897</v>
      </c>
      <c r="F390" s="336">
        <f>Saldo_relativo_per_capita!F390*Saldo_relativo_per_capita!F$552/1000000</f>
        <v>3.3630275628699411</v>
      </c>
      <c r="G390" s="336">
        <f>Saldo_relativo_per_capita!G390*Saldo_relativo_per_capita!G$552/1000000</f>
        <v>4.0997287571345504</v>
      </c>
      <c r="H390" s="336">
        <f>Saldo_relativo_per_capita!H390*Saldo_relativo_per_capita!H$552/1000000</f>
        <v>1.4641973812345563</v>
      </c>
      <c r="I390" s="336">
        <f>Saldo_relativo_per_capita!I390*Saldo_relativo_per_capita!I$552/1000000</f>
        <v>-18.739525189073614</v>
      </c>
      <c r="J390" s="336">
        <f>Saldo_relativo_per_capita!J390*Saldo_relativo_per_capita!J$552/1000000</f>
        <v>-0.72241560612652211</v>
      </c>
      <c r="K390" s="336">
        <f>Saldo_relativo_per_capita!K390*Saldo_relativo_per_capita!K$552/1000000</f>
        <v>-30.726414448933227</v>
      </c>
      <c r="L390" s="336">
        <f>Saldo_relativo_per_capita!L390*Saldo_relativo_per_capita!L$552/1000000</f>
        <v>-33.760825548550876</v>
      </c>
      <c r="M390" s="336">
        <f>Saldo_relativo_per_capita!M390*Saldo_relativo_per_capita!M$552/1000000</f>
        <v>137.31084324372645</v>
      </c>
      <c r="N390" s="336">
        <f>Saldo_relativo_per_capita!N390*Saldo_relativo_per_capita!N$552/1000000</f>
        <v>143.51172542044969</v>
      </c>
      <c r="O390" s="336">
        <f>Saldo_relativo_per_capita!O390*Saldo_relativo_per_capita!O$552/1000000</f>
        <v>-19.753962120133799</v>
      </c>
      <c r="P390" s="336">
        <f>Saldo_relativo_per_capita!P390*Saldo_relativo_per_capita!P$552/1000000</f>
        <v>1.014647797695764</v>
      </c>
      <c r="Q390" s="336">
        <f>Saldo_relativo_per_capita!Q390*Saldo_relativo_per_capita!Q$552/1000000</f>
        <v>-2.4073200798930907</v>
      </c>
      <c r="R390" s="336">
        <f>Saldo_relativo_per_capita!R390*Saldo_relativo_per_capita!R$552/1000000</f>
        <v>10.70748211295194</v>
      </c>
      <c r="S390" s="336">
        <f>Saldo_relativo_per_capita!S390*Saldo_relativo_per_capita!S$552/1000000</f>
        <v>-5.7835513405912859</v>
      </c>
      <c r="T390" s="336">
        <f>Saldo_relativo_per_capita!T390*Saldo_relativo_per_capita!T$552/1000000</f>
        <v>-20.772843481359814</v>
      </c>
      <c r="U390" s="336">
        <f>Saldo_relativo_per_capita!U390*Saldo_relativo_per_capita!U$552/1000000</f>
        <v>-3.3178738463838164</v>
      </c>
      <c r="V390" s="336">
        <f>Saldo_relativo_per_capita!V390*Saldo_relativo_per_capita!V$552/1000000</f>
        <v>-7.757630656727561</v>
      </c>
      <c r="W390" s="148"/>
    </row>
    <row r="391" spans="1:23" s="115" customFormat="1">
      <c r="A391" s="351" t="str">
        <f>IF(B391="","",(IF(ISERROR(MATCH(B391,Tot_res!C:C,0)),"Eliminar!!!","")))</f>
        <v/>
      </c>
      <c r="B391" s="119" t="s">
        <v>368</v>
      </c>
      <c r="C391" s="329" t="str">
        <f>VLOOKUP(B391,Tot_res!C:D,2,FALSE)</f>
        <v>Prestaciones económicas por cese de actividad</v>
      </c>
      <c r="D391" s="336">
        <f>Saldo_relativo_per_capita!D391*Saldo_relativo_per_capita!D$552/1000000</f>
        <v>0</v>
      </c>
      <c r="E391" s="336">
        <f>Saldo_relativo_per_capita!E391*Saldo_relativo_per_capita!E$552/1000000</f>
        <v>-0.15707762341819798</v>
      </c>
      <c r="F391" s="336">
        <f>Saldo_relativo_per_capita!F391*Saldo_relativo_per_capita!F$552/1000000</f>
        <v>1.1323734029414181E-2</v>
      </c>
      <c r="G391" s="336">
        <f>Saldo_relativo_per_capita!G391*Saldo_relativo_per_capita!G$552/1000000</f>
        <v>1.5307492482013239E-3</v>
      </c>
      <c r="H391" s="336">
        <f>Saldo_relativo_per_capita!H391*Saldo_relativo_per_capita!H$552/1000000</f>
        <v>-2.4691484635386462E-2</v>
      </c>
      <c r="I391" s="336">
        <f>Saldo_relativo_per_capita!I391*Saldo_relativo_per_capita!I$552/1000000</f>
        <v>-7.0255893683814311E-2</v>
      </c>
      <c r="J391" s="336">
        <f>Saldo_relativo_per_capita!J391*Saldo_relativo_per_capita!J$552/1000000</f>
        <v>6.4421877555270873E-3</v>
      </c>
      <c r="K391" s="336">
        <f>Saldo_relativo_per_capita!K391*Saldo_relativo_per_capita!K$552/1000000</f>
        <v>-1.3558213573638822E-2</v>
      </c>
      <c r="L391" s="336">
        <f>Saldo_relativo_per_capita!L391*Saldo_relativo_per_capita!L$552/1000000</f>
        <v>-2.6710443487163432E-2</v>
      </c>
      <c r="M391" s="336">
        <f>Saldo_relativo_per_capita!M391*Saldo_relativo_per_capita!M$552/1000000</f>
        <v>-8.4502682159336373E-2</v>
      </c>
      <c r="N391" s="336">
        <f>Saldo_relativo_per_capita!N391*Saldo_relativo_per_capita!N$552/1000000</f>
        <v>-5.9027130871577606E-2</v>
      </c>
      <c r="O391" s="336">
        <f>Saldo_relativo_per_capita!O391*Saldo_relativo_per_capita!O$552/1000000</f>
        <v>-4.1144495610487331E-2</v>
      </c>
      <c r="P391" s="336">
        <f>Saldo_relativo_per_capita!P391*Saldo_relativo_per_capita!P$552/1000000</f>
        <v>0.5130988708101476</v>
      </c>
      <c r="Q391" s="336">
        <f>Saldo_relativo_per_capita!Q391*Saldo_relativo_per_capita!Q$552/1000000</f>
        <v>-3.2924178469110991E-2</v>
      </c>
      <c r="R391" s="336">
        <f>Saldo_relativo_per_capita!R391*Saldo_relativo_per_capita!R$552/1000000</f>
        <v>9.7594991413346485E-3</v>
      </c>
      <c r="S391" s="336">
        <f>Saldo_relativo_per_capita!S391*Saldo_relativo_per_capita!S$552/1000000</f>
        <v>1.0402874904251198E-3</v>
      </c>
      <c r="T391" s="336">
        <f>Saldo_relativo_per_capita!T391*Saldo_relativo_per_capita!T$552/1000000</f>
        <v>-2.6667787786584633E-2</v>
      </c>
      <c r="U391" s="336">
        <f>Saldo_relativo_per_capita!U391*Saldo_relativo_per_capita!U$552/1000000</f>
        <v>3.9393657911186768E-4</v>
      </c>
      <c r="V391" s="336">
        <f>Saldo_relativo_per_capita!V391*Saldo_relativo_per_capita!V$552/1000000</f>
        <v>-7.0293313588641534E-3</v>
      </c>
      <c r="W391" s="148"/>
    </row>
    <row r="392" spans="1:23" s="115" customFormat="1">
      <c r="A392" s="351" t="str">
        <f>IF(B392="","",(IF(ISERROR(MATCH(B392,Tot_res!C:C,0)),"Eliminar!!!","")))</f>
        <v/>
      </c>
      <c r="B392" s="119" t="s">
        <v>844</v>
      </c>
      <c r="C392" s="329" t="str">
        <f>VLOOKUP(B392,Tot_res!C:D,2,FALSE)</f>
        <v>Prestaciones a los desempleados, neto de renta y subsidio agrarios</v>
      </c>
      <c r="D392" s="336">
        <f>Saldo_relativo_per_capita!D392*Saldo_relativo_per_capita!D$552/1000000</f>
        <v>0</v>
      </c>
      <c r="E392" s="336">
        <f>Saldo_relativo_per_capita!E392*Saldo_relativo_per_capita!E$552/1000000</f>
        <v>-201.01903514838264</v>
      </c>
      <c r="F392" s="336">
        <f>Saldo_relativo_per_capita!F392*Saldo_relativo_per_capita!F$552/1000000</f>
        <v>-22.560212425076312</v>
      </c>
      <c r="G392" s="336">
        <f>Saldo_relativo_per_capita!G392*Saldo_relativo_per_capita!G$552/1000000</f>
        <v>-2.9208456075402531</v>
      </c>
      <c r="H392" s="336">
        <f>Saldo_relativo_per_capita!H392*Saldo_relativo_per_capita!H$552/1000000</f>
        <v>88.771339150829036</v>
      </c>
      <c r="I392" s="336">
        <f>Saldo_relativo_per_capita!I392*Saldo_relativo_per_capita!I$552/1000000</f>
        <v>104.21495054201296</v>
      </c>
      <c r="J392" s="336">
        <f>Saldo_relativo_per_capita!J392*Saldo_relativo_per_capita!J$552/1000000</f>
        <v>-7.8864177981634045</v>
      </c>
      <c r="K392" s="336">
        <f>Saldo_relativo_per_capita!K392*Saldo_relativo_per_capita!K$552/1000000</f>
        <v>-119.35332462791857</v>
      </c>
      <c r="L392" s="336">
        <f>Saldo_relativo_per_capita!L392*Saldo_relativo_per_capita!L$552/1000000</f>
        <v>42.464920939805111</v>
      </c>
      <c r="M392" s="336">
        <f>Saldo_relativo_per_capita!M392*Saldo_relativo_per_capita!M$552/1000000</f>
        <v>160.60215588773306</v>
      </c>
      <c r="N392" s="336">
        <f>Saldo_relativo_per_capita!N392*Saldo_relativo_per_capita!N$552/1000000</f>
        <v>53.771048246665956</v>
      </c>
      <c r="O392" s="336">
        <f>Saldo_relativo_per_capita!O392*Saldo_relativo_per_capita!O$552/1000000</f>
        <v>0.57193781448210579</v>
      </c>
      <c r="P392" s="336">
        <f>Saldo_relativo_per_capita!P392*Saldo_relativo_per_capita!P$552/1000000</f>
        <v>-43.132518156052861</v>
      </c>
      <c r="Q392" s="336">
        <f>Saldo_relativo_per_capita!Q392*Saldo_relativo_per_capita!Q$552/1000000</f>
        <v>68.803467782778753</v>
      </c>
      <c r="R392" s="336">
        <f>Saldo_relativo_per_capita!R392*Saldo_relativo_per_capita!R$552/1000000</f>
        <v>-32.709548274756827</v>
      </c>
      <c r="S392" s="336">
        <f>Saldo_relativo_per_capita!S392*Saldo_relativo_per_capita!S$552/1000000</f>
        <v>7.0973719980321972</v>
      </c>
      <c r="T392" s="336">
        <f>Saldo_relativo_per_capita!T392*Saldo_relativo_per_capita!T$552/1000000</f>
        <v>-69.275422604899632</v>
      </c>
      <c r="U392" s="336">
        <f>Saldo_relativo_per_capita!U392*Saldo_relativo_per_capita!U$552/1000000</f>
        <v>-2.9341429311415275</v>
      </c>
      <c r="V392" s="336">
        <f>Saldo_relativo_per_capita!V392*Saldo_relativo_per_capita!V$552/1000000</f>
        <v>-24.505724788403974</v>
      </c>
      <c r="W392" s="148"/>
    </row>
    <row r="393" spans="1:23" s="115" customFormat="1">
      <c r="A393" s="351" t="str">
        <f>IF(B393="","",(IF(ISERROR(MATCH(B393,Tot_res!C:C,0)),"Eliminar!!!","")))</f>
        <v/>
      </c>
      <c r="B393" s="115" t="s">
        <v>370</v>
      </c>
      <c r="C393" s="329" t="str">
        <f>VLOOKUP(B393,Tot_res!C:D,2,FALSE)</f>
        <v>Becas y ayudas a estudiantes + AF03/1</v>
      </c>
      <c r="D393" s="336">
        <f>Saldo_relativo_per_capita!D393*Saldo_relativo_per_capita!D$552/1000000</f>
        <v>0</v>
      </c>
      <c r="E393" s="336">
        <f>Saldo_relativo_per_capita!E393*Saldo_relativo_per_capita!E$552/1000000</f>
        <v>120.22894042824042</v>
      </c>
      <c r="F393" s="336">
        <f>Saldo_relativo_per_capita!F393*Saldo_relativo_per_capita!F$552/1000000</f>
        <v>-16.289480170784547</v>
      </c>
      <c r="G393" s="336">
        <f>Saldo_relativo_per_capita!G393*Saldo_relativo_per_capita!G$552/1000000</f>
        <v>-12.33661973685677</v>
      </c>
      <c r="H393" s="336">
        <f>Saldo_relativo_per_capita!H393*Saldo_relativo_per_capita!H$552/1000000</f>
        <v>-21.164741420530831</v>
      </c>
      <c r="I393" s="336">
        <f>Saldo_relativo_per_capita!I393*Saldo_relativo_per_capita!I$552/1000000</f>
        <v>9.4735528773670428</v>
      </c>
      <c r="J393" s="336">
        <f>Saldo_relativo_per_capita!J393*Saldo_relativo_per_capita!J$552/1000000</f>
        <v>-6.4141854383243881</v>
      </c>
      <c r="K393" s="336">
        <f>Saldo_relativo_per_capita!K393*Saldo_relativo_per_capita!K$552/1000000</f>
        <v>9.3320165790242005</v>
      </c>
      <c r="L393" s="336">
        <f>Saldo_relativo_per_capita!L393*Saldo_relativo_per_capita!L$552/1000000</f>
        <v>-11.94331847665233</v>
      </c>
      <c r="M393" s="336">
        <f>Saldo_relativo_per_capita!M393*Saldo_relativo_per_capita!M$552/1000000</f>
        <v>-82.41491806596494</v>
      </c>
      <c r="N393" s="336">
        <f>Saldo_relativo_per_capita!N393*Saldo_relativo_per_capita!N$552/1000000</f>
        <v>21.7935619900408</v>
      </c>
      <c r="O393" s="336">
        <f>Saldo_relativo_per_capita!O393*Saldo_relativo_per_capita!O$552/1000000</f>
        <v>14.431100111388751</v>
      </c>
      <c r="P393" s="336">
        <f>Saldo_relativo_per_capita!P393*Saldo_relativo_per_capita!P$552/1000000</f>
        <v>7.6208300319210611</v>
      </c>
      <c r="Q393" s="336">
        <f>Saldo_relativo_per_capita!Q393*Saldo_relativo_per_capita!Q$552/1000000</f>
        <v>-40.275341321052835</v>
      </c>
      <c r="R393" s="336">
        <f>Saldo_relativo_per_capita!R393*Saldo_relativo_per_capita!R$552/1000000</f>
        <v>15.257598255835855</v>
      </c>
      <c r="S393" s="336">
        <f>Saldo_relativo_per_capita!S393*Saldo_relativo_per_capita!S$552/1000000</f>
        <v>-3.4938435624508904E-4</v>
      </c>
      <c r="T393" s="336">
        <f>Saldo_relativo_per_capita!T393*Saldo_relativo_per_capita!T$552/1000000</f>
        <v>4.6437843972542447E-4</v>
      </c>
      <c r="U393" s="336">
        <f>Saldo_relativo_per_capita!U393*Saldo_relativo_per_capita!U$552/1000000</f>
        <v>-4.8753353252514326</v>
      </c>
      <c r="V393" s="336">
        <f>Saldo_relativo_per_capita!V393*Saldo_relativo_per_capita!V$552/1000000</f>
        <v>-2.4237753124831847</v>
      </c>
      <c r="W393" s="148"/>
    </row>
    <row r="394" spans="1:23" s="115" customFormat="1">
      <c r="A394" s="351" t="str">
        <f>IF(B394="","",(IF(ISERROR(MATCH(B394,Tot_res!C:C,0)),"Eliminar!!!","")))</f>
        <v/>
      </c>
      <c r="B394" s="119" t="s">
        <v>847</v>
      </c>
      <c r="C394" s="329" t="str">
        <f>VLOOKUP(B394,Tot_res!C:D,2,FALSE)</f>
        <v xml:space="preserve"> Gestión de la Deuda y de la Tesorería del Estado, indemnizaciones síndrome tóxico</v>
      </c>
      <c r="D394" s="336">
        <f>Saldo_relativo_per_capita!D394*Saldo_relativo_per_capita!D$552/1000000</f>
        <v>0</v>
      </c>
      <c r="E394" s="336">
        <f>Saldo_relativo_per_capita!E394*Saldo_relativo_per_capita!E$552/1000000</f>
        <v>-5.3673945297170261E-2</v>
      </c>
      <c r="F394" s="336">
        <f>Saldo_relativo_per_capita!F394*Saldo_relativo_per_capita!F$552/1000000</f>
        <v>-8.8073379516867695E-3</v>
      </c>
      <c r="G394" s="336">
        <f>Saldo_relativo_per_capita!G394*Saldo_relativo_per_capita!G$552/1000000</f>
        <v>-6.7017589000145294E-3</v>
      </c>
      <c r="H394" s="336">
        <f>Saldo_relativo_per_capita!H394*Saldo_relativo_per_capita!H$552/1000000</f>
        <v>-7.0842021150310944E-3</v>
      </c>
      <c r="I394" s="336">
        <f>Saldo_relativo_per_capita!I394*Saldo_relativo_per_capita!I$552/1000000</f>
        <v>-1.3617425434225986E-2</v>
      </c>
      <c r="J394" s="336">
        <f>Saldo_relativo_per_capita!J394*Saldo_relativo_per_capita!J$552/1000000</f>
        <v>-2.444105678727119E-3</v>
      </c>
      <c r="K394" s="336">
        <f>Saldo_relativo_per_capita!K394*Saldo_relativo_per_capita!K$552/1000000</f>
        <v>5.7716300081535853E-2</v>
      </c>
      <c r="L394" s="336">
        <f>Saldo_relativo_per_capita!L394*Saldo_relativo_per_capita!L$552/1000000</f>
        <v>1.7470406819824775E-3</v>
      </c>
      <c r="M394" s="336">
        <f>Saldo_relativo_per_capita!M394*Saldo_relativo_per_capita!M$552/1000000</f>
        <v>-5.0780820748991005E-2</v>
      </c>
      <c r="N394" s="336">
        <f>Saldo_relativo_per_capita!N394*Saldo_relativo_per_capita!N$552/1000000</f>
        <v>-3.0659283188225243E-2</v>
      </c>
      <c r="O394" s="336">
        <f>Saldo_relativo_per_capita!O394*Saldo_relativo_per_capita!O$552/1000000</f>
        <v>-4.5830720908319857E-3</v>
      </c>
      <c r="P394" s="336">
        <f>Saldo_relativo_per_capita!P394*Saldo_relativo_per_capita!P$552/1000000</f>
        <v>-1.7823021684301322E-2</v>
      </c>
      <c r="Q394" s="336">
        <f>Saldo_relativo_per_capita!Q394*Saldo_relativo_per_capita!Q$552/1000000</f>
        <v>0.16743183191813113</v>
      </c>
      <c r="R394" s="336">
        <f>Saldo_relativo_per_capita!R394*Saldo_relativo_per_capita!R$552/1000000</f>
        <v>-9.0382761650592402E-3</v>
      </c>
      <c r="S394" s="336">
        <f>Saldo_relativo_per_capita!S394*Saldo_relativo_per_capita!S$552/1000000</f>
        <v>-4.0939875371978577E-3</v>
      </c>
      <c r="T394" s="336">
        <f>Saldo_relativo_per_capita!T394*Saldo_relativo_per_capita!T$552/1000000</f>
        <v>-1.4428188120774992E-2</v>
      </c>
      <c r="U394" s="336">
        <f>Saldo_relativo_per_capita!U394*Saldo_relativo_per_capita!U$552/1000000</f>
        <v>-2.0050215009131981E-3</v>
      </c>
      <c r="V394" s="336">
        <f>Saldo_relativo_per_capita!V394*Saldo_relativo_per_capita!V$552/1000000</f>
        <v>-1.1547262684988441E-3</v>
      </c>
      <c r="W394" s="148"/>
    </row>
    <row r="395" spans="1:23" s="115" customFormat="1">
      <c r="A395" s="351" t="str">
        <f>IF(B395="","",(IF(ISERROR(MATCH(B395,Tot_res!C:C,0)),"Eliminar!!!","")))</f>
        <v/>
      </c>
      <c r="B395" s="115" t="s">
        <v>849</v>
      </c>
      <c r="C395" s="329" t="str">
        <f>VLOOKUP(B395,Tot_res!C:D,2,FALSE)</f>
        <v>Pensiones contributivas de la Seguridad Social</v>
      </c>
      <c r="D395" s="336">
        <f>Saldo_relativo_per_capita!D395*Saldo_relativo_per_capita!D$552/1000000</f>
        <v>0</v>
      </c>
      <c r="E395" s="336">
        <f>Saldo_relativo_per_capita!E395*Saldo_relativo_per_capita!E$552/1000000</f>
        <v>-3961.3411726478603</v>
      </c>
      <c r="F395" s="336">
        <f>Saldo_relativo_per_capita!F395*Saldo_relativo_per_capita!F$552/1000000</f>
        <v>548.56966575718366</v>
      </c>
      <c r="G395" s="336">
        <f>Saldo_relativo_per_capita!G395*Saldo_relativo_per_capita!G$552/1000000</f>
        <v>1765.6409040410326</v>
      </c>
      <c r="H395" s="336">
        <f>Saldo_relativo_per_capita!H395*Saldo_relativo_per_capita!H$552/1000000</f>
        <v>-652.67250156873479</v>
      </c>
      <c r="I395" s="336">
        <f>Saldo_relativo_per_capita!I395*Saldo_relativo_per_capita!I$552/1000000</f>
        <v>-1820.6023222444933</v>
      </c>
      <c r="J395" s="336">
        <f>Saldo_relativo_per_capita!J395*Saldo_relativo_per_capita!J$552/1000000</f>
        <v>313.45807592193142</v>
      </c>
      <c r="K395" s="336">
        <f>Saldo_relativo_per_capita!K395*Saldo_relativo_per_capita!K$552/1000000</f>
        <v>1172.9249531765145</v>
      </c>
      <c r="L395" s="336">
        <f>Saldo_relativo_per_capita!L395*Saldo_relativo_per_capita!L$552/1000000</f>
        <v>-928.24138948569544</v>
      </c>
      <c r="M395" s="336">
        <f>Saldo_relativo_per_capita!M395*Saldo_relativo_per_capita!M$552/1000000</f>
        <v>2804.6186103751247</v>
      </c>
      <c r="N395" s="336">
        <f>Saldo_relativo_per_capita!N395*Saldo_relativo_per_capita!N$552/1000000</f>
        <v>-1460.2787008713315</v>
      </c>
      <c r="O395" s="336">
        <f>Saldo_relativo_per_capita!O395*Saldo_relativo_per_capita!O$552/1000000</f>
        <v>-418.42590079794053</v>
      </c>
      <c r="P395" s="336">
        <f>Saldo_relativo_per_capita!P395*Saldo_relativo_per_capita!P$552/1000000</f>
        <v>1076.8245209141362</v>
      </c>
      <c r="Q395" s="336">
        <f>Saldo_relativo_per_capita!Q395*Saldo_relativo_per_capita!Q$552/1000000</f>
        <v>-114.9204790014481</v>
      </c>
      <c r="R395" s="336">
        <f>Saldo_relativo_per_capita!R395*Saldo_relativo_per_capita!R$552/1000000</f>
        <v>-985.10573609268567</v>
      </c>
      <c r="S395" s="336">
        <f>Saldo_relativo_per_capita!S395*Saldo_relativo_per_capita!S$552/1000000</f>
        <v>230.91922317129215</v>
      </c>
      <c r="T395" s="336">
        <f>Saldo_relativo_per_capita!T395*Saldo_relativo_per_capita!T$552/1000000</f>
        <v>2632.9503305071094</v>
      </c>
      <c r="U395" s="336">
        <f>Saldo_relativo_per_capita!U395*Saldo_relativo_per_capita!U$552/1000000</f>
        <v>14.818648844535524</v>
      </c>
      <c r="V395" s="336">
        <f>Saldo_relativo_per_capita!V395*Saldo_relativo_per_capita!V$552/1000000</f>
        <v>-219.13672999865335</v>
      </c>
      <c r="W395" s="148"/>
    </row>
    <row r="396" spans="1:23" s="115" customFormat="1">
      <c r="A396" s="351" t="str">
        <f>IF(B396="","",(IF(ISERROR(MATCH(B396,Tot_res!C:C,0)),"Eliminar!!!","")))</f>
        <v/>
      </c>
      <c r="B396" s="115" t="s">
        <v>850</v>
      </c>
      <c r="C396" s="329" t="str">
        <f>VLOOKUP(B396,Tot_res!C:D,2,FALSE)</f>
        <v>Otras prestaciones contributivas de la Seguridad Social + AF03/2</v>
      </c>
      <c r="D396" s="336">
        <f>Saldo_relativo_per_capita!D396*Saldo_relativo_per_capita!D$552/1000000</f>
        <v>0</v>
      </c>
      <c r="E396" s="336">
        <f>Saldo_relativo_per_capita!E396*Saldo_relativo_per_capita!E$552/1000000</f>
        <v>-105.59912933625655</v>
      </c>
      <c r="F396" s="336">
        <f>Saldo_relativo_per_capita!F396*Saldo_relativo_per_capita!F$552/1000000</f>
        <v>-2.0058882464816521</v>
      </c>
      <c r="G396" s="336">
        <f>Saldo_relativo_per_capita!G396*Saldo_relativo_per_capita!G$552/1000000</f>
        <v>19.301011924049451</v>
      </c>
      <c r="H396" s="336">
        <f>Saldo_relativo_per_capita!H396*Saldo_relativo_per_capita!H$552/1000000</f>
        <v>-18.126181269289098</v>
      </c>
      <c r="I396" s="336">
        <f>Saldo_relativo_per_capita!I396*Saldo_relativo_per_capita!I$552/1000000</f>
        <v>-41.873160787612662</v>
      </c>
      <c r="J396" s="336">
        <f>Saldo_relativo_per_capita!J396*Saldo_relativo_per_capita!J$552/1000000</f>
        <v>3.180567020118291</v>
      </c>
      <c r="K396" s="336">
        <f>Saldo_relativo_per_capita!K396*Saldo_relativo_per_capita!K$552/1000000</f>
        <v>-39.445565876921421</v>
      </c>
      <c r="L396" s="336">
        <f>Saldo_relativo_per_capita!L396*Saldo_relativo_per_capita!L$552/1000000</f>
        <v>-52.523024438824201</v>
      </c>
      <c r="M396" s="336">
        <f>Saldo_relativo_per_capita!M396*Saldo_relativo_per_capita!M$552/1000000</f>
        <v>53.979275661079015</v>
      </c>
      <c r="N396" s="336">
        <f>Saldo_relativo_per_capita!N396*Saldo_relativo_per_capita!N$552/1000000</f>
        <v>-96.23351271619515</v>
      </c>
      <c r="O396" s="336">
        <f>Saldo_relativo_per_capita!O396*Saldo_relativo_per_capita!O$552/1000000</f>
        <v>-10.199719993598078</v>
      </c>
      <c r="P396" s="336">
        <f>Saldo_relativo_per_capita!P396*Saldo_relativo_per_capita!P$552/1000000</f>
        <v>25.681113552351214</v>
      </c>
      <c r="Q396" s="336">
        <f>Saldo_relativo_per_capita!Q396*Saldo_relativo_per_capita!Q$552/1000000</f>
        <v>80.52961817066641</v>
      </c>
      <c r="R396" s="336">
        <f>Saldo_relativo_per_capita!R396*Saldo_relativo_per_capita!R$552/1000000</f>
        <v>8.8091615789854494</v>
      </c>
      <c r="S396" s="336">
        <f>Saldo_relativo_per_capita!S396*Saldo_relativo_per_capita!S$552/1000000</f>
        <v>20.138914193639025</v>
      </c>
      <c r="T396" s="336">
        <f>Saldo_relativo_per_capita!T396*Saldo_relativo_per_capita!T$552/1000000</f>
        <v>165.66071478291067</v>
      </c>
      <c r="U396" s="336">
        <f>Saldo_relativo_per_capita!U396*Saldo_relativo_per_capita!U$552/1000000</f>
        <v>-7.8572303911965902</v>
      </c>
      <c r="V396" s="336">
        <f>Saldo_relativo_per_capita!V396*Saldo_relativo_per_capita!V$552/1000000</f>
        <v>-3.4169638274243717</v>
      </c>
      <c r="W396" s="148"/>
    </row>
    <row r="397" spans="1:23" s="115" customFormat="1">
      <c r="A397" s="351" t="str">
        <f>IF(B397="","",(IF(ISERROR(MATCH(B397,Tot_res!C:C,0)),"Eliminar!!!","")))</f>
        <v/>
      </c>
      <c r="B397" s="115" t="s">
        <v>852</v>
      </c>
      <c r="C397" s="329" t="str">
        <f>VLOOKUP(B397,Tot_res!C:D,2,FALSE)</f>
        <v>Prestaciones económicas contributivas, Mutuas</v>
      </c>
      <c r="D397" s="336">
        <f>Saldo_relativo_per_capita!D397*Saldo_relativo_per_capita!D$552/1000000</f>
        <v>0</v>
      </c>
      <c r="E397" s="336">
        <f>Saldo_relativo_per_capita!E397*Saldo_relativo_per_capita!E$552/1000000</f>
        <v>-337.40613261013112</v>
      </c>
      <c r="F397" s="336">
        <f>Saldo_relativo_per_capita!F397*Saldo_relativo_per_capita!F$552/1000000</f>
        <v>1.5416222871959686</v>
      </c>
      <c r="G397" s="336">
        <f>Saldo_relativo_per_capita!G397*Saldo_relativo_per_capita!G$552/1000000</f>
        <v>-11.663214765058067</v>
      </c>
      <c r="H397" s="336">
        <f>Saldo_relativo_per_capita!H397*Saldo_relativo_per_capita!H$552/1000000</f>
        <v>5.1872489019153907</v>
      </c>
      <c r="I397" s="336">
        <f>Saldo_relativo_per_capita!I397*Saldo_relativo_per_capita!I$552/1000000</f>
        <v>-56.308751716193804</v>
      </c>
      <c r="J397" s="336">
        <f>Saldo_relativo_per_capita!J397*Saldo_relativo_per_capita!J$552/1000000</f>
        <v>4.021997941208082</v>
      </c>
      <c r="K397" s="336">
        <f>Saldo_relativo_per_capita!K397*Saldo_relativo_per_capita!K$552/1000000</f>
        <v>-51.02723869765731</v>
      </c>
      <c r="L397" s="336">
        <f>Saldo_relativo_per_capita!L397*Saldo_relativo_per_capita!L$552/1000000</f>
        <v>-33.329689511959437</v>
      </c>
      <c r="M397" s="336">
        <f>Saldo_relativo_per_capita!M397*Saldo_relativo_per_capita!M$552/1000000</f>
        <v>19.442160028525169</v>
      </c>
      <c r="N397" s="336">
        <f>Saldo_relativo_per_capita!N397*Saldo_relativo_per_capita!N$552/1000000</f>
        <v>-102.83479818935808</v>
      </c>
      <c r="O397" s="336">
        <f>Saldo_relativo_per_capita!O397*Saldo_relativo_per_capita!O$552/1000000</f>
        <v>-47.739486963788892</v>
      </c>
      <c r="P397" s="336">
        <f>Saldo_relativo_per_capita!P397*Saldo_relativo_per_capita!P$552/1000000</f>
        <v>-36.130459399286373</v>
      </c>
      <c r="Q397" s="336">
        <f>Saldo_relativo_per_capita!Q397*Saldo_relativo_per_capita!Q$552/1000000</f>
        <v>628.50624015062476</v>
      </c>
      <c r="R397" s="336">
        <f>Saldo_relativo_per_capita!R397*Saldo_relativo_per_capita!R$552/1000000</f>
        <v>-18.501342271269735</v>
      </c>
      <c r="S397" s="336">
        <f>Saldo_relativo_per_capita!S397*Saldo_relativo_per_capita!S$552/1000000</f>
        <v>12.018748076520044</v>
      </c>
      <c r="T397" s="336">
        <f>Saldo_relativo_per_capita!T397*Saldo_relativo_per_capita!T$552/1000000</f>
        <v>39.065179341072891</v>
      </c>
      <c r="U397" s="336">
        <f>Saldo_relativo_per_capita!U397*Saldo_relativo_per_capita!U$552/1000000</f>
        <v>-5.5308876256865442</v>
      </c>
      <c r="V397" s="336">
        <f>Saldo_relativo_per_capita!V397*Saldo_relativo_per_capita!V$552/1000000</f>
        <v>-9.3111949766738462</v>
      </c>
      <c r="W397" s="148"/>
    </row>
    <row r="398" spans="1:23" s="115" customFormat="1" ht="13.5">
      <c r="A398" s="351" t="str">
        <f>IF(B398="","",(IF(ISERROR(MATCH(B398,Tot_res!C:C,0)),"Eliminar!!!","")))</f>
        <v/>
      </c>
      <c r="B398" s="115" t="s">
        <v>854</v>
      </c>
      <c r="C398" s="329" t="str">
        <f>VLOOKUP(B398,Tot_res!C:D,2,FALSE)</f>
        <v>Pensiones no contributivas de la Seg Soc + AF03/3</v>
      </c>
      <c r="D398" s="336">
        <f>Saldo_relativo_per_capita!D398*Saldo_relativo_per_capita!D$552/1000000</f>
        <v>0</v>
      </c>
      <c r="E398" s="336">
        <f>Saldo_relativo_per_capita!E398*Saldo_relativo_per_capita!E$552/1000000</f>
        <v>107.15194390517195</v>
      </c>
      <c r="F398" s="336">
        <f>Saldo_relativo_per_capita!F398*Saldo_relativo_per_capita!F$552/1000000</f>
        <v>-26.715288378121045</v>
      </c>
      <c r="G398" s="336">
        <f>Saldo_relativo_per_capita!G398*Saldo_relativo_per_capita!G$552/1000000</f>
        <v>-5.0510647514671225</v>
      </c>
      <c r="H398" s="336">
        <f>Saldo_relativo_per_capita!H398*Saldo_relativo_per_capita!H$552/1000000</f>
        <v>-14.894480909118942</v>
      </c>
      <c r="I398" s="336">
        <f>Saldo_relativo_per_capita!I398*Saldo_relativo_per_capita!I$552/1000000</f>
        <v>117.48455438563317</v>
      </c>
      <c r="J398" s="336">
        <f>Saldo_relativo_per_capita!J398*Saldo_relativo_per_capita!J$552/1000000</f>
        <v>4.8210453977808392</v>
      </c>
      <c r="K398" s="336">
        <f>Saldo_relativo_per_capita!K398*Saldo_relativo_per_capita!K$552/1000000</f>
        <v>-8.4710196435202096</v>
      </c>
      <c r="L398" s="336">
        <f>Saldo_relativo_per_capita!L398*Saldo_relativo_per_capita!L$552/1000000</f>
        <v>0.2711009876106073</v>
      </c>
      <c r="M398" s="336">
        <f>Saldo_relativo_per_capita!M398*Saldo_relativo_per_capita!M$552/1000000</f>
        <v>-74.812882709313229</v>
      </c>
      <c r="N398" s="336">
        <f>Saldo_relativo_per_capita!N398*Saldo_relativo_per_capita!N$552/1000000</f>
        <v>-10.06442383000628</v>
      </c>
      <c r="O398" s="336">
        <f>Saldo_relativo_per_capita!O398*Saldo_relativo_per_capita!O$552/1000000</f>
        <v>19.197730449667162</v>
      </c>
      <c r="P398" s="336">
        <f>Saldo_relativo_per_capita!P398*Saldo_relativo_per_capita!P$552/1000000</f>
        <v>81.964026210386123</v>
      </c>
      <c r="Q398" s="336">
        <f>Saldo_relativo_per_capita!Q398*Saldo_relativo_per_capita!Q$552/1000000</f>
        <v>-133.23332815250771</v>
      </c>
      <c r="R398" s="336">
        <f>Saldo_relativo_per_capita!R398*Saldo_relativo_per_capita!R$552/1000000</f>
        <v>3.6818386712010263</v>
      </c>
      <c r="S398" s="336">
        <f>Saldo_relativo_per_capita!S398*Saldo_relativo_per_capita!S$552/1000000</f>
        <v>-18.114511546267888</v>
      </c>
      <c r="T398" s="336">
        <f>Saldo_relativo_per_capita!T398*Saldo_relativo_per_capita!T$552/1000000</f>
        <v>-52.279605017291338</v>
      </c>
      <c r="U398" s="336">
        <f>Saldo_relativo_per_capita!U398*Saldo_relativo_per_capita!U$552/1000000</f>
        <v>-6.3344442264075385</v>
      </c>
      <c r="V398" s="336">
        <f>Saldo_relativo_per_capita!V398*Saldo_relativo_per_capita!V$552/1000000</f>
        <v>15.398809156570966</v>
      </c>
      <c r="W398" s="219"/>
    </row>
    <row r="399" spans="1:23" s="115" customFormat="1">
      <c r="A399" s="351" t="str">
        <f>IF(B399="","",(IF(ISERROR(MATCH(B399,Tot_res!C:C,0)),"Eliminar!!!","")))</f>
        <v/>
      </c>
      <c r="B399" s="115" t="s">
        <v>856</v>
      </c>
      <c r="C399" s="329" t="str">
        <f>VLOOKUP(B399,Tot_res!C:D,2,FALSE)</f>
        <v>Protección familiar y otras prestaciones no contributivas de la Seg Social</v>
      </c>
      <c r="D399" s="336">
        <f>Saldo_relativo_per_capita!D399*Saldo_relativo_per_capita!D$552/1000000</f>
        <v>0</v>
      </c>
      <c r="E399" s="336">
        <f>Saldo_relativo_per_capita!E399*Saldo_relativo_per_capita!E$552/1000000</f>
        <v>35.148446987377021</v>
      </c>
      <c r="F399" s="336">
        <f>Saldo_relativo_per_capita!F399*Saldo_relativo_per_capita!F$552/1000000</f>
        <v>-5.6798329717179161</v>
      </c>
      <c r="G399" s="336">
        <f>Saldo_relativo_per_capita!G399*Saldo_relativo_per_capita!G$552/1000000</f>
        <v>11.204249548259023</v>
      </c>
      <c r="H399" s="336">
        <f>Saldo_relativo_per_capita!H399*Saldo_relativo_per_capita!H$552/1000000</f>
        <v>-13.575171317642594</v>
      </c>
      <c r="I399" s="336">
        <f>Saldo_relativo_per_capita!I399*Saldo_relativo_per_capita!I$552/1000000</f>
        <v>14.312351559592086</v>
      </c>
      <c r="J399" s="336">
        <f>Saldo_relativo_per_capita!J399*Saldo_relativo_per_capita!J$552/1000000</f>
        <v>1.8154474258802087</v>
      </c>
      <c r="K399" s="336">
        <f>Saldo_relativo_per_capita!K399*Saldo_relativo_per_capita!K$552/1000000</f>
        <v>16.549883775492493</v>
      </c>
      <c r="L399" s="336">
        <f>Saldo_relativo_per_capita!L399*Saldo_relativo_per_capita!L$552/1000000</f>
        <v>-0.97500995527981649</v>
      </c>
      <c r="M399" s="336">
        <f>Saldo_relativo_per_capita!M399*Saldo_relativo_per_capita!M$552/1000000</f>
        <v>-49.378050243450197</v>
      </c>
      <c r="N399" s="336">
        <f>Saldo_relativo_per_capita!N399*Saldo_relativo_per_capita!N$552/1000000</f>
        <v>1.699413378697703</v>
      </c>
      <c r="O399" s="336">
        <f>Saldo_relativo_per_capita!O399*Saldo_relativo_per_capita!O$552/1000000</f>
        <v>15.203726710199396</v>
      </c>
      <c r="P399" s="336">
        <f>Saldo_relativo_per_capita!P399*Saldo_relativo_per_capita!P$552/1000000</f>
        <v>15.726161613882736</v>
      </c>
      <c r="Q399" s="336">
        <f>Saldo_relativo_per_capita!Q399*Saldo_relativo_per_capita!Q$552/1000000</f>
        <v>-52.667572930687371</v>
      </c>
      <c r="R399" s="336">
        <f>Saldo_relativo_per_capita!R399*Saldo_relativo_per_capita!R$552/1000000</f>
        <v>16.985449861684494</v>
      </c>
      <c r="S399" s="336">
        <f>Saldo_relativo_per_capita!S399*Saldo_relativo_per_capita!S$552/1000000</f>
        <v>-2.7669240128133881</v>
      </c>
      <c r="T399" s="336">
        <f>Saldo_relativo_per_capita!T399*Saldo_relativo_per_capita!T$552/1000000</f>
        <v>-6.735054199219241</v>
      </c>
      <c r="U399" s="336">
        <f>Saldo_relativo_per_capita!U399*Saldo_relativo_per_capita!U$552/1000000</f>
        <v>-1.5744203337388905</v>
      </c>
      <c r="V399" s="336">
        <f>Saldo_relativo_per_capita!V399*Saldo_relativo_per_capita!V$552/1000000</f>
        <v>4.7069051034839822</v>
      </c>
      <c r="W399" s="148"/>
    </row>
    <row r="400" spans="1:23" s="115" customFormat="1">
      <c r="A400" s="351" t="str">
        <f>IF(B400="","",(IF(ISERROR(MATCH(B400,Tot_res!C:C,0)),"Eliminar!!!","")))</f>
        <v/>
      </c>
      <c r="B400" s="115" t="s">
        <v>373</v>
      </c>
      <c r="C400" s="329" t="str">
        <f>VLOOKUP(B400,Tot_res!C:D,2,FALSE)</f>
        <v xml:space="preserve"> Admón. y Servicios Generales prestaciones economicas</v>
      </c>
      <c r="D400" s="336">
        <f>Saldo_relativo_per_capita!D400*Saldo_relativo_per_capita!D$552/1000000</f>
        <v>0</v>
      </c>
      <c r="E400" s="336">
        <f>Saldo_relativo_per_capita!E400*Saldo_relativo_per_capita!E$552/1000000</f>
        <v>2.1879794911202426</v>
      </c>
      <c r="F400" s="336">
        <f>Saldo_relativo_per_capita!F400*Saldo_relativo_per_capita!F$552/1000000</f>
        <v>2.5732748235182901</v>
      </c>
      <c r="G400" s="336">
        <f>Saldo_relativo_per_capita!G400*Saldo_relativo_per_capita!G$552/1000000</f>
        <v>4.9240193066875895</v>
      </c>
      <c r="H400" s="336">
        <f>Saldo_relativo_per_capita!H400*Saldo_relativo_per_capita!H$552/1000000</f>
        <v>-1.6360947945946946</v>
      </c>
      <c r="I400" s="336">
        <f>Saldo_relativo_per_capita!I400*Saldo_relativo_per_capita!I$552/1000000</f>
        <v>-3.1524221489321147</v>
      </c>
      <c r="J400" s="336">
        <f>Saldo_relativo_per_capita!J400*Saldo_relativo_per_capita!J$552/1000000</f>
        <v>0.45245872536710269</v>
      </c>
      <c r="K400" s="336">
        <f>Saldo_relativo_per_capita!K400*Saldo_relativo_per_capita!K$552/1000000</f>
        <v>9.0614701661677763</v>
      </c>
      <c r="L400" s="336">
        <f>Saldo_relativo_per_capita!L400*Saldo_relativo_per_capita!L$552/1000000</f>
        <v>1.1564864454296131</v>
      </c>
      <c r="M400" s="336">
        <f>Saldo_relativo_per_capita!M400*Saldo_relativo_per_capita!M$552/1000000</f>
        <v>-9.0271686727787319</v>
      </c>
      <c r="N400" s="336">
        <f>Saldo_relativo_per_capita!N400*Saldo_relativo_per_capita!N$552/1000000</f>
        <v>-5.4540883963234297</v>
      </c>
      <c r="O400" s="336">
        <f>Saldo_relativo_per_capita!O400*Saldo_relativo_per_capita!O$552/1000000</f>
        <v>0.41249770507016914</v>
      </c>
      <c r="P400" s="336">
        <f>Saldo_relativo_per_capita!P400*Saldo_relativo_per_capita!P$552/1000000</f>
        <v>6.2920350380982084</v>
      </c>
      <c r="Q400" s="336">
        <f>Saldo_relativo_per_capita!Q400*Saldo_relativo_per_capita!Q$552/1000000</f>
        <v>-10.289713898512572</v>
      </c>
      <c r="R400" s="336">
        <f>Saldo_relativo_per_capita!R400*Saldo_relativo_per_capita!R$552/1000000</f>
        <v>-2.0462859392224071</v>
      </c>
      <c r="S400" s="336">
        <f>Saldo_relativo_per_capita!S400*Saldo_relativo_per_capita!S$552/1000000</f>
        <v>-0.36196310377240126</v>
      </c>
      <c r="T400" s="336">
        <f>Saldo_relativo_per_capita!T400*Saldo_relativo_per_capita!T$552/1000000</f>
        <v>2.7168064414246094</v>
      </c>
      <c r="U400" s="336">
        <f>Saldo_relativo_per_capita!U400*Saldo_relativo_per_capita!U$552/1000000</f>
        <v>1.2991724572624348</v>
      </c>
      <c r="V400" s="336">
        <f>Saldo_relativo_per_capita!V400*Saldo_relativo_per_capita!V$552/1000000</f>
        <v>0.8915363539903387</v>
      </c>
      <c r="W400" s="148"/>
    </row>
    <row r="401" spans="1:23">
      <c r="A401" s="352"/>
      <c r="C401" s="46"/>
      <c r="D401" s="39"/>
      <c r="E401" s="39"/>
      <c r="F401" s="39"/>
      <c r="G401" s="39"/>
      <c r="H401" s="39"/>
      <c r="I401" s="39"/>
      <c r="J401" s="39"/>
      <c r="K401" s="39"/>
      <c r="L401" s="39"/>
      <c r="M401" s="39"/>
      <c r="N401" s="39"/>
      <c r="O401" s="39"/>
      <c r="P401" s="39"/>
      <c r="Q401" s="39"/>
      <c r="R401" s="39"/>
      <c r="S401" s="39"/>
      <c r="T401" s="39"/>
      <c r="U401" s="39"/>
      <c r="V401" s="39"/>
      <c r="W401" s="35"/>
    </row>
    <row r="402" spans="1:23" s="115" customFormat="1" ht="13.5">
      <c r="A402" s="352"/>
      <c r="C402" s="112" t="s">
        <v>4</v>
      </c>
      <c r="D402" s="218">
        <f>Saldo_relativo_per_capita!D402*Saldo_relativo_per_capita!D$552/1000000</f>
        <v>0</v>
      </c>
      <c r="E402" s="218">
        <f>Saldo_relativo_per_capita!E402*Saldo_relativo_per_capita!E$552/1000000</f>
        <v>46.828264033589342</v>
      </c>
      <c r="F402" s="218">
        <f>Saldo_relativo_per_capita!F402*Saldo_relativo_per_capita!F$552/1000000</f>
        <v>-4.3254105079151346</v>
      </c>
      <c r="G402" s="218">
        <f>Saldo_relativo_per_capita!G402*Saldo_relativo_per_capita!G$552/1000000</f>
        <v>0.68330521733944383</v>
      </c>
      <c r="H402" s="218">
        <f>Saldo_relativo_per_capita!H402*Saldo_relativo_per_capita!H$552/1000000</f>
        <v>-10.235448612771181</v>
      </c>
      <c r="I402" s="218">
        <f>Saldo_relativo_per_capita!I402*Saldo_relativo_per_capita!I$552/1000000</f>
        <v>-31.455882012756582</v>
      </c>
      <c r="J402" s="218">
        <f>Saldo_relativo_per_capita!J402*Saldo_relativo_per_capita!J$552/1000000</f>
        <v>4.3273275772406326</v>
      </c>
      <c r="K402" s="218">
        <f>Saldo_relativo_per_capita!K402*Saldo_relativo_per_capita!K$552/1000000</f>
        <v>38.447970764115915</v>
      </c>
      <c r="L402" s="218">
        <f>Saldo_relativo_per_capita!L402*Saldo_relativo_per_capita!L$552/1000000</f>
        <v>12.37807559717621</v>
      </c>
      <c r="M402" s="218">
        <f>Saldo_relativo_per_capita!M402*Saldo_relativo_per_capita!M$552/1000000</f>
        <v>-17.814321086426229</v>
      </c>
      <c r="N402" s="218">
        <f>Saldo_relativo_per_capita!N402*Saldo_relativo_per_capita!N$552/1000000</f>
        <v>-73.321090562370998</v>
      </c>
      <c r="O402" s="218">
        <f>Saldo_relativo_per_capita!O402*Saldo_relativo_per_capita!O$552/1000000</f>
        <v>14.48007804372291</v>
      </c>
      <c r="P402" s="218">
        <f>Saldo_relativo_per_capita!P402*Saldo_relativo_per_capita!P$552/1000000</f>
        <v>1.1188388128430269</v>
      </c>
      <c r="Q402" s="218">
        <f>Saldo_relativo_per_capita!Q402*Saldo_relativo_per_capita!Q$552/1000000</f>
        <v>-18.783490569240506</v>
      </c>
      <c r="R402" s="218">
        <f>Saldo_relativo_per_capita!R402*Saldo_relativo_per_capita!R$552/1000000</f>
        <v>22.359607924541933</v>
      </c>
      <c r="S402" s="218">
        <f>Saldo_relativo_per_capita!S402*Saldo_relativo_per_capita!S$552/1000000</f>
        <v>-2.7641462990072987</v>
      </c>
      <c r="T402" s="218">
        <f>Saldo_relativo_per_capita!T402*Saldo_relativo_per_capita!T$552/1000000</f>
        <v>-1.3502795698181997</v>
      </c>
      <c r="U402" s="218">
        <f>Saldo_relativo_per_capita!U402*Saldo_relativo_per_capita!U$552/1000000</f>
        <v>4.5369772901589105</v>
      </c>
      <c r="V402" s="218">
        <f>Saldo_relativo_per_capita!V402*Saldo_relativo_per_capita!V$552/1000000</f>
        <v>14.889623959577687</v>
      </c>
      <c r="W402" s="148"/>
    </row>
    <row r="403" spans="1:23" s="115" customFormat="1">
      <c r="A403" s="351" t="str">
        <f>IF(B403="","",(IF(ISERROR(MATCH(B403,Tot_res!C:C,0)),"Eliminar!!!","")))</f>
        <v/>
      </c>
      <c r="B403" s="119" t="s">
        <v>374</v>
      </c>
      <c r="C403" s="329" t="str">
        <f>VLOOKUP(B403,Tot_res!C:D,2,FALSE)</f>
        <v xml:space="preserve">Acciones en favor de los emigrantes </v>
      </c>
      <c r="D403" s="336">
        <f>Saldo_relativo_per_capita!D403*Saldo_relativo_per_capita!D$552/1000000</f>
        <v>0</v>
      </c>
      <c r="E403" s="336">
        <f>Saldo_relativo_per_capita!E403*Saldo_relativo_per_capita!E$552/1000000</f>
        <v>0</v>
      </c>
      <c r="F403" s="336">
        <f>Saldo_relativo_per_capita!F403*Saldo_relativo_per_capita!F$552/1000000</f>
        <v>0</v>
      </c>
      <c r="G403" s="336">
        <f>Saldo_relativo_per_capita!G403*Saldo_relativo_per_capita!G$552/1000000</f>
        <v>0</v>
      </c>
      <c r="H403" s="336">
        <f>Saldo_relativo_per_capita!H403*Saldo_relativo_per_capita!H$552/1000000</f>
        <v>0</v>
      </c>
      <c r="I403" s="336">
        <f>Saldo_relativo_per_capita!I403*Saldo_relativo_per_capita!I$552/1000000</f>
        <v>0</v>
      </c>
      <c r="J403" s="336">
        <f>Saldo_relativo_per_capita!J403*Saldo_relativo_per_capita!J$552/1000000</f>
        <v>0</v>
      </c>
      <c r="K403" s="336">
        <f>Saldo_relativo_per_capita!K403*Saldo_relativo_per_capita!K$552/1000000</f>
        <v>0</v>
      </c>
      <c r="L403" s="336">
        <f>Saldo_relativo_per_capita!L403*Saldo_relativo_per_capita!L$552/1000000</f>
        <v>0</v>
      </c>
      <c r="M403" s="336">
        <f>Saldo_relativo_per_capita!M403*Saldo_relativo_per_capita!M$552/1000000</f>
        <v>0</v>
      </c>
      <c r="N403" s="336">
        <f>Saldo_relativo_per_capita!N403*Saldo_relativo_per_capita!N$552/1000000</f>
        <v>0</v>
      </c>
      <c r="O403" s="336">
        <f>Saldo_relativo_per_capita!O403*Saldo_relativo_per_capita!O$552/1000000</f>
        <v>0</v>
      </c>
      <c r="P403" s="336">
        <f>Saldo_relativo_per_capita!P403*Saldo_relativo_per_capita!P$552/1000000</f>
        <v>0</v>
      </c>
      <c r="Q403" s="336">
        <f>Saldo_relativo_per_capita!Q403*Saldo_relativo_per_capita!Q$552/1000000</f>
        <v>0</v>
      </c>
      <c r="R403" s="336">
        <f>Saldo_relativo_per_capita!R403*Saldo_relativo_per_capita!R$552/1000000</f>
        <v>0</v>
      </c>
      <c r="S403" s="336">
        <f>Saldo_relativo_per_capita!S403*Saldo_relativo_per_capita!S$552/1000000</f>
        <v>0</v>
      </c>
      <c r="T403" s="336">
        <f>Saldo_relativo_per_capita!T403*Saldo_relativo_per_capita!T$552/1000000</f>
        <v>0</v>
      </c>
      <c r="U403" s="336">
        <f>Saldo_relativo_per_capita!U403*Saldo_relativo_per_capita!U$552/1000000</f>
        <v>0</v>
      </c>
      <c r="V403" s="336">
        <f>Saldo_relativo_per_capita!V403*Saldo_relativo_per_capita!V$552/1000000</f>
        <v>0</v>
      </c>
      <c r="W403" s="148"/>
    </row>
    <row r="404" spans="1:23" s="115" customFormat="1">
      <c r="A404" s="351" t="str">
        <f>IF(B404="","",(IF(ISERROR(MATCH(B404,Tot_res!C:C,0)),"Eliminar!!!","")))</f>
        <v/>
      </c>
      <c r="B404" s="119" t="s">
        <v>375</v>
      </c>
      <c r="C404" s="329" t="str">
        <f>VLOOKUP(B404,Tot_res!C:D,2,FALSE)</f>
        <v>Otros servicios sociales del estado + AF19/1</v>
      </c>
      <c r="D404" s="336">
        <f>Saldo_relativo_per_capita!D404*Saldo_relativo_per_capita!D$552/1000000</f>
        <v>0</v>
      </c>
      <c r="E404" s="336">
        <f>Saldo_relativo_per_capita!E404*Saldo_relativo_per_capita!E$552/1000000</f>
        <v>-2.9229662387453694</v>
      </c>
      <c r="F404" s="336">
        <f>Saldo_relativo_per_capita!F404*Saldo_relativo_per_capita!F$552/1000000</f>
        <v>0.26843466853474723</v>
      </c>
      <c r="G404" s="336">
        <f>Saldo_relativo_per_capita!G404*Saldo_relativo_per_capita!G$552/1000000</f>
        <v>0.63183871299125782</v>
      </c>
      <c r="H404" s="336">
        <f>Saldo_relativo_per_capita!H404*Saldo_relativo_per_capita!H$552/1000000</f>
        <v>0.25568062790854251</v>
      </c>
      <c r="I404" s="336">
        <f>Saldo_relativo_per_capita!I404*Saldo_relativo_per_capita!I$552/1000000</f>
        <v>0.11728020558697108</v>
      </c>
      <c r="J404" s="336">
        <f>Saldo_relativo_per_capita!J404*Saldo_relativo_per_capita!J$552/1000000</f>
        <v>0.5109840386074469</v>
      </c>
      <c r="K404" s="336">
        <f>Saldo_relativo_per_capita!K404*Saldo_relativo_per_capita!K$552/1000000</f>
        <v>0.13778382070094017</v>
      </c>
      <c r="L404" s="336">
        <f>Saldo_relativo_per_capita!L404*Saldo_relativo_per_capita!L$552/1000000</f>
        <v>0.39126336350465213</v>
      </c>
      <c r="M404" s="336">
        <f>Saldo_relativo_per_capita!M404*Saldo_relativo_per_capita!M$552/1000000</f>
        <v>-4.3851828196533846</v>
      </c>
      <c r="N404" s="336">
        <f>Saldo_relativo_per_capita!N404*Saldo_relativo_per_capita!N$552/1000000</f>
        <v>-2.109781910430045</v>
      </c>
      <c r="O404" s="336">
        <f>Saldo_relativo_per_capita!O404*Saldo_relativo_per_capita!O$552/1000000</f>
        <v>1.1762565639607698</v>
      </c>
      <c r="P404" s="336">
        <f>Saldo_relativo_per_capita!P404*Saldo_relativo_per_capita!P$552/1000000</f>
        <v>5.9184541992234933E-2</v>
      </c>
      <c r="Q404" s="336">
        <f>Saldo_relativo_per_capita!Q404*Saldo_relativo_per_capita!Q$552/1000000</f>
        <v>-3.884564010709449</v>
      </c>
      <c r="R404" s="336">
        <f>Saldo_relativo_per_capita!R404*Saldo_relativo_per_capita!R$552/1000000</f>
        <v>0.51232626481831156</v>
      </c>
      <c r="S404" s="336">
        <f>Saldo_relativo_per_capita!S404*Saldo_relativo_per_capita!S$552/1000000</f>
        <v>0</v>
      </c>
      <c r="T404" s="336">
        <f>Saldo_relativo_per_capita!T404*Saldo_relativo_per_capita!T$552/1000000</f>
        <v>0</v>
      </c>
      <c r="U404" s="336">
        <f>Saldo_relativo_per_capita!U404*Saldo_relativo_per_capita!U$552/1000000</f>
        <v>0.93852952004801493</v>
      </c>
      <c r="V404" s="336">
        <f>Saldo_relativo_per_capita!V404*Saldo_relativo_per_capita!V$552/1000000</f>
        <v>8.3029326508843937</v>
      </c>
      <c r="W404" s="148"/>
    </row>
    <row r="405" spans="1:23" s="115" customFormat="1">
      <c r="A405" s="351" t="str">
        <f>IF(B405="","",(IF(ISERROR(MATCH(B405,Tot_res!C:C,0)),"Eliminar!!!","")))</f>
        <v/>
      </c>
      <c r="B405" s="119" t="s">
        <v>376</v>
      </c>
      <c r="C405" s="329" t="str">
        <f>VLOOKUP(B405,Tot_res!C:D,2,FALSE)</f>
        <v>Atención a la infancia y a las familias</v>
      </c>
      <c r="D405" s="336">
        <f>Saldo_relativo_per_capita!D405*Saldo_relativo_per_capita!D$552/1000000</f>
        <v>0</v>
      </c>
      <c r="E405" s="336">
        <f>Saldo_relativo_per_capita!E405*Saldo_relativo_per_capita!E$552/1000000</f>
        <v>0</v>
      </c>
      <c r="F405" s="336">
        <f>Saldo_relativo_per_capita!F405*Saldo_relativo_per_capita!F$552/1000000</f>
        <v>0</v>
      </c>
      <c r="G405" s="336">
        <f>Saldo_relativo_per_capita!G405*Saldo_relativo_per_capita!G$552/1000000</f>
        <v>0</v>
      </c>
      <c r="H405" s="336">
        <f>Saldo_relativo_per_capita!H405*Saldo_relativo_per_capita!H$552/1000000</f>
        <v>0</v>
      </c>
      <c r="I405" s="336">
        <f>Saldo_relativo_per_capita!I405*Saldo_relativo_per_capita!I$552/1000000</f>
        <v>0</v>
      </c>
      <c r="J405" s="336">
        <f>Saldo_relativo_per_capita!J405*Saldo_relativo_per_capita!J$552/1000000</f>
        <v>0</v>
      </c>
      <c r="K405" s="336">
        <f>Saldo_relativo_per_capita!K405*Saldo_relativo_per_capita!K$552/1000000</f>
        <v>0</v>
      </c>
      <c r="L405" s="336">
        <f>Saldo_relativo_per_capita!L405*Saldo_relativo_per_capita!L$552/1000000</f>
        <v>0</v>
      </c>
      <c r="M405" s="336">
        <f>Saldo_relativo_per_capita!M405*Saldo_relativo_per_capita!M$552/1000000</f>
        <v>0</v>
      </c>
      <c r="N405" s="336">
        <f>Saldo_relativo_per_capita!N405*Saldo_relativo_per_capita!N$552/1000000</f>
        <v>0</v>
      </c>
      <c r="O405" s="336">
        <f>Saldo_relativo_per_capita!O405*Saldo_relativo_per_capita!O$552/1000000</f>
        <v>0</v>
      </c>
      <c r="P405" s="336">
        <f>Saldo_relativo_per_capita!P405*Saldo_relativo_per_capita!P$552/1000000</f>
        <v>0</v>
      </c>
      <c r="Q405" s="336">
        <f>Saldo_relativo_per_capita!Q405*Saldo_relativo_per_capita!Q$552/1000000</f>
        <v>0</v>
      </c>
      <c r="R405" s="336">
        <f>Saldo_relativo_per_capita!R405*Saldo_relativo_per_capita!R$552/1000000</f>
        <v>0</v>
      </c>
      <c r="S405" s="336">
        <f>Saldo_relativo_per_capita!S405*Saldo_relativo_per_capita!S$552/1000000</f>
        <v>0</v>
      </c>
      <c r="T405" s="336">
        <f>Saldo_relativo_per_capita!T405*Saldo_relativo_per_capita!T$552/1000000</f>
        <v>0</v>
      </c>
      <c r="U405" s="336">
        <f>Saldo_relativo_per_capita!U405*Saldo_relativo_per_capita!U$552/1000000</f>
        <v>0</v>
      </c>
      <c r="V405" s="336">
        <f>Saldo_relativo_per_capita!V405*Saldo_relativo_per_capita!V$552/1000000</f>
        <v>0</v>
      </c>
      <c r="W405" s="148"/>
    </row>
    <row r="406" spans="1:23" s="115" customFormat="1">
      <c r="A406" s="351" t="str">
        <f>IF(B406="","",(IF(ISERROR(MATCH(B406,Tot_res!C:C,0)),"Eliminar!!!","")))</f>
        <v/>
      </c>
      <c r="B406" s="119" t="s">
        <v>377</v>
      </c>
      <c r="C406" s="329" t="str">
        <f>VLOOKUP(B406,Tot_res!C:D,2,FALSE)</f>
        <v>Acciones en favor de los inmigrantes</v>
      </c>
      <c r="D406" s="336">
        <f>Saldo_relativo_per_capita!D406*Saldo_relativo_per_capita!D$552/1000000</f>
        <v>0</v>
      </c>
      <c r="E406" s="336">
        <f>Saldo_relativo_per_capita!E406*Saldo_relativo_per_capita!E$552/1000000</f>
        <v>7.9104296888501979</v>
      </c>
      <c r="F406" s="336">
        <f>Saldo_relativo_per_capita!F406*Saldo_relativo_per_capita!F$552/1000000</f>
        <v>-0.46828550476588315</v>
      </c>
      <c r="G406" s="336">
        <f>Saldo_relativo_per_capita!G406*Saldo_relativo_per_capita!G$552/1000000</f>
        <v>-1.0056247141458066</v>
      </c>
      <c r="H406" s="336">
        <f>Saldo_relativo_per_capita!H406*Saldo_relativo_per_capita!H$552/1000000</f>
        <v>-0.6209499867341024</v>
      </c>
      <c r="I406" s="336">
        <f>Saldo_relativo_per_capita!I406*Saldo_relativo_per_capita!I$552/1000000</f>
        <v>-0.99761633057414467</v>
      </c>
      <c r="J406" s="336">
        <f>Saldo_relativo_per_capita!J406*Saldo_relativo_per_capita!J$552/1000000</f>
        <v>-0.6015765000177149</v>
      </c>
      <c r="K406" s="336">
        <f>Saldo_relativo_per_capita!K406*Saldo_relativo_per_capita!K$552/1000000</f>
        <v>-0.80269880224256707</v>
      </c>
      <c r="L406" s="336">
        <f>Saldo_relativo_per_capita!L406*Saldo_relativo_per_capita!L$552/1000000</f>
        <v>-1.0515074063645133</v>
      </c>
      <c r="M406" s="336">
        <f>Saldo_relativo_per_capita!M406*Saldo_relativo_per_capita!M$552/1000000</f>
        <v>-1.5053965103450015</v>
      </c>
      <c r="N406" s="336">
        <f>Saldo_relativo_per_capita!N406*Saldo_relativo_per_capita!N$552/1000000</f>
        <v>-2.6218660337852415</v>
      </c>
      <c r="O406" s="336">
        <f>Saldo_relativo_per_capita!O406*Saldo_relativo_per_capita!O$552/1000000</f>
        <v>-1.1223762430002238</v>
      </c>
      <c r="P406" s="336">
        <f>Saldo_relativo_per_capita!P406*Saldo_relativo_per_capita!P$552/1000000</f>
        <v>-2.6730246808688292</v>
      </c>
      <c r="Q406" s="336">
        <f>Saldo_relativo_per_capita!Q406*Saldo_relativo_per_capita!Q$552/1000000</f>
        <v>-8.9286392292859035E-2</v>
      </c>
      <c r="R406" s="336">
        <f>Saldo_relativo_per_capita!R406*Saldo_relativo_per_capita!R$552/1000000</f>
        <v>2.9741188333737663</v>
      </c>
      <c r="S406" s="336">
        <f>Saldo_relativo_per_capita!S406*Saldo_relativo_per_capita!S$552/1000000</f>
        <v>-0.46639322244056203</v>
      </c>
      <c r="T406" s="336">
        <f>Saldo_relativo_per_capita!T406*Saldo_relativo_per_capita!T$552/1000000</f>
        <v>-1.4259938883778305</v>
      </c>
      <c r="U406" s="336">
        <f>Saldo_relativo_per_capita!U406*Saldo_relativo_per_capita!U$552/1000000</f>
        <v>-0.26628435136747419</v>
      </c>
      <c r="V406" s="336">
        <f>Saldo_relativo_per_capita!V406*Saldo_relativo_per_capita!V$552/1000000</f>
        <v>4.8343320450987761</v>
      </c>
      <c r="W406" s="148"/>
    </row>
    <row r="407" spans="1:23" s="115" customFormat="1">
      <c r="A407" s="351" t="str">
        <f>IF(B407="","",(IF(ISERROR(MATCH(B407,Tot_res!C:C,0)),"Eliminar!!!","")))</f>
        <v/>
      </c>
      <c r="B407" s="119" t="s">
        <v>378</v>
      </c>
      <c r="C407" s="329" t="str">
        <f>VLOOKUP(B407,Tot_res!C:D,2,FALSE)</f>
        <v>Promoción y servicios a la juventud</v>
      </c>
      <c r="D407" s="336">
        <f>Saldo_relativo_per_capita!D407*Saldo_relativo_per_capita!D$552/1000000</f>
        <v>0</v>
      </c>
      <c r="E407" s="336">
        <f>Saldo_relativo_per_capita!E407*Saldo_relativo_per_capita!E$552/1000000</f>
        <v>-0.58878875360464111</v>
      </c>
      <c r="F407" s="336">
        <f>Saldo_relativo_per_capita!F407*Saldo_relativo_per_capita!F$552/1000000</f>
        <v>-1.4155554909879289E-2</v>
      </c>
      <c r="G407" s="336">
        <f>Saldo_relativo_per_capita!G407*Saldo_relativo_per_capita!G$552/1000000</f>
        <v>4.5308658427413114E-2</v>
      </c>
      <c r="H407" s="336">
        <f>Saldo_relativo_per_capita!H407*Saldo_relativo_per_capita!H$552/1000000</f>
        <v>-0.3793065372113868</v>
      </c>
      <c r="I407" s="336">
        <f>Saldo_relativo_per_capita!I407*Saldo_relativo_per_capita!I$552/1000000</f>
        <v>1.0558018563553491E-2</v>
      </c>
      <c r="J407" s="336">
        <f>Saldo_relativo_per_capita!J407*Saldo_relativo_per_capita!J$552/1000000</f>
        <v>2.0530400394166107E-2</v>
      </c>
      <c r="K407" s="336">
        <f>Saldo_relativo_per_capita!K407*Saldo_relativo_per_capita!K$552/1000000</f>
        <v>0.20279593889029471</v>
      </c>
      <c r="L407" s="336">
        <f>Saldo_relativo_per_capita!L407*Saldo_relativo_per_capita!L$552/1000000</f>
        <v>-0.1275465243759068</v>
      </c>
      <c r="M407" s="336">
        <f>Saldo_relativo_per_capita!M407*Saldo_relativo_per_capita!M$552/1000000</f>
        <v>-0.59552540034426982</v>
      </c>
      <c r="N407" s="336">
        <f>Saldo_relativo_per_capita!N407*Saldo_relativo_per_capita!N$552/1000000</f>
        <v>-2.3681144640443328E-2</v>
      </c>
      <c r="O407" s="336">
        <f>Saldo_relativo_per_capita!O407*Saldo_relativo_per_capita!O$552/1000000</f>
        <v>-1.2713783518972838E-2</v>
      </c>
      <c r="P407" s="336">
        <f>Saldo_relativo_per_capita!P407*Saldo_relativo_per_capita!P$552/1000000</f>
        <v>0.34233498356026248</v>
      </c>
      <c r="Q407" s="336">
        <f>Saldo_relativo_per_capita!Q407*Saldo_relativo_per_capita!Q$552/1000000</f>
        <v>1.146476916719932</v>
      </c>
      <c r="R407" s="336">
        <f>Saldo_relativo_per_capita!R407*Saldo_relativo_per_capita!R$552/1000000</f>
        <v>0.31367742452582847</v>
      </c>
      <c r="S407" s="336">
        <f>Saldo_relativo_per_capita!S407*Saldo_relativo_per_capita!S$552/1000000</f>
        <v>2.3572628067925976E-2</v>
      </c>
      <c r="T407" s="336">
        <f>Saldo_relativo_per_capita!T407*Saldo_relativo_per_capita!T$552/1000000</f>
        <v>-0.37611267548487365</v>
      </c>
      <c r="U407" s="336">
        <f>Saldo_relativo_per_capita!U407*Saldo_relativo_per_capita!U$552/1000000</f>
        <v>4.9724482769789219E-2</v>
      </c>
      <c r="V407" s="336">
        <f>Saldo_relativo_per_capita!V407*Saldo_relativo_per_capita!V$552/1000000</f>
        <v>-3.7149077828792391E-2</v>
      </c>
      <c r="W407" s="148"/>
    </row>
    <row r="408" spans="1:23" s="115" customFormat="1">
      <c r="A408" s="351" t="str">
        <f>IF(B408="","",(IF(ISERROR(MATCH(B408,Tot_res!C:C,0)),"Eliminar!!!","")))</f>
        <v/>
      </c>
      <c r="B408" s="115" t="s">
        <v>379</v>
      </c>
      <c r="C408" s="329" t="str">
        <f>VLOOKUP(B408,Tot_res!C:D,2,FALSE)</f>
        <v>Igualdad oportunidades entre mujeres y hombres</v>
      </c>
      <c r="D408" s="336">
        <f>Saldo_relativo_per_capita!D408*Saldo_relativo_per_capita!D$552/1000000</f>
        <v>0</v>
      </c>
      <c r="E408" s="336">
        <f>Saldo_relativo_per_capita!E408*Saldo_relativo_per_capita!E$552/1000000</f>
        <v>-0.7397778472681642</v>
      </c>
      <c r="F408" s="336">
        <f>Saldo_relativo_per_capita!F408*Saldo_relativo_per_capita!F$552/1000000</f>
        <v>7.7953441219895753E-2</v>
      </c>
      <c r="G408" s="336">
        <f>Saldo_relativo_per_capita!G408*Saldo_relativo_per_capita!G$552/1000000</f>
        <v>-0.1170453287346645</v>
      </c>
      <c r="H408" s="336">
        <f>Saldo_relativo_per_capita!H408*Saldo_relativo_per_capita!H$552/1000000</f>
        <v>-0.29441196830598154</v>
      </c>
      <c r="I408" s="336">
        <f>Saldo_relativo_per_capita!I408*Saldo_relativo_per_capita!I$552/1000000</f>
        <v>-0.38005749622076263</v>
      </c>
      <c r="J408" s="336">
        <f>Saldo_relativo_per_capita!J408*Saldo_relativo_per_capita!J$552/1000000</f>
        <v>0.27560373625641288</v>
      </c>
      <c r="K408" s="336">
        <f>Saldo_relativo_per_capita!K408*Saldo_relativo_per_capita!K$552/1000000</f>
        <v>0.18372993906098853</v>
      </c>
      <c r="L408" s="336">
        <f>Saldo_relativo_per_capita!L408*Saldo_relativo_per_capita!L$552/1000000</f>
        <v>0.4118412320614428</v>
      </c>
      <c r="M408" s="336">
        <f>Saldo_relativo_per_capita!M408*Saldo_relativo_per_capita!M$552/1000000</f>
        <v>-0.62984374556042133</v>
      </c>
      <c r="N408" s="336">
        <f>Saldo_relativo_per_capita!N408*Saldo_relativo_per_capita!N$552/1000000</f>
        <v>-7.4470659643034703E-2</v>
      </c>
      <c r="O408" s="336">
        <f>Saldo_relativo_per_capita!O408*Saldo_relativo_per_capita!O$552/1000000</f>
        <v>0.2275337061821123</v>
      </c>
      <c r="P408" s="336">
        <f>Saldo_relativo_per_capita!P408*Saldo_relativo_per_capita!P$552/1000000</f>
        <v>-4.8429716545299858E-2</v>
      </c>
      <c r="Q408" s="336">
        <f>Saldo_relativo_per_capita!Q408*Saldo_relativo_per_capita!Q$552/1000000</f>
        <v>1.2275463561402293</v>
      </c>
      <c r="R408" s="336">
        <f>Saldo_relativo_per_capita!R408*Saldo_relativo_per_capita!R$552/1000000</f>
        <v>0.143654032556079</v>
      </c>
      <c r="S408" s="336">
        <f>Saldo_relativo_per_capita!S408*Saldo_relativo_per_capita!S$552/1000000</f>
        <v>-4.9268451580374732E-2</v>
      </c>
      <c r="T408" s="336">
        <f>Saldo_relativo_per_capita!T408*Saldo_relativo_per_capita!T$552/1000000</f>
        <v>-0.40069926761956082</v>
      </c>
      <c r="U408" s="336">
        <f>Saldo_relativo_per_capita!U408*Saldo_relativo_per_capita!U$552/1000000</f>
        <v>-6.7791078736720314E-2</v>
      </c>
      <c r="V408" s="336">
        <f>Saldo_relativo_per_capita!V408*Saldo_relativo_per_capita!V$552/1000000</f>
        <v>0.25393311673782398</v>
      </c>
      <c r="W408" s="148"/>
    </row>
    <row r="409" spans="1:23" s="115" customFormat="1">
      <c r="A409" s="351" t="str">
        <f>IF(B409="","",(IF(ISERROR(MATCH(B409,Tot_res!C:C,0)),"Eliminar!!!","")))</f>
        <v/>
      </c>
      <c r="B409" s="115" t="s">
        <v>380</v>
      </c>
      <c r="C409" s="329" t="str">
        <f>VLOOKUP(B409,Tot_res!C:D,2,FALSE)</f>
        <v>Actuaciones para la prevención integral de la violencia de género + AF19/2</v>
      </c>
      <c r="D409" s="336">
        <f>Saldo_relativo_per_capita!D409*Saldo_relativo_per_capita!D$552/1000000</f>
        <v>0</v>
      </c>
      <c r="E409" s="336">
        <f>Saldo_relativo_per_capita!E409*Saldo_relativo_per_capita!E$552/1000000</f>
        <v>-0.25888515491150405</v>
      </c>
      <c r="F409" s="336">
        <f>Saldo_relativo_per_capita!F409*Saldo_relativo_per_capita!F$552/1000000</f>
        <v>0.32549855969003044</v>
      </c>
      <c r="G409" s="336">
        <f>Saldo_relativo_per_capita!G409*Saldo_relativo_per_capita!G$552/1000000</f>
        <v>-1.4708075390479568E-2</v>
      </c>
      <c r="H409" s="336">
        <f>Saldo_relativo_per_capita!H409*Saldo_relativo_per_capita!H$552/1000000</f>
        <v>0.34283966206937933</v>
      </c>
      <c r="I409" s="336">
        <f>Saldo_relativo_per_capita!I409*Saldo_relativo_per_capita!I$552/1000000</f>
        <v>0.58012701299493519</v>
      </c>
      <c r="J409" s="336">
        <f>Saldo_relativo_per_capita!J409*Saldo_relativo_per_capita!J$552/1000000</f>
        <v>0.13885030114970356</v>
      </c>
      <c r="K409" s="336">
        <f>Saldo_relativo_per_capita!K409*Saldo_relativo_per_capita!K$552/1000000</f>
        <v>-0.20309153910684752</v>
      </c>
      <c r="L409" s="336">
        <f>Saldo_relativo_per_capita!L409*Saldo_relativo_per_capita!L$552/1000000</f>
        <v>-0.12126156800682085</v>
      </c>
      <c r="M409" s="336">
        <f>Saldo_relativo_per_capita!M409*Saldo_relativo_per_capita!M$552/1000000</f>
        <v>-1.375814174378271</v>
      </c>
      <c r="N409" s="336">
        <f>Saldo_relativo_per_capita!N409*Saldo_relativo_per_capita!N$552/1000000</f>
        <v>9.0539458292950625E-2</v>
      </c>
      <c r="O409" s="336">
        <f>Saldo_relativo_per_capita!O409*Saldo_relativo_per_capita!O$552/1000000</f>
        <v>0.60981158478954312</v>
      </c>
      <c r="P409" s="336">
        <f>Saldo_relativo_per_capita!P409*Saldo_relativo_per_capita!P$552/1000000</f>
        <v>0.43483107810140476</v>
      </c>
      <c r="Q409" s="336">
        <f>Saldo_relativo_per_capita!Q409*Saldo_relativo_per_capita!Q$552/1000000</f>
        <v>-1.0528431050647111</v>
      </c>
      <c r="R409" s="336">
        <f>Saldo_relativo_per_capita!R409*Saldo_relativo_per_capita!R$552/1000000</f>
        <v>8.8056475818530794E-2</v>
      </c>
      <c r="S409" s="336">
        <f>Saldo_relativo_per_capita!S409*Saldo_relativo_per_capita!S$552/1000000</f>
        <v>0</v>
      </c>
      <c r="T409" s="336">
        <f>Saldo_relativo_per_capita!T409*Saldo_relativo_per_capita!T$552/1000000</f>
        <v>0</v>
      </c>
      <c r="U409" s="336">
        <f>Saldo_relativo_per_capita!U409*Saldo_relativo_per_capita!U$552/1000000</f>
        <v>0.16084379507178553</v>
      </c>
      <c r="V409" s="336">
        <f>Saldo_relativo_per_capita!V409*Saldo_relativo_per_capita!V$552/1000000</f>
        <v>0.25520568888037093</v>
      </c>
      <c r="W409" s="148"/>
    </row>
    <row r="410" spans="1:23" s="115" customFormat="1">
      <c r="A410" s="351" t="str">
        <f>IF(B410="","",(IF(ISERROR(MATCH(B410,Tot_res!C:C,0)),"Eliminar!!!","")))</f>
        <v/>
      </c>
      <c r="B410" s="115" t="s">
        <v>865</v>
      </c>
      <c r="C410" s="329" t="str">
        <f>VLOOKUP(B410,Tot_res!C:D,2,FALSE)</f>
        <v>Servicios Sociales Generales, neto de gasto directo del Estado en Ceuta y Melilla + AF19/3</v>
      </c>
      <c r="D410" s="336">
        <f>Saldo_relativo_per_capita!D410*Saldo_relativo_per_capita!D$552/1000000</f>
        <v>0</v>
      </c>
      <c r="E410" s="336">
        <f>Saldo_relativo_per_capita!E410*Saldo_relativo_per_capita!E$552/1000000</f>
        <v>43.136900069966877</v>
      </c>
      <c r="F410" s="336">
        <f>Saldo_relativo_per_capita!F410*Saldo_relativo_per_capita!F$552/1000000</f>
        <v>-4.6956261697976789</v>
      </c>
      <c r="G410" s="336">
        <f>Saldo_relativo_per_capita!G410*Saldo_relativo_per_capita!G$552/1000000</f>
        <v>5.0082739338470239E-2</v>
      </c>
      <c r="H410" s="336">
        <f>Saldo_relativo_per_capita!H410*Saldo_relativo_per_capita!H$552/1000000</f>
        <v>-9.8230413507281433</v>
      </c>
      <c r="I410" s="336">
        <f>Saldo_relativo_per_capita!I410*Saldo_relativo_per_capita!I$552/1000000</f>
        <v>-30.792905387467105</v>
      </c>
      <c r="J410" s="336">
        <f>Saldo_relativo_per_capita!J410*Saldo_relativo_per_capita!J$552/1000000</f>
        <v>3.4657545033355581</v>
      </c>
      <c r="K410" s="336">
        <f>Saldo_relativo_per_capita!K410*Saldo_relativo_per_capita!K$552/1000000</f>
        <v>39.020239156384896</v>
      </c>
      <c r="L410" s="336">
        <f>Saldo_relativo_per_capita!L410*Saldo_relativo_per_capita!L$552/1000000</f>
        <v>13.409434839695642</v>
      </c>
      <c r="M410" s="336">
        <f>Saldo_relativo_per_capita!M410*Saldo_relativo_per_capita!M$552/1000000</f>
        <v>-8.2843807250174866</v>
      </c>
      <c r="N410" s="336">
        <f>Saldo_relativo_per_capita!N410*Saldo_relativo_per_capita!N$552/1000000</f>
        <v>-67.214403214434398</v>
      </c>
      <c r="O410" s="336">
        <f>Saldo_relativo_per_capita!O410*Saldo_relativo_per_capita!O$552/1000000</f>
        <v>13.625931074253264</v>
      </c>
      <c r="P410" s="336">
        <f>Saldo_relativo_per_capita!P410*Saldo_relativo_per_capita!P$552/1000000</f>
        <v>2.8660513574050008</v>
      </c>
      <c r="Q410" s="336">
        <f>Saldo_relativo_per_capita!Q410*Saldo_relativo_per_capita!Q$552/1000000</f>
        <v>-14.945162589715196</v>
      </c>
      <c r="R410" s="336">
        <f>Saldo_relativo_per_capita!R410*Saldo_relativo_per_capita!R$552/1000000</f>
        <v>17.842139838751759</v>
      </c>
      <c r="S410" s="336">
        <f>Saldo_relativo_per_capita!S410*Saldo_relativo_per_capita!S$552/1000000</f>
        <v>-2.2434812451797419</v>
      </c>
      <c r="T410" s="336">
        <f>Saldo_relativo_per_capita!T410*Saldo_relativo_per_capita!T$552/1000000</f>
        <v>3.9119430963057714E-2</v>
      </c>
      <c r="U410" s="336">
        <f>Saldo_relativo_per_capita!U410*Saldo_relativo_per_capita!U$552/1000000</f>
        <v>3.7775121067643416</v>
      </c>
      <c r="V410" s="336">
        <f>Saldo_relativo_per_capita!V410*Saldo_relativo_per_capita!V$552/1000000</f>
        <v>0.76583556548056775</v>
      </c>
      <c r="W410" s="148"/>
    </row>
    <row r="411" spans="1:23" s="115" customFormat="1">
      <c r="A411" s="351" t="str">
        <f>IF(B411="","",(IF(ISERROR(MATCH(B411,Tot_res!C:C,0)),"Eliminar!!!","")))</f>
        <v/>
      </c>
      <c r="B411" s="115" t="s">
        <v>867</v>
      </c>
      <c r="C411" s="329" t="str">
        <f>VLOOKUP(B411,Tot_res!C:D,2,FALSE)</f>
        <v>Otros Servicios Sociales, ISM</v>
      </c>
      <c r="D411" s="336">
        <f>Saldo_relativo_per_capita!D411*Saldo_relativo_per_capita!D$552/1000000</f>
        <v>0</v>
      </c>
      <c r="E411" s="336">
        <f>Saldo_relativo_per_capita!E411*Saldo_relativo_per_capita!E$552/1000000</f>
        <v>-0.11219605482360222</v>
      </c>
      <c r="F411" s="336">
        <f>Saldo_relativo_per_capita!F411*Saldo_relativo_per_capita!F$552/1000000</f>
        <v>-1.8184480300897723E-2</v>
      </c>
      <c r="G411" s="336">
        <f>Saldo_relativo_per_capita!G411*Saldo_relativo_per_capita!G$552/1000000</f>
        <v>-1.1740095562693662E-2</v>
      </c>
      <c r="H411" s="336">
        <f>Saldo_relativo_per_capita!H411*Saldo_relativo_per_capita!H$552/1000000</f>
        <v>-1.518969804029249E-2</v>
      </c>
      <c r="I411" s="336">
        <f>Saldo_relativo_per_capita!I411*Saldo_relativo_per_capita!I$552/1000000</f>
        <v>-2.8929711802592933E-2</v>
      </c>
      <c r="J411" s="336">
        <f>Saldo_relativo_per_capita!J411*Saldo_relativo_per_capita!J$552/1000000</f>
        <v>-7.1434012688242213E-3</v>
      </c>
      <c r="K411" s="336">
        <f>Saldo_relativo_per_capita!K411*Saldo_relativo_per_capita!K$552/1000000</f>
        <v>-3.417007682514113E-2</v>
      </c>
      <c r="L411" s="336">
        <f>Saldo_relativo_per_capita!L411*Saldo_relativo_per_capita!L$552/1000000</f>
        <v>-2.8466581426834722E-2</v>
      </c>
      <c r="M411" s="336">
        <f>Saldo_relativo_per_capita!M411*Saldo_relativo_per_capita!M$552/1000000</f>
        <v>-0.10096774084130578</v>
      </c>
      <c r="N411" s="336">
        <f>Saldo_relativo_per_capita!N411*Saldo_relativo_per_capita!N$552/1000000</f>
        <v>-6.7764696977433925E-2</v>
      </c>
      <c r="O411" s="336">
        <f>Saldo_relativo_per_capita!O411*Saldo_relativo_per_capita!O$552/1000000</f>
        <v>-1.5084494610263901E-2</v>
      </c>
      <c r="P411" s="336">
        <f>Saldo_relativo_per_capita!P411*Saldo_relativo_per_capita!P$552/1000000</f>
        <v>2.4163586126915303E-3</v>
      </c>
      <c r="Q411" s="336">
        <f>Saldo_relativo_per_capita!Q411*Saldo_relativo_per_capita!Q$552/1000000</f>
        <v>-2.4148361776555841E-2</v>
      </c>
      <c r="R411" s="336">
        <f>Saldo_relativo_per_capita!R411*Saldo_relativo_per_capita!R$552/1000000</f>
        <v>-2.0185588233551127E-2</v>
      </c>
      <c r="S411" s="336">
        <f>Saldo_relativo_per_capita!S411*Saldo_relativo_per_capita!S$552/1000000</f>
        <v>-8.8146467420226523E-3</v>
      </c>
      <c r="T411" s="336">
        <f>Saldo_relativo_per_capita!T411*Saldo_relativo_per_capita!T$552/1000000</f>
        <v>-2.8877842953760034E-2</v>
      </c>
      <c r="U411" s="336">
        <f>Saldo_relativo_per_capita!U411*Saldo_relativo_per_capita!U$552/1000000</f>
        <v>-4.3758283865311474E-3</v>
      </c>
      <c r="V411" s="336">
        <f>Saldo_relativo_per_capita!V411*Saldo_relativo_per_capita!V$552/1000000</f>
        <v>0.52382294195961188</v>
      </c>
      <c r="W411" s="148"/>
    </row>
    <row r="412" spans="1:23" s="115" customFormat="1">
      <c r="A412" s="351" t="str">
        <f>IF(B412="","",(IF(ISERROR(MATCH(B412,Tot_res!C:C,0)),"Eliminar!!!","")))</f>
        <v/>
      </c>
      <c r="B412" s="115" t="s">
        <v>868</v>
      </c>
      <c r="C412" s="329" t="str">
        <f>VLOOKUP(B412,Tot_res!C:D,2,FALSE)</f>
        <v>Otros Servicios Sociales, Mutuas</v>
      </c>
      <c r="D412" s="336">
        <f>Saldo_relativo_per_capita!D412*Saldo_relativo_per_capita!D$552/1000000</f>
        <v>0</v>
      </c>
      <c r="E412" s="336">
        <f>Saldo_relativo_per_capita!E412*Saldo_relativo_per_capita!E$552/1000000</f>
        <v>-1.0183892930704195</v>
      </c>
      <c r="F412" s="336">
        <f>Saldo_relativo_per_capita!F412*Saldo_relativo_per_capita!F$552/1000000</f>
        <v>0.57532570357581159</v>
      </c>
      <c r="G412" s="336">
        <f>Saldo_relativo_per_capita!G412*Saldo_relativo_per_capita!G$552/1000000</f>
        <v>0.11466611179034904</v>
      </c>
      <c r="H412" s="336">
        <f>Saldo_relativo_per_capita!H412*Saldo_relativo_per_capita!H$552/1000000</f>
        <v>-1.3343080276691151E-2</v>
      </c>
      <c r="I412" s="336">
        <f>Saldo_relativo_per_capita!I412*Saldo_relativo_per_capita!I$552/1000000</f>
        <v>-0.23166866446632542</v>
      </c>
      <c r="J412" s="336">
        <f>Saldo_relativo_per_capita!J412*Saldo_relativo_per_capita!J$552/1000000</f>
        <v>-0.12230097184490918</v>
      </c>
      <c r="K412" s="336">
        <f>Saldo_relativo_per_capita!K412*Saldo_relativo_per_capita!K$552/1000000</f>
        <v>8.2948476757850054E-2</v>
      </c>
      <c r="L412" s="336">
        <f>Saldo_relativo_per_capita!L412*Saldo_relativo_per_capita!L$552/1000000</f>
        <v>-0.31482202017846267</v>
      </c>
      <c r="M412" s="336">
        <f>Saldo_relativo_per_capita!M412*Saldo_relativo_per_capita!M$552/1000000</f>
        <v>0.59741361182224395</v>
      </c>
      <c r="N412" s="336">
        <f>Saldo_relativo_per_capita!N412*Saldo_relativo_per_capita!N$552/1000000</f>
        <v>-0.14009024836338863</v>
      </c>
      <c r="O412" s="336">
        <f>Saldo_relativo_per_capita!O412*Saldo_relativo_per_capita!O$552/1000000</f>
        <v>-7.021993057501294E-2</v>
      </c>
      <c r="P412" s="336">
        <f>Saldo_relativo_per_capita!P412*Saldo_relativo_per_capita!P$552/1000000</f>
        <v>-3.4470257843031156E-2</v>
      </c>
      <c r="Q412" s="336">
        <f>Saldo_relativo_per_capita!Q412*Saldo_relativo_per_capita!Q$552/1000000</f>
        <v>0.64231239627455305</v>
      </c>
      <c r="R412" s="336">
        <f>Saldo_relativo_per_capita!R412*Saldo_relativo_per_capita!R$552/1000000</f>
        <v>-0.30458319032009978</v>
      </c>
      <c r="S412" s="336">
        <f>Saldo_relativo_per_capita!S412*Saldo_relativo_per_capita!S$552/1000000</f>
        <v>5.9465726458234218E-2</v>
      </c>
      <c r="T412" s="336">
        <f>Saldo_relativo_per_capita!T412*Saldo_relativo_per_capita!T$552/1000000</f>
        <v>0.25903729605805215</v>
      </c>
      <c r="U412" s="336">
        <f>Saldo_relativo_per_capita!U412*Saldo_relativo_per_capita!U$552/1000000</f>
        <v>7.689075776616614E-3</v>
      </c>
      <c r="V412" s="336">
        <f>Saldo_relativo_per_capita!V412*Saldo_relativo_per_capita!V$552/1000000</f>
        <v>-8.8970741575375392E-2</v>
      </c>
      <c r="W412" s="216"/>
    </row>
    <row r="413" spans="1:23" s="115" customFormat="1">
      <c r="A413" s="351" t="str">
        <f>IF(B413="","",(IF(ISERROR(MATCH(B413,Tot_res!C:C,0)),"Eliminar!!!","")))</f>
        <v/>
      </c>
      <c r="B413" s="115" t="s">
        <v>870</v>
      </c>
      <c r="C413" s="329" t="str">
        <f>VLOOKUP(B413,Tot_res!C:D,2,FALSE)</f>
        <v>Admón.y Serv.Generales de Servicios Sociales, IMSERSO + AF19/4</v>
      </c>
      <c r="D413" s="336">
        <f>Saldo_relativo_per_capita!D413*Saldo_relativo_per_capita!D$552/1000000</f>
        <v>0</v>
      </c>
      <c r="E413" s="336">
        <f>Saldo_relativo_per_capita!E413*Saldo_relativo_per_capita!E$552/1000000</f>
        <v>0.86434445405374727</v>
      </c>
      <c r="F413" s="336">
        <f>Saldo_relativo_per_capita!F413*Saldo_relativo_per_capita!F$552/1000000</f>
        <v>-0.2129269111975515</v>
      </c>
      <c r="G413" s="336">
        <f>Saldo_relativo_per_capita!G413*Saldo_relativo_per_capita!G$552/1000000</f>
        <v>-4.2774117144891932E-2</v>
      </c>
      <c r="H413" s="336">
        <f>Saldo_relativo_per_capita!H413*Saldo_relativo_per_capita!H$552/1000000</f>
        <v>-0.16822495464248211</v>
      </c>
      <c r="I413" s="336">
        <f>Saldo_relativo_per_capita!I413*Saldo_relativo_per_capita!I$552/1000000</f>
        <v>0.52735401236975543</v>
      </c>
      <c r="J413" s="336">
        <f>Saldo_relativo_per_capita!J413*Saldo_relativo_per_capita!J$552/1000000</f>
        <v>4.6361731909302137E-2</v>
      </c>
      <c r="K413" s="336">
        <f>Saldo_relativo_per_capita!K413*Saldo_relativo_per_capita!K$552/1000000</f>
        <v>0.16755854293519887</v>
      </c>
      <c r="L413" s="336">
        <f>Saldo_relativo_per_capita!L413*Saldo_relativo_per_capita!L$552/1000000</f>
        <v>6.5001263407442056E-2</v>
      </c>
      <c r="M413" s="336">
        <f>Saldo_relativo_per_capita!M413*Saldo_relativo_per_capita!M$552/1000000</f>
        <v>-0.60542842804187902</v>
      </c>
      <c r="N413" s="336">
        <f>Saldo_relativo_per_capita!N413*Saldo_relativo_per_capita!N$552/1000000</f>
        <v>-0.54211664441422469</v>
      </c>
      <c r="O413" s="336">
        <f>Saldo_relativo_per_capita!O413*Saldo_relativo_per_capita!O$552/1000000</f>
        <v>0.19652078812460114</v>
      </c>
      <c r="P413" s="336">
        <f>Saldo_relativo_per_capita!P413*Saldo_relativo_per_capita!P$552/1000000</f>
        <v>0.508865399666528</v>
      </c>
      <c r="Q413" s="336">
        <f>Saldo_relativo_per_capita!Q413*Saldo_relativo_per_capita!Q$552/1000000</f>
        <v>-1.0066797886734082</v>
      </c>
      <c r="R413" s="336">
        <f>Saldo_relativo_per_capita!R413*Saldo_relativo_per_capita!R$552/1000000</f>
        <v>0.1210210587874615</v>
      </c>
      <c r="S413" s="336">
        <f>Saldo_relativo_per_capita!S413*Saldo_relativo_per_capita!S$552/1000000</f>
        <v>0</v>
      </c>
      <c r="T413" s="336">
        <f>Saldo_relativo_per_capita!T413*Saldo_relativo_per_capita!T$552/1000000</f>
        <v>0</v>
      </c>
      <c r="U413" s="336">
        <f>Saldo_relativo_per_capita!U413*Saldo_relativo_per_capita!U$552/1000000</f>
        <v>-1.9539968631546084E-2</v>
      </c>
      <c r="V413" s="336">
        <f>Saldo_relativo_per_capita!V413*Saldo_relativo_per_capita!V$552/1000000</f>
        <v>0.10066356149194797</v>
      </c>
      <c r="W413" s="148"/>
    </row>
    <row r="414" spans="1:23" s="115" customFormat="1" ht="13.5">
      <c r="A414" s="351" t="str">
        <f>IF(B414="","",(IF(ISERROR(MATCH(B414,Tot_res!C:C,0)),"Eliminar!!!","")))</f>
        <v/>
      </c>
      <c r="B414" s="102" t="s">
        <v>872</v>
      </c>
      <c r="C414" s="329" t="str">
        <f>VLOOKUP(B414,Tot_res!C:D,2,FALSE)</f>
        <v>ISM formación y servicios sociales + AF19/5</v>
      </c>
      <c r="D414" s="336">
        <f>Saldo_relativo_per_capita!D414*Saldo_relativo_per_capita!D$552/1000000</f>
        <v>0</v>
      </c>
      <c r="E414" s="336">
        <f>Saldo_relativo_per_capita!E414*Saldo_relativo_per_capita!E$552/1000000</f>
        <v>0.55759316314216834</v>
      </c>
      <c r="F414" s="336">
        <f>Saldo_relativo_per_capita!F414*Saldo_relativo_per_capita!F$552/1000000</f>
        <v>-0.16344425996373571</v>
      </c>
      <c r="G414" s="336">
        <f>Saldo_relativo_per_capita!G414*Saldo_relativo_per_capita!G$552/1000000</f>
        <v>1.033301325770499</v>
      </c>
      <c r="H414" s="336">
        <f>Saldo_relativo_per_capita!H414*Saldo_relativo_per_capita!H$552/1000000</f>
        <v>0.48049867318997269</v>
      </c>
      <c r="I414" s="336">
        <f>Saldo_relativo_per_capita!I414*Saldo_relativo_per_capita!I$552/1000000</f>
        <v>-0.26002367174087038</v>
      </c>
      <c r="J414" s="336">
        <f>Saldo_relativo_per_capita!J414*Saldo_relativo_per_capita!J$552/1000000</f>
        <v>0.60026373871948846</v>
      </c>
      <c r="K414" s="336">
        <f>Saldo_relativo_per_capita!K414*Saldo_relativo_per_capita!K$552/1000000</f>
        <v>-0.30712469243971052</v>
      </c>
      <c r="L414" s="336">
        <f>Saldo_relativo_per_capita!L414*Saldo_relativo_per_capita!L$552/1000000</f>
        <v>-0.25586100114044685</v>
      </c>
      <c r="M414" s="336">
        <f>Saldo_relativo_per_capita!M414*Saldo_relativo_per_capita!M$552/1000000</f>
        <v>-0.92919515406645958</v>
      </c>
      <c r="N414" s="336">
        <f>Saldo_relativo_per_capita!N414*Saldo_relativo_per_capita!N$552/1000000</f>
        <v>-0.61745546797574391</v>
      </c>
      <c r="O414" s="336">
        <f>Saldo_relativo_per_capita!O414*Saldo_relativo_per_capita!O$552/1000000</f>
        <v>-0.1355812218829168</v>
      </c>
      <c r="P414" s="336">
        <f>Saldo_relativo_per_capita!P414*Saldo_relativo_per_capita!P$552/1000000</f>
        <v>-0.33892025123793673</v>
      </c>
      <c r="Q414" s="336">
        <f>Saldo_relativo_per_capita!Q414*Saldo_relativo_per_capita!Q$552/1000000</f>
        <v>-0.79714199014307541</v>
      </c>
      <c r="R414" s="336">
        <f>Saldo_relativo_per_capita!R414*Saldo_relativo_per_capita!R$552/1000000</f>
        <v>0.68938277446383933</v>
      </c>
      <c r="S414" s="336">
        <f>Saldo_relativo_per_capita!S414*Saldo_relativo_per_capita!S$552/1000000</f>
        <v>-7.9227087590758513E-2</v>
      </c>
      <c r="T414" s="336">
        <f>Saldo_relativo_per_capita!T414*Saldo_relativo_per_capita!T$552/1000000</f>
        <v>0.58324737759670042</v>
      </c>
      <c r="U414" s="336">
        <f>Saldo_relativo_per_capita!U414*Saldo_relativo_per_capita!U$552/1000000</f>
        <v>-3.9330463149369374E-2</v>
      </c>
      <c r="V414" s="336">
        <f>Saldo_relativo_per_capita!V414*Saldo_relativo_per_capita!V$552/1000000</f>
        <v>-2.0981791551643911E-2</v>
      </c>
      <c r="W414" s="219"/>
    </row>
    <row r="415" spans="1:23" s="115" customFormat="1">
      <c r="A415" s="358"/>
      <c r="C415" s="142"/>
      <c r="D415" s="217"/>
      <c r="E415" s="217"/>
      <c r="F415" s="217"/>
      <c r="G415" s="217"/>
      <c r="H415" s="217"/>
      <c r="I415" s="217"/>
      <c r="J415" s="217"/>
      <c r="K415" s="217"/>
      <c r="L415" s="217"/>
      <c r="M415" s="217"/>
      <c r="N415" s="217"/>
      <c r="O415" s="217"/>
      <c r="P415" s="217"/>
      <c r="Q415" s="217"/>
      <c r="R415" s="217"/>
      <c r="S415" s="217"/>
      <c r="T415" s="217"/>
      <c r="U415" s="217"/>
      <c r="V415" s="217"/>
      <c r="W415" s="148"/>
    </row>
    <row r="416" spans="1:23" s="115" customFormat="1" ht="13.5">
      <c r="A416" s="358"/>
      <c r="C416" s="117" t="s">
        <v>382</v>
      </c>
      <c r="D416" s="218">
        <f>Saldo_relativo_per_capita!D416*Saldo_relativo_per_capita!D$552/1000000</f>
        <v>0</v>
      </c>
      <c r="E416" s="218">
        <f>Saldo_relativo_per_capita!E416*Saldo_relativo_per_capita!E$552/1000000</f>
        <v>-61.658665814991132</v>
      </c>
      <c r="F416" s="218">
        <f>Saldo_relativo_per_capita!F416*Saldo_relativo_per_capita!F$552/1000000</f>
        <v>6.2228074886776703</v>
      </c>
      <c r="G416" s="218">
        <f>Saldo_relativo_per_capita!G416*Saldo_relativo_per_capita!G$552/1000000</f>
        <v>13.387250659613699</v>
      </c>
      <c r="H416" s="218">
        <f>Saldo_relativo_per_capita!H416*Saldo_relativo_per_capita!H$552/1000000</f>
        <v>0.1579160654307224</v>
      </c>
      <c r="I416" s="218">
        <f>Saldo_relativo_per_capita!I416*Saldo_relativo_per_capita!I$552/1000000</f>
        <v>-14.624708325996135</v>
      </c>
      <c r="J416" s="218">
        <f>Saldo_relativo_per_capita!J416*Saldo_relativo_per_capita!J$552/1000000</f>
        <v>2.9986037010431486</v>
      </c>
      <c r="K416" s="218">
        <f>Saldo_relativo_per_capita!K416*Saldo_relativo_per_capita!K$552/1000000</f>
        <v>9.2204708685440018</v>
      </c>
      <c r="L416" s="218">
        <f>Saldo_relativo_per_capita!L416*Saldo_relativo_per_capita!L$552/1000000</f>
        <v>-10.294603265907496</v>
      </c>
      <c r="M416" s="218">
        <f>Saldo_relativo_per_capita!M416*Saldo_relativo_per_capita!M$552/1000000</f>
        <v>12.311282791397034</v>
      </c>
      <c r="N416" s="218">
        <f>Saldo_relativo_per_capita!N416*Saldo_relativo_per_capita!N$552/1000000</f>
        <v>-1.6338990073741557</v>
      </c>
      <c r="O416" s="218">
        <f>Saldo_relativo_per_capita!O416*Saldo_relativo_per_capita!O$552/1000000</f>
        <v>-6.9793760357776158</v>
      </c>
      <c r="P416" s="218">
        <f>Saldo_relativo_per_capita!P416*Saldo_relativo_per_capita!P$552/1000000</f>
        <v>16.606360380983361</v>
      </c>
      <c r="Q416" s="218">
        <f>Saldo_relativo_per_capita!Q416*Saldo_relativo_per_capita!Q$552/1000000</f>
        <v>19.027289857385103</v>
      </c>
      <c r="R416" s="218">
        <f>Saldo_relativo_per_capita!R416*Saldo_relativo_per_capita!R$552/1000000</f>
        <v>-9.7850259146965932</v>
      </c>
      <c r="S416" s="218">
        <f>Saldo_relativo_per_capita!S416*Saldo_relativo_per_capita!S$552/1000000</f>
        <v>1.5685654406505378</v>
      </c>
      <c r="T416" s="218">
        <f>Saldo_relativo_per_capita!T416*Saldo_relativo_per_capita!T$552/1000000</f>
        <v>22.463884428396543</v>
      </c>
      <c r="U416" s="218">
        <f>Saldo_relativo_per_capita!U416*Saldo_relativo_per_capita!U$552/1000000</f>
        <v>0.13271720945162774</v>
      </c>
      <c r="V416" s="218">
        <f>Saldo_relativo_per_capita!V416*Saldo_relativo_per_capita!V$552/1000000</f>
        <v>0.87912947316962131</v>
      </c>
      <c r="W416" s="148"/>
    </row>
    <row r="417" spans="1:23" s="115" customFormat="1">
      <c r="A417" s="351" t="str">
        <f>IF(B417="","",(IF(ISERROR(MATCH(B417,Tot_res!C:C,0)),"Eliminar!!!","")))</f>
        <v/>
      </c>
      <c r="B417" s="119" t="s">
        <v>383</v>
      </c>
      <c r="C417" s="329" t="str">
        <f>VLOOKUP(B417,Tot_res!C:D,2,FALSE)</f>
        <v>Inspección y control de seguridad y protección social</v>
      </c>
      <c r="D417" s="336">
        <f>Saldo_relativo_per_capita!D417*Saldo_relativo_per_capita!D$552/1000000</f>
        <v>0</v>
      </c>
      <c r="E417" s="336">
        <f>Saldo_relativo_per_capita!E417*Saldo_relativo_per_capita!E$552/1000000</f>
        <v>1.1038727584752184</v>
      </c>
      <c r="F417" s="336">
        <f>Saldo_relativo_per_capita!F417*Saldo_relativo_per_capita!F$552/1000000</f>
        <v>1.7539882854036752</v>
      </c>
      <c r="G417" s="336">
        <f>Saldo_relativo_per_capita!G417*Saldo_relativo_per_capita!G$552/1000000</f>
        <v>0.7490604306540305</v>
      </c>
      <c r="H417" s="336">
        <f>Saldo_relativo_per_capita!H417*Saldo_relativo_per_capita!H$552/1000000</f>
        <v>2.2715204954003934</v>
      </c>
      <c r="I417" s="336">
        <f>Saldo_relativo_per_capita!I417*Saldo_relativo_per_capita!I$552/1000000</f>
        <v>1.742078648864916</v>
      </c>
      <c r="J417" s="336">
        <f>Saldo_relativo_per_capita!J417*Saldo_relativo_per_capita!J$552/1000000</f>
        <v>0.49290451992611312</v>
      </c>
      <c r="K417" s="336">
        <f>Saldo_relativo_per_capita!K417*Saldo_relativo_per_capita!K$552/1000000</f>
        <v>4.7398043579937719</v>
      </c>
      <c r="L417" s="336">
        <f>Saldo_relativo_per_capita!L417*Saldo_relativo_per_capita!L$552/1000000</f>
        <v>0.92438034589193563</v>
      </c>
      <c r="M417" s="336">
        <f>Saldo_relativo_per_capita!M417*Saldo_relativo_per_capita!M$552/1000000</f>
        <v>-18.822827742018088</v>
      </c>
      <c r="N417" s="336">
        <f>Saldo_relativo_per_capita!N417*Saldo_relativo_per_capita!N$552/1000000</f>
        <v>0.97183004330252609</v>
      </c>
      <c r="O417" s="336">
        <f>Saldo_relativo_per_capita!O417*Saldo_relativo_per_capita!O$552/1000000</f>
        <v>0.55419924445156399</v>
      </c>
      <c r="P417" s="336">
        <f>Saldo_relativo_per_capita!P417*Saldo_relativo_per_capita!P$552/1000000</f>
        <v>1.3942534206661528</v>
      </c>
      <c r="Q417" s="336">
        <f>Saldo_relativo_per_capita!Q417*Saldo_relativo_per_capita!Q$552/1000000</f>
        <v>3.3155708645501423</v>
      </c>
      <c r="R417" s="336">
        <f>Saldo_relativo_per_capita!R417*Saldo_relativo_per_capita!R$552/1000000</f>
        <v>-0.58883403518745481</v>
      </c>
      <c r="S417" s="336">
        <f>Saldo_relativo_per_capita!S417*Saldo_relativo_per_capita!S$552/1000000</f>
        <v>0.16619693535343305</v>
      </c>
      <c r="T417" s="336">
        <f>Saldo_relativo_per_capita!T417*Saldo_relativo_per_capita!T$552/1000000</f>
        <v>-0.76021523811491354</v>
      </c>
      <c r="U417" s="336">
        <f>Saldo_relativo_per_capita!U417*Saldo_relativo_per_capita!U$552/1000000</f>
        <v>0.11576783228312411</v>
      </c>
      <c r="V417" s="336">
        <f>Saldo_relativo_per_capita!V417*Saldo_relativo_per_capita!V$552/1000000</f>
        <v>-0.12355116789655567</v>
      </c>
      <c r="W417" s="148"/>
    </row>
    <row r="418" spans="1:23" s="115" customFormat="1">
      <c r="A418" s="351" t="str">
        <f>IF(B418="","",(IF(ISERROR(MATCH(B418,Tot_res!C:C,0)),"Eliminar!!!","")))</f>
        <v/>
      </c>
      <c r="B418" s="119" t="s">
        <v>384</v>
      </c>
      <c r="C418" s="329" t="str">
        <f>VLOOKUP(B418,Tot_res!C:D,2,FALSE)</f>
        <v>Dirección y servicios generales de seguridad social y protección social</v>
      </c>
      <c r="D418" s="336">
        <f>Saldo_relativo_per_capita!D418*Saldo_relativo_per_capita!D$552/1000000</f>
        <v>0</v>
      </c>
      <c r="E418" s="336">
        <f>Saldo_relativo_per_capita!E418*Saldo_relativo_per_capita!E$552/1000000</f>
        <v>-1.5760354314298843</v>
      </c>
      <c r="F418" s="336">
        <f>Saldo_relativo_per_capita!F418*Saldo_relativo_per_capita!F$552/1000000</f>
        <v>0.17232920894462872</v>
      </c>
      <c r="G418" s="336">
        <f>Saldo_relativo_per_capita!G418*Saldo_relativo_per_capita!G$552/1000000</f>
        <v>0.70018998751188111</v>
      </c>
      <c r="H418" s="336">
        <f>Saldo_relativo_per_capita!H418*Saldo_relativo_per_capita!H$552/1000000</f>
        <v>-0.23387785342459463</v>
      </c>
      <c r="I418" s="336">
        <f>Saldo_relativo_per_capita!I418*Saldo_relativo_per_capita!I$552/1000000</f>
        <v>-0.6901049477687109</v>
      </c>
      <c r="J418" s="336">
        <f>Saldo_relativo_per_capita!J418*Saldo_relativo_per_capita!J$552/1000000</f>
        <v>0.12848398108614034</v>
      </c>
      <c r="K418" s="336">
        <f>Saldo_relativo_per_capita!K418*Saldo_relativo_per_capita!K$552/1000000</f>
        <v>0.27602279952320041</v>
      </c>
      <c r="L418" s="336">
        <f>Saldo_relativo_per_capita!L418*Saldo_relativo_per_capita!L$552/1000000</f>
        <v>-0.48504634697559418</v>
      </c>
      <c r="M418" s="336">
        <f>Saldo_relativo_per_capita!M418*Saldo_relativo_per_capita!M$552/1000000</f>
        <v>1.2197925727965988</v>
      </c>
      <c r="N418" s="336">
        <f>Saldo_relativo_per_capita!N418*Saldo_relativo_per_capita!N$552/1000000</f>
        <v>-0.68950657972993867</v>
      </c>
      <c r="O418" s="336">
        <f>Saldo_relativo_per_capita!O418*Saldo_relativo_per_capita!O$552/1000000</f>
        <v>-0.18808340667592993</v>
      </c>
      <c r="P418" s="336">
        <f>Saldo_relativo_per_capita!P418*Saldo_relativo_per_capita!P$552/1000000</f>
        <v>0.28909837884935807</v>
      </c>
      <c r="Q418" s="336">
        <f>Saldo_relativo_per_capita!Q418*Saldo_relativo_per_capita!Q$552/1000000</f>
        <v>0.31257217584900715</v>
      </c>
      <c r="R418" s="336">
        <f>Saldo_relativo_per_capita!R418*Saldo_relativo_per_capita!R$552/1000000</f>
        <v>-0.4011561301055967</v>
      </c>
      <c r="S418" s="336">
        <f>Saldo_relativo_per_capita!S418*Saldo_relativo_per_capita!S$552/1000000</f>
        <v>8.886960733482277E-2</v>
      </c>
      <c r="T418" s="336">
        <f>Saldo_relativo_per_capita!T418*Saldo_relativo_per_capita!T$552/1000000</f>
        <v>1.0519949959178363</v>
      </c>
      <c r="U418" s="336">
        <f>Saldo_relativo_per_capita!U418*Saldo_relativo_per_capita!U$552/1000000</f>
        <v>-9.5096425172819764E-3</v>
      </c>
      <c r="V418" s="336">
        <f>Saldo_relativo_per_capita!V418*Saldo_relativo_per_capita!V$552/1000000</f>
        <v>3.3966630814038452E-2</v>
      </c>
      <c r="W418" s="148"/>
    </row>
    <row r="419" spans="1:23" s="115" customFormat="1">
      <c r="A419" s="351" t="str">
        <f>IF(B419="","",(IF(ISERROR(MATCH(B419,Tot_res!C:C,0)),"Eliminar!!!","")))</f>
        <v/>
      </c>
      <c r="B419" s="115" t="s">
        <v>624</v>
      </c>
      <c r="C419" s="329" t="str">
        <f>VLOOKUP(B419,Tot_res!C:D,2,FALSE)</f>
        <v>Gestión de Cotización y Recaudación</v>
      </c>
      <c r="D419" s="336">
        <f>Saldo_relativo_per_capita!D419*Saldo_relativo_per_capita!D$552/1000000</f>
        <v>0</v>
      </c>
      <c r="E419" s="336">
        <f>Saldo_relativo_per_capita!E419*Saldo_relativo_per_capita!E$552/1000000</f>
        <v>-11.269115427281593</v>
      </c>
      <c r="F419" s="336">
        <f>Saldo_relativo_per_capita!F419*Saldo_relativo_per_capita!F$552/1000000</f>
        <v>1.3147289513003362</v>
      </c>
      <c r="G419" s="336">
        <f>Saldo_relativo_per_capita!G419*Saldo_relativo_per_capita!G$552/1000000</f>
        <v>4.0277989685429727</v>
      </c>
      <c r="H419" s="336">
        <f>Saldo_relativo_per_capita!H419*Saldo_relativo_per_capita!H$552/1000000</f>
        <v>-1.4152456518138898</v>
      </c>
      <c r="I419" s="336">
        <f>Saldo_relativo_per_capita!I419*Saldo_relativo_per_capita!I$552/1000000</f>
        <v>-4.5404109553218079</v>
      </c>
      <c r="J419" s="336">
        <f>Saldo_relativo_per_capita!J419*Saldo_relativo_per_capita!J$552/1000000</f>
        <v>0.72079761529348751</v>
      </c>
      <c r="K419" s="336">
        <f>Saldo_relativo_per_capita!K419*Saldo_relativo_per_capita!K$552/1000000</f>
        <v>2.2449348564258749</v>
      </c>
      <c r="L419" s="336">
        <f>Saldo_relativo_per_capita!L419*Saldo_relativo_per_capita!L$552/1000000</f>
        <v>-2.4010343634087783</v>
      </c>
      <c r="M419" s="336">
        <f>Saldo_relativo_per_capita!M419*Saldo_relativo_per_capita!M$552/1000000</f>
        <v>7.2925926949012254</v>
      </c>
      <c r="N419" s="336">
        <f>Saldo_relativo_per_capita!N419*Saldo_relativo_per_capita!N$552/1000000</f>
        <v>-3.9677337594886781</v>
      </c>
      <c r="O419" s="336">
        <f>Saldo_relativo_per_capita!O419*Saldo_relativo_per_capita!O$552/1000000</f>
        <v>-1.1873997336359228</v>
      </c>
      <c r="P419" s="336">
        <f>Saldo_relativo_per_capita!P419*Saldo_relativo_per_capita!P$552/1000000</f>
        <v>2.2780906754354904</v>
      </c>
      <c r="Q419" s="336">
        <f>Saldo_relativo_per_capita!Q419*Saldo_relativo_per_capita!Q$552/1000000</f>
        <v>2.2738799578088611</v>
      </c>
      <c r="R419" s="336">
        <f>Saldo_relativo_per_capita!R419*Saldo_relativo_per_capita!R$552/1000000</f>
        <v>-2.3393245176037101</v>
      </c>
      <c r="S419" s="336">
        <f>Saldo_relativo_per_capita!S419*Saldo_relativo_per_capita!S$552/1000000</f>
        <v>0.71399037642418706</v>
      </c>
      <c r="T419" s="336">
        <f>Saldo_relativo_per_capita!T419*Saldo_relativo_per_capita!T$552/1000000</f>
        <v>6.6820369476480428</v>
      </c>
      <c r="U419" s="336">
        <f>Saldo_relativo_per_capita!U419*Saldo_relativo_per_capita!U$552/1000000</f>
        <v>1.6911051829772372E-2</v>
      </c>
      <c r="V419" s="336">
        <f>Saldo_relativo_per_capita!V419*Saldo_relativo_per_capita!V$552/1000000</f>
        <v>-0.44549768705577358</v>
      </c>
      <c r="W419" s="148"/>
    </row>
    <row r="420" spans="1:23" s="115" customFormat="1">
      <c r="A420" s="351" t="str">
        <f>IF(B420="","",(IF(ISERROR(MATCH(B420,Tot_res!C:C,0)),"Eliminar!!!","")))</f>
        <v/>
      </c>
      <c r="B420" s="115" t="s">
        <v>974</v>
      </c>
      <c r="C420" s="329" t="str">
        <f>VLOOKUP(B420,Tot_res!C:D,2,FALSE)</f>
        <v>Gestión Financiera, neta de aportación al Fondo de Reserva</v>
      </c>
      <c r="D420" s="336">
        <f>Saldo_relativo_per_capita!D420*Saldo_relativo_per_capita!D$552/1000000</f>
        <v>0</v>
      </c>
      <c r="E420" s="336">
        <f>Saldo_relativo_per_capita!E420*Saldo_relativo_per_capita!E$552/1000000</f>
        <v>-2.3898646596251814</v>
      </c>
      <c r="F420" s="336">
        <f>Saldo_relativo_per_capita!F420*Saldo_relativo_per_capita!F$552/1000000</f>
        <v>0.28800972170698669</v>
      </c>
      <c r="G420" s="336">
        <f>Saldo_relativo_per_capita!G420*Saldo_relativo_per_capita!G$552/1000000</f>
        <v>1.2402724329830215</v>
      </c>
      <c r="H420" s="336">
        <f>Saldo_relativo_per_capita!H420*Saldo_relativo_per_capita!H$552/1000000</f>
        <v>-0.42054379172262141</v>
      </c>
      <c r="I420" s="336">
        <f>Saldo_relativo_per_capita!I420*Saldo_relativo_per_capita!I$552/1000000</f>
        <v>-1.1631555892018151</v>
      </c>
      <c r="J420" s="336">
        <f>Saldo_relativo_per_capita!J420*Saldo_relativo_per_capita!J$552/1000000</f>
        <v>0.22225649798051791</v>
      </c>
      <c r="K420" s="336">
        <f>Saldo_relativo_per_capita!K420*Saldo_relativo_per_capita!K$552/1000000</f>
        <v>0.55029217825053278</v>
      </c>
      <c r="L420" s="336">
        <f>Saldo_relativo_per_capita!L420*Saldo_relativo_per_capita!L$552/1000000</f>
        <v>-0.80327180478039861</v>
      </c>
      <c r="M420" s="336">
        <f>Saldo_relativo_per_capita!M420*Saldo_relativo_per_capita!M$552/1000000</f>
        <v>2.0207062454692264</v>
      </c>
      <c r="N420" s="336">
        <f>Saldo_relativo_per_capita!N420*Saldo_relativo_per_capita!N$552/1000000</f>
        <v>-1.2472889852662672</v>
      </c>
      <c r="O420" s="336">
        <f>Saldo_relativo_per_capita!O420*Saldo_relativo_per_capita!O$552/1000000</f>
        <v>-0.2784503605113039</v>
      </c>
      <c r="P420" s="336">
        <f>Saldo_relativo_per_capita!P420*Saldo_relativo_per_capita!P$552/1000000</f>
        <v>0.53458927175332704</v>
      </c>
      <c r="Q420" s="336">
        <f>Saldo_relativo_per_capita!Q420*Saldo_relativo_per_capita!Q$552/1000000</f>
        <v>0.10696678329843648</v>
      </c>
      <c r="R420" s="336">
        <f>Saldo_relativo_per_capita!R420*Saldo_relativo_per_capita!R$552/1000000</f>
        <v>-0.69870746499755454</v>
      </c>
      <c r="S420" s="336">
        <f>Saldo_relativo_per_capita!S420*Saldo_relativo_per_capita!S$552/1000000</f>
        <v>0.15061074849922096</v>
      </c>
      <c r="T420" s="336">
        <f>Saldo_relativo_per_capita!T420*Saldo_relativo_per_capita!T$552/1000000</f>
        <v>1.833287884475459</v>
      </c>
      <c r="U420" s="336">
        <f>Saldo_relativo_per_capita!U420*Saldo_relativo_per_capita!U$552/1000000</f>
        <v>-1.3241661709917071E-2</v>
      </c>
      <c r="V420" s="336">
        <f>Saldo_relativo_per_capita!V420*Saldo_relativo_per_capita!V$552/1000000</f>
        <v>6.7532553398346462E-2</v>
      </c>
      <c r="W420" s="148"/>
    </row>
    <row r="421" spans="1:23" s="115" customFormat="1">
      <c r="A421" s="351" t="str">
        <f>IF(B421="","",(IF(ISERROR(MATCH(B421,Tot_res!C:C,0)),"Eliminar!!!","")))</f>
        <v/>
      </c>
      <c r="B421" s="115" t="s">
        <v>975</v>
      </c>
      <c r="C421" s="329" t="str">
        <f>VLOOKUP(B421,Tot_res!C:D,2,FALSE)</f>
        <v>Gestión del Patrimonio, TGSS</v>
      </c>
      <c r="D421" s="336">
        <f>Saldo_relativo_per_capita!D421*Saldo_relativo_per_capita!D$552/1000000</f>
        <v>0</v>
      </c>
      <c r="E421" s="336">
        <f>Saldo_relativo_per_capita!E421*Saldo_relativo_per_capita!E$552/1000000</f>
        <v>-0.28211402130540419</v>
      </c>
      <c r="F421" s="336">
        <f>Saldo_relativo_per_capita!F421*Saldo_relativo_per_capita!F$552/1000000</f>
        <v>3.6574557106213171E-2</v>
      </c>
      <c r="G421" s="336">
        <f>Saldo_relativo_per_capita!G421*Saldo_relativo_per_capita!G$552/1000000</f>
        <v>0.12942446257418733</v>
      </c>
      <c r="H421" s="336">
        <f>Saldo_relativo_per_capita!H421*Saldo_relativo_per_capita!H$552/1000000</f>
        <v>-5.1596419344294861E-2</v>
      </c>
      <c r="I421" s="336">
        <f>Saldo_relativo_per_capita!I421*Saldo_relativo_per_capita!I$552/1000000</f>
        <v>-0.12742132187578015</v>
      </c>
      <c r="J421" s="336">
        <f>Saldo_relativo_per_capita!J421*Saldo_relativo_per_capita!J$552/1000000</f>
        <v>2.3806015276551056E-2</v>
      </c>
      <c r="K421" s="336">
        <f>Saldo_relativo_per_capita!K421*Saldo_relativo_per_capita!K$552/1000000</f>
        <v>8.5191461213589545E-2</v>
      </c>
      <c r="L421" s="336">
        <f>Saldo_relativo_per_capita!L421*Saldo_relativo_per_capita!L$552/1000000</f>
        <v>-7.0399545851090123E-2</v>
      </c>
      <c r="M421" s="336">
        <f>Saldo_relativo_per_capita!M421*Saldo_relativo_per_capita!M$552/1000000</f>
        <v>0.19402465874770633</v>
      </c>
      <c r="N421" s="336">
        <f>Saldo_relativo_per_capita!N421*Saldo_relativo_per_capita!N$552/1000000</f>
        <v>-0.11962465678727212</v>
      </c>
      <c r="O421" s="336">
        <f>Saldo_relativo_per_capita!O421*Saldo_relativo_per_capita!O$552/1000000</f>
        <v>-2.7749468940522777E-2</v>
      </c>
      <c r="P421" s="336">
        <f>Saldo_relativo_per_capita!P421*Saldo_relativo_per_capita!P$552/1000000</f>
        <v>8.7174528210419808E-2</v>
      </c>
      <c r="Q421" s="336">
        <f>Saldo_relativo_per_capita!Q421*Saldo_relativo_per_capita!Q$552/1000000</f>
        <v>-1.9525090887058637E-2</v>
      </c>
      <c r="R421" s="336">
        <f>Saldo_relativo_per_capita!R421*Saldo_relativo_per_capita!R$552/1000000</f>
        <v>-6.8226765760144081E-2</v>
      </c>
      <c r="S421" s="336">
        <f>Saldo_relativo_per_capita!S421*Saldo_relativo_per_capita!S$552/1000000</f>
        <v>1.492944848414115E-2</v>
      </c>
      <c r="T421" s="336">
        <f>Saldo_relativo_per_capita!T421*Saldo_relativo_per_capita!T$552/1000000</f>
        <v>0.19238635989425273</v>
      </c>
      <c r="U421" s="336">
        <f>Saldo_relativo_per_capita!U421*Saldo_relativo_per_capita!U$552/1000000</f>
        <v>2.0541610996446284E-4</v>
      </c>
      <c r="V421" s="336">
        <f>Saldo_relativo_per_capita!V421*Saldo_relativo_per_capita!V$552/1000000</f>
        <v>2.9403831345408103E-3</v>
      </c>
      <c r="W421" s="230"/>
    </row>
    <row r="422" spans="1:23" s="115" customFormat="1" ht="13.5">
      <c r="A422" s="351" t="str">
        <f>IF(B422="","",(IF(ISERROR(MATCH(B422,Tot_res!C:C,0)),"Eliminar!!!","")))</f>
        <v/>
      </c>
      <c r="B422" s="115" t="s">
        <v>386</v>
      </c>
      <c r="C422" s="329" t="str">
        <f>VLOOKUP(B422,Tot_res!C:D,2,FALSE)</f>
        <v xml:space="preserve"> Sistema Integrado de Informática de la Seguridad Social</v>
      </c>
      <c r="D422" s="336">
        <f>Saldo_relativo_per_capita!D422*Saldo_relativo_per_capita!D$552/1000000</f>
        <v>0</v>
      </c>
      <c r="E422" s="336">
        <f>Saldo_relativo_per_capita!E422*Saldo_relativo_per_capita!E$552/1000000</f>
        <v>-7.5100920908416962</v>
      </c>
      <c r="F422" s="336">
        <f>Saldo_relativo_per_capita!F422*Saldo_relativo_per_capita!F$552/1000000</f>
        <v>0.97364282277929048</v>
      </c>
      <c r="G422" s="336">
        <f>Saldo_relativo_per_capita!G422*Saldo_relativo_per_capita!G$552/1000000</f>
        <v>3.4453786743467494</v>
      </c>
      <c r="H422" s="336">
        <f>Saldo_relativo_per_capita!H422*Saldo_relativo_per_capita!H$552/1000000</f>
        <v>-1.3735363419383428</v>
      </c>
      <c r="I422" s="336">
        <f>Saldo_relativo_per_capita!I422*Saldo_relativo_per_capita!I$552/1000000</f>
        <v>-3.3920535292641265</v>
      </c>
      <c r="J422" s="336">
        <f>Saldo_relativo_per_capita!J422*Saldo_relativo_per_capita!J$552/1000000</f>
        <v>0.63373442488113108</v>
      </c>
      <c r="K422" s="336">
        <f>Saldo_relativo_per_capita!K422*Saldo_relativo_per_capita!K$552/1000000</f>
        <v>2.2678621789408093</v>
      </c>
      <c r="L422" s="336">
        <f>Saldo_relativo_per_capita!L422*Saldo_relativo_per_capita!L$552/1000000</f>
        <v>-1.8740900223557644</v>
      </c>
      <c r="M422" s="336">
        <f>Saldo_relativo_per_capita!M422*Saldo_relativo_per_capita!M$552/1000000</f>
        <v>5.1650855506822753</v>
      </c>
      <c r="N422" s="336">
        <f>Saldo_relativo_per_capita!N422*Saldo_relativo_per_capita!N$552/1000000</f>
        <v>-3.1845003117912536</v>
      </c>
      <c r="O422" s="336">
        <f>Saldo_relativo_per_capita!O422*Saldo_relativo_per_capita!O$552/1000000</f>
        <v>-0.73871219250627551</v>
      </c>
      <c r="P422" s="336">
        <f>Saldo_relativo_per_capita!P422*Saldo_relativo_per_capita!P$552/1000000</f>
        <v>2.3206529466580301</v>
      </c>
      <c r="Q422" s="336">
        <f>Saldo_relativo_per_capita!Q422*Saldo_relativo_per_capita!Q$552/1000000</f>
        <v>-0.51977292714962553</v>
      </c>
      <c r="R422" s="336">
        <f>Saldo_relativo_per_capita!R422*Saldo_relativo_per_capita!R$552/1000000</f>
        <v>-1.8162489462524001</v>
      </c>
      <c r="S422" s="336">
        <f>Saldo_relativo_per_capita!S422*Saldo_relativo_per_capita!S$552/1000000</f>
        <v>0.39743339399639294</v>
      </c>
      <c r="T422" s="336">
        <f>Saldo_relativo_per_capita!T422*Saldo_relativo_per_capita!T$552/1000000</f>
        <v>5.121472775943797</v>
      </c>
      <c r="U422" s="336">
        <f>Saldo_relativo_per_capita!U422*Saldo_relativo_per_capita!U$552/1000000</f>
        <v>5.4683347379807234E-3</v>
      </c>
      <c r="V422" s="336">
        <f>Saldo_relativo_per_capita!V422*Saldo_relativo_per_capita!V$552/1000000</f>
        <v>7.8275259133092884E-2</v>
      </c>
      <c r="W422" s="219"/>
    </row>
    <row r="423" spans="1:23" s="115" customFormat="1">
      <c r="A423" s="351" t="str">
        <f>IF(B423="","",(IF(ISERROR(MATCH(B423,Tot_res!C:C,0)),"Eliminar!!!","")))</f>
        <v/>
      </c>
      <c r="B423" s="115" t="s">
        <v>976</v>
      </c>
      <c r="C423" s="329" t="str">
        <f>VLOOKUP(B423,Tot_res!C:D,2,FALSE)</f>
        <v xml:space="preserve"> Admón. y Servic. Generales, TGSS e ISM</v>
      </c>
      <c r="D423" s="336">
        <f>Saldo_relativo_per_capita!D423*Saldo_relativo_per_capita!D$552/1000000</f>
        <v>0</v>
      </c>
      <c r="E423" s="336">
        <f>Saldo_relativo_per_capita!E423*Saldo_relativo_per_capita!E$552/1000000</f>
        <v>-1.8684980006931569</v>
      </c>
      <c r="F423" s="336">
        <f>Saldo_relativo_per_capita!F423*Saldo_relativo_per_capita!F$552/1000000</f>
        <v>1.159158412855771</v>
      </c>
      <c r="G423" s="336">
        <f>Saldo_relativo_per_capita!G423*Saldo_relativo_per_capita!G$552/1000000</f>
        <v>2.3144832739336505</v>
      </c>
      <c r="H423" s="336">
        <f>Saldo_relativo_per_capita!H423*Saldo_relativo_per_capita!H$552/1000000</f>
        <v>5.4843648736687581E-2</v>
      </c>
      <c r="I423" s="336">
        <f>Saldo_relativo_per_capita!I423*Saldo_relativo_per_capita!I$552/1000000</f>
        <v>-1.3137786017163156</v>
      </c>
      <c r="J423" s="336">
        <f>Saldo_relativo_per_capita!J423*Saldo_relativo_per_capita!J$552/1000000</f>
        <v>1.2960322790857111</v>
      </c>
      <c r="K423" s="336">
        <f>Saldo_relativo_per_capita!K423*Saldo_relativo_per_capita!K$552/1000000</f>
        <v>1.4661934803573708</v>
      </c>
      <c r="L423" s="336">
        <f>Saldo_relativo_per_capita!L423*Saldo_relativo_per_capita!L$552/1000000</f>
        <v>-1.7561881630815277</v>
      </c>
      <c r="M423" s="336">
        <f>Saldo_relativo_per_capita!M423*Saldo_relativo_per_capita!M$552/1000000</f>
        <v>-4.0619287837922213</v>
      </c>
      <c r="N423" s="336">
        <f>Saldo_relativo_per_capita!N423*Saldo_relativo_per_capita!N$552/1000000</f>
        <v>-1.6700931486247561</v>
      </c>
      <c r="O423" s="336">
        <f>Saldo_relativo_per_capita!O423*Saldo_relativo_per_capita!O$552/1000000</f>
        <v>-0.1736249840441447</v>
      </c>
      <c r="P423" s="336">
        <f>Saldo_relativo_per_capita!P423*Saldo_relativo_per_capita!P$552/1000000</f>
        <v>8.6919009681023276</v>
      </c>
      <c r="Q423" s="336">
        <f>Saldo_relativo_per_capita!Q423*Saldo_relativo_per_capita!Q$552/1000000</f>
        <v>-8.8334271905937385</v>
      </c>
      <c r="R423" s="336">
        <f>Saldo_relativo_per_capita!R423*Saldo_relativo_per_capita!R$552/1000000</f>
        <v>-1.5952508857531931</v>
      </c>
      <c r="S423" s="336">
        <f>Saldo_relativo_per_capita!S423*Saldo_relativo_per_capita!S$552/1000000</f>
        <v>-0.45970750548898437</v>
      </c>
      <c r="T423" s="336">
        <f>Saldo_relativo_per_capita!T423*Saldo_relativo_per_capita!T$552/1000000</f>
        <v>5.197727693995958</v>
      </c>
      <c r="U423" s="336">
        <f>Saldo_relativo_per_capita!U423*Saldo_relativo_per_capita!U$552/1000000</f>
        <v>-0.10662546269222085</v>
      </c>
      <c r="V423" s="336">
        <f>Saldo_relativo_per_capita!V423*Saldo_relativo_per_capita!V$552/1000000</f>
        <v>1.6587829694127292</v>
      </c>
      <c r="W423" s="148"/>
    </row>
    <row r="424" spans="1:23" s="115" customFormat="1">
      <c r="A424" s="351" t="str">
        <f>IF(B424="","",(IF(ISERROR(MATCH(B424,Tot_res!C:C,0)),"Eliminar!!!","")))</f>
        <v/>
      </c>
      <c r="B424" s="115" t="s">
        <v>977</v>
      </c>
      <c r="C424" s="329" t="str">
        <f>VLOOKUP(B424,Tot_res!C:D,2,FALSE)</f>
        <v>Admón. y Servic. Generales, Mutuas</v>
      </c>
      <c r="D424" s="336">
        <f>Saldo_relativo_per_capita!D424*Saldo_relativo_per_capita!D$552/1000000</f>
        <v>0</v>
      </c>
      <c r="E424" s="336">
        <f>Saldo_relativo_per_capita!E424*Saldo_relativo_per_capita!E$552/1000000</f>
        <v>-32.339169535567706</v>
      </c>
      <c r="F424" s="336">
        <f>Saldo_relativo_per_capita!F424*Saldo_relativo_per_capita!F$552/1000000</f>
        <v>0.70304682989300982</v>
      </c>
      <c r="G424" s="336">
        <f>Saldo_relativo_per_capita!G424*Saldo_relativo_per_capita!G$552/1000000</f>
        <v>6.8399136020668327E-2</v>
      </c>
      <c r="H424" s="336">
        <f>Saldo_relativo_per_capita!H424*Saldo_relativo_per_capita!H$552/1000000</f>
        <v>2.1767081071317014</v>
      </c>
      <c r="I424" s="336">
        <f>Saldo_relativo_per_capita!I424*Saldo_relativo_per_capita!I$552/1000000</f>
        <v>-3.2714945417163204</v>
      </c>
      <c r="J424" s="336">
        <f>Saldo_relativo_per_capita!J424*Saldo_relativo_per_capita!J$552/1000000</f>
        <v>-0.50461882082654863</v>
      </c>
      <c r="K424" s="336">
        <f>Saldo_relativo_per_capita!K424*Saldo_relativo_per_capita!K$552/1000000</f>
        <v>-2.2146176235018369</v>
      </c>
      <c r="L424" s="336">
        <f>Saldo_relativo_per_capita!L424*Saldo_relativo_per_capita!L$552/1000000</f>
        <v>-2.4597538896469913</v>
      </c>
      <c r="M424" s="336">
        <f>Saldo_relativo_per_capita!M424*Saldo_relativo_per_capita!M$552/1000000</f>
        <v>3.0954546135306655</v>
      </c>
      <c r="N424" s="336">
        <f>Saldo_relativo_per_capita!N424*Saldo_relativo_per_capita!N$552/1000000</f>
        <v>11.148218336863502</v>
      </c>
      <c r="O424" s="336">
        <f>Saldo_relativo_per_capita!O424*Saldo_relativo_per_capita!O$552/1000000</f>
        <v>-4.295566709397626</v>
      </c>
      <c r="P424" s="336">
        <f>Saldo_relativo_per_capita!P424*Saldo_relativo_per_capita!P$552/1000000</f>
        <v>1.2843707302001417</v>
      </c>
      <c r="Q424" s="336">
        <f>Saldo_relativo_per_capita!Q424*Saldo_relativo_per_capita!Q$552/1000000</f>
        <v>24.951501399551788</v>
      </c>
      <c r="R424" s="336">
        <f>Saldo_relativo_per_capita!R424*Saldo_relativo_per_capita!R$552/1000000</f>
        <v>-1.1501383465862023</v>
      </c>
      <c r="S424" s="336">
        <f>Saldo_relativo_per_capita!S424*Saldo_relativo_per_capita!S$552/1000000</f>
        <v>0.60674371085039414</v>
      </c>
      <c r="T424" s="336">
        <f>Saldo_relativo_per_capita!T424*Saldo_relativo_per_capita!T$552/1000000</f>
        <v>2.3162244230964939</v>
      </c>
      <c r="U424" s="336">
        <f>Saldo_relativo_per_capita!U424*Saldo_relativo_per_capita!U$552/1000000</f>
        <v>0.24009836650628025</v>
      </c>
      <c r="V424" s="336">
        <f>Saldo_relativo_per_capita!V424*Saldo_relativo_per_capita!V$552/1000000</f>
        <v>-0.35540618640155247</v>
      </c>
      <c r="W424" s="148"/>
    </row>
    <row r="425" spans="1:23" s="115" customFormat="1">
      <c r="A425" s="351" t="str">
        <f>IF(B425="","",(IF(ISERROR(MATCH(B425,Tot_res!C:C,0)),"Eliminar!!!","")))</f>
        <v/>
      </c>
      <c r="B425" s="115" t="s">
        <v>387</v>
      </c>
      <c r="C425" s="329" t="str">
        <f>VLOOKUP(B425,Tot_res!C:D,2,FALSE)</f>
        <v xml:space="preserve"> Control Interno y Contabilidad</v>
      </c>
      <c r="D425" s="336">
        <f>Saldo_relativo_per_capita!D425*Saldo_relativo_per_capita!D$552/1000000</f>
        <v>0</v>
      </c>
      <c r="E425" s="336">
        <f>Saldo_relativo_per_capita!E425*Saldo_relativo_per_capita!E$552/1000000</f>
        <v>-2.3450972700891501</v>
      </c>
      <c r="F425" s="336">
        <f>Saldo_relativo_per_capita!F425*Saldo_relativo_per_capita!F$552/1000000</f>
        <v>0.30402917808770885</v>
      </c>
      <c r="G425" s="336">
        <f>Saldo_relativo_per_capita!G425*Saldo_relativo_per_capita!G$552/1000000</f>
        <v>1.0758520702411762</v>
      </c>
      <c r="H425" s="336">
        <f>Saldo_relativo_per_capita!H425*Saldo_relativo_per_capita!H$552/1000000</f>
        <v>-0.42889971080059569</v>
      </c>
      <c r="I425" s="336">
        <f>Saldo_relativo_per_capita!I425*Saldo_relativo_per_capita!I$552/1000000</f>
        <v>-1.0592007894515765</v>
      </c>
      <c r="J425" s="336">
        <f>Saldo_relativo_per_capita!J425*Saldo_relativo_per_capita!J$552/1000000</f>
        <v>0.19788956670219646</v>
      </c>
      <c r="K425" s="336">
        <f>Saldo_relativo_per_capita!K425*Saldo_relativo_per_capita!K$552/1000000</f>
        <v>0.70816141006553956</v>
      </c>
      <c r="L425" s="336">
        <f>Saldo_relativo_per_capita!L425*Saldo_relativo_per_capita!L$552/1000000</f>
        <v>-0.58520233069941663</v>
      </c>
      <c r="M425" s="336">
        <f>Saldo_relativo_per_capita!M425*Saldo_relativo_per_capita!M$552/1000000</f>
        <v>1.6128468037632793</v>
      </c>
      <c r="N425" s="336">
        <f>Saldo_relativo_per_capita!N425*Saldo_relativo_per_capita!N$552/1000000</f>
        <v>-0.99439033469198701</v>
      </c>
      <c r="O425" s="336">
        <f>Saldo_relativo_per_capita!O425*Saldo_relativo_per_capita!O$552/1000000</f>
        <v>-0.23066986730303676</v>
      </c>
      <c r="P425" s="336">
        <f>Saldo_relativo_per_capita!P425*Saldo_relativo_per_capita!P$552/1000000</f>
        <v>0.72464582646977116</v>
      </c>
      <c r="Q425" s="336">
        <f>Saldo_relativo_per_capita!Q425*Saldo_relativo_per_capita!Q$552/1000000</f>
        <v>-0.16230401142634174</v>
      </c>
      <c r="R425" s="336">
        <f>Saldo_relativo_per_capita!R425*Saldo_relativo_per_capita!R$552/1000000</f>
        <v>-0.56714090774637049</v>
      </c>
      <c r="S425" s="336">
        <f>Saldo_relativo_per_capita!S425*Saldo_relativo_per_capita!S$552/1000000</f>
        <v>0.1241023353681336</v>
      </c>
      <c r="T425" s="336">
        <f>Saldo_relativo_per_capita!T425*Saldo_relativo_per_capita!T$552/1000000</f>
        <v>1.5992283024528937</v>
      </c>
      <c r="U425" s="336">
        <f>Saldo_relativo_per_capita!U425*Saldo_relativo_per_capita!U$552/1000000</f>
        <v>1.7075392299929575E-3</v>
      </c>
      <c r="V425" s="336">
        <f>Saldo_relativo_per_capita!V425*Saldo_relativo_per_capita!V$552/1000000</f>
        <v>2.4442189827789878E-2</v>
      </c>
      <c r="W425" s="148"/>
    </row>
    <row r="426" spans="1:23" s="115" customFormat="1">
      <c r="A426" s="351" t="str">
        <f>IF(B426="","",(IF(ISERROR(MATCH(B426,Tot_res!C:C,0)),"Eliminar!!!","")))</f>
        <v/>
      </c>
      <c r="B426" s="115" t="s">
        <v>388</v>
      </c>
      <c r="C426" s="329" t="str">
        <f>VLOOKUP(B426,Tot_res!C:D,2,FALSE)</f>
        <v xml:space="preserve"> Direcc. y Coord. Asist.Jurídica Admón. de la Seg.Soc.</v>
      </c>
      <c r="D426" s="336">
        <f>Saldo_relativo_per_capita!D426*Saldo_relativo_per_capita!D$552/1000000</f>
        <v>0</v>
      </c>
      <c r="E426" s="336">
        <f>Saldo_relativo_per_capita!E426*Saldo_relativo_per_capita!E$552/1000000</f>
        <v>-6.2679442643483116E-2</v>
      </c>
      <c r="F426" s="336">
        <f>Saldo_relativo_per_capita!F426*Saldo_relativo_per_capita!F$552/1000000</f>
        <v>8.1260507497709702E-3</v>
      </c>
      <c r="G426" s="336">
        <f>Saldo_relativo_per_capita!G426*Saldo_relativo_per_capita!G$552/1000000</f>
        <v>2.8755228616589849E-2</v>
      </c>
      <c r="H426" s="336">
        <f>Saldo_relativo_per_capita!H426*Saldo_relativo_per_capita!H$552/1000000</f>
        <v>-1.1463573458473403E-2</v>
      </c>
      <c r="I426" s="336">
        <f>Saldo_relativo_per_capita!I426*Saldo_relativo_per_capita!I$552/1000000</f>
        <v>-2.8310175435852278E-2</v>
      </c>
      <c r="J426" s="336">
        <f>Saldo_relativo_per_capita!J426*Saldo_relativo_per_capita!J$552/1000000</f>
        <v>5.2891655728133091E-3</v>
      </c>
      <c r="K426" s="336">
        <f>Saldo_relativo_per_capita!K426*Saldo_relativo_per_capita!K$552/1000000</f>
        <v>1.8927642384251125E-2</v>
      </c>
      <c r="L426" s="336">
        <f>Saldo_relativo_per_capita!L426*Saldo_relativo_per_capita!L$552/1000000</f>
        <v>-1.5641208742063102E-2</v>
      </c>
      <c r="M426" s="336">
        <f>Saldo_relativo_per_capita!M426*Saldo_relativo_per_capita!M$552/1000000</f>
        <v>4.3107951221725685E-2</v>
      </c>
      <c r="N426" s="336">
        <f>Saldo_relativo_per_capita!N426*Saldo_relativo_per_capita!N$552/1000000</f>
        <v>-2.6577930367123304E-2</v>
      </c>
      <c r="O426" s="336">
        <f>Saldo_relativo_per_capita!O426*Saldo_relativo_per_capita!O$552/1000000</f>
        <v>-6.1653130134985386E-3</v>
      </c>
      <c r="P426" s="336">
        <f>Saldo_relativo_per_capita!P426*Saldo_relativo_per_capita!P$552/1000000</f>
        <v>1.9368235636266225E-2</v>
      </c>
      <c r="Q426" s="336">
        <f>Saldo_relativo_per_capita!Q426*Saldo_relativo_per_capita!Q$552/1000000</f>
        <v>-4.3380396646054914E-3</v>
      </c>
      <c r="R426" s="336">
        <f>Saldo_relativo_per_capita!R426*Saldo_relativo_per_capita!R$552/1000000</f>
        <v>-1.5158465472312867E-2</v>
      </c>
      <c r="S426" s="336">
        <f>Saldo_relativo_per_capita!S426*Saldo_relativo_per_capita!S$552/1000000</f>
        <v>3.3169904339761169E-3</v>
      </c>
      <c r="T426" s="336">
        <f>Saldo_relativo_per_capita!T426*Saldo_relativo_per_capita!T$552/1000000</f>
        <v>4.2743957760703166E-2</v>
      </c>
      <c r="U426" s="336">
        <f>Saldo_relativo_per_capita!U426*Saldo_relativo_per_capita!U$552/1000000</f>
        <v>4.5638877582148741E-5</v>
      </c>
      <c r="V426" s="336">
        <f>Saldo_relativo_per_capita!V426*Saldo_relativo_per_capita!V$552/1000000</f>
        <v>6.5328754373324507E-4</v>
      </c>
      <c r="W426" s="148"/>
    </row>
    <row r="427" spans="1:23" s="115" customFormat="1">
      <c r="A427" s="351" t="str">
        <f>IF(B427="","",(IF(ISERROR(MATCH(B427,Tot_res!C:C,0)),"Eliminar!!!","")))</f>
        <v/>
      </c>
      <c r="B427" s="115" t="s">
        <v>389</v>
      </c>
      <c r="C427" s="329" t="str">
        <f>VLOOKUP(B427,Tot_res!C:D,2,FALSE)</f>
        <v>Autorizaciones iniciales trabajo</v>
      </c>
      <c r="D427" s="336">
        <f>Saldo_relativo_per_capita!D427*Saldo_relativo_per_capita!D$552/1000000</f>
        <v>0</v>
      </c>
      <c r="E427" s="336">
        <f>Saldo_relativo_per_capita!E427*Saldo_relativo_per_capita!E$552/1000000</f>
        <v>-0.62962522915418795</v>
      </c>
      <c r="F427" s="336">
        <f>Saldo_relativo_per_capita!F427*Saldo_relativo_per_capita!F$552/1000000</f>
        <v>-9.9054287412395872E-2</v>
      </c>
      <c r="G427" s="336">
        <f>Saldo_relativo_per_capita!G427*Saldo_relativo_per_capita!G$552/1000000</f>
        <v>-7.9183447948602798E-2</v>
      </c>
      <c r="H427" s="336">
        <f>Saldo_relativo_per_capita!H427*Saldo_relativo_per_capita!H$552/1000000</f>
        <v>-8.2741144673590714E-2</v>
      </c>
      <c r="I427" s="336">
        <f>Saldo_relativo_per_capita!I427*Saldo_relativo_per_capita!I$552/1000000</f>
        <v>-0.15758558618309007</v>
      </c>
      <c r="J427" s="336">
        <f>Saldo_relativo_per_capita!J427*Saldo_relativo_per_capita!J$552/1000000</f>
        <v>-4.3989097235781691E-2</v>
      </c>
      <c r="K427" s="336">
        <f>Saldo_relativo_per_capita!K427*Saldo_relativo_per_capita!K$552/1000000</f>
        <v>-0.18613084095529986</v>
      </c>
      <c r="L427" s="336">
        <f>Saldo_relativo_per_capita!L427*Saldo_relativo_per_capita!L$552/1000000</f>
        <v>-0.15506282784242414</v>
      </c>
      <c r="M427" s="336">
        <f>Saldo_relativo_per_capita!M427*Saldo_relativo_per_capita!M$552/1000000</f>
        <v>2.9368428956277213</v>
      </c>
      <c r="N427" s="336">
        <f>Saldo_relativo_per_capita!N427*Saldo_relativo_per_capita!N$552/1000000</f>
        <v>-0.37420470686945512</v>
      </c>
      <c r="O427" s="336">
        <f>Saldo_relativo_per_capita!O427*Saldo_relativo_per_capita!O$552/1000000</f>
        <v>-8.2168081785766123E-2</v>
      </c>
      <c r="P427" s="336">
        <f>Saldo_relativo_per_capita!P427*Saldo_relativo_per_capita!P$552/1000000</f>
        <v>-0.20540032414385612</v>
      </c>
      <c r="Q427" s="336">
        <f>Saldo_relativo_per_capita!Q427*Saldo_relativo_per_capita!Q$552/1000000</f>
        <v>-0.48310250734801446</v>
      </c>
      <c r="R427" s="336">
        <f>Saldo_relativo_per_capita!R427*Saldo_relativo_per_capita!R$552/1000000</f>
        <v>-0.10995469902847545</v>
      </c>
      <c r="S427" s="336">
        <f>Saldo_relativo_per_capita!S427*Saldo_relativo_per_capita!S$552/1000000</f>
        <v>-4.8015040153770387E-2</v>
      </c>
      <c r="T427" s="336">
        <f>Saldo_relativo_per_capita!T427*Saldo_relativo_per_capita!T$552/1000000</f>
        <v>-0.16407324117936789</v>
      </c>
      <c r="U427" s="336">
        <f>Saldo_relativo_per_capita!U427*Saldo_relativo_per_capita!U$552/1000000</f>
        <v>-2.3835960967516837E-2</v>
      </c>
      <c r="V427" s="336">
        <f>Saldo_relativo_per_capita!V427*Saldo_relativo_per_capita!V$552/1000000</f>
        <v>-1.2715872746125484E-2</v>
      </c>
      <c r="W427" s="148"/>
    </row>
    <row r="428" spans="1:23" s="115" customFormat="1">
      <c r="A428" s="351" t="str">
        <f>IF(B428="","",(IF(ISERROR(MATCH(B428,Tot_res!C:C,0)),"Eliminar!!!","")))</f>
        <v/>
      </c>
      <c r="B428" s="115" t="s">
        <v>390</v>
      </c>
      <c r="C428" s="329" t="str">
        <f>VLOOKUP(B428,Tot_res!C:D,2,FALSE)</f>
        <v xml:space="preserve"> Inspección de trabajo</v>
      </c>
      <c r="D428" s="336">
        <f>Saldo_relativo_per_capita!D428*Saldo_relativo_per_capita!D$552/1000000</f>
        <v>0</v>
      </c>
      <c r="E428" s="336">
        <f>Saldo_relativo_per_capita!E428*Saldo_relativo_per_capita!E$552/1000000</f>
        <v>-2.4902474648348747</v>
      </c>
      <c r="F428" s="336">
        <f>Saldo_relativo_per_capita!F428*Saldo_relativo_per_capita!F$552/1000000</f>
        <v>-0.39177224273733363</v>
      </c>
      <c r="G428" s="336">
        <f>Saldo_relativo_per_capita!G428*Saldo_relativo_per_capita!G$552/1000000</f>
        <v>-0.31318055786262611</v>
      </c>
      <c r="H428" s="336">
        <f>Saldo_relativo_per_capita!H428*Saldo_relativo_per_capita!H$552/1000000</f>
        <v>-0.32725169866165982</v>
      </c>
      <c r="I428" s="336">
        <f>Saldo_relativo_per_capita!I428*Saldo_relativo_per_capita!I$552/1000000</f>
        <v>-0.62327093692564983</v>
      </c>
      <c r="J428" s="336">
        <f>Saldo_relativo_per_capita!J428*Saldo_relativo_per_capita!J$552/1000000</f>
        <v>-0.1739824466991842</v>
      </c>
      <c r="K428" s="336">
        <f>Saldo_relativo_per_capita!K428*Saldo_relativo_per_capita!K$552/1000000</f>
        <v>-0.73617103215381163</v>
      </c>
      <c r="L428" s="336">
        <f>Saldo_relativo_per_capita!L428*Saldo_relativo_per_capita!L$552/1000000</f>
        <v>-0.61329310841538875</v>
      </c>
      <c r="M428" s="336">
        <f>Saldo_relativo_per_capita!M428*Saldo_relativo_per_capita!M$552/1000000</f>
        <v>11.615585330466896</v>
      </c>
      <c r="N428" s="336">
        <f>Saldo_relativo_per_capita!N428*Saldo_relativo_per_capita!N$552/1000000</f>
        <v>-1.4800269739234602</v>
      </c>
      <c r="O428" s="336">
        <f>Saldo_relativo_per_capita!O428*Saldo_relativo_per_capita!O$552/1000000</f>
        <v>-0.3249851624151483</v>
      </c>
      <c r="P428" s="336">
        <f>Saldo_relativo_per_capita!P428*Saldo_relativo_per_capita!P$552/1000000</f>
        <v>-0.81238427685406378</v>
      </c>
      <c r="Q428" s="336">
        <f>Saldo_relativo_per_capita!Q428*Saldo_relativo_per_capita!Q$552/1000000</f>
        <v>-1.9107315566037342</v>
      </c>
      <c r="R428" s="336">
        <f>Saldo_relativo_per_capita!R428*Saldo_relativo_per_capita!R$552/1000000</f>
        <v>-0.43488475020318579</v>
      </c>
      <c r="S428" s="336">
        <f>Saldo_relativo_per_capita!S428*Saldo_relativo_per_capita!S$552/1000000</f>
        <v>-0.18990556045140666</v>
      </c>
      <c r="T428" s="336">
        <f>Saldo_relativo_per_capita!T428*Saldo_relativo_per_capita!T$552/1000000</f>
        <v>-0.64893043349459656</v>
      </c>
      <c r="U428" s="336">
        <f>Saldo_relativo_per_capita!U428*Saldo_relativo_per_capita!U$552/1000000</f>
        <v>-9.427424223613165E-2</v>
      </c>
      <c r="V428" s="336">
        <f>Saldo_relativo_per_capita!V428*Saldo_relativo_per_capita!V$552/1000000</f>
        <v>-5.0292885994641913E-2</v>
      </c>
      <c r="W428" s="148"/>
    </row>
    <row r="429" spans="1:23">
      <c r="A429" s="352"/>
      <c r="B429" s="31"/>
      <c r="D429" s="39"/>
      <c r="E429" s="39"/>
      <c r="F429" s="39"/>
      <c r="G429" s="39"/>
      <c r="H429" s="39"/>
      <c r="I429" s="39"/>
      <c r="J429" s="39"/>
      <c r="K429" s="39"/>
      <c r="L429" s="39"/>
      <c r="M429" s="39"/>
      <c r="N429" s="39"/>
      <c r="O429" s="39"/>
      <c r="P429" s="39"/>
      <c r="Q429" s="39"/>
      <c r="R429" s="39"/>
      <c r="S429" s="39"/>
      <c r="T429" s="39"/>
      <c r="U429" s="39"/>
      <c r="V429" s="39"/>
      <c r="W429" s="35"/>
    </row>
    <row r="430" spans="1:23">
      <c r="A430" s="352"/>
      <c r="D430" s="39"/>
      <c r="E430" s="39"/>
      <c r="F430" s="39"/>
      <c r="G430" s="39"/>
      <c r="H430" s="39"/>
      <c r="I430" s="39"/>
      <c r="J430" s="39"/>
      <c r="K430" s="39"/>
      <c r="L430" s="39"/>
      <c r="M430" s="39"/>
      <c r="N430" s="39"/>
      <c r="O430" s="39"/>
      <c r="P430" s="39"/>
      <c r="Q430" s="39"/>
      <c r="R430" s="39"/>
      <c r="S430" s="39"/>
      <c r="T430" s="39"/>
      <c r="U430" s="39"/>
      <c r="V430" s="39"/>
      <c r="W430" s="35"/>
    </row>
    <row r="431" spans="1:23" s="115" customFormat="1">
      <c r="A431" s="352"/>
      <c r="C431" s="134" t="s">
        <v>65</v>
      </c>
      <c r="D431" s="215">
        <f>Saldo_relativo_per_capita!D431*Saldo_relativo_per_capita!D$552/1000000</f>
        <v>0</v>
      </c>
      <c r="E431" s="215">
        <f>Saldo_relativo_per_capita!E431*Saldo_relativo_per_capita!E$552/1000000</f>
        <v>1277.652323824195</v>
      </c>
      <c r="F431" s="215">
        <f>Saldo_relativo_per_capita!F431*Saldo_relativo_per_capita!F$552/1000000</f>
        <v>340.44262976557479</v>
      </c>
      <c r="G431" s="215">
        <f>Saldo_relativo_per_capita!G431*Saldo_relativo_per_capita!G$552/1000000</f>
        <v>-41.647067699933956</v>
      </c>
      <c r="H431" s="215">
        <f>Saldo_relativo_per_capita!H431*Saldo_relativo_per_capita!H$552/1000000</f>
        <v>-160.27214170285509</v>
      </c>
      <c r="I431" s="215">
        <f>Saldo_relativo_per_capita!I431*Saldo_relativo_per_capita!I$552/1000000</f>
        <v>-140.48316445426303</v>
      </c>
      <c r="J431" s="215">
        <f>Saldo_relativo_per_capita!J431*Saldo_relativo_per_capita!J$552/1000000</f>
        <v>-2.3194711351696373</v>
      </c>
      <c r="K431" s="215">
        <f>Saldo_relativo_per_capita!K431*Saldo_relativo_per_capita!K$552/1000000</f>
        <v>627.06689069459276</v>
      </c>
      <c r="L431" s="215">
        <f>Saldo_relativo_per_capita!L431*Saldo_relativo_per_capita!L$552/1000000</f>
        <v>294.9255244039623</v>
      </c>
      <c r="M431" s="215">
        <f>Saldo_relativo_per_capita!M431*Saldo_relativo_per_capita!M$552/1000000</f>
        <v>-803.80368716347766</v>
      </c>
      <c r="N431" s="215">
        <f>Saldo_relativo_per_capita!N431*Saldo_relativo_per_capita!N$552/1000000</f>
        <v>-628.82478989928063</v>
      </c>
      <c r="O431" s="215">
        <f>Saldo_relativo_per_capita!O431*Saldo_relativo_per_capita!O$552/1000000</f>
        <v>516.80683043740021</v>
      </c>
      <c r="P431" s="215">
        <f>Saldo_relativo_per_capita!P431*Saldo_relativo_per_capita!P$552/1000000</f>
        <v>-69.326377804078561</v>
      </c>
      <c r="Q431" s="215">
        <f>Saldo_relativo_per_capita!Q431*Saldo_relativo_per_capita!Q$552/1000000</f>
        <v>-1028.6076892715428</v>
      </c>
      <c r="R431" s="215">
        <f>Saldo_relativo_per_capita!R431*Saldo_relativo_per_capita!R$552/1000000</f>
        <v>-113.30719890626196</v>
      </c>
      <c r="S431" s="215">
        <f>Saldo_relativo_per_capita!S431*Saldo_relativo_per_capita!S$552/1000000</f>
        <v>48.026217217204454</v>
      </c>
      <c r="T431" s="215">
        <f>Saldo_relativo_per_capita!T431*Saldo_relativo_per_capita!T$552/1000000</f>
        <v>-149.19892525456657</v>
      </c>
      <c r="U431" s="215">
        <f>Saldo_relativo_per_capita!U431*Saldo_relativo_per_capita!U$552/1000000</f>
        <v>-4.6328632685956848</v>
      </c>
      <c r="V431" s="215">
        <f>Saldo_relativo_per_capita!V431*Saldo_relativo_per_capita!V$552/1000000</f>
        <v>37.502960217096629</v>
      </c>
      <c r="W431" s="148"/>
    </row>
    <row r="432" spans="1:23" s="115" customFormat="1" ht="13.5">
      <c r="A432" s="352"/>
      <c r="C432" s="134"/>
      <c r="D432" s="217"/>
      <c r="E432" s="217"/>
      <c r="F432" s="217"/>
      <c r="G432" s="217"/>
      <c r="H432" s="217"/>
      <c r="I432" s="217"/>
      <c r="J432" s="217"/>
      <c r="K432" s="217"/>
      <c r="L432" s="217"/>
      <c r="M432" s="217"/>
      <c r="N432" s="217"/>
      <c r="O432" s="217"/>
      <c r="P432" s="217"/>
      <c r="Q432" s="217"/>
      <c r="R432" s="217"/>
      <c r="S432" s="217"/>
      <c r="T432" s="217"/>
      <c r="U432" s="217"/>
      <c r="V432" s="217"/>
      <c r="W432" s="219"/>
    </row>
    <row r="433" spans="1:23" s="115" customFormat="1" ht="13.5">
      <c r="A433" s="352"/>
      <c r="C433" s="128" t="s">
        <v>82</v>
      </c>
      <c r="D433" s="218">
        <f>Saldo_relativo_per_capita!D433*Saldo_relativo_per_capita!D$552/1000000</f>
        <v>0</v>
      </c>
      <c r="E433" s="218">
        <f>Saldo_relativo_per_capita!E433*Saldo_relativo_per_capita!E$552/1000000</f>
        <v>116.92954511059821</v>
      </c>
      <c r="F433" s="218">
        <f>Saldo_relativo_per_capita!F433*Saldo_relativo_per_capita!F$552/1000000</f>
        <v>-16.08677487491768</v>
      </c>
      <c r="G433" s="218">
        <f>Saldo_relativo_per_capita!G433*Saldo_relativo_per_capita!G$552/1000000</f>
        <v>4.1992890011913593</v>
      </c>
      <c r="H433" s="218">
        <f>Saldo_relativo_per_capita!H433*Saldo_relativo_per_capita!H$552/1000000</f>
        <v>-21.484481540455494</v>
      </c>
      <c r="I433" s="218">
        <f>Saldo_relativo_per_capita!I433*Saldo_relativo_per_capita!I$552/1000000</f>
        <v>-17.055274819066366</v>
      </c>
      <c r="J433" s="218">
        <f>Saldo_relativo_per_capita!J433*Saldo_relativo_per_capita!J$552/1000000</f>
        <v>-4.3087939312828016</v>
      </c>
      <c r="K433" s="218">
        <f>Saldo_relativo_per_capita!K433*Saldo_relativo_per_capita!K$552/1000000</f>
        <v>-25.218204075118351</v>
      </c>
      <c r="L433" s="218">
        <f>Saldo_relativo_per_capita!L433*Saldo_relativo_per_capita!L$552/1000000</f>
        <v>-23.822128281158598</v>
      </c>
      <c r="M433" s="218">
        <f>Saldo_relativo_per_capita!M433*Saldo_relativo_per_capita!M$552/1000000</f>
        <v>-104.53270615021749</v>
      </c>
      <c r="N433" s="218">
        <f>Saldo_relativo_per_capita!N433*Saldo_relativo_per_capita!N$552/1000000</f>
        <v>-62.356285979534796</v>
      </c>
      <c r="O433" s="218">
        <f>Saldo_relativo_per_capita!O433*Saldo_relativo_per_capita!O$552/1000000</f>
        <v>43.80919125805687</v>
      </c>
      <c r="P433" s="218">
        <f>Saldo_relativo_per_capita!P433*Saldo_relativo_per_capita!P$552/1000000</f>
        <v>8.8787664851689403</v>
      </c>
      <c r="Q433" s="218">
        <f>Saldo_relativo_per_capita!Q433*Saldo_relativo_per_capita!Q$552/1000000</f>
        <v>10.616133203598999</v>
      </c>
      <c r="R433" s="218">
        <f>Saldo_relativo_per_capita!R433*Saldo_relativo_per_capita!R$552/1000000</f>
        <v>-13.609446253259337</v>
      </c>
      <c r="S433" s="218">
        <f>Saldo_relativo_per_capita!S433*Saldo_relativo_per_capita!S$552/1000000</f>
        <v>2.522853991886993</v>
      </c>
      <c r="T433" s="218">
        <f>Saldo_relativo_per_capita!T433*Saldo_relativo_per_capita!T$552/1000000</f>
        <v>36.230352321047391</v>
      </c>
      <c r="U433" s="218">
        <f>Saldo_relativo_per_capita!U433*Saldo_relativo_per_capita!U$552/1000000</f>
        <v>-5.6455918780050798</v>
      </c>
      <c r="V433" s="218">
        <f>Saldo_relativo_per_capita!V433*Saldo_relativo_per_capita!V$552/1000000</f>
        <v>70.933556411467166</v>
      </c>
      <c r="W433" s="148"/>
    </row>
    <row r="434" spans="1:23" s="115" customFormat="1">
      <c r="A434" s="351" t="str">
        <f>IF(B434="","",(IF(ISERROR(MATCH(B434,Tot_res!C:C,0)),"Eliminar!!!","")))</f>
        <v/>
      </c>
      <c r="B434" s="119" t="s">
        <v>391</v>
      </c>
      <c r="C434" s="329" t="str">
        <f>VLOOKUP(B434,Tot_res!C:D,2,FALSE)</f>
        <v>Fomento de la inserción y estabilidad laboral+ AF20/1</v>
      </c>
      <c r="D434" s="336">
        <f>Saldo_relativo_per_capita!D434*Saldo_relativo_per_capita!D$552/1000000</f>
        <v>0</v>
      </c>
      <c r="E434" s="336">
        <f>Saldo_relativo_per_capita!E434*Saldo_relativo_per_capita!E$552/1000000</f>
        <v>116.68309360995208</v>
      </c>
      <c r="F434" s="336">
        <f>Saldo_relativo_per_capita!F434*Saldo_relativo_per_capita!F$552/1000000</f>
        <v>-15.003974302885625</v>
      </c>
      <c r="G434" s="336">
        <f>Saldo_relativo_per_capita!G434*Saldo_relativo_per_capita!G$552/1000000</f>
        <v>2.7549638632021423</v>
      </c>
      <c r="H434" s="336">
        <f>Saldo_relativo_per_capita!H434*Saldo_relativo_per_capita!H$552/1000000</f>
        <v>-21.696153775449385</v>
      </c>
      <c r="I434" s="336">
        <f>Saldo_relativo_per_capita!I434*Saldo_relativo_per_capita!I$552/1000000</f>
        <v>-17.672107500479246</v>
      </c>
      <c r="J434" s="336">
        <f>Saldo_relativo_per_capita!J434*Saldo_relativo_per_capita!J$552/1000000</f>
        <v>-4.7535451607997885</v>
      </c>
      <c r="K434" s="336">
        <f>Saldo_relativo_per_capita!K434*Saldo_relativo_per_capita!K$552/1000000</f>
        <v>-22.285320444676422</v>
      </c>
      <c r="L434" s="336">
        <f>Saldo_relativo_per_capita!L434*Saldo_relativo_per_capita!L$552/1000000</f>
        <v>-19.427615273819107</v>
      </c>
      <c r="M434" s="336">
        <f>Saldo_relativo_per_capita!M434*Saldo_relativo_per_capita!M$552/1000000</f>
        <v>-100.61569529365943</v>
      </c>
      <c r="N434" s="336">
        <f>Saldo_relativo_per_capita!N434*Saldo_relativo_per_capita!N$552/1000000</f>
        <v>-56.674964413166094</v>
      </c>
      <c r="O434" s="336">
        <f>Saldo_relativo_per_capita!O434*Saldo_relativo_per_capita!O$552/1000000</f>
        <v>45.33890738320121</v>
      </c>
      <c r="P434" s="336">
        <f>Saldo_relativo_per_capita!P434*Saldo_relativo_per_capita!P$552/1000000</f>
        <v>-7.6634745902487964</v>
      </c>
      <c r="Q434" s="336">
        <f>Saldo_relativo_per_capita!Q434*Saldo_relativo_per_capita!Q$552/1000000</f>
        <v>10.6768200338773</v>
      </c>
      <c r="R434" s="336">
        <f>Saldo_relativo_per_capita!R434*Saldo_relativo_per_capita!R$552/1000000</f>
        <v>-11.990395584965205</v>
      </c>
      <c r="S434" s="336">
        <f>Saldo_relativo_per_capita!S434*Saldo_relativo_per_capita!S$552/1000000</f>
        <v>3.0871006446244795</v>
      </c>
      <c r="T434" s="336">
        <f>Saldo_relativo_per_capita!T434*Saldo_relativo_per_capita!T$552/1000000</f>
        <v>33.43191961886582</v>
      </c>
      <c r="U434" s="336">
        <f>Saldo_relativo_per_capita!U434*Saldo_relativo_per_capita!U$552/1000000</f>
        <v>-5.4625769566740736</v>
      </c>
      <c r="V434" s="336">
        <f>Saldo_relativo_per_capita!V434*Saldo_relativo_per_capita!V$552/1000000</f>
        <v>71.273018143100444</v>
      </c>
      <c r="W434" s="148"/>
    </row>
    <row r="435" spans="1:23" s="115" customFormat="1">
      <c r="A435" s="351" t="str">
        <f>IF(B435="","",(IF(ISERROR(MATCH(B435,Tot_res!C:C,0)),"Eliminar!!!","")))</f>
        <v/>
      </c>
      <c r="B435" s="119" t="s">
        <v>392</v>
      </c>
      <c r="C435" s="329" t="str">
        <f>VLOOKUP(B435,Tot_res!C:D,2,FALSE)</f>
        <v>Desarrollo de la economía social y del Fondo Social Europeo + AF18</v>
      </c>
      <c r="D435" s="336">
        <f>Saldo_relativo_per_capita!D435*Saldo_relativo_per_capita!D$552/1000000</f>
        <v>0</v>
      </c>
      <c r="E435" s="336">
        <f>Saldo_relativo_per_capita!E435*Saldo_relativo_per_capita!E$552/1000000</f>
        <v>0.80773836839835489</v>
      </c>
      <c r="F435" s="336">
        <f>Saldo_relativo_per_capita!F435*Saldo_relativo_per_capita!F$552/1000000</f>
        <v>-0.13820662321776689</v>
      </c>
      <c r="G435" s="336">
        <f>Saldo_relativo_per_capita!G435*Saldo_relativo_per_capita!G$552/1000000</f>
        <v>0.12125880039114495</v>
      </c>
      <c r="H435" s="336">
        <f>Saldo_relativo_per_capita!H435*Saldo_relativo_per_capita!H$552/1000000</f>
        <v>-0.26897367873914435</v>
      </c>
      <c r="I435" s="336">
        <f>Saldo_relativo_per_capita!I435*Saldo_relativo_per_capita!I$552/1000000</f>
        <v>6.3611917939602733E-2</v>
      </c>
      <c r="J435" s="336">
        <f>Saldo_relativo_per_capita!J435*Saldo_relativo_per_capita!J$552/1000000</f>
        <v>-7.9402659602974043E-3</v>
      </c>
      <c r="K435" s="336">
        <f>Saldo_relativo_per_capita!K435*Saldo_relativo_per_capita!K$552/1000000</f>
        <v>-8.6060304275406521E-2</v>
      </c>
      <c r="L435" s="336">
        <f>Saldo_relativo_per_capita!L435*Saldo_relativo_per_capita!L$552/1000000</f>
        <v>3.7997039059509102E-2</v>
      </c>
      <c r="M435" s="336">
        <f>Saldo_relativo_per_capita!M435*Saldo_relativo_per_capita!M$552/1000000</f>
        <v>-0.95556965949738681</v>
      </c>
      <c r="N435" s="336">
        <f>Saldo_relativo_per_capita!N435*Saldo_relativo_per_capita!N$552/1000000</f>
        <v>5.381285315918477E-2</v>
      </c>
      <c r="O435" s="336">
        <f>Saldo_relativo_per_capita!O435*Saldo_relativo_per_capita!O$552/1000000</f>
        <v>0.30834498930126475</v>
      </c>
      <c r="P435" s="336">
        <f>Saldo_relativo_per_capita!P435*Saldo_relativo_per_capita!P$552/1000000</f>
        <v>0.26463524572245317</v>
      </c>
      <c r="Q435" s="336">
        <f>Saldo_relativo_per_capita!Q435*Saldo_relativo_per_capita!Q$552/1000000</f>
        <v>-0.52313803981375584</v>
      </c>
      <c r="R435" s="336">
        <f>Saldo_relativo_per_capita!R435*Saldo_relativo_per_capita!R$552/1000000</f>
        <v>2.0639917221537726E-2</v>
      </c>
      <c r="S435" s="336">
        <f>Saldo_relativo_per_capita!S435*Saldo_relativo_per_capita!S$552/1000000</f>
        <v>8.8105000827984878E-2</v>
      </c>
      <c r="T435" s="336">
        <f>Saldo_relativo_per_capita!T435*Saldo_relativo_per_capita!T$552/1000000</f>
        <v>0.36623618887051801</v>
      </c>
      <c r="U435" s="336">
        <f>Saldo_relativo_per_capita!U435*Saldo_relativo_per_capita!U$552/1000000</f>
        <v>-4.4549148473800787E-2</v>
      </c>
      <c r="V435" s="336">
        <f>Saldo_relativo_per_capita!V435*Saldo_relativo_per_capita!V$552/1000000</f>
        <v>-0.10794260091398733</v>
      </c>
      <c r="W435" s="148"/>
    </row>
    <row r="436" spans="1:23" s="115" customFormat="1">
      <c r="A436" s="351" t="str">
        <f>IF(B436="","",(IF(ISERROR(MATCH(B436,Tot_res!C:C,0)),"Eliminar!!!","")))</f>
        <v/>
      </c>
      <c r="B436" s="115" t="s">
        <v>393</v>
      </c>
      <c r="C436" s="329" t="str">
        <f>VLOOKUP(B436,Tot_res!C:D,2,FALSE)</f>
        <v>Regulación y protección de la propiedad industrial</v>
      </c>
      <c r="D436" s="336">
        <f>Saldo_relativo_per_capita!D436*Saldo_relativo_per_capita!D$552/1000000</f>
        <v>0</v>
      </c>
      <c r="E436" s="336">
        <f>Saldo_relativo_per_capita!E436*Saldo_relativo_per_capita!E$552/1000000</f>
        <v>-1.7533727837436357</v>
      </c>
      <c r="F436" s="336">
        <f>Saldo_relativo_per_capita!F436*Saldo_relativo_per_capita!F$552/1000000</f>
        <v>9.8096040543586518E-2</v>
      </c>
      <c r="G436" s="336">
        <f>Saldo_relativo_per_capita!G436*Saldo_relativo_per_capita!G$552/1000000</f>
        <v>-0.11353845923841303</v>
      </c>
      <c r="H436" s="336">
        <f>Saldo_relativo_per_capita!H436*Saldo_relativo_per_capita!H$552/1000000</f>
        <v>4.4864847379047265E-2</v>
      </c>
      <c r="I436" s="336">
        <f>Saldo_relativo_per_capita!I436*Saldo_relativo_per_capita!I$552/1000000</f>
        <v>-0.26633569723758338</v>
      </c>
      <c r="J436" s="336">
        <f>Saldo_relativo_per_capita!J436*Saldo_relativo_per_capita!J$552/1000000</f>
        <v>-4.5468333748353858E-2</v>
      </c>
      <c r="K436" s="336">
        <f>Saldo_relativo_per_capita!K436*Saldo_relativo_per_capita!K$552/1000000</f>
        <v>-0.145235769567335</v>
      </c>
      <c r="L436" s="336">
        <f>Saldo_relativo_per_capita!L436*Saldo_relativo_per_capita!L$552/1000000</f>
        <v>-0.37855484719973137</v>
      </c>
      <c r="M436" s="336">
        <f>Saldo_relativo_per_capita!M436*Saldo_relativo_per_capita!M$552/1000000</f>
        <v>0.92038333163639441</v>
      </c>
      <c r="N436" s="336">
        <f>Saldo_relativo_per_capita!N436*Saldo_relativo_per_capita!N$552/1000000</f>
        <v>-0.53379418700775949</v>
      </c>
      <c r="O436" s="336">
        <f>Saldo_relativo_per_capita!O436*Saldo_relativo_per_capita!O$552/1000000</f>
        <v>-0.27808766674704333</v>
      </c>
      <c r="P436" s="336">
        <f>Saldo_relativo_per_capita!P436*Saldo_relativo_per_capita!P$552/1000000</f>
        <v>-0.27634688123487305</v>
      </c>
      <c r="Q436" s="336">
        <f>Saldo_relativo_per_capita!Q436*Saldo_relativo_per_capita!Q$552/1000000</f>
        <v>2.3458960177020773</v>
      </c>
      <c r="R436" s="336">
        <f>Saldo_relativo_per_capita!R436*Saldo_relativo_per_capita!R$552/1000000</f>
        <v>-0.22579486358040796</v>
      </c>
      <c r="S436" s="336">
        <f>Saldo_relativo_per_capita!S436*Saldo_relativo_per_capita!S$552/1000000</f>
        <v>0.12391660720000043</v>
      </c>
      <c r="T436" s="336">
        <f>Saldo_relativo_per_capita!T436*Saldo_relativo_per_capita!T$552/1000000</f>
        <v>0.49838108340544901</v>
      </c>
      <c r="U436" s="336">
        <f>Saldo_relativo_per_capita!U436*Saldo_relativo_per_capita!U$552/1000000</f>
        <v>1.5313674037815887E-2</v>
      </c>
      <c r="V436" s="336">
        <f>Saldo_relativo_per_capita!V436*Saldo_relativo_per_capita!V$552/1000000</f>
        <v>-3.0322112599230309E-2</v>
      </c>
      <c r="W436" s="148"/>
    </row>
    <row r="437" spans="1:23" s="115" customFormat="1">
      <c r="A437" s="351" t="str">
        <f>IF(B437="","",(IF(ISERROR(MATCH(B437,Tot_res!C:C,0)),"Eliminar!!!","")))</f>
        <v/>
      </c>
      <c r="B437" s="115" t="s">
        <v>394</v>
      </c>
      <c r="C437" s="329" t="str">
        <f>VLOOKUP(B437,Tot_res!C:D,2,FALSE)</f>
        <v>Apoyo a la pequeña y mediana empresa</v>
      </c>
      <c r="D437" s="336">
        <f>Saldo_relativo_per_capita!D437*Saldo_relativo_per_capita!D$552/1000000</f>
        <v>0</v>
      </c>
      <c r="E437" s="336">
        <f>Saldo_relativo_per_capita!E437*Saldo_relativo_per_capita!E$552/1000000</f>
        <v>-1.5335521644580621</v>
      </c>
      <c r="F437" s="336">
        <f>Saldo_relativo_per_capita!F437*Saldo_relativo_per_capita!F$552/1000000</f>
        <v>6.8138705510328412E-2</v>
      </c>
      <c r="G437" s="336">
        <f>Saldo_relativo_per_capita!G437*Saldo_relativo_per_capita!G$552/1000000</f>
        <v>-0.17291528371633577</v>
      </c>
      <c r="H437" s="336">
        <f>Saldo_relativo_per_capita!H437*Saldo_relativo_per_capita!H$552/1000000</f>
        <v>-8.8257392392146597E-2</v>
      </c>
      <c r="I437" s="336">
        <f>Saldo_relativo_per_capita!I437*Saldo_relativo_per_capita!I$552/1000000</f>
        <v>-7.9610580878098237E-3</v>
      </c>
      <c r="J437" s="336">
        <f>Saldo_relativo_per_capita!J437*Saldo_relativo_per_capita!J$552/1000000</f>
        <v>-6.4053802954521268E-3</v>
      </c>
      <c r="K437" s="336">
        <f>Saldo_relativo_per_capita!K437*Saldo_relativo_per_capita!K$552/1000000</f>
        <v>-0.39089120093395197</v>
      </c>
      <c r="L437" s="336">
        <f>Saldo_relativo_per_capita!L437*Saldo_relativo_per_capita!L$552/1000000</f>
        <v>-0.46633968995211617</v>
      </c>
      <c r="M437" s="336">
        <f>Saldo_relativo_per_capita!M437*Saldo_relativo_per_capita!M$552/1000000</f>
        <v>0.84553310435045825</v>
      </c>
      <c r="N437" s="336">
        <f>Saldo_relativo_per_capita!N437*Saldo_relativo_per_capita!N$552/1000000</f>
        <v>-0.4925040394522191</v>
      </c>
      <c r="O437" s="336">
        <f>Saldo_relativo_per_capita!O437*Saldo_relativo_per_capita!O$552/1000000</f>
        <v>-0.2159349639390164</v>
      </c>
      <c r="P437" s="336">
        <f>Saldo_relativo_per_capita!P437*Saldo_relativo_per_capita!P$552/1000000</f>
        <v>-0.39295915199242448</v>
      </c>
      <c r="Q437" s="336">
        <f>Saldo_relativo_per_capita!Q437*Saldo_relativo_per_capita!Q$552/1000000</f>
        <v>2.4742731852783697</v>
      </c>
      <c r="R437" s="336">
        <f>Saldo_relativo_per_capita!R437*Saldo_relativo_per_capita!R$552/1000000</f>
        <v>-4.7040108673565201E-2</v>
      </c>
      <c r="S437" s="336">
        <f>Saldo_relativo_per_capita!S437*Saldo_relativo_per_capita!S$552/1000000</f>
        <v>0.10757083349595134</v>
      </c>
      <c r="T437" s="336">
        <f>Saldo_relativo_per_capita!T437*Saldo_relativo_per_capita!T$552/1000000</f>
        <v>0.28406881753300833</v>
      </c>
      <c r="U437" s="336">
        <f>Saldo_relativo_per_capita!U437*Saldo_relativo_per_capita!U$552/1000000</f>
        <v>6.2369163955741339E-2</v>
      </c>
      <c r="V437" s="336">
        <f>Saldo_relativo_per_capita!V437*Saldo_relativo_per_capita!V$552/1000000</f>
        <v>-2.7193376230748946E-2</v>
      </c>
      <c r="W437" s="148"/>
    </row>
    <row r="438" spans="1:23" s="115" customFormat="1">
      <c r="A438" s="351" t="str">
        <f>IF(B438="","",(IF(ISERROR(MATCH(B438,Tot_res!C:C,0)),"Eliminar!!!","")))</f>
        <v/>
      </c>
      <c r="B438" s="115" t="s">
        <v>395</v>
      </c>
      <c r="C438" s="329" t="str">
        <f>VLOOKUP(B438,Tot_res!C:D,2,FALSE)</f>
        <v>Administración de las relaciones laborales y condiciones de trabajo</v>
      </c>
      <c r="D438" s="336">
        <f>Saldo_relativo_per_capita!D438*Saldo_relativo_per_capita!D$552/1000000</f>
        <v>0</v>
      </c>
      <c r="E438" s="336">
        <f>Saldo_relativo_per_capita!E438*Saldo_relativo_per_capita!E$552/1000000</f>
        <v>-2.6326700504077607</v>
      </c>
      <c r="F438" s="336">
        <f>Saldo_relativo_per_capita!F438*Saldo_relativo_per_capita!F$552/1000000</f>
        <v>-0.23142105148946895</v>
      </c>
      <c r="G438" s="336">
        <f>Saldo_relativo_per_capita!G438*Saldo_relativo_per_capita!G$552/1000000</f>
        <v>0.85333671205297479</v>
      </c>
      <c r="H438" s="336">
        <f>Saldo_relativo_per_capita!H438*Saldo_relativo_per_capita!H$552/1000000</f>
        <v>-0.18526192747528653</v>
      </c>
      <c r="I438" s="336">
        <f>Saldo_relativo_per_capita!I438*Saldo_relativo_per_capita!I$552/1000000</f>
        <v>-0.56258107543041436</v>
      </c>
      <c r="J438" s="336">
        <f>Saldo_relativo_per_capita!J438*Saldo_relativo_per_capita!J$552/1000000</f>
        <v>0.55628463403328055</v>
      </c>
      <c r="K438" s="336">
        <f>Saldo_relativo_per_capita!K438*Saldo_relativo_per_capita!K$552/1000000</f>
        <v>8.1739857094070209E-3</v>
      </c>
      <c r="L438" s="336">
        <f>Saldo_relativo_per_capita!L438*Saldo_relativo_per_capita!L$552/1000000</f>
        <v>-0.64325679210799191</v>
      </c>
      <c r="M438" s="336">
        <f>Saldo_relativo_per_capita!M438*Saldo_relativo_per_capita!M$552/1000000</f>
        <v>-0.4066081738112477</v>
      </c>
      <c r="N438" s="336">
        <f>Saldo_relativo_per_capita!N438*Saldo_relativo_per_capita!N$552/1000000</f>
        <v>-1.0409642406482833</v>
      </c>
      <c r="O438" s="336">
        <f>Saldo_relativo_per_capita!O438*Saldo_relativo_per_capita!O$552/1000000</f>
        <v>-0.36520238684367978</v>
      </c>
      <c r="P438" s="336">
        <f>Saldo_relativo_per_capita!P438*Saldo_relativo_per_capita!P$552/1000000</f>
        <v>1.5117062335966232</v>
      </c>
      <c r="Q438" s="336">
        <f>Saldo_relativo_per_capita!Q438*Saldo_relativo_per_capita!Q$552/1000000</f>
        <v>3.0240041462495424</v>
      </c>
      <c r="R438" s="336">
        <f>Saldo_relativo_per_capita!R438*Saldo_relativo_per_capita!R$552/1000000</f>
        <v>-0.35516931545046415</v>
      </c>
      <c r="S438" s="336">
        <f>Saldo_relativo_per_capita!S438*Saldo_relativo_per_capita!S$552/1000000</f>
        <v>-9.0816782472747964E-2</v>
      </c>
      <c r="T438" s="336">
        <f>Saldo_relativo_per_capita!T438*Saldo_relativo_per_capita!T$552/1000000</f>
        <v>0.67018219425605552</v>
      </c>
      <c r="U438" s="336">
        <f>Saldo_relativo_per_capita!U438*Saldo_relativo_per_capita!U$552/1000000</f>
        <v>-6.1953344638872809E-2</v>
      </c>
      <c r="V438" s="336">
        <f>Saldo_relativo_per_capita!V438*Saldo_relativo_per_capita!V$552/1000000</f>
        <v>-4.7782765121667778E-2</v>
      </c>
      <c r="W438" s="148"/>
    </row>
    <row r="439" spans="1:23" s="115" customFormat="1">
      <c r="A439" s="351" t="str">
        <f>IF(B439="","",(IF(ISERROR(MATCH(B439,Tot_res!C:C,0)),"Eliminar!!!","")))</f>
        <v/>
      </c>
      <c r="B439" s="115" t="s">
        <v>879</v>
      </c>
      <c r="C439" s="329" t="str">
        <f>VLOOKUP(B439,Tot_res!C:D,2,FALSE)</f>
        <v xml:space="preserve"> Previsión y política económica, subvenciones a préstamos ICO </v>
      </c>
      <c r="D439" s="336">
        <f>Saldo_relativo_per_capita!D439*Saldo_relativo_per_capita!D$552/1000000</f>
        <v>0</v>
      </c>
      <c r="E439" s="336">
        <f>Saldo_relativo_per_capita!E439*Saldo_relativo_per_capita!E$552/1000000</f>
        <v>-0.83641656444050905</v>
      </c>
      <c r="F439" s="336">
        <f>Saldo_relativo_per_capita!F439*Saldo_relativo_per_capita!F$552/1000000</f>
        <v>5.9741863120253612E-2</v>
      </c>
      <c r="G439" s="336">
        <f>Saldo_relativo_per_capita!G439*Saldo_relativo_per_capita!G$552/1000000</f>
        <v>-5.0457981188709623E-2</v>
      </c>
      <c r="H439" s="336">
        <f>Saldo_relativo_per_capita!H439*Saldo_relativo_per_capita!H$552/1000000</f>
        <v>3.0932969867934874E-2</v>
      </c>
      <c r="I439" s="336">
        <f>Saldo_relativo_per_capita!I439*Saldo_relativo_per_capita!I$552/1000000</f>
        <v>-0.12107826540852952</v>
      </c>
      <c r="J439" s="336">
        <f>Saldo_relativo_per_capita!J439*Saldo_relativo_per_capita!J$552/1000000</f>
        <v>-1.9022844682371663E-2</v>
      </c>
      <c r="K439" s="336">
        <f>Saldo_relativo_per_capita!K439*Saldo_relativo_per_capita!K$552/1000000</f>
        <v>-5.6364578944273998E-2</v>
      </c>
      <c r="L439" s="336">
        <f>Saldo_relativo_per_capita!L439*Saldo_relativo_per_capita!L$552/1000000</f>
        <v>-0.17873905142273736</v>
      </c>
      <c r="M439" s="336">
        <f>Saldo_relativo_per_capita!M439*Saldo_relativo_per_capita!M$552/1000000</f>
        <v>0.52521456299732616</v>
      </c>
      <c r="N439" s="336">
        <f>Saldo_relativo_per_capita!N439*Saldo_relativo_per_capita!N$552/1000000</f>
        <v>-0.23703919962534603</v>
      </c>
      <c r="O439" s="336">
        <f>Saldo_relativo_per_capita!O439*Saldo_relativo_per_capita!O$552/1000000</f>
        <v>-0.13436272706751654</v>
      </c>
      <c r="P439" s="336">
        <f>Saldo_relativo_per_capita!P439*Saldo_relativo_per_capita!P$552/1000000</f>
        <v>-0.1215904074926252</v>
      </c>
      <c r="Q439" s="336">
        <f>Saldo_relativo_per_capita!Q439*Saldo_relativo_per_capita!Q$552/1000000</f>
        <v>0.91645614392346131</v>
      </c>
      <c r="R439" s="336">
        <f>Saldo_relativo_per_capita!R439*Saldo_relativo_per_capita!R$552/1000000</f>
        <v>-0.10492773255991444</v>
      </c>
      <c r="S439" s="336">
        <f>Saldo_relativo_per_capita!S439*Saldo_relativo_per_capita!S$552/1000000</f>
        <v>6.3348883984787302E-2</v>
      </c>
      <c r="T439" s="336">
        <f>Saldo_relativo_per_capita!T439*Saldo_relativo_per_capita!T$552/1000000</f>
        <v>0.26845987524897513</v>
      </c>
      <c r="U439" s="336">
        <f>Saldo_relativo_per_capita!U439*Saldo_relativo_per_capita!U$552/1000000</f>
        <v>1.0133509146035688E-2</v>
      </c>
      <c r="V439" s="336">
        <f>Saldo_relativo_per_capita!V439*Saldo_relativo_per_capita!V$552/1000000</f>
        <v>-1.4288455456236812E-2</v>
      </c>
      <c r="W439" s="148"/>
    </row>
    <row r="440" spans="1:23" s="115" customFormat="1">
      <c r="A440" s="351" t="str">
        <f>IF(B440="","",(IF(ISERROR(MATCH(B440,Tot_res!C:C,0)),"Eliminar!!!","")))</f>
        <v/>
      </c>
      <c r="B440" s="115" t="s">
        <v>881</v>
      </c>
      <c r="C440" s="329" t="str">
        <f>VLOOKUP(B440,Tot_res!C:D,2,FALSE)</f>
        <v>Otros Servicios Sociales, formación y gestión del empleo y del desempleo, ISM</v>
      </c>
      <c r="D440" s="336">
        <f>Saldo_relativo_per_capita!D440*Saldo_relativo_per_capita!D$552/1000000</f>
        <v>0</v>
      </c>
      <c r="E440" s="336">
        <f>Saldo_relativo_per_capita!E440*Saldo_relativo_per_capita!E$552/1000000</f>
        <v>0.78259619275205805</v>
      </c>
      <c r="F440" s="336">
        <f>Saldo_relativo_per_capita!F440*Saldo_relativo_per_capita!F$552/1000000</f>
        <v>-0.33753849180159823</v>
      </c>
      <c r="G440" s="336">
        <f>Saldo_relativo_per_capita!G440*Saldo_relativo_per_capita!G$552/1000000</f>
        <v>-6.4777487008421897E-2</v>
      </c>
      <c r="H440" s="336">
        <f>Saldo_relativo_per_capita!H440*Saldo_relativo_per_capita!H$552/1000000</f>
        <v>-2.2712390532228635E-2</v>
      </c>
      <c r="I440" s="336">
        <f>Saldo_relativo_per_capita!I440*Saldo_relativo_per_capita!I$552/1000000</f>
        <v>1.2805538167137811</v>
      </c>
      <c r="J440" s="336">
        <f>Saldo_relativo_per_capita!J440*Saldo_relativo_per_capita!J$552/1000000</f>
        <v>4.1338962039062593E-2</v>
      </c>
      <c r="K440" s="336">
        <f>Saldo_relativo_per_capita!K440*Saldo_relativo_per_capita!K$552/1000000</f>
        <v>-0.63426152441285277</v>
      </c>
      <c r="L440" s="336">
        <f>Saldo_relativo_per_capita!L440*Saldo_relativo_per_capita!L$552/1000000</f>
        <v>-0.52839381728642687</v>
      </c>
      <c r="M440" s="336">
        <f>Saldo_relativo_per_capita!M440*Saldo_relativo_per_capita!M$552/1000000</f>
        <v>-1.5947346371191555</v>
      </c>
      <c r="N440" s="336">
        <f>Saldo_relativo_per_capita!N440*Saldo_relativo_per_capita!N$552/1000000</f>
        <v>-0.45389417498371037</v>
      </c>
      <c r="O440" s="336">
        <f>Saldo_relativo_per_capita!O440*Saldo_relativo_per_capita!O$552/1000000</f>
        <v>-0.27999686964309095</v>
      </c>
      <c r="P440" s="336">
        <f>Saldo_relativo_per_capita!P440*Saldo_relativo_per_capita!P$552/1000000</f>
        <v>3.541821622771288</v>
      </c>
      <c r="Q440" s="336">
        <f>Saldo_relativo_per_capita!Q440*Saldo_relativo_per_capita!Q$552/1000000</f>
        <v>-1.3280395861691323</v>
      </c>
      <c r="R440" s="336">
        <f>Saldo_relativo_per_capita!R440*Saldo_relativo_per_capita!R$552/1000000</f>
        <v>-0.13361108522769233</v>
      </c>
      <c r="S440" s="336">
        <f>Saldo_relativo_per_capita!S440*Saldo_relativo_per_capita!S$552/1000000</f>
        <v>-0.16361658501284282</v>
      </c>
      <c r="T440" s="336">
        <f>Saldo_relativo_per_capita!T440*Saldo_relativo_per_capita!T$552/1000000</f>
        <v>-9.5040758078325197E-2</v>
      </c>
      <c r="U440" s="336">
        <f>Saldo_relativo_per_capita!U440*Saldo_relativo_per_capita!U$552/1000000</f>
        <v>-8.1223685776680057E-2</v>
      </c>
      <c r="V440" s="336">
        <f>Saldo_relativo_per_capita!V440*Saldo_relativo_per_capita!V$552/1000000</f>
        <v>7.1530498775968301E-2</v>
      </c>
      <c r="W440" s="148"/>
    </row>
    <row r="441" spans="1:23" s="115" customFormat="1">
      <c r="A441" s="351" t="str">
        <f>IF(B441="","",(IF(ISERROR(MATCH(B441,Tot_res!C:C,0)),"Eliminar!!!","")))</f>
        <v/>
      </c>
      <c r="B441" s="115" t="s">
        <v>882</v>
      </c>
      <c r="C441" s="329" t="str">
        <f>VLOOKUP(B441,Tot_res!C:D,2,FALSE)</f>
        <v>ISM, formación  + AF20/2</v>
      </c>
      <c r="D441" s="336">
        <f>Saldo_relativo_per_capita!D441*Saldo_relativo_per_capita!D$552/1000000</f>
        <v>0</v>
      </c>
      <c r="E441" s="336">
        <f>Saldo_relativo_per_capita!E441*Saldo_relativo_per_capita!E$552/1000000</f>
        <v>5.1347014420235375</v>
      </c>
      <c r="F441" s="336">
        <f>Saldo_relativo_per_capita!F441*Saldo_relativo_per_capita!F$552/1000000</f>
        <v>-1.0759337236907749</v>
      </c>
      <c r="G441" s="336">
        <f>Saldo_relativo_per_capita!G441*Saldo_relativo_per_capita!G$552/1000000</f>
        <v>1.1537716370442412</v>
      </c>
      <c r="H441" s="336">
        <f>Saldo_relativo_per_capita!H441*Saldo_relativo_per_capita!H$552/1000000</f>
        <v>0.36990848163189899</v>
      </c>
      <c r="I441" s="336">
        <f>Saldo_relativo_per_capita!I441*Saldo_relativo_per_capita!I$552/1000000</f>
        <v>-0.24664897184888032</v>
      </c>
      <c r="J441" s="336">
        <f>Saldo_relativo_per_capita!J441*Saldo_relativo_per_capita!J$552/1000000</f>
        <v>-0.30387657913058425</v>
      </c>
      <c r="K441" s="336">
        <f>Saldo_relativo_per_capita!K441*Saldo_relativo_per_capita!K$552/1000000</f>
        <v>-2.0217645700580711</v>
      </c>
      <c r="L441" s="336">
        <f>Saldo_relativo_per_capita!L441*Saldo_relativo_per_capita!L$552/1000000</f>
        <v>-1.6843019128684642</v>
      </c>
      <c r="M441" s="336">
        <f>Saldo_relativo_per_capita!M441*Saldo_relativo_per_capita!M$552/1000000</f>
        <v>-3.8764667253886858</v>
      </c>
      <c r="N441" s="336">
        <f>Saldo_relativo_per_capita!N441*Saldo_relativo_per_capita!N$552/1000000</f>
        <v>-1.6425972523824399</v>
      </c>
      <c r="O441" s="336">
        <f>Saldo_relativo_per_capita!O441*Saldo_relativo_per_capita!O$552/1000000</f>
        <v>-0.89251472615433691</v>
      </c>
      <c r="P441" s="336">
        <f>Saldo_relativo_per_capita!P441*Saldo_relativo_per_capita!P$552/1000000</f>
        <v>11.534173233739724</v>
      </c>
      <c r="Q441" s="336">
        <f>Saldo_relativo_per_capita!Q441*Saldo_relativo_per_capita!Q$552/1000000</f>
        <v>-5.2474889601825758</v>
      </c>
      <c r="R441" s="336">
        <f>Saldo_relativo_per_capita!R441*Saldo_relativo_per_capita!R$552/1000000</f>
        <v>-1.0885361213303184</v>
      </c>
      <c r="S441" s="336">
        <f>Saldo_relativo_per_capita!S441*Saldo_relativo_per_capita!S$552/1000000</f>
        <v>-0.5215423006449621</v>
      </c>
      <c r="T441" s="336">
        <f>Saldo_relativo_per_capita!T441*Saldo_relativo_per_capita!T$552/1000000</f>
        <v>0.80614530094586134</v>
      </c>
      <c r="U441" s="336">
        <f>Saldo_relativo_per_capita!U441*Saldo_relativo_per_capita!U$552/1000000</f>
        <v>-0.25890766479148858</v>
      </c>
      <c r="V441" s="336">
        <f>Saldo_relativo_per_capita!V441*Saldo_relativo_per_capita!V$552/1000000</f>
        <v>-0.1381205869136837</v>
      </c>
      <c r="W441" s="148"/>
    </row>
    <row r="442" spans="1:23" s="115" customFormat="1">
      <c r="A442" s="351" t="str">
        <f>IF(B442="","",(IF(ISERROR(MATCH(B442,Tot_res!C:C,0)),"Eliminar!!!","")))</f>
        <v/>
      </c>
      <c r="B442" s="115" t="s">
        <v>396</v>
      </c>
      <c r="C442" s="329" t="str">
        <f>VLOOKUP(B442,Tot_res!C:D,2,FALSE)</f>
        <v>Gestión de la formación continua + AF20/3</v>
      </c>
      <c r="D442" s="336">
        <f>Saldo_relativo_per_capita!D442*Saldo_relativo_per_capita!D$552/1000000</f>
        <v>0</v>
      </c>
      <c r="E442" s="336">
        <f>Saldo_relativo_per_capita!E442*Saldo_relativo_per_capita!E$552/1000000</f>
        <v>0.27742706052219862</v>
      </c>
      <c r="F442" s="336">
        <f>Saldo_relativo_per_capita!F442*Saldo_relativo_per_capita!F$552/1000000</f>
        <v>0.47432270899338647</v>
      </c>
      <c r="G442" s="336">
        <f>Saldo_relativo_per_capita!G442*Saldo_relativo_per_capita!G$552/1000000</f>
        <v>-0.28235280034724547</v>
      </c>
      <c r="H442" s="336">
        <f>Saldo_relativo_per_capita!H442*Saldo_relativo_per_capita!H$552/1000000</f>
        <v>0.33117132525386589</v>
      </c>
      <c r="I442" s="336">
        <f>Saldo_relativo_per_capita!I442*Saldo_relativo_per_capita!I$552/1000000</f>
        <v>0.47727201477277698</v>
      </c>
      <c r="J442" s="336">
        <f>Saldo_relativo_per_capita!J442*Saldo_relativo_per_capita!J$552/1000000</f>
        <v>0.22984103726170277</v>
      </c>
      <c r="K442" s="336">
        <f>Saldo_relativo_per_capita!K442*Saldo_relativo_per_capita!K$552/1000000</f>
        <v>0.39352033204052966</v>
      </c>
      <c r="L442" s="336">
        <f>Saldo_relativo_per_capita!L442*Saldo_relativo_per_capita!L$552/1000000</f>
        <v>-0.55292393556150798</v>
      </c>
      <c r="M442" s="336">
        <f>Saldo_relativo_per_capita!M442*Saldo_relativo_per_capita!M$552/1000000</f>
        <v>0.62523734027438205</v>
      </c>
      <c r="N442" s="336">
        <f>Saldo_relativo_per_capita!N442*Saldo_relativo_per_capita!N$552/1000000</f>
        <v>-1.3343413254281649</v>
      </c>
      <c r="O442" s="336">
        <f>Saldo_relativo_per_capita!O442*Saldo_relativo_per_capita!O$552/1000000</f>
        <v>0.32803822594903398</v>
      </c>
      <c r="P442" s="336">
        <f>Saldo_relativo_per_capita!P442*Saldo_relativo_per_capita!P$552/1000000</f>
        <v>0.48080118030759073</v>
      </c>
      <c r="Q442" s="336">
        <f>Saldo_relativo_per_capita!Q442*Saldo_relativo_per_capita!Q$552/1000000</f>
        <v>-1.7226497372661389</v>
      </c>
      <c r="R442" s="336">
        <f>Saldo_relativo_per_capita!R442*Saldo_relativo_per_capita!R$552/1000000</f>
        <v>0.31538864130668937</v>
      </c>
      <c r="S442" s="336">
        <f>Saldo_relativo_per_capita!S442*Saldo_relativo_per_capita!S$552/1000000</f>
        <v>-0.17121231011564861</v>
      </c>
      <c r="T442" s="336">
        <f>Saldo_relativo_per_capita!T442*Saldo_relativo_per_capita!T$552/1000000</f>
        <v>0</v>
      </c>
      <c r="U442" s="336">
        <f>Saldo_relativo_per_capita!U442*Saldo_relativo_per_capita!U$552/1000000</f>
        <v>0.17580257521024847</v>
      </c>
      <c r="V442" s="336">
        <f>Saldo_relativo_per_capita!V442*Saldo_relativo_per_capita!V$552/1000000</f>
        <v>-4.5342333173698339E-2</v>
      </c>
      <c r="W442" s="148"/>
    </row>
    <row r="443" spans="1:23" s="115" customFormat="1">
      <c r="A443" s="352"/>
      <c r="C443" s="132"/>
      <c r="D443" s="217"/>
      <c r="E443" s="217"/>
      <c r="F443" s="217"/>
      <c r="G443" s="217"/>
      <c r="H443" s="217"/>
      <c r="I443" s="217"/>
      <c r="J443" s="217"/>
      <c r="K443" s="217"/>
      <c r="L443" s="217"/>
      <c r="M443" s="217"/>
      <c r="N443" s="217"/>
      <c r="O443" s="217"/>
      <c r="P443" s="217"/>
      <c r="Q443" s="217"/>
      <c r="R443" s="217"/>
      <c r="S443" s="217"/>
      <c r="T443" s="217"/>
      <c r="U443" s="217"/>
      <c r="V443" s="217"/>
      <c r="W443" s="148"/>
    </row>
    <row r="444" spans="1:23" s="115" customFormat="1" ht="13.5">
      <c r="A444" s="352"/>
      <c r="C444" s="128" t="s">
        <v>75</v>
      </c>
      <c r="D444" s="218">
        <f>Saldo_relativo_per_capita!D444*Saldo_relativo_per_capita!D$552/1000000</f>
        <v>0</v>
      </c>
      <c r="E444" s="218">
        <f>Saldo_relativo_per_capita!E444*Saldo_relativo_per_capita!E$552/1000000</f>
        <v>1304.4984684537158</v>
      </c>
      <c r="F444" s="218">
        <f>Saldo_relativo_per_capita!F444*Saldo_relativo_per_capita!F$552/1000000</f>
        <v>330.81235894182873</v>
      </c>
      <c r="G444" s="218">
        <f>Saldo_relativo_per_capita!G444*Saldo_relativo_per_capita!G$552/1000000</f>
        <v>-92.062010060894522</v>
      </c>
      <c r="H444" s="218">
        <f>Saldo_relativo_per_capita!H444*Saldo_relativo_per_capita!H$552/1000000</f>
        <v>-135.97793225071482</v>
      </c>
      <c r="I444" s="218">
        <f>Saldo_relativo_per_capita!I444*Saldo_relativo_per_capita!I$552/1000000</f>
        <v>-87.190910198762907</v>
      </c>
      <c r="J444" s="218">
        <f>Saldo_relativo_per_capita!J444*Saldo_relativo_per_capita!J$552/1000000</f>
        <v>-8.0582582844857917</v>
      </c>
      <c r="K444" s="218">
        <f>Saldo_relativo_per_capita!K444*Saldo_relativo_per_capita!K$552/1000000</f>
        <v>672.00342650018717</v>
      </c>
      <c r="L444" s="218">
        <f>Saldo_relativo_per_capita!L444*Saldo_relativo_per_capita!L$552/1000000</f>
        <v>340.496258087358</v>
      </c>
      <c r="M444" s="218">
        <f>Saldo_relativo_per_capita!M444*Saldo_relativo_per_capita!M$552/1000000</f>
        <v>-774.8296325884578</v>
      </c>
      <c r="N444" s="218">
        <f>Saldo_relativo_per_capita!N444*Saldo_relativo_per_capita!N$552/1000000</f>
        <v>-534.45521331323948</v>
      </c>
      <c r="O444" s="218">
        <f>Saldo_relativo_per_capita!O444*Saldo_relativo_per_capita!O$552/1000000</f>
        <v>502.26140228585757</v>
      </c>
      <c r="P444" s="218">
        <f>Saldo_relativo_per_capita!P444*Saldo_relativo_per_capita!P$552/1000000</f>
        <v>-152.12956017812334</v>
      </c>
      <c r="Q444" s="218">
        <f>Saldo_relativo_per_capita!Q444*Saldo_relativo_per_capita!Q$552/1000000</f>
        <v>-968.63653239648943</v>
      </c>
      <c r="R444" s="218">
        <f>Saldo_relativo_per_capita!R444*Saldo_relativo_per_capita!R$552/1000000</f>
        <v>-104.02855365523183</v>
      </c>
      <c r="S444" s="218">
        <f>Saldo_relativo_per_capita!S444*Saldo_relativo_per_capita!S$552/1000000</f>
        <v>25.390555393874507</v>
      </c>
      <c r="T444" s="218">
        <f>Saldo_relativo_per_capita!T444*Saldo_relativo_per_capita!T$552/1000000</f>
        <v>-294.11199994723381</v>
      </c>
      <c r="U444" s="218">
        <f>Saldo_relativo_per_capita!U444*Saldo_relativo_per_capita!U$552/1000000</f>
        <v>1.9132930573197944</v>
      </c>
      <c r="V444" s="218">
        <f>Saldo_relativo_per_capita!V444*Saldo_relativo_per_capita!V$552/1000000</f>
        <v>-25.895159846508729</v>
      </c>
      <c r="W444" s="148"/>
    </row>
    <row r="445" spans="1:23" s="115" customFormat="1">
      <c r="A445" s="351" t="str">
        <f>IF(B445="","",(IF(ISERROR(MATCH(B445,Tot_res!C:C,0)),"Eliminar!!!","")))</f>
        <v/>
      </c>
      <c r="B445" s="115" t="s">
        <v>469</v>
      </c>
      <c r="C445" s="329" t="str">
        <f>VLOOKUP(B445,Tot_res!C:D,2,FALSE)</f>
        <v>Competitividad y calidad de la producción y los mercados agrarios + AF22/1</v>
      </c>
      <c r="D445" s="336">
        <f>Saldo_relativo_per_capita!D445*Saldo_relativo_per_capita!D$552/1000000</f>
        <v>0</v>
      </c>
      <c r="E445" s="336">
        <f>Saldo_relativo_per_capita!E445*Saldo_relativo_per_capita!E$552/1000000</f>
        <v>1.0642856699078047</v>
      </c>
      <c r="F445" s="336">
        <f>Saldo_relativo_per_capita!F445*Saldo_relativo_per_capita!F$552/1000000</f>
        <v>1.4042840315103586</v>
      </c>
      <c r="G445" s="336">
        <f>Saldo_relativo_per_capita!G445*Saldo_relativo_per_capita!G$552/1000000</f>
        <v>-0.16558857787890097</v>
      </c>
      <c r="H445" s="336">
        <f>Saldo_relativo_per_capita!H445*Saldo_relativo_per_capita!H$552/1000000</f>
        <v>-0.12542258900136746</v>
      </c>
      <c r="I445" s="336">
        <f>Saldo_relativo_per_capita!I445*Saldo_relativo_per_capita!I$552/1000000</f>
        <v>-0.68549582324553437</v>
      </c>
      <c r="J445" s="336">
        <f>Saldo_relativo_per_capita!J445*Saldo_relativo_per_capita!J$552/1000000</f>
        <v>0.19614597337891163</v>
      </c>
      <c r="K445" s="336">
        <f>Saldo_relativo_per_capita!K445*Saldo_relativo_per_capita!K$552/1000000</f>
        <v>0.87655845875878258</v>
      </c>
      <c r="L445" s="336">
        <f>Saldo_relativo_per_capita!L445*Saldo_relativo_per_capita!L$552/1000000</f>
        <v>1.1379213936789823</v>
      </c>
      <c r="M445" s="336">
        <f>Saldo_relativo_per_capita!M445*Saldo_relativo_per_capita!M$552/1000000</f>
        <v>-1.9531831878280619</v>
      </c>
      <c r="N445" s="336">
        <f>Saldo_relativo_per_capita!N445*Saldo_relativo_per_capita!N$552/1000000</f>
        <v>-0.43415755981745213</v>
      </c>
      <c r="O445" s="336">
        <f>Saldo_relativo_per_capita!O445*Saldo_relativo_per_capita!O$552/1000000</f>
        <v>0.73745763885777449</v>
      </c>
      <c r="P445" s="336">
        <f>Saldo_relativo_per_capita!P445*Saldo_relativo_per_capita!P$552/1000000</f>
        <v>-2.3216777613958062E-2</v>
      </c>
      <c r="Q445" s="336">
        <f>Saldo_relativo_per_capita!Q445*Saldo_relativo_per_capita!Q$552/1000000</f>
        <v>-2.8738617962176112</v>
      </c>
      <c r="R445" s="336">
        <f>Saldo_relativo_per_capita!R445*Saldo_relativo_per_capita!R$552/1000000</f>
        <v>0.73601210518073301</v>
      </c>
      <c r="S445" s="336">
        <f>Saldo_relativo_per_capita!S445*Saldo_relativo_per_capita!S$552/1000000</f>
        <v>0</v>
      </c>
      <c r="T445" s="336">
        <f>Saldo_relativo_per_capita!T445*Saldo_relativo_per_capita!T$552/1000000</f>
        <v>0</v>
      </c>
      <c r="U445" s="336">
        <f>Saldo_relativo_per_capita!U445*Saldo_relativo_per_capita!U$552/1000000</f>
        <v>0.20201664351087428</v>
      </c>
      <c r="V445" s="336">
        <f>Saldo_relativo_per_capita!V445*Saldo_relativo_per_capita!V$552/1000000</f>
        <v>-9.3755603181339325E-2</v>
      </c>
      <c r="W445" s="148"/>
    </row>
    <row r="446" spans="1:23" s="115" customFormat="1">
      <c r="A446" s="351" t="str">
        <f>IF(B446="","",(IF(ISERROR(MATCH(B446,Tot_res!C:C,0)),"Eliminar!!!","")))</f>
        <v/>
      </c>
      <c r="B446" s="115" t="s">
        <v>471</v>
      </c>
      <c r="C446" s="329" t="str">
        <f>VLOOKUP(B446,Tot_res!C:D,2,FALSE)</f>
        <v>Competitividad y calidad de la sanidad agraria + AF22/2</v>
      </c>
      <c r="D446" s="336">
        <f>Saldo_relativo_per_capita!D446*Saldo_relativo_per_capita!D$552/1000000</f>
        <v>0</v>
      </c>
      <c r="E446" s="336">
        <f>Saldo_relativo_per_capita!E446*Saldo_relativo_per_capita!E$552/1000000</f>
        <v>-1.3933430276508632</v>
      </c>
      <c r="F446" s="336">
        <f>Saldo_relativo_per_capita!F446*Saldo_relativo_per_capita!F$552/1000000</f>
        <v>2.9613208853454518</v>
      </c>
      <c r="G446" s="336">
        <f>Saldo_relativo_per_capita!G446*Saldo_relativo_per_capita!G$552/1000000</f>
        <v>0.10205002613135675</v>
      </c>
      <c r="H446" s="336">
        <f>Saldo_relativo_per_capita!H446*Saldo_relativo_per_capita!H$552/1000000</f>
        <v>-0.60772513679857876</v>
      </c>
      <c r="I446" s="336">
        <f>Saldo_relativo_per_capita!I446*Saldo_relativo_per_capita!I$552/1000000</f>
        <v>-1.4673208352876645</v>
      </c>
      <c r="J446" s="336">
        <f>Saldo_relativo_per_capita!J446*Saldo_relativo_per_capita!J$552/1000000</f>
        <v>0.44413871373684333</v>
      </c>
      <c r="K446" s="336">
        <f>Saldo_relativo_per_capita!K446*Saldo_relativo_per_capita!K$552/1000000</f>
        <v>3.4631401335562337</v>
      </c>
      <c r="L446" s="336">
        <f>Saldo_relativo_per_capita!L446*Saldo_relativo_per_capita!L$552/1000000</f>
        <v>0.29783674936382654</v>
      </c>
      <c r="M446" s="336">
        <f>Saldo_relativo_per_capita!M446*Saldo_relativo_per_capita!M$552/1000000</f>
        <v>-1.4801215502042777</v>
      </c>
      <c r="N446" s="336">
        <f>Saldo_relativo_per_capita!N446*Saldo_relativo_per_capita!N$552/1000000</f>
        <v>-1.6114096059918135</v>
      </c>
      <c r="O446" s="336">
        <f>Saldo_relativo_per_capita!O446*Saldo_relativo_per_capita!O$552/1000000</f>
        <v>1.8300581177538968</v>
      </c>
      <c r="P446" s="336">
        <f>Saldo_relativo_per_capita!P446*Saldo_relativo_per_capita!P$552/1000000</f>
        <v>1.9161735457473152</v>
      </c>
      <c r="Q446" s="336">
        <f>Saldo_relativo_per_capita!Q446*Saldo_relativo_per_capita!Q$552/1000000</f>
        <v>-4.6388693559933278</v>
      </c>
      <c r="R446" s="336">
        <f>Saldo_relativo_per_capita!R446*Saldo_relativo_per_capita!R$552/1000000</f>
        <v>6.1141701568106055E-2</v>
      </c>
      <c r="S446" s="336">
        <f>Saldo_relativo_per_capita!S446*Saldo_relativo_per_capita!S$552/1000000</f>
        <v>0</v>
      </c>
      <c r="T446" s="336">
        <f>Saldo_relativo_per_capita!T446*Saldo_relativo_per_capita!T$552/1000000</f>
        <v>0</v>
      </c>
      <c r="U446" s="336">
        <f>Saldo_relativo_per_capita!U446*Saldo_relativo_per_capita!U$552/1000000</f>
        <v>-0.10074563522779642</v>
      </c>
      <c r="V446" s="336">
        <f>Saldo_relativo_per_capita!V446*Saldo_relativo_per_capita!V$552/1000000</f>
        <v>0.22367527395128473</v>
      </c>
      <c r="W446" s="148"/>
    </row>
    <row r="447" spans="1:23" s="115" customFormat="1">
      <c r="A447" s="351" t="str">
        <f>IF(B447="","",(IF(ISERROR(MATCH(B447,Tot_res!C:C,0)),"Eliminar!!!","")))</f>
        <v/>
      </c>
      <c r="B447" s="115" t="s">
        <v>397</v>
      </c>
      <c r="C447" s="329" t="str">
        <f>VLOOKUP(B447,Tot_res!C:D,2,FALSE)</f>
        <v>Regulación de los mercados agrarios</v>
      </c>
      <c r="D447" s="336">
        <f>Saldo_relativo_per_capita!D447*Saldo_relativo_per_capita!D$552/1000000</f>
        <v>0</v>
      </c>
      <c r="E447" s="336">
        <f>Saldo_relativo_per_capita!E447*Saldo_relativo_per_capita!E$552/1000000</f>
        <v>1193.664296297035</v>
      </c>
      <c r="F447" s="336">
        <f>Saldo_relativo_per_capita!F447*Saldo_relativo_per_capita!F$552/1000000</f>
        <v>277.73532787735707</v>
      </c>
      <c r="G447" s="336">
        <f>Saldo_relativo_per_capita!G447*Saldo_relativo_per_capita!G$552/1000000</f>
        <v>-95.173606602070009</v>
      </c>
      <c r="H447" s="336">
        <f>Saldo_relativo_per_capita!H447*Saldo_relativo_per_capita!H$552/1000000</f>
        <v>-110.53417844774229</v>
      </c>
      <c r="I447" s="336">
        <f>Saldo_relativo_per_capita!I447*Saldo_relativo_per_capita!I$552/1000000</f>
        <v>-57.761827494936377</v>
      </c>
      <c r="J447" s="336">
        <f>Saldo_relativo_per_capita!J447*Saldo_relativo_per_capita!J$552/1000000</f>
        <v>-32.323120822069463</v>
      </c>
      <c r="K447" s="336">
        <f>Saldo_relativo_per_capita!K447*Saldo_relativo_per_capita!K$552/1000000</f>
        <v>615.76452896349906</v>
      </c>
      <c r="L447" s="336">
        <f>Saldo_relativo_per_capita!L447*Saldo_relativo_per_capita!L$552/1000000</f>
        <v>219.76191447915352</v>
      </c>
      <c r="M447" s="336">
        <f>Saldo_relativo_per_capita!M447*Saldo_relativo_per_capita!M$552/1000000</f>
        <v>-619.40101130356311</v>
      </c>
      <c r="N447" s="336">
        <f>Saldo_relativo_per_capita!N447*Saldo_relativo_per_capita!N$552/1000000</f>
        <v>-460.06827911374739</v>
      </c>
      <c r="O447" s="336">
        <f>Saldo_relativo_per_capita!O447*Saldo_relativo_per_capita!O$552/1000000</f>
        <v>378.25277839729779</v>
      </c>
      <c r="P447" s="336">
        <f>Saldo_relativo_per_capita!P447*Saldo_relativo_per_capita!P$552/1000000</f>
        <v>-209.1225674463939</v>
      </c>
      <c r="Q447" s="336">
        <f>Saldo_relativo_per_capita!Q447*Saldo_relativo_per_capita!Q$552/1000000</f>
        <v>-766.16990828357621</v>
      </c>
      <c r="R447" s="336">
        <f>Saldo_relativo_per_capita!R447*Saldo_relativo_per_capita!R$552/1000000</f>
        <v>-88.592989569782688</v>
      </c>
      <c r="S447" s="336">
        <f>Saldo_relativo_per_capita!S447*Saldo_relativo_per_capita!S$552/1000000</f>
        <v>28.052965552236632</v>
      </c>
      <c r="T447" s="336">
        <f>Saldo_relativo_per_capita!T447*Saldo_relativo_per_capita!T$552/1000000</f>
        <v>-245.19890187331799</v>
      </c>
      <c r="U447" s="336">
        <f>Saldo_relativo_per_capita!U447*Saldo_relativo_per_capita!U$552/1000000</f>
        <v>-8.0473121836893675</v>
      </c>
      <c r="V447" s="336">
        <f>Saldo_relativo_per_capita!V447*Saldo_relativo_per_capita!V$552/1000000</f>
        <v>-20.838108425690255</v>
      </c>
      <c r="W447" s="148"/>
    </row>
    <row r="448" spans="1:23" s="115" customFormat="1">
      <c r="A448" s="351" t="str">
        <f>IF(B448="","",(IF(ISERROR(MATCH(B448,Tot_res!C:C,0)),"Eliminar!!!","")))</f>
        <v/>
      </c>
      <c r="B448" s="115" t="s">
        <v>398</v>
      </c>
      <c r="C448" s="329" t="str">
        <f>VLOOKUP(B448,Tot_res!C:D,2,FALSE)</f>
        <v>Competitividad industria agroalimentaria y calidad alimentaria + AF22/3</v>
      </c>
      <c r="D448" s="336">
        <f>Saldo_relativo_per_capita!D448*Saldo_relativo_per_capita!D$552/1000000</f>
        <v>0</v>
      </c>
      <c r="E448" s="336">
        <f>Saldo_relativo_per_capita!E448*Saldo_relativo_per_capita!E$552/1000000</f>
        <v>-1.4074005355029082</v>
      </c>
      <c r="F448" s="336">
        <f>Saldo_relativo_per_capita!F448*Saldo_relativo_per_capita!F$552/1000000</f>
        <v>-4.6128364199530092E-2</v>
      </c>
      <c r="G448" s="336">
        <f>Saldo_relativo_per_capita!G448*Saldo_relativo_per_capita!G$552/1000000</f>
        <v>-0.19968890062473701</v>
      </c>
      <c r="H448" s="336">
        <f>Saldo_relativo_per_capita!H448*Saldo_relativo_per_capita!H$552/1000000</f>
        <v>-0.42237105560267491</v>
      </c>
      <c r="I448" s="336">
        <f>Saldo_relativo_per_capita!I448*Saldo_relativo_per_capita!I$552/1000000</f>
        <v>-0.69610799271305435</v>
      </c>
      <c r="J448" s="336">
        <f>Saldo_relativo_per_capita!J448*Saldo_relativo_per_capita!J$552/1000000</f>
        <v>0.26874200272092041</v>
      </c>
      <c r="K448" s="336">
        <f>Saldo_relativo_per_capita!K448*Saldo_relativo_per_capita!K$552/1000000</f>
        <v>0.69469074634213102</v>
      </c>
      <c r="L448" s="336">
        <f>Saldo_relativo_per_capita!L448*Saldo_relativo_per_capita!L$552/1000000</f>
        <v>0.11126468706224268</v>
      </c>
      <c r="M448" s="336">
        <f>Saldo_relativo_per_capita!M448*Saldo_relativo_per_capita!M$552/1000000</f>
        <v>1.742597249468437</v>
      </c>
      <c r="N448" s="336">
        <f>Saldo_relativo_per_capita!N448*Saldo_relativo_per_capita!N$552/1000000</f>
        <v>-0.65688574653963372</v>
      </c>
      <c r="O448" s="336">
        <f>Saldo_relativo_per_capita!O448*Saldo_relativo_per_capita!O$552/1000000</f>
        <v>0.23833158943237834</v>
      </c>
      <c r="P448" s="336">
        <f>Saldo_relativo_per_capita!P448*Saldo_relativo_per_capita!P$552/1000000</f>
        <v>0.79603150235359266</v>
      </c>
      <c r="Q448" s="336">
        <f>Saldo_relativo_per_capita!Q448*Saldo_relativo_per_capita!Q$552/1000000</f>
        <v>-0.53542941423432355</v>
      </c>
      <c r="R448" s="336">
        <f>Saldo_relativo_per_capita!R448*Saldo_relativo_per_capita!R$552/1000000</f>
        <v>2.2962143345711439E-2</v>
      </c>
      <c r="S448" s="336">
        <f>Saldo_relativo_per_capita!S448*Saldo_relativo_per_capita!S$552/1000000</f>
        <v>0</v>
      </c>
      <c r="T448" s="336">
        <f>Saldo_relativo_per_capita!T448*Saldo_relativo_per_capita!T$552/1000000</f>
        <v>0</v>
      </c>
      <c r="U448" s="336">
        <f>Saldo_relativo_per_capita!U448*Saldo_relativo_per_capita!U$552/1000000</f>
        <v>0.16949712204918177</v>
      </c>
      <c r="V448" s="336">
        <f>Saldo_relativo_per_capita!V448*Saldo_relativo_per_capita!V$552/1000000</f>
        <v>-8.010503335773142E-2</v>
      </c>
      <c r="W448" s="148"/>
    </row>
    <row r="449" spans="1:23" s="115" customFormat="1">
      <c r="A449" s="351" t="str">
        <f>IF(B449="","",(IF(ISERROR(MATCH(B449,Tot_res!C:C,0)),"Eliminar!!!","")))</f>
        <v/>
      </c>
      <c r="B449" s="115" t="s">
        <v>399</v>
      </c>
      <c r="C449" s="329" t="str">
        <f>VLOOKUP(B449,Tot_res!C:D,2,FALSE)</f>
        <v>Desarrollo del medio rural  + AF22/4</v>
      </c>
      <c r="D449" s="336">
        <f>Saldo_relativo_per_capita!D449*Saldo_relativo_per_capita!D$552/1000000</f>
        <v>0</v>
      </c>
      <c r="E449" s="336">
        <f>Saldo_relativo_per_capita!E449*Saldo_relativo_per_capita!E$552/1000000</f>
        <v>87.087072532367927</v>
      </c>
      <c r="F449" s="336">
        <f>Saldo_relativo_per_capita!F449*Saldo_relativo_per_capita!F$552/1000000</f>
        <v>40.605319794624982</v>
      </c>
      <c r="G449" s="336">
        <f>Saldo_relativo_per_capita!G449*Saldo_relativo_per_capita!G$552/1000000</f>
        <v>5.7397098316980415</v>
      </c>
      <c r="H449" s="336">
        <f>Saldo_relativo_per_capita!H449*Saldo_relativo_per_capita!H$552/1000000</f>
        <v>-19.5031695675377</v>
      </c>
      <c r="I449" s="336">
        <f>Saldo_relativo_per_capita!I449*Saldo_relativo_per_capita!I$552/1000000</f>
        <v>-21.404466510017485</v>
      </c>
      <c r="J449" s="336">
        <f>Saldo_relativo_per_capita!J449*Saldo_relativo_per_capita!J$552/1000000</f>
        <v>24.01244126684692</v>
      </c>
      <c r="K449" s="336">
        <f>Saldo_relativo_per_capita!K449*Saldo_relativo_per_capita!K$552/1000000</f>
        <v>43.774207722222144</v>
      </c>
      <c r="L449" s="336">
        <f>Saldo_relativo_per_capita!L449*Saldo_relativo_per_capita!L$552/1000000</f>
        <v>110.7373499850297</v>
      </c>
      <c r="M449" s="336">
        <f>Saldo_relativo_per_capita!M449*Saldo_relativo_per_capita!M$552/1000000</f>
        <v>-130.80421041535848</v>
      </c>
      <c r="N449" s="336">
        <f>Saldo_relativo_per_capita!N449*Saldo_relativo_per_capita!N$552/1000000</f>
        <v>-64.441330770695359</v>
      </c>
      <c r="O449" s="336">
        <f>Saldo_relativo_per_capita!O449*Saldo_relativo_per_capita!O$552/1000000</f>
        <v>115.90541816467436</v>
      </c>
      <c r="P449" s="336">
        <f>Saldo_relativo_per_capita!P449*Saldo_relativo_per_capita!P$552/1000000</f>
        <v>27.773064429140867</v>
      </c>
      <c r="Q449" s="336">
        <f>Saldo_relativo_per_capita!Q449*Saldo_relativo_per_capita!Q$552/1000000</f>
        <v>-157.82006249587658</v>
      </c>
      <c r="R449" s="336">
        <f>Saldo_relativo_per_capita!R449*Saldo_relativo_per_capita!R$552/1000000</f>
        <v>-18.321842024082507</v>
      </c>
      <c r="S449" s="336">
        <f>Saldo_relativo_per_capita!S449*Saldo_relativo_per_capita!S$552/1000000</f>
        <v>-4.3271668639157932</v>
      </c>
      <c r="T449" s="336">
        <f>Saldo_relativo_per_capita!T449*Saldo_relativo_per_capita!T$552/1000000</f>
        <v>-42.492303908573476</v>
      </c>
      <c r="U449" s="336">
        <f>Saldo_relativo_per_capita!U449*Saldo_relativo_per_capita!U$552/1000000</f>
        <v>7.6910214714191945</v>
      </c>
      <c r="V449" s="336">
        <f>Saldo_relativo_per_capita!V449*Saldo_relativo_per_capita!V$552/1000000</f>
        <v>-4.2110526419669387</v>
      </c>
      <c r="W449" s="148"/>
    </row>
    <row r="450" spans="1:23" s="115" customFormat="1">
      <c r="A450" s="351" t="str">
        <f>IF(B450="","",(IF(ISERROR(MATCH(B450,Tot_res!C:C,0)),"Eliminar!!!","")))</f>
        <v/>
      </c>
      <c r="B450" s="115" t="s">
        <v>401</v>
      </c>
      <c r="C450" s="329" t="str">
        <f>VLOOKUP(B450,Tot_res!C:D,2,FALSE)</f>
        <v>Protección de los recursos pesqueros y desarrollo sostenible</v>
      </c>
      <c r="D450" s="336">
        <f>Saldo_relativo_per_capita!D450*Saldo_relativo_per_capita!D$552/1000000</f>
        <v>0</v>
      </c>
      <c r="E450" s="336">
        <f>Saldo_relativo_per_capita!E450*Saldo_relativo_per_capita!E$552/1000000</f>
        <v>-0.22870361341280876</v>
      </c>
      <c r="F450" s="336">
        <f>Saldo_relativo_per_capita!F450*Saldo_relativo_per_capita!F$552/1000000</f>
        <v>-0.4456342542842826</v>
      </c>
      <c r="G450" s="336">
        <f>Saldo_relativo_per_capita!G450*Saldo_relativo_per_capita!G$552/1000000</f>
        <v>0.18399853111596554</v>
      </c>
      <c r="H450" s="336">
        <f>Saldo_relativo_per_capita!H450*Saldo_relativo_per_capita!H$552/1000000</f>
        <v>-7.0747288588699137E-2</v>
      </c>
      <c r="I450" s="336">
        <f>Saldo_relativo_per_capita!I450*Saldo_relativo_per_capita!I$552/1000000</f>
        <v>4.7437552332704747E-3</v>
      </c>
      <c r="J450" s="336">
        <f>Saldo_relativo_per_capita!J450*Saldo_relativo_per_capita!J$552/1000000</f>
        <v>0.26301481585468794</v>
      </c>
      <c r="K450" s="336">
        <f>Saldo_relativo_per_capita!K450*Saldo_relativo_per_capita!K$552/1000000</f>
        <v>-0.83564659138139197</v>
      </c>
      <c r="L450" s="336">
        <f>Saldo_relativo_per_capita!L450*Saldo_relativo_per_capita!L$552/1000000</f>
        <v>-0.69818623965133741</v>
      </c>
      <c r="M450" s="336">
        <f>Saldo_relativo_per_capita!M450*Saldo_relativo_per_capita!M$552/1000000</f>
        <v>-1.2705204922510853</v>
      </c>
      <c r="N450" s="336">
        <f>Saldo_relativo_per_capita!N450*Saldo_relativo_per_capita!N$552/1000000</f>
        <v>-0.68764493961600215</v>
      </c>
      <c r="O450" s="336">
        <f>Saldo_relativo_per_capita!O450*Saldo_relativo_per_capita!O$552/1000000</f>
        <v>-0.36851563712968177</v>
      </c>
      <c r="P450" s="336">
        <f>Saldo_relativo_per_capita!P450*Saldo_relativo_per_capita!P$552/1000000</f>
        <v>6.2593609815915627</v>
      </c>
      <c r="Q450" s="336">
        <f>Saldo_relativo_per_capita!Q450*Saldo_relativo_per_capita!Q$552/1000000</f>
        <v>-2.0642663590914059</v>
      </c>
      <c r="R450" s="336">
        <f>Saldo_relativo_per_capita!R450*Saldo_relativo_per_capita!R$552/1000000</f>
        <v>-0.21664747849679081</v>
      </c>
      <c r="S450" s="336">
        <f>Saldo_relativo_per_capita!S450*Saldo_relativo_per_capita!S$552/1000000</f>
        <v>-0.21599879637840283</v>
      </c>
      <c r="T450" s="336">
        <f>Saldo_relativo_per_capita!T450*Saldo_relativo_per_capita!T$552/1000000</f>
        <v>0.52108109021280713</v>
      </c>
      <c r="U450" s="336">
        <f>Saldo_relativo_per_capita!U450*Saldo_relativo_per_capita!U$552/1000000</f>
        <v>-0.10748038101436667</v>
      </c>
      <c r="V450" s="336">
        <f>Saldo_relativo_per_capita!V450*Saldo_relativo_per_capita!V$552/1000000</f>
        <v>-2.2207102712038403E-2</v>
      </c>
      <c r="W450" s="148"/>
    </row>
    <row r="451" spans="1:23" s="115" customFormat="1">
      <c r="A451" s="351" t="str">
        <f>IF(B451="","",(IF(ISERROR(MATCH(B451,Tot_res!C:C,0)),"Eliminar!!!","")))</f>
        <v/>
      </c>
      <c r="B451" s="115" t="s">
        <v>402</v>
      </c>
      <c r="C451" s="329" t="str">
        <f>VLOOKUP(B451,Tot_res!C:D,2,FALSE)</f>
        <v>Mejora de estructuras y mercados pesqueros</v>
      </c>
      <c r="D451" s="336">
        <f>Saldo_relativo_per_capita!D451*Saldo_relativo_per_capita!D$552/1000000</f>
        <v>0</v>
      </c>
      <c r="E451" s="336">
        <f>Saldo_relativo_per_capita!E451*Saldo_relativo_per_capita!E$552/1000000</f>
        <v>-0.75483640190441936</v>
      </c>
      <c r="F451" s="336">
        <f>Saldo_relativo_per_capita!F451*Saldo_relativo_per_capita!F$552/1000000</f>
        <v>-0.50259915405982225</v>
      </c>
      <c r="G451" s="336">
        <f>Saldo_relativo_per_capita!G451*Saldo_relativo_per_capita!G$552/1000000</f>
        <v>7.7681413093051016E-2</v>
      </c>
      <c r="H451" s="336">
        <f>Saldo_relativo_per_capita!H451*Saldo_relativo_per_capita!H$552/1000000</f>
        <v>-0.18014231770465164</v>
      </c>
      <c r="I451" s="336">
        <f>Saldo_relativo_per_capita!I451*Saldo_relativo_per_capita!I$552/1000000</f>
        <v>-0.22682061511399068</v>
      </c>
      <c r="J451" s="336">
        <f>Saldo_relativo_per_capita!J451*Saldo_relativo_per_capita!J$552/1000000</f>
        <v>0.25890869354619817</v>
      </c>
      <c r="K451" s="336">
        <f>Saldo_relativo_per_capita!K451*Saldo_relativo_per_capita!K$552/1000000</f>
        <v>-0.96268557490349282</v>
      </c>
      <c r="L451" s="336">
        <f>Saldo_relativo_per_capita!L451*Saldo_relativo_per_capita!L$552/1000000</f>
        <v>-0.85111059765195662</v>
      </c>
      <c r="M451" s="336">
        <f>Saldo_relativo_per_capita!M451*Saldo_relativo_per_capita!M$552/1000000</f>
        <v>-1.8812244534900162</v>
      </c>
      <c r="N451" s="336">
        <f>Saldo_relativo_per_capita!N451*Saldo_relativo_per_capita!N$552/1000000</f>
        <v>-1.1734450456016201</v>
      </c>
      <c r="O451" s="336">
        <f>Saldo_relativo_per_capita!O451*Saldo_relativo_per_capita!O$552/1000000</f>
        <v>-0.45310532075691051</v>
      </c>
      <c r="P451" s="336">
        <f>Saldo_relativo_per_capita!P451*Saldo_relativo_per_capita!P$552/1000000</f>
        <v>9.9795784467674125</v>
      </c>
      <c r="Q451" s="336">
        <f>Saldo_relativo_per_capita!Q451*Saldo_relativo_per_capita!Q$552/1000000</f>
        <v>-2.6709657518267993</v>
      </c>
      <c r="R451" s="336">
        <f>Saldo_relativo_per_capita!R451*Saldo_relativo_per_capita!R$552/1000000</f>
        <v>-0.23734122442631325</v>
      </c>
      <c r="S451" s="336">
        <f>Saldo_relativo_per_capita!S451*Saldo_relativo_per_capita!S$552/1000000</f>
        <v>-0.24949072414697498</v>
      </c>
      <c r="T451" s="336">
        <f>Saldo_relativo_per_capita!T451*Saldo_relativo_per_capita!T$552/1000000</f>
        <v>-3.3782865201576408E-3</v>
      </c>
      <c r="U451" s="336">
        <f>Saldo_relativo_per_capita!U451*Saldo_relativo_per_capita!U$552/1000000</f>
        <v>-0.12621695588689405</v>
      </c>
      <c r="V451" s="336">
        <f>Saldo_relativo_per_capita!V451*Saldo_relativo_per_capita!V$552/1000000</f>
        <v>-4.2806129412642648E-2</v>
      </c>
      <c r="W451" s="148"/>
    </row>
    <row r="452" spans="1:23" s="115" customFormat="1">
      <c r="A452" s="351" t="str">
        <f>IF(B452="","",(IF(ISERROR(MATCH(B452,Tot_res!C:C,0)),"Eliminar!!!","")))</f>
        <v/>
      </c>
      <c r="B452" s="115" t="s">
        <v>404</v>
      </c>
      <c r="C452" s="329" t="str">
        <f>VLOOKUP(B452,Tot_res!C:D,2,FALSE)</f>
        <v>Previsión de riesgos en las producciones agrarias y pesqueras</v>
      </c>
      <c r="D452" s="336">
        <f>Saldo_relativo_per_capita!D452*Saldo_relativo_per_capita!D$552/1000000</f>
        <v>0</v>
      </c>
      <c r="E452" s="336">
        <f>Saldo_relativo_per_capita!E452*Saldo_relativo_per_capita!E$552/1000000</f>
        <v>20.200085495288853</v>
      </c>
      <c r="F452" s="336">
        <f>Saldo_relativo_per_capita!F452*Saldo_relativo_per_capita!F$552/1000000</f>
        <v>7.5111944806761102</v>
      </c>
      <c r="G452" s="336">
        <f>Saldo_relativo_per_capita!G452*Saldo_relativo_per_capita!G$552/1000000</f>
        <v>-2.184285673023433</v>
      </c>
      <c r="H452" s="336">
        <f>Saldo_relativo_per_capita!H452*Saldo_relativo_per_capita!H$552/1000000</f>
        <v>-3.8809168682386481</v>
      </c>
      <c r="I452" s="336">
        <f>Saldo_relativo_per_capita!I452*Saldo_relativo_per_capita!I$552/1000000</f>
        <v>-4.5347360891091322</v>
      </c>
      <c r="J452" s="336">
        <f>Saldo_relativo_per_capita!J452*Saldo_relativo_per_capita!J$552/1000000</f>
        <v>-1.1398158116270998</v>
      </c>
      <c r="K452" s="336">
        <f>Saldo_relativo_per_capita!K452*Saldo_relativo_per_capita!K$552/1000000</f>
        <v>6.0002244338649859</v>
      </c>
      <c r="L452" s="336">
        <f>Saldo_relativo_per_capita!L452*Saldo_relativo_per_capita!L$552/1000000</f>
        <v>8.3634710389697613</v>
      </c>
      <c r="M452" s="336">
        <f>Saldo_relativo_per_capita!M452*Saldo_relativo_per_capita!M$552/1000000</f>
        <v>-16.059557258119877</v>
      </c>
      <c r="N452" s="336">
        <f>Saldo_relativo_per_capita!N452*Saldo_relativo_per_capita!N$552/1000000</f>
        <v>-2.8144551745476161</v>
      </c>
      <c r="O452" s="336">
        <f>Saldo_relativo_per_capita!O452*Saldo_relativo_per_capita!O$552/1000000</f>
        <v>3.7060380174658212</v>
      </c>
      <c r="P452" s="336">
        <f>Saldo_relativo_per_capita!P452*Saldo_relativo_per_capita!P$552/1000000</f>
        <v>11.022869033918001</v>
      </c>
      <c r="Q452" s="336">
        <f>Saldo_relativo_per_capita!Q452*Saldo_relativo_per_capita!Q$552/1000000</f>
        <v>-27.209689494984772</v>
      </c>
      <c r="R452" s="336">
        <f>Saldo_relativo_per_capita!R452*Saldo_relativo_per_capita!R$552/1000000</f>
        <v>3.0199199236811247</v>
      </c>
      <c r="S452" s="336">
        <f>Saldo_relativo_per_capita!S452*Saldo_relativo_per_capita!S$552/1000000</f>
        <v>2.0082660780432429</v>
      </c>
      <c r="T452" s="336">
        <f>Saldo_relativo_per_capita!T452*Saldo_relativo_per_capita!T$552/1000000</f>
        <v>-5.5255375147755874</v>
      </c>
      <c r="U452" s="336">
        <f>Saldo_relativo_per_capita!U452*Saldo_relativo_per_capita!U$552/1000000</f>
        <v>2.2233212209276449</v>
      </c>
      <c r="V452" s="336">
        <f>Saldo_relativo_per_capita!V452*Saldo_relativo_per_capita!V$552/1000000</f>
        <v>-0.70639583840939557</v>
      </c>
      <c r="W452" s="216"/>
    </row>
    <row r="453" spans="1:23" s="115" customFormat="1">
      <c r="A453" s="351" t="str">
        <f>IF(B453="","",(IF(ISERROR(MATCH(B453,Tot_res!C:C,0)),"Eliminar!!!","")))</f>
        <v/>
      </c>
      <c r="B453" s="115" t="s">
        <v>887</v>
      </c>
      <c r="C453" s="329" t="str">
        <f>VLOOKUP(B453,Tot_res!C:D,2,FALSE)</f>
        <v>Direc. y serv. grales. de agric., aliment. y medio amb., Medio Rural y Marino</v>
      </c>
      <c r="D453" s="336">
        <f>Saldo_relativo_per_capita!D453*Saldo_relativo_per_capita!D$552/1000000</f>
        <v>0</v>
      </c>
      <c r="E453" s="336">
        <f>Saldo_relativo_per_capita!E453*Saldo_relativo_per_capita!E$552/1000000</f>
        <v>6.2670120375886373</v>
      </c>
      <c r="F453" s="336">
        <f>Saldo_relativo_per_capita!F453*Saldo_relativo_per_capita!F$552/1000000</f>
        <v>1.5892736448583202</v>
      </c>
      <c r="G453" s="336">
        <f>Saldo_relativo_per_capita!G453*Saldo_relativo_per_capita!G$552/1000000</f>
        <v>-0.44228010933590645</v>
      </c>
      <c r="H453" s="336">
        <f>Saldo_relativo_per_capita!H453*Saldo_relativo_per_capita!H$552/1000000</f>
        <v>-0.65325897950019529</v>
      </c>
      <c r="I453" s="336">
        <f>Saldo_relativo_per_capita!I453*Saldo_relativo_per_capita!I$552/1000000</f>
        <v>-0.41887859357294815</v>
      </c>
      <c r="J453" s="336">
        <f>Saldo_relativo_per_capita!J453*Saldo_relativo_per_capita!J$552/1000000</f>
        <v>-3.8713116873745936E-2</v>
      </c>
      <c r="K453" s="336">
        <f>Saldo_relativo_per_capita!K453*Saldo_relativo_per_capita!K$552/1000000</f>
        <v>3.2284082082284997</v>
      </c>
      <c r="L453" s="336">
        <f>Saldo_relativo_per_capita!L453*Saldo_relativo_per_capita!L$552/1000000</f>
        <v>1.6357965914032582</v>
      </c>
      <c r="M453" s="336">
        <f>Saldo_relativo_per_capita!M453*Saldo_relativo_per_capita!M$552/1000000</f>
        <v>-3.7224011771114895</v>
      </c>
      <c r="N453" s="336">
        <f>Saldo_relativo_per_capita!N453*Saldo_relativo_per_capita!N$552/1000000</f>
        <v>-2.5676053566826513</v>
      </c>
      <c r="O453" s="336">
        <f>Saldo_relativo_per_capita!O453*Saldo_relativo_per_capita!O$552/1000000</f>
        <v>2.412941318262114</v>
      </c>
      <c r="P453" s="336">
        <f>Saldo_relativo_per_capita!P453*Saldo_relativo_per_capita!P$552/1000000</f>
        <v>-0.73085389363428888</v>
      </c>
      <c r="Q453" s="336">
        <f>Saldo_relativo_per_capita!Q453*Saldo_relativo_per_capita!Q$552/1000000</f>
        <v>-4.6534794446884389</v>
      </c>
      <c r="R453" s="336">
        <f>Saldo_relativo_per_capita!R453*Saldo_relativo_per_capita!R$552/1000000</f>
        <v>-0.49976923221922892</v>
      </c>
      <c r="S453" s="336">
        <f>Saldo_relativo_per_capita!S453*Saldo_relativo_per_capita!S$552/1000000</f>
        <v>0.1219801480358105</v>
      </c>
      <c r="T453" s="336">
        <f>Saldo_relativo_per_capita!T453*Saldo_relativo_per_capita!T$552/1000000</f>
        <v>-1.4129594542593984</v>
      </c>
      <c r="U453" s="336">
        <f>Saldo_relativo_per_capita!U453*Saldo_relativo_per_capita!U$552/1000000</f>
        <v>9.1917552313195948E-3</v>
      </c>
      <c r="V453" s="336">
        <f>Saldo_relativo_per_capita!V453*Saldo_relativo_per_capita!V$552/1000000</f>
        <v>-0.12440434572967851</v>
      </c>
      <c r="W453" s="216"/>
    </row>
    <row r="454" spans="1:23" s="115" customFormat="1">
      <c r="A454" s="352"/>
      <c r="C454" s="129"/>
      <c r="D454" s="217"/>
      <c r="E454" s="217"/>
      <c r="F454" s="217"/>
      <c r="G454" s="217"/>
      <c r="H454" s="217"/>
      <c r="I454" s="217"/>
      <c r="J454" s="217"/>
      <c r="K454" s="217"/>
      <c r="L454" s="217"/>
      <c r="M454" s="217"/>
      <c r="N454" s="217"/>
      <c r="O454" s="217"/>
      <c r="P454" s="217"/>
      <c r="Q454" s="217"/>
      <c r="R454" s="217"/>
      <c r="S454" s="217"/>
      <c r="T454" s="217"/>
      <c r="U454" s="217"/>
      <c r="V454" s="217"/>
      <c r="W454" s="148"/>
    </row>
    <row r="455" spans="1:23" s="115" customFormat="1" ht="13.5">
      <c r="A455" s="352"/>
      <c r="C455" s="128" t="s">
        <v>113</v>
      </c>
      <c r="D455" s="218">
        <f>Saldo_relativo_per_capita!D455*Saldo_relativo_per_capita!D$552/1000000</f>
        <v>0</v>
      </c>
      <c r="E455" s="218">
        <f>Saldo_relativo_per_capita!E455*Saldo_relativo_per_capita!E$552/1000000</f>
        <v>-143.7756897401197</v>
      </c>
      <c r="F455" s="218">
        <f>Saldo_relativo_per_capita!F455*Saldo_relativo_per_capita!F$552/1000000</f>
        <v>25.717045698663714</v>
      </c>
      <c r="G455" s="218">
        <f>Saldo_relativo_per_capita!G455*Saldo_relativo_per_capita!G$552/1000000</f>
        <v>46.215653359769163</v>
      </c>
      <c r="H455" s="218">
        <f>Saldo_relativo_per_capita!H455*Saldo_relativo_per_capita!H$552/1000000</f>
        <v>-2.8097279116848486</v>
      </c>
      <c r="I455" s="218">
        <f>Saldo_relativo_per_capita!I455*Saldo_relativo_per_capita!I$552/1000000</f>
        <v>-36.236979436433735</v>
      </c>
      <c r="J455" s="218">
        <f>Saldo_relativo_per_capita!J455*Saldo_relativo_per_capita!J$552/1000000</f>
        <v>10.04758108059894</v>
      </c>
      <c r="K455" s="218">
        <f>Saldo_relativo_per_capita!K455*Saldo_relativo_per_capita!K$552/1000000</f>
        <v>-19.718331730476201</v>
      </c>
      <c r="L455" s="218">
        <f>Saldo_relativo_per_capita!L455*Saldo_relativo_per_capita!L$552/1000000</f>
        <v>-21.748605402237171</v>
      </c>
      <c r="M455" s="218">
        <f>Saldo_relativo_per_capita!M455*Saldo_relativo_per_capita!M$552/1000000</f>
        <v>75.558651575197544</v>
      </c>
      <c r="N455" s="218">
        <f>Saldo_relativo_per_capita!N455*Saldo_relativo_per_capita!N$552/1000000</f>
        <v>-32.013290606506317</v>
      </c>
      <c r="O455" s="218">
        <f>Saldo_relativo_per_capita!O455*Saldo_relativo_per_capita!O$552/1000000</f>
        <v>-29.263763106514158</v>
      </c>
      <c r="P455" s="218">
        <f>Saldo_relativo_per_capita!P455*Saldo_relativo_per_capita!P$552/1000000</f>
        <v>73.9244158888757</v>
      </c>
      <c r="Q455" s="218">
        <f>Saldo_relativo_per_capita!Q455*Saldo_relativo_per_capita!Q$552/1000000</f>
        <v>-70.587290078652529</v>
      </c>
      <c r="R455" s="218">
        <f>Saldo_relativo_per_capita!R455*Saldo_relativo_per_capita!R$552/1000000</f>
        <v>4.3308010022291636</v>
      </c>
      <c r="S455" s="218">
        <f>Saldo_relativo_per_capita!S455*Saldo_relativo_per_capita!S$552/1000000</f>
        <v>20.112807831442918</v>
      </c>
      <c r="T455" s="218">
        <f>Saldo_relativo_per_capita!T455*Saldo_relativo_per_capita!T$552/1000000</f>
        <v>108.68272237161966</v>
      </c>
      <c r="U455" s="218">
        <f>Saldo_relativo_per_capita!U455*Saldo_relativo_per_capita!U$552/1000000</f>
        <v>-0.90056444791040802</v>
      </c>
      <c r="V455" s="218">
        <f>Saldo_relativo_per_capita!V455*Saldo_relativo_per_capita!V$552/1000000</f>
        <v>-7.5354363478617934</v>
      </c>
      <c r="W455" s="148"/>
    </row>
    <row r="456" spans="1:23" s="115" customFormat="1">
      <c r="A456" s="351" t="str">
        <f>IF(B456="","",(IF(ISERROR(MATCH(B456,Tot_res!C:C,0)),"Eliminar!!!","")))</f>
        <v/>
      </c>
      <c r="B456" s="115" t="s">
        <v>406</v>
      </c>
      <c r="C456" s="329" t="str">
        <f>VLOOKUP(B456,Tot_res!C:D,2,FALSE)</f>
        <v>Dirección y servicios generales de industria y energía</v>
      </c>
      <c r="D456" s="336">
        <f>Saldo_relativo_per_capita!D456*Saldo_relativo_per_capita!D$552/1000000</f>
        <v>0</v>
      </c>
      <c r="E456" s="336">
        <f>Saldo_relativo_per_capita!E456*Saldo_relativo_per_capita!E$552/1000000</f>
        <v>-5.8185288319727828</v>
      </c>
      <c r="F456" s="336">
        <f>Saldo_relativo_per_capita!F456*Saldo_relativo_per_capita!F$552/1000000</f>
        <v>-5.807906087741041E-2</v>
      </c>
      <c r="G456" s="336">
        <f>Saldo_relativo_per_capita!G456*Saldo_relativo_per_capita!G$552/1000000</f>
        <v>-0.1933710814451782</v>
      </c>
      <c r="H456" s="336">
        <f>Saldo_relativo_per_capita!H456*Saldo_relativo_per_capita!H$552/1000000</f>
        <v>-0.6957867669076645</v>
      </c>
      <c r="I456" s="336">
        <f>Saldo_relativo_per_capita!I456*Saldo_relativo_per_capita!I$552/1000000</f>
        <v>2.4079161891301881</v>
      </c>
      <c r="J456" s="336">
        <f>Saldo_relativo_per_capita!J456*Saldo_relativo_per_capita!J$552/1000000</f>
        <v>-0.12661412072110567</v>
      </c>
      <c r="K456" s="336">
        <f>Saldo_relativo_per_capita!K456*Saldo_relativo_per_capita!K$552/1000000</f>
        <v>-0.85438828025449942</v>
      </c>
      <c r="L456" s="336">
        <f>Saldo_relativo_per_capita!L456*Saldo_relativo_per_capita!L$552/1000000</f>
        <v>-0.93821402953242361</v>
      </c>
      <c r="M456" s="336">
        <f>Saldo_relativo_per_capita!M456*Saldo_relativo_per_capita!M$552/1000000</f>
        <v>-0.7299178587615941</v>
      </c>
      <c r="N456" s="336">
        <f>Saldo_relativo_per_capita!N456*Saldo_relativo_per_capita!N$552/1000000</f>
        <v>-2.2806670651722314</v>
      </c>
      <c r="O456" s="336">
        <f>Saldo_relativo_per_capita!O456*Saldo_relativo_per_capita!O$552/1000000</f>
        <v>-0.78687789556893684</v>
      </c>
      <c r="P456" s="336">
        <f>Saldo_relativo_per_capita!P456*Saldo_relativo_per_capita!P$552/1000000</f>
        <v>-5.781293754182E-2</v>
      </c>
      <c r="Q456" s="336">
        <f>Saldo_relativo_per_capita!Q456*Saldo_relativo_per_capita!Q$552/1000000</f>
        <v>8.6030073376313272</v>
      </c>
      <c r="R456" s="336">
        <f>Saldo_relativo_per_capita!R456*Saldo_relativo_per_capita!R$552/1000000</f>
        <v>-0.62237311877039292</v>
      </c>
      <c r="S456" s="336">
        <f>Saldo_relativo_per_capita!S456*Saldo_relativo_per_capita!S$552/1000000</f>
        <v>0.37002523012241756</v>
      </c>
      <c r="T456" s="336">
        <f>Saldo_relativo_per_capita!T456*Saldo_relativo_per_capita!T$552/1000000</f>
        <v>1.8860318487254517</v>
      </c>
      <c r="U456" s="336">
        <f>Saldo_relativo_per_capita!U456*Saldo_relativo_per_capita!U$552/1000000</f>
        <v>4.7407428797529343E-2</v>
      </c>
      <c r="V456" s="336">
        <f>Saldo_relativo_per_capita!V456*Saldo_relativo_per_capita!V$552/1000000</f>
        <v>-0.15175698688087474</v>
      </c>
      <c r="W456" s="216"/>
    </row>
    <row r="457" spans="1:23" s="115" customFormat="1">
      <c r="A457" s="351" t="str">
        <f>IF(B457="","",(IF(ISERROR(MATCH(B457,Tot_res!C:C,0)),"Eliminar!!!","")))</f>
        <v/>
      </c>
      <c r="B457" s="115" t="s">
        <v>407</v>
      </c>
      <c r="C457" s="329" t="str">
        <f>VLOOKUP(B457,Tot_res!C:D,2,FALSE)</f>
        <v>Calidad y seguridad industrial</v>
      </c>
      <c r="D457" s="336">
        <f>Saldo_relativo_per_capita!D457*Saldo_relativo_per_capita!D$552/1000000</f>
        <v>0</v>
      </c>
      <c r="E457" s="336">
        <f>Saldo_relativo_per_capita!E457*Saldo_relativo_per_capita!E$552/1000000</f>
        <v>-0.13966394983956454</v>
      </c>
      <c r="F457" s="336">
        <f>Saldo_relativo_per_capita!F457*Saldo_relativo_per_capita!F$552/1000000</f>
        <v>2.629343571868183E-2</v>
      </c>
      <c r="G457" s="336">
        <f>Saldo_relativo_per_capita!G457*Saldo_relativo_per_capita!G$552/1000000</f>
        <v>3.0802884750730486E-3</v>
      </c>
      <c r="H457" s="336">
        <f>Saldo_relativo_per_capita!H457*Saldo_relativo_per_capita!H$552/1000000</f>
        <v>-2.1518286931067578E-2</v>
      </c>
      <c r="I457" s="336">
        <f>Saldo_relativo_per_capita!I457*Saldo_relativo_per_capita!I$552/1000000</f>
        <v>-4.5701161740565009E-2</v>
      </c>
      <c r="J457" s="336">
        <f>Saldo_relativo_per_capita!J457*Saldo_relativo_per_capita!J$552/1000000</f>
        <v>3.6575477052003457E-3</v>
      </c>
      <c r="K457" s="336">
        <f>Saldo_relativo_per_capita!K457*Saldo_relativo_per_capita!K$552/1000000</f>
        <v>1.6771585409898211E-2</v>
      </c>
      <c r="L457" s="336">
        <f>Saldo_relativo_per_capita!L457*Saldo_relativo_per_capita!L$552/1000000</f>
        <v>-1.7054176198413006E-3</v>
      </c>
      <c r="M457" s="336">
        <f>Saldo_relativo_per_capita!M457*Saldo_relativo_per_capita!M$552/1000000</f>
        <v>0.10932489420812347</v>
      </c>
      <c r="N457" s="336">
        <f>Saldo_relativo_per_capita!N457*Saldo_relativo_per_capita!N$552/1000000</f>
        <v>-1.1094575810608085E-2</v>
      </c>
      <c r="O457" s="336">
        <f>Saldo_relativo_per_capita!O457*Saldo_relativo_per_capita!O$552/1000000</f>
        <v>-1.7164847018238987E-2</v>
      </c>
      <c r="P457" s="336">
        <f>Saldo_relativo_per_capita!P457*Saldo_relativo_per_capita!P$552/1000000</f>
        <v>-6.9902068695020772E-4</v>
      </c>
      <c r="Q457" s="336">
        <f>Saldo_relativo_per_capita!Q457*Saldo_relativo_per_capita!Q$552/1000000</f>
        <v>-3.8979765126765008E-2</v>
      </c>
      <c r="R457" s="336">
        <f>Saldo_relativo_per_capita!R457*Saldo_relativo_per_capita!R$552/1000000</f>
        <v>-6.6628013992383545E-3</v>
      </c>
      <c r="S457" s="336">
        <f>Saldo_relativo_per_capita!S457*Saldo_relativo_per_capita!S$552/1000000</f>
        <v>3.1258687140106677E-2</v>
      </c>
      <c r="T457" s="336">
        <f>Saldo_relativo_per_capita!T457*Saldo_relativo_per_capita!T$552/1000000</f>
        <v>8.7991372477843846E-2</v>
      </c>
      <c r="U457" s="336">
        <f>Saldo_relativo_per_capita!U457*Saldo_relativo_per_capita!U$552/1000000</f>
        <v>9.2676307829247552E-3</v>
      </c>
      <c r="V457" s="336">
        <f>Saldo_relativo_per_capita!V457*Saldo_relativo_per_capita!V$552/1000000</f>
        <v>-4.4556157450127924E-3</v>
      </c>
      <c r="W457" s="148"/>
    </row>
    <row r="458" spans="1:23" s="115" customFormat="1">
      <c r="A458" s="351" t="str">
        <f>IF(B458="","",(IF(ISERROR(MATCH(B458,Tot_res!C:C,0)),"Eliminar!!!","")))</f>
        <v/>
      </c>
      <c r="B458" s="115" t="s">
        <v>408</v>
      </c>
      <c r="C458" s="329" t="str">
        <f>VLOOKUP(B458,Tot_res!C:D,2,FALSE)</f>
        <v>Desarrollo industrial</v>
      </c>
      <c r="D458" s="336">
        <f>Saldo_relativo_per_capita!D458*Saldo_relativo_per_capita!D$552/1000000</f>
        <v>0</v>
      </c>
      <c r="E458" s="336">
        <f>Saldo_relativo_per_capita!E458*Saldo_relativo_per_capita!E$552/1000000</f>
        <v>-1.4045226075105572</v>
      </c>
      <c r="F458" s="336">
        <f>Saldo_relativo_per_capita!F458*Saldo_relativo_per_capita!F$552/1000000</f>
        <v>0.26441844827127026</v>
      </c>
      <c r="G458" s="336">
        <f>Saldo_relativo_per_capita!G458*Saldo_relativo_per_capita!G$552/1000000</f>
        <v>3.0976746725723224E-2</v>
      </c>
      <c r="H458" s="336">
        <f>Saldo_relativo_per_capita!H458*Saldo_relativo_per_capita!H$552/1000000</f>
        <v>-0.21639743473030226</v>
      </c>
      <c r="I458" s="336">
        <f>Saldo_relativo_per_capita!I458*Saldo_relativo_per_capita!I$552/1000000</f>
        <v>-0.45959114666207562</v>
      </c>
      <c r="J458" s="336">
        <f>Saldo_relativo_per_capita!J458*Saldo_relativo_per_capita!J$552/1000000</f>
        <v>3.6781921504463751E-2</v>
      </c>
      <c r="K458" s="336">
        <f>Saldo_relativo_per_capita!K458*Saldo_relativo_per_capita!K$552/1000000</f>
        <v>0.16866249951441034</v>
      </c>
      <c r="L458" s="336">
        <f>Saldo_relativo_per_capita!L458*Saldo_relativo_per_capita!L$552/1000000</f>
        <v>-1.7150435778635332E-2</v>
      </c>
      <c r="M458" s="336">
        <f>Saldo_relativo_per_capita!M458*Saldo_relativo_per_capita!M$552/1000000</f>
        <v>1.0994196115418116</v>
      </c>
      <c r="N458" s="336">
        <f>Saldo_relativo_per_capita!N458*Saldo_relativo_per_capita!N$552/1000000</f>
        <v>-0.11157197376015118</v>
      </c>
      <c r="O458" s="336">
        <f>Saldo_relativo_per_capita!O458*Saldo_relativo_per_capita!O$552/1000000</f>
        <v>-0.17261731262269742</v>
      </c>
      <c r="P458" s="336">
        <f>Saldo_relativo_per_capita!P458*Saldo_relativo_per_capita!P$552/1000000</f>
        <v>-7.0296619783915401E-3</v>
      </c>
      <c r="Q458" s="336">
        <f>Saldo_relativo_per_capita!Q458*Saldo_relativo_per_capita!Q$552/1000000</f>
        <v>-0.39199780200175793</v>
      </c>
      <c r="R458" s="336">
        <f>Saldo_relativo_per_capita!R458*Saldo_relativo_per_capita!R$552/1000000</f>
        <v>-6.7004085201178357E-2</v>
      </c>
      <c r="S458" s="336">
        <f>Saldo_relativo_per_capita!S458*Saldo_relativo_per_capita!S$552/1000000</f>
        <v>0.31435121819060974</v>
      </c>
      <c r="T458" s="336">
        <f>Saldo_relativo_per_capita!T458*Saldo_relativo_per_capita!T$552/1000000</f>
        <v>0.88488025759675282</v>
      </c>
      <c r="U458" s="336">
        <f>Saldo_relativo_per_capita!U458*Saldo_relativo_per_capita!U$552/1000000</f>
        <v>9.3199404482194978E-2</v>
      </c>
      <c r="V458" s="336">
        <f>Saldo_relativo_per_capita!V458*Saldo_relativo_per_capita!V$552/1000000</f>
        <v>-4.4807647581492541E-2</v>
      </c>
      <c r="W458" s="148"/>
    </row>
    <row r="459" spans="1:23" s="115" customFormat="1">
      <c r="A459" s="351" t="str">
        <f>IF(B459="","",(IF(ISERROR(MATCH(B459,Tot_res!C:C,0)),"Eliminar!!!","")))</f>
        <v/>
      </c>
      <c r="B459" s="115" t="s">
        <v>409</v>
      </c>
      <c r="C459" s="329" t="str">
        <f>VLOOKUP(B459,Tot_res!C:D,2,FALSE)</f>
        <v>Reconversión y reindustrialización</v>
      </c>
      <c r="D459" s="336">
        <f>Saldo_relativo_per_capita!D459*Saldo_relativo_per_capita!D$552/1000000</f>
        <v>0</v>
      </c>
      <c r="E459" s="336">
        <f>Saldo_relativo_per_capita!E459*Saldo_relativo_per_capita!E$552/1000000</f>
        <v>-11.198646686777705</v>
      </c>
      <c r="F459" s="336">
        <f>Saldo_relativo_per_capita!F459*Saldo_relativo_per_capita!F$552/1000000</f>
        <v>-3.5061277815485288</v>
      </c>
      <c r="G459" s="336">
        <f>Saldo_relativo_per_capita!G459*Saldo_relativo_per_capita!G$552/1000000</f>
        <v>3.6770923636153183</v>
      </c>
      <c r="H459" s="336">
        <f>Saldo_relativo_per_capita!H459*Saldo_relativo_per_capita!H$552/1000000</f>
        <v>0.79157781836043195</v>
      </c>
      <c r="I459" s="336">
        <f>Saldo_relativo_per_capita!I459*Saldo_relativo_per_capita!I$552/1000000</f>
        <v>-1.8930522666601013</v>
      </c>
      <c r="J459" s="336">
        <f>Saldo_relativo_per_capita!J459*Saldo_relativo_per_capita!J$552/1000000</f>
        <v>-0.58362630548300232</v>
      </c>
      <c r="K459" s="336">
        <f>Saldo_relativo_per_capita!K459*Saldo_relativo_per_capita!K$552/1000000</f>
        <v>-6.527495272282926</v>
      </c>
      <c r="L459" s="336">
        <f>Saldo_relativo_per_capita!L459*Saldo_relativo_per_capita!L$552/1000000</f>
        <v>-5.2926009667916487</v>
      </c>
      <c r="M459" s="336">
        <f>Saldo_relativo_per_capita!M459*Saldo_relativo_per_capita!M$552/1000000</f>
        <v>-11.747814046967411</v>
      </c>
      <c r="N459" s="336">
        <f>Saldo_relativo_per_capita!N459*Saldo_relativo_per_capita!N$552/1000000</f>
        <v>-11.160854825679468</v>
      </c>
      <c r="O459" s="336">
        <f>Saldo_relativo_per_capita!O459*Saldo_relativo_per_capita!O$552/1000000</f>
        <v>-2.8575380029198914</v>
      </c>
      <c r="P459" s="336">
        <f>Saldo_relativo_per_capita!P459*Saldo_relativo_per_capita!P$552/1000000</f>
        <v>30.441541443024541</v>
      </c>
      <c r="Q459" s="336">
        <f>Saldo_relativo_per_capita!Q459*Saldo_relativo_per_capita!Q$552/1000000</f>
        <v>-16.094233071780231</v>
      </c>
      <c r="R459" s="336">
        <f>Saldo_relativo_per_capita!R459*Saldo_relativo_per_capita!R$552/1000000</f>
        <v>0.7983492517203683</v>
      </c>
      <c r="S459" s="336">
        <f>Saldo_relativo_per_capita!S459*Saldo_relativo_per_capita!S$552/1000000</f>
        <v>-1.7090147935148825</v>
      </c>
      <c r="T459" s="336">
        <f>Saldo_relativo_per_capita!T459*Saldo_relativo_per_capita!T$552/1000000</f>
        <v>38.102911098003453</v>
      </c>
      <c r="U459" s="336">
        <f>Saldo_relativo_per_capita!U459*Saldo_relativo_per_capita!U$552/1000000</f>
        <v>-0.82757724377066411</v>
      </c>
      <c r="V459" s="336">
        <f>Saldo_relativo_per_capita!V459*Saldo_relativo_per_capita!V$552/1000000</f>
        <v>-0.41289071054765608</v>
      </c>
      <c r="W459" s="216"/>
    </row>
    <row r="460" spans="1:23" s="115" customFormat="1">
      <c r="A460" s="351" t="str">
        <f>IF(B460="","",(IF(ISERROR(MATCH(B460,Tot_res!C:C,0)),"Eliminar!!!","")))</f>
        <v/>
      </c>
      <c r="B460" s="115" t="s">
        <v>893</v>
      </c>
      <c r="C460" s="329" t="str">
        <f>VLOOKUP(B460,Tot_res!C:D,2,FALSE)</f>
        <v xml:space="preserve"> Explotación minera. Parte ejecutada por la Dirección Gral. De Política Energética y Minas.  </v>
      </c>
      <c r="D460" s="336">
        <f>Saldo_relativo_per_capita!D460*Saldo_relativo_per_capita!D$552/1000000</f>
        <v>0</v>
      </c>
      <c r="E460" s="336">
        <f>Saldo_relativo_per_capita!E460*Saldo_relativo_per_capita!E$552/1000000</f>
        <v>0.82550763007882233</v>
      </c>
      <c r="F460" s="336">
        <f>Saldo_relativo_per_capita!F460*Saldo_relativo_per_capita!F$552/1000000</f>
        <v>-6.2950548624081767E-2</v>
      </c>
      <c r="G460" s="336">
        <f>Saldo_relativo_per_capita!G460*Saldo_relativo_per_capita!G$552/1000000</f>
        <v>0.28695083408870209</v>
      </c>
      <c r="H460" s="336">
        <f>Saldo_relativo_per_capita!H460*Saldo_relativo_per_capita!H$552/1000000</f>
        <v>-6.4055101325190988E-2</v>
      </c>
      <c r="I460" s="336">
        <f>Saldo_relativo_per_capita!I460*Saldo_relativo_per_capita!I$552/1000000</f>
        <v>-0.12199687024114017</v>
      </c>
      <c r="J460" s="336">
        <f>Saldo_relativo_per_capita!J460*Saldo_relativo_per_capita!J$552/1000000</f>
        <v>-2.9905961063368826E-2</v>
      </c>
      <c r="K460" s="336">
        <f>Saldo_relativo_per_capita!K460*Saldo_relativo_per_capita!K$552/1000000</f>
        <v>-8.9180454384117328E-2</v>
      </c>
      <c r="L460" s="336">
        <f>Saldo_relativo_per_capita!L460*Saldo_relativo_per_capita!L$552/1000000</f>
        <v>6.7296808319151469E-2</v>
      </c>
      <c r="M460" s="336">
        <f>Saldo_relativo_per_capita!M460*Saldo_relativo_per_capita!M$552/1000000</f>
        <v>-0.39063527253116492</v>
      </c>
      <c r="N460" s="336">
        <f>Saldo_relativo_per_capita!N460*Saldo_relativo_per_capita!N$552/1000000</f>
        <v>0.26195277680253498</v>
      </c>
      <c r="O460" s="336">
        <f>Saldo_relativo_per_capita!O460*Saldo_relativo_per_capita!O$552/1000000</f>
        <v>-6.3611457458646478E-2</v>
      </c>
      <c r="P460" s="336">
        <f>Saldo_relativo_per_capita!P460*Saldo_relativo_per_capita!P$552/1000000</f>
        <v>-4.3364051443376052E-2</v>
      </c>
      <c r="Q460" s="336">
        <f>Saldo_relativo_per_capita!Q460*Saldo_relativo_per_capita!Q$552/1000000</f>
        <v>-0.35963320674957516</v>
      </c>
      <c r="R460" s="336">
        <f>Saldo_relativo_per_capita!R460*Saldo_relativo_per_capita!R$552/1000000</f>
        <v>-5.5126554756339201E-2</v>
      </c>
      <c r="S460" s="336">
        <f>Saldo_relativo_per_capita!S460*Saldo_relativo_per_capita!S$552/1000000</f>
        <v>-3.7171449274916162E-2</v>
      </c>
      <c r="T460" s="336">
        <f>Saldo_relativo_per_capita!T460*Saldo_relativo_per_capita!T$552/1000000</f>
        <v>-9.5780058091296957E-2</v>
      </c>
      <c r="U460" s="336">
        <f>Saldo_relativo_per_capita!U460*Saldo_relativo_per_capita!U$552/1000000</f>
        <v>-1.8452909987900088E-2</v>
      </c>
      <c r="V460" s="336">
        <f>Saldo_relativo_per_capita!V460*Saldo_relativo_per_capita!V$552/1000000</f>
        <v>-9.8441533580968174E-3</v>
      </c>
      <c r="W460" s="148"/>
    </row>
    <row r="461" spans="1:23" s="115" customFormat="1">
      <c r="A461" s="351" t="str">
        <f>IF(B461="","",(IF(ISERROR(MATCH(B461,Tot_res!C:C,0)),"Eliminar!!!","")))</f>
        <v/>
      </c>
      <c r="B461" s="115" t="s">
        <v>410</v>
      </c>
      <c r="C461" s="329" t="str">
        <f>VLOOKUP(B461,Tot_res!C:D,2,FALSE)</f>
        <v>Seguridad nuclear y protección radiológica</v>
      </c>
      <c r="D461" s="336">
        <f>Saldo_relativo_per_capita!D461*Saldo_relativo_per_capita!D$552/1000000</f>
        <v>0</v>
      </c>
      <c r="E461" s="336">
        <f>Saldo_relativo_per_capita!E461*Saldo_relativo_per_capita!E$552/1000000</f>
        <v>0</v>
      </c>
      <c r="F461" s="336">
        <f>Saldo_relativo_per_capita!F461*Saldo_relativo_per_capita!F$552/1000000</f>
        <v>0</v>
      </c>
      <c r="G461" s="336">
        <f>Saldo_relativo_per_capita!G461*Saldo_relativo_per_capita!G$552/1000000</f>
        <v>0</v>
      </c>
      <c r="H461" s="336">
        <f>Saldo_relativo_per_capita!H461*Saldo_relativo_per_capita!H$552/1000000</f>
        <v>0</v>
      </c>
      <c r="I461" s="336">
        <f>Saldo_relativo_per_capita!I461*Saldo_relativo_per_capita!I$552/1000000</f>
        <v>0</v>
      </c>
      <c r="J461" s="336">
        <f>Saldo_relativo_per_capita!J461*Saldo_relativo_per_capita!J$552/1000000</f>
        <v>0</v>
      </c>
      <c r="K461" s="336">
        <f>Saldo_relativo_per_capita!K461*Saldo_relativo_per_capita!K$552/1000000</f>
        <v>0</v>
      </c>
      <c r="L461" s="336">
        <f>Saldo_relativo_per_capita!L461*Saldo_relativo_per_capita!L$552/1000000</f>
        <v>0</v>
      </c>
      <c r="M461" s="336">
        <f>Saldo_relativo_per_capita!M461*Saldo_relativo_per_capita!M$552/1000000</f>
        <v>0</v>
      </c>
      <c r="N461" s="336">
        <f>Saldo_relativo_per_capita!N461*Saldo_relativo_per_capita!N$552/1000000</f>
        <v>0</v>
      </c>
      <c r="O461" s="336">
        <f>Saldo_relativo_per_capita!O461*Saldo_relativo_per_capita!O$552/1000000</f>
        <v>0</v>
      </c>
      <c r="P461" s="336">
        <f>Saldo_relativo_per_capita!P461*Saldo_relativo_per_capita!P$552/1000000</f>
        <v>0</v>
      </c>
      <c r="Q461" s="336">
        <f>Saldo_relativo_per_capita!Q461*Saldo_relativo_per_capita!Q$552/1000000</f>
        <v>0</v>
      </c>
      <c r="R461" s="336">
        <f>Saldo_relativo_per_capita!R461*Saldo_relativo_per_capita!R$552/1000000</f>
        <v>0</v>
      </c>
      <c r="S461" s="336">
        <f>Saldo_relativo_per_capita!S461*Saldo_relativo_per_capita!S$552/1000000</f>
        <v>0</v>
      </c>
      <c r="T461" s="336">
        <f>Saldo_relativo_per_capita!T461*Saldo_relativo_per_capita!T$552/1000000</f>
        <v>0</v>
      </c>
      <c r="U461" s="336">
        <f>Saldo_relativo_per_capita!U461*Saldo_relativo_per_capita!U$552/1000000</f>
        <v>0</v>
      </c>
      <c r="V461" s="336">
        <f>Saldo_relativo_per_capita!V461*Saldo_relativo_per_capita!V$552/1000000</f>
        <v>0</v>
      </c>
      <c r="W461" s="148"/>
    </row>
    <row r="462" spans="1:23" s="115" customFormat="1">
      <c r="A462" s="351" t="str">
        <f>IF(B462="","",(IF(ISERROR(MATCH(B462,Tot_res!C:C,0)),"Eliminar!!!","")))</f>
        <v/>
      </c>
      <c r="B462" s="115" t="s">
        <v>1161</v>
      </c>
      <c r="C462" s="329" t="str">
        <f>VLOOKUP(B462,Tot_res!C:D,2,FALSE)</f>
        <v>Normativa y desarrollo energético, neto de subvenciones a sistemas eléctricos insulares y extrapeninsulares</v>
      </c>
      <c r="D462" s="336">
        <f>Saldo_relativo_per_capita!D462*Saldo_relativo_per_capita!D$552/1000000</f>
        <v>0</v>
      </c>
      <c r="E462" s="336">
        <f>Saldo_relativo_per_capita!E462*Saldo_relativo_per_capita!E$552/1000000</f>
        <v>-6.9768392927916736</v>
      </c>
      <c r="F462" s="336">
        <f>Saldo_relativo_per_capita!F462*Saldo_relativo_per_capita!F$552/1000000</f>
        <v>0.57149299841851797</v>
      </c>
      <c r="G462" s="336">
        <f>Saldo_relativo_per_capita!G462*Saldo_relativo_per_capita!G$552/1000000</f>
        <v>1.0658440775739639</v>
      </c>
      <c r="H462" s="336">
        <f>Saldo_relativo_per_capita!H462*Saldo_relativo_per_capita!H$552/1000000</f>
        <v>1.9997087184570137</v>
      </c>
      <c r="I462" s="336">
        <f>Saldo_relativo_per_capita!I462*Saldo_relativo_per_capita!I$552/1000000</f>
        <v>-0.97320685065009838</v>
      </c>
      <c r="J462" s="336">
        <f>Saldo_relativo_per_capita!J462*Saldo_relativo_per_capita!J$552/1000000</f>
        <v>0.88406448709003438</v>
      </c>
      <c r="K462" s="336">
        <f>Saldo_relativo_per_capita!K462*Saldo_relativo_per_capita!K$552/1000000</f>
        <v>-1.2529827107331992</v>
      </c>
      <c r="L462" s="336">
        <f>Saldo_relativo_per_capita!L462*Saldo_relativo_per_capita!L$552/1000000</f>
        <v>-4.840850543549152</v>
      </c>
      <c r="M462" s="336">
        <f>Saldo_relativo_per_capita!M462*Saldo_relativo_per_capita!M$552/1000000</f>
        <v>-1.4053318543679811</v>
      </c>
      <c r="N462" s="336">
        <f>Saldo_relativo_per_capita!N462*Saldo_relativo_per_capita!N$552/1000000</f>
        <v>1.5914828073629468</v>
      </c>
      <c r="O462" s="336">
        <f>Saldo_relativo_per_capita!O462*Saldo_relativo_per_capita!O$552/1000000</f>
        <v>-0.88259452455039988</v>
      </c>
      <c r="P462" s="336">
        <f>Saldo_relativo_per_capita!P462*Saldo_relativo_per_capita!P$552/1000000</f>
        <v>1.5991417701155028</v>
      </c>
      <c r="Q462" s="336">
        <f>Saldo_relativo_per_capita!Q462*Saldo_relativo_per_capita!Q$552/1000000</f>
        <v>3.6480676259010352</v>
      </c>
      <c r="R462" s="336">
        <f>Saldo_relativo_per_capita!R462*Saldo_relativo_per_capita!R$552/1000000</f>
        <v>1.087042696240236</v>
      </c>
      <c r="S462" s="336">
        <f>Saldo_relativo_per_capita!S462*Saldo_relativo_per_capita!S$552/1000000</f>
        <v>2.8607115783888362</v>
      </c>
      <c r="T462" s="336">
        <f>Saldo_relativo_per_capita!T462*Saldo_relativo_per_capita!T$552/1000000</f>
        <v>0.94318309207983997</v>
      </c>
      <c r="U462" s="336">
        <f>Saldo_relativo_per_capita!U462*Saldo_relativo_per_capita!U$552/1000000</f>
        <v>0.61178013748325499</v>
      </c>
      <c r="V462" s="336">
        <f>Saldo_relativo_per_capita!V462*Saldo_relativo_per_capita!V$552/1000000</f>
        <v>-0.53071421246860195</v>
      </c>
    </row>
    <row r="463" spans="1:23" s="115" customFormat="1">
      <c r="A463" s="351" t="str">
        <f>IF(B463="","",(IF(ISERROR(MATCH(B463,Tot_res!C:C,0)),"Eliminar!!!","")))</f>
        <v/>
      </c>
      <c r="B463" s="115" t="s">
        <v>411</v>
      </c>
      <c r="C463" s="329" t="str">
        <f>VLOOKUP(B463,Tot_res!C:D,2,FALSE)</f>
        <v>Promoción comercial e internacionalización de la empresa</v>
      </c>
      <c r="D463" s="336">
        <f>Saldo_relativo_per_capita!D463*Saldo_relativo_per_capita!D$552/1000000</f>
        <v>0</v>
      </c>
      <c r="E463" s="336">
        <f>Saldo_relativo_per_capita!E463*Saldo_relativo_per_capita!E$552/1000000</f>
        <v>-11.346489698200379</v>
      </c>
      <c r="F463" s="336">
        <f>Saldo_relativo_per_capita!F463*Saldo_relativo_per_capita!F$552/1000000</f>
        <v>1.8113992577685905</v>
      </c>
      <c r="G463" s="336">
        <f>Saldo_relativo_per_capita!G463*Saldo_relativo_per_capita!G$552/1000000</f>
        <v>-1.0896024260667376</v>
      </c>
      <c r="H463" s="336">
        <f>Saldo_relativo_per_capita!H463*Saldo_relativo_per_capita!H$552/1000000</f>
        <v>-3.2776712342469443</v>
      </c>
      <c r="I463" s="336">
        <f>Saldo_relativo_per_capita!I463*Saldo_relativo_per_capita!I$552/1000000</f>
        <v>-5.8040940486873467</v>
      </c>
      <c r="J463" s="336">
        <f>Saldo_relativo_per_capita!J463*Saldo_relativo_per_capita!J$552/1000000</f>
        <v>-0.31833087149228068</v>
      </c>
      <c r="K463" s="336">
        <f>Saldo_relativo_per_capita!K463*Saldo_relativo_per_capita!K$552/1000000</f>
        <v>2.3144494006243542E-2</v>
      </c>
      <c r="L463" s="336">
        <f>Saldo_relativo_per_capita!L463*Saldo_relativo_per_capita!L$552/1000000</f>
        <v>-3.6012763114205737</v>
      </c>
      <c r="M463" s="336">
        <f>Saldo_relativo_per_capita!M463*Saldo_relativo_per_capita!M$552/1000000</f>
        <v>15.115436754837178</v>
      </c>
      <c r="N463" s="336">
        <f>Saldo_relativo_per_capita!N463*Saldo_relativo_per_capita!N$552/1000000</f>
        <v>-0.39408474251947906</v>
      </c>
      <c r="O463" s="336">
        <f>Saldo_relativo_per_capita!O463*Saldo_relativo_per_capita!O$552/1000000</f>
        <v>-2.7309930986966657</v>
      </c>
      <c r="P463" s="336">
        <f>Saldo_relativo_per_capita!P463*Saldo_relativo_per_capita!P$552/1000000</f>
        <v>2.6157387506301695</v>
      </c>
      <c r="Q463" s="336">
        <f>Saldo_relativo_per_capita!Q463*Saldo_relativo_per_capita!Q$552/1000000</f>
        <v>-3.6586200733434313</v>
      </c>
      <c r="R463" s="336">
        <f>Saldo_relativo_per_capita!R463*Saldo_relativo_per_capita!R$552/1000000</f>
        <v>2.0286690113953685</v>
      </c>
      <c r="S463" s="336">
        <f>Saldo_relativo_per_capita!S463*Saldo_relativo_per_capita!S$552/1000000</f>
        <v>3.3680653544345787</v>
      </c>
      <c r="T463" s="336">
        <f>Saldo_relativo_per_capita!T463*Saldo_relativo_per_capita!T$552/1000000</f>
        <v>7.823720029085508</v>
      </c>
      <c r="U463" s="336">
        <f>Saldo_relativo_per_capita!U463*Saldo_relativo_per_capita!U$552/1000000</f>
        <v>1.0827239424713531E-2</v>
      </c>
      <c r="V463" s="336">
        <f>Saldo_relativo_per_capita!V463*Saldo_relativo_per_capita!V$552/1000000</f>
        <v>-0.57583838690852351</v>
      </c>
    </row>
    <row r="464" spans="1:23" s="115" customFormat="1">
      <c r="A464" s="351" t="str">
        <f>IF(B464="","",(IF(ISERROR(MATCH(B464,Tot_res!C:C,0)),"Eliminar!!!","")))</f>
        <v/>
      </c>
      <c r="B464" s="115" t="s">
        <v>413</v>
      </c>
      <c r="C464" s="329" t="str">
        <f>VLOOKUP(B464,Tot_res!C:D,2,FALSE)</f>
        <v>Ordenación del comercio exterior</v>
      </c>
      <c r="D464" s="336">
        <f>Saldo_relativo_per_capita!D464*Saldo_relativo_per_capita!D$552/1000000</f>
        <v>0</v>
      </c>
      <c r="E464" s="336">
        <f>Saldo_relativo_per_capita!E464*Saldo_relativo_per_capita!E$552/1000000</f>
        <v>-0.56288004557410709</v>
      </c>
      <c r="F464" s="336">
        <f>Saldo_relativo_per_capita!F464*Saldo_relativo_per_capita!F$552/1000000</f>
        <v>6.538541806653296E-2</v>
      </c>
      <c r="G464" s="336">
        <f>Saldo_relativo_per_capita!G464*Saldo_relativo_per_capita!G$552/1000000</f>
        <v>-7.105618728780802E-2</v>
      </c>
      <c r="H464" s="336">
        <f>Saldo_relativo_per_capita!H464*Saldo_relativo_per_capita!H$552/1000000</f>
        <v>-0.16329731218264609</v>
      </c>
      <c r="I464" s="336">
        <f>Saldo_relativo_per_capita!I464*Saldo_relativo_per_capita!I$552/1000000</f>
        <v>-0.2867355282717941</v>
      </c>
      <c r="J464" s="336">
        <f>Saldo_relativo_per_capita!J464*Saldo_relativo_per_capita!J$552/1000000</f>
        <v>-3.1932835555930149E-2</v>
      </c>
      <c r="K464" s="336">
        <f>Saldo_relativo_per_capita!K464*Saldo_relativo_per_capita!K$552/1000000</f>
        <v>-2.7840639310271226E-2</v>
      </c>
      <c r="L464" s="336">
        <f>Saldo_relativo_per_capita!L464*Saldo_relativo_per_capita!L$552/1000000</f>
        <v>-0.18667288947134156</v>
      </c>
      <c r="M464" s="336">
        <f>Saldo_relativo_per_capita!M464*Saldo_relativo_per_capita!M$552/1000000</f>
        <v>0.88401272065220626</v>
      </c>
      <c r="N464" s="336">
        <f>Saldo_relativo_per_capita!N464*Saldo_relativo_per_capita!N$552/1000000</f>
        <v>-0.12061565168585778</v>
      </c>
      <c r="O464" s="336">
        <f>Saldo_relativo_per_capita!O464*Saldo_relativo_per_capita!O$552/1000000</f>
        <v>-0.15615589115993209</v>
      </c>
      <c r="P464" s="336">
        <f>Saldo_relativo_per_capita!P464*Saldo_relativo_per_capita!P$552/1000000</f>
        <v>5.1437627233711924E-2</v>
      </c>
      <c r="Q464" s="336">
        <f>Saldo_relativo_per_capita!Q464*Saldo_relativo_per_capita!Q$552/1000000</f>
        <v>0.14400561078193971</v>
      </c>
      <c r="R464" s="336">
        <f>Saldo_relativo_per_capita!R464*Saldo_relativo_per_capita!R$552/1000000</f>
        <v>0.11348544704955824</v>
      </c>
      <c r="S464" s="336">
        <f>Saldo_relativo_per_capita!S464*Saldo_relativo_per_capita!S$552/1000000</f>
        <v>9.6735856553074137E-2</v>
      </c>
      <c r="T464" s="336">
        <f>Saldo_relativo_per_capita!T464*Saldo_relativo_per_capita!T$552/1000000</f>
        <v>0.2823759648743065</v>
      </c>
      <c r="U464" s="336">
        <f>Saldo_relativo_per_capita!U464*Saldo_relativo_per_capita!U$552/1000000</f>
        <v>-1.0142731118270161E-2</v>
      </c>
      <c r="V464" s="336">
        <f>Saldo_relativo_per_capita!V464*Saldo_relativo_per_capita!V$552/1000000</f>
        <v>-2.0108933593369398E-2</v>
      </c>
    </row>
    <row r="465" spans="1:22" s="115" customFormat="1">
      <c r="A465" s="351" t="str">
        <f>IF(B465="","",(IF(ISERROR(MATCH(B465,Tot_res!C:C,0)),"Eliminar!!!","")))</f>
        <v/>
      </c>
      <c r="B465" s="115" t="s">
        <v>415</v>
      </c>
      <c r="C465" s="329" t="str">
        <f>VLOOKUP(B465,Tot_res!C:D,2,FALSE)</f>
        <v>Ordenación y modernización de las estructuras comerciales + AF23</v>
      </c>
      <c r="D465" s="336">
        <f>Saldo_relativo_per_capita!D465*Saldo_relativo_per_capita!D$552/1000000</f>
        <v>0</v>
      </c>
      <c r="E465" s="336">
        <f>Saldo_relativo_per_capita!E465*Saldo_relativo_per_capita!E$552/1000000</f>
        <v>-0.25525220612578264</v>
      </c>
      <c r="F465" s="336">
        <f>Saldo_relativo_per_capita!F465*Saldo_relativo_per_capita!F$552/1000000</f>
        <v>-5.1995692692934246E-3</v>
      </c>
      <c r="G465" s="336">
        <f>Saldo_relativo_per_capita!G465*Saldo_relativo_per_capita!G$552/1000000</f>
        <v>-2.1100663709124296E-2</v>
      </c>
      <c r="H465" s="336">
        <f>Saldo_relativo_per_capita!H465*Saldo_relativo_per_capita!H$552/1000000</f>
        <v>7.7309384560642347E-2</v>
      </c>
      <c r="I465" s="336">
        <f>Saldo_relativo_per_capita!I465*Saldo_relativo_per_capita!I$552/1000000</f>
        <v>5.1410616149118592E-2</v>
      </c>
      <c r="J465" s="336">
        <f>Saldo_relativo_per_capita!J465*Saldo_relativo_per_capita!J$552/1000000</f>
        <v>-1.1119950565451736E-2</v>
      </c>
      <c r="K465" s="336">
        <f>Saldo_relativo_per_capita!K465*Saldo_relativo_per_capita!K$552/1000000</f>
        <v>-5.3421294519366266E-2</v>
      </c>
      <c r="L465" s="336">
        <f>Saldo_relativo_per_capita!L465*Saldo_relativo_per_capita!L$552/1000000</f>
        <v>-8.1582305186855622E-2</v>
      </c>
      <c r="M465" s="336">
        <f>Saldo_relativo_per_capita!M465*Saldo_relativo_per_capita!M$552/1000000</f>
        <v>0.21095906548874385</v>
      </c>
      <c r="N465" s="336">
        <f>Saldo_relativo_per_capita!N465*Saldo_relativo_per_capita!N$552/1000000</f>
        <v>-5.2757232582409226E-2</v>
      </c>
      <c r="O465" s="336">
        <f>Saldo_relativo_per_capita!O465*Saldo_relativo_per_capita!O$552/1000000</f>
        <v>-5.9570556783309921E-2</v>
      </c>
      <c r="P465" s="336">
        <f>Saldo_relativo_per_capita!P465*Saldo_relativo_per_capita!P$552/1000000</f>
        <v>-4.0898951259694047E-2</v>
      </c>
      <c r="Q465" s="336">
        <f>Saldo_relativo_per_capita!Q465*Saldo_relativo_per_capita!Q$552/1000000</f>
        <v>0.25631547953115663</v>
      </c>
      <c r="R465" s="336">
        <f>Saldo_relativo_per_capita!R465*Saldo_relativo_per_capita!R$552/1000000</f>
        <v>-2.8235949073257202E-2</v>
      </c>
      <c r="S465" s="336">
        <f>Saldo_relativo_per_capita!S465*Saldo_relativo_per_capita!S$552/1000000</f>
        <v>-1.3517915135200973E-3</v>
      </c>
      <c r="T465" s="336">
        <f>Saldo_relativo_per_capita!T465*Saldo_relativo_per_capita!T$552/1000000</f>
        <v>2.6421673709258079E-2</v>
      </c>
      <c r="U465" s="336">
        <f>Saldo_relativo_per_capita!U465*Saldo_relativo_per_capita!U$552/1000000</f>
        <v>-4.9016936742044825E-3</v>
      </c>
      <c r="V465" s="336">
        <f>Saldo_relativo_per_capita!V465*Saldo_relativo_per_capita!V$552/1000000</f>
        <v>-7.0240551766497863E-3</v>
      </c>
    </row>
    <row r="466" spans="1:22" s="115" customFormat="1">
      <c r="A466" s="351" t="str">
        <f>IF(B466="","",(IF(ISERROR(MATCH(B466,Tot_res!C:C,0)),"Eliminar!!!","")))</f>
        <v/>
      </c>
      <c r="B466" s="115" t="s">
        <v>416</v>
      </c>
      <c r="C466" s="329" t="str">
        <f>VLOOKUP(B466,Tot_res!C:D,2,FALSE)</f>
        <v>Coordinación y promoción del turismo + AF24</v>
      </c>
      <c r="D466" s="336">
        <f>Saldo_relativo_per_capita!D466*Saldo_relativo_per_capita!D$552/1000000</f>
        <v>0</v>
      </c>
      <c r="E466" s="336">
        <f>Saldo_relativo_per_capita!E466*Saldo_relativo_per_capita!E$552/1000000</f>
        <v>-3.4648325141841689</v>
      </c>
      <c r="F466" s="336">
        <f>Saldo_relativo_per_capita!F466*Saldo_relativo_per_capita!F$552/1000000</f>
        <v>-1.1164410137184932</v>
      </c>
      <c r="G466" s="336">
        <f>Saldo_relativo_per_capita!G466*Saldo_relativo_per_capita!G$552/1000000</f>
        <v>-0.85464875204880275</v>
      </c>
      <c r="H466" s="336">
        <f>Saldo_relativo_per_capita!H466*Saldo_relativo_per_capita!H$552/1000000</f>
        <v>7.0585314208589587</v>
      </c>
      <c r="I466" s="336">
        <f>Saldo_relativo_per_capita!I466*Saldo_relativo_per_capita!I$552/1000000</f>
        <v>7.4537289654773762</v>
      </c>
      <c r="J466" s="336">
        <f>Saldo_relativo_per_capita!J466*Saldo_relativo_per_capita!J$552/1000000</f>
        <v>-0.48395646890311178</v>
      </c>
      <c r="K466" s="336">
        <f>Saldo_relativo_per_capita!K466*Saldo_relativo_per_capita!K$552/1000000</f>
        <v>-2.4061896507939142</v>
      </c>
      <c r="L466" s="336">
        <f>Saldo_relativo_per_capita!L466*Saldo_relativo_per_capita!L$552/1000000</f>
        <v>-2.3270705470578976</v>
      </c>
      <c r="M466" s="336">
        <f>Saldo_relativo_per_capita!M466*Saldo_relativo_per_capita!M$552/1000000</f>
        <v>4.7643242239093624</v>
      </c>
      <c r="N466" s="336">
        <f>Saldo_relativo_per_capita!N466*Saldo_relativo_per_capita!N$552/1000000</f>
        <v>-2.0726573661683401</v>
      </c>
      <c r="O466" s="336">
        <f>Saldo_relativo_per_capita!O466*Saldo_relativo_per_capita!O$552/1000000</f>
        <v>-1.2420343740112936</v>
      </c>
      <c r="P466" s="336">
        <f>Saldo_relativo_per_capita!P466*Saldo_relativo_per_capita!P$552/1000000</f>
        <v>-6.8666814056768721E-2</v>
      </c>
      <c r="Q466" s="336">
        <f>Saldo_relativo_per_capita!Q466*Saldo_relativo_per_capita!Q$552/1000000</f>
        <v>-1.8971262367012312</v>
      </c>
      <c r="R466" s="336">
        <f>Saldo_relativo_per_capita!R466*Saldo_relativo_per_capita!R$552/1000000</f>
        <v>-1.2991778309542692</v>
      </c>
      <c r="S466" s="336">
        <f>Saldo_relativo_per_capita!S466*Saldo_relativo_per_capita!S$552/1000000</f>
        <v>-0.40531703569448174</v>
      </c>
      <c r="T466" s="336">
        <f>Saldo_relativo_per_capita!T466*Saldo_relativo_per_capita!T$552/1000000</f>
        <v>-1.2454473678863891</v>
      </c>
      <c r="U466" s="336">
        <f>Saldo_relativo_per_capita!U466*Saldo_relativo_per_capita!U$552/1000000</f>
        <v>-0.3369930847248897</v>
      </c>
      <c r="V466" s="336">
        <f>Saldo_relativo_per_capita!V466*Saldo_relativo_per_capita!V$552/1000000</f>
        <v>-5.602555334165224E-2</v>
      </c>
    </row>
    <row r="467" spans="1:22" s="115" customFormat="1">
      <c r="A467" s="351" t="str">
        <f>IF(B467="","",(IF(ISERROR(MATCH(B467,Tot_res!C:C,0)),"Eliminar!!!","")))</f>
        <v/>
      </c>
      <c r="B467" s="115" t="s">
        <v>897</v>
      </c>
      <c r="C467" s="329" t="str">
        <f>VLOOKUP(B467,Tot_res!C:D,2,FALSE)</f>
        <v>Investig. y desarrollo tecnolog-industrial.Secretaría general de ciencia, tecnología e innovación</v>
      </c>
      <c r="D467" s="336">
        <f>Saldo_relativo_per_capita!D467*Saldo_relativo_per_capita!D$552/1000000</f>
        <v>0</v>
      </c>
      <c r="E467" s="336">
        <f>Saldo_relativo_per_capita!E467*Saldo_relativo_per_capita!E$552/1000000</f>
        <v>-13.163967212578157</v>
      </c>
      <c r="F467" s="336">
        <f>Saldo_relativo_per_capita!F467*Saldo_relativo_per_capita!F$552/1000000</f>
        <v>2.4782767930046523</v>
      </c>
      <c r="G467" s="336">
        <f>Saldo_relativo_per_capita!G467*Saldo_relativo_per_capita!G$552/1000000</f>
        <v>0.29033130265700774</v>
      </c>
      <c r="H467" s="336">
        <f>Saldo_relativo_per_capita!H467*Saldo_relativo_per_capita!H$552/1000000</f>
        <v>-2.0281971400409153</v>
      </c>
      <c r="I467" s="336">
        <f>Saldo_relativo_per_capita!I467*Saldo_relativo_per_capita!I$552/1000000</f>
        <v>-4.307543896765142</v>
      </c>
      <c r="J467" s="336">
        <f>Saldo_relativo_per_capita!J467*Saldo_relativo_per_capita!J$552/1000000</f>
        <v>0.34474063009822015</v>
      </c>
      <c r="K467" s="336">
        <f>Saldo_relativo_per_capita!K467*Saldo_relativo_per_capita!K$552/1000000</f>
        <v>1.5807987722849755</v>
      </c>
      <c r="L467" s="336">
        <f>Saldo_relativo_per_capita!L467*Saldo_relativo_per_capita!L$552/1000000</f>
        <v>-0.16074342489334723</v>
      </c>
      <c r="M467" s="336">
        <f>Saldo_relativo_per_capita!M467*Saldo_relativo_per_capita!M$552/1000000</f>
        <v>10.30437220576604</v>
      </c>
      <c r="N467" s="336">
        <f>Saldo_relativo_per_capita!N467*Saldo_relativo_per_capita!N$552/1000000</f>
        <v>-1.0457146054946767</v>
      </c>
      <c r="O467" s="336">
        <f>Saldo_relativo_per_capita!O467*Saldo_relativo_per_capita!O$552/1000000</f>
        <v>-1.6178654807957313</v>
      </c>
      <c r="P467" s="336">
        <f>Saldo_relativo_per_capita!P467*Saldo_relativo_per_capita!P$552/1000000</f>
        <v>-6.5885902657752807E-2</v>
      </c>
      <c r="Q467" s="336">
        <f>Saldo_relativo_per_capita!Q467*Saldo_relativo_per_capita!Q$552/1000000</f>
        <v>-3.6740214684761243</v>
      </c>
      <c r="R467" s="336">
        <f>Saldo_relativo_per_capita!R467*Saldo_relativo_per_capita!R$552/1000000</f>
        <v>-0.62799956083332464</v>
      </c>
      <c r="S467" s="336">
        <f>Saldo_relativo_per_capita!S467*Saldo_relativo_per_capita!S$552/1000000</f>
        <v>2.9462744902552829</v>
      </c>
      <c r="T467" s="336">
        <f>Saldo_relativo_per_capita!T467*Saldo_relativo_per_capita!T$552/1000000</f>
        <v>8.2935900324935243</v>
      </c>
      <c r="U467" s="336">
        <f>Saldo_relativo_per_capita!U467*Saldo_relativo_per_capita!U$552/1000000</f>
        <v>0.87351666557364638</v>
      </c>
      <c r="V467" s="336">
        <f>Saldo_relativo_per_capita!V467*Saldo_relativo_per_capita!V$552/1000000</f>
        <v>-0.41996219959819425</v>
      </c>
    </row>
    <row r="468" spans="1:22" s="115" customFormat="1">
      <c r="A468" s="351" t="str">
        <f>IF(B468="","",(IF(ISERROR(MATCH(B468,Tot_res!C:C,0)),"Eliminar!!!","")))</f>
        <v/>
      </c>
      <c r="B468" s="115" t="s">
        <v>418</v>
      </c>
      <c r="C468" s="329" t="str">
        <f>VLOOKUP(B468,Tot_res!C:D,2,FALSE)</f>
        <v>Investigación y desarrollo de la sociedad de la información</v>
      </c>
      <c r="D468" s="336">
        <f>Saldo_relativo_per_capita!D468*Saldo_relativo_per_capita!D$552/1000000</f>
        <v>0</v>
      </c>
      <c r="E468" s="336">
        <f>Saldo_relativo_per_capita!E468*Saldo_relativo_per_capita!E$552/1000000</f>
        <v>-4.250632433051285</v>
      </c>
      <c r="F468" s="336">
        <f>Saldo_relativo_per_capita!F468*Saldo_relativo_per_capita!F$552/1000000</f>
        <v>0.62235291335001908</v>
      </c>
      <c r="G468" s="336">
        <f>Saldo_relativo_per_capita!G468*Saldo_relativo_per_capita!G$552/1000000</f>
        <v>-0.49770739667448521</v>
      </c>
      <c r="H468" s="336">
        <f>Saldo_relativo_per_capita!H468*Saldo_relativo_per_capita!H$552/1000000</f>
        <v>-0.81397688906127219</v>
      </c>
      <c r="I468" s="336">
        <f>Saldo_relativo_per_capita!I468*Saldo_relativo_per_capita!I$552/1000000</f>
        <v>-1.5447018783210587</v>
      </c>
      <c r="J468" s="336">
        <f>Saldo_relativo_per_capita!J468*Saldo_relativo_per_capita!J$552/1000000</f>
        <v>0.33586355159857262</v>
      </c>
      <c r="K468" s="336">
        <f>Saldo_relativo_per_capita!K468*Saldo_relativo_per_capita!K$552/1000000</f>
        <v>-1.438513154040671</v>
      </c>
      <c r="L468" s="336">
        <f>Saldo_relativo_per_capita!L468*Saldo_relativo_per_capita!L$552/1000000</f>
        <v>-1.0340283659319593</v>
      </c>
      <c r="M468" s="336">
        <f>Saldo_relativo_per_capita!M468*Saldo_relativo_per_capita!M$552/1000000</f>
        <v>4.1923195936401632</v>
      </c>
      <c r="N468" s="336">
        <f>Saldo_relativo_per_capita!N468*Saldo_relativo_per_capita!N$552/1000000</f>
        <v>-1.8251206798779469</v>
      </c>
      <c r="O468" s="336">
        <f>Saldo_relativo_per_capita!O468*Saldo_relativo_per_capita!O$552/1000000</f>
        <v>-0.81297208569234114</v>
      </c>
      <c r="P468" s="336">
        <f>Saldo_relativo_per_capita!P468*Saldo_relativo_per_capita!P$552/1000000</f>
        <v>-1.4456021836186881</v>
      </c>
      <c r="Q468" s="336">
        <f>Saldo_relativo_per_capita!Q468*Saldo_relativo_per_capita!Q$552/1000000</f>
        <v>5.8148810437844078</v>
      </c>
      <c r="R468" s="336">
        <f>Saldo_relativo_per_capita!R468*Saldo_relativo_per_capita!R$552/1000000</f>
        <v>-0.97029370713832441</v>
      </c>
      <c r="S468" s="336">
        <f>Saldo_relativo_per_capita!S468*Saldo_relativo_per_capita!S$552/1000000</f>
        <v>0.24419810470935008</v>
      </c>
      <c r="T468" s="336">
        <f>Saldo_relativo_per_capita!T468*Saldo_relativo_per_capita!T$552/1000000</f>
        <v>3.6704304313011442</v>
      </c>
      <c r="U468" s="336">
        <f>Saldo_relativo_per_capita!U468*Saldo_relativo_per_capita!U$552/1000000</f>
        <v>-0.11861969114910087</v>
      </c>
      <c r="V468" s="336">
        <f>Saldo_relativo_per_capita!V468*Saldo_relativo_per_capita!V$552/1000000</f>
        <v>-0.12787717382652203</v>
      </c>
    </row>
    <row r="469" spans="1:22" s="115" customFormat="1">
      <c r="A469" s="351" t="str">
        <f>IF(B469="","",(IF(ISERROR(MATCH(B469,Tot_res!C:C,0)),"Eliminar!!!","")))</f>
        <v/>
      </c>
      <c r="B469" s="115" t="s">
        <v>419</v>
      </c>
      <c r="C469" s="329" t="str">
        <f>VLOOKUP(B469,Tot_res!C:D,2,FALSE)</f>
        <v>Innovación tecnológica de las telecomunicaciones</v>
      </c>
      <c r="D469" s="336">
        <f>Saldo_relativo_per_capita!D469*Saldo_relativo_per_capita!D$552/1000000</f>
        <v>0</v>
      </c>
      <c r="E469" s="336">
        <f>Saldo_relativo_per_capita!E469*Saldo_relativo_per_capita!E$552/1000000</f>
        <v>-3.1062596189485205</v>
      </c>
      <c r="F469" s="336">
        <f>Saldo_relativo_per_capita!F469*Saldo_relativo_per_capita!F$552/1000000</f>
        <v>-0.39224895094165158</v>
      </c>
      <c r="G469" s="336">
        <f>Saldo_relativo_per_capita!G469*Saldo_relativo_per_capita!G$552/1000000</f>
        <v>-0.56674655828183662</v>
      </c>
      <c r="H469" s="336">
        <f>Saldo_relativo_per_capita!H469*Saldo_relativo_per_capita!H$552/1000000</f>
        <v>-0.48819176763636801</v>
      </c>
      <c r="I469" s="336">
        <f>Saldo_relativo_per_capita!I469*Saldo_relativo_per_capita!I$552/1000000</f>
        <v>-0.64717037588518855</v>
      </c>
      <c r="J469" s="336">
        <f>Saldo_relativo_per_capita!J469*Saldo_relativo_per_capita!J$552/1000000</f>
        <v>-0.27714136248352911</v>
      </c>
      <c r="K469" s="336">
        <f>Saldo_relativo_per_capita!K469*Saldo_relativo_per_capita!K$552/1000000</f>
        <v>-0.98015597975856616</v>
      </c>
      <c r="L469" s="336">
        <f>Saldo_relativo_per_capita!L469*Saldo_relativo_per_capita!L$552/1000000</f>
        <v>-0.83015513130823448</v>
      </c>
      <c r="M469" s="336">
        <f>Saldo_relativo_per_capita!M469*Saldo_relativo_per_capita!M$552/1000000</f>
        <v>6.428622902944225</v>
      </c>
      <c r="N469" s="336">
        <f>Saldo_relativo_per_capita!N469*Saldo_relativo_per_capita!N$552/1000000</f>
        <v>-1.2532244138055271</v>
      </c>
      <c r="O469" s="336">
        <f>Saldo_relativo_per_capita!O469*Saldo_relativo_per_capita!O$552/1000000</f>
        <v>-0.54422952001176306</v>
      </c>
      <c r="P469" s="336">
        <f>Saldo_relativo_per_capita!P469*Saldo_relativo_per_capita!P$552/1000000</f>
        <v>-1.2264109207977929</v>
      </c>
      <c r="Q469" s="336">
        <f>Saldo_relativo_per_capita!Q469*Saldo_relativo_per_capita!Q$552/1000000</f>
        <v>3.6530036616383428</v>
      </c>
      <c r="R469" s="336">
        <f>Saldo_relativo_per_capita!R469*Saldo_relativo_per_capita!R$552/1000000</f>
        <v>-0.54309640462065589</v>
      </c>
      <c r="S469" s="336">
        <f>Saldo_relativo_per_capita!S469*Saldo_relativo_per_capita!S$552/1000000</f>
        <v>0.14267101408271912</v>
      </c>
      <c r="T469" s="336">
        <f>Saldo_relativo_per_capita!T469*Saldo_relativo_per_capita!T$552/1000000</f>
        <v>0.90367687194444635</v>
      </c>
      <c r="U469" s="336">
        <f>Saldo_relativo_per_capita!U469*Saldo_relativo_per_capita!U$552/1000000</f>
        <v>-0.17514586955650593</v>
      </c>
      <c r="V469" s="336">
        <f>Saldo_relativo_per_capita!V469*Saldo_relativo_per_capita!V$552/1000000</f>
        <v>-9.7797576573588799E-2</v>
      </c>
    </row>
    <row r="470" spans="1:22" s="115" customFormat="1">
      <c r="A470" s="351" t="str">
        <f>IF(B470="","",(IF(ISERROR(MATCH(B470,Tot_res!C:C,0)),"Eliminar!!!","")))</f>
        <v/>
      </c>
      <c r="B470" s="115" t="s">
        <v>421</v>
      </c>
      <c r="C470" s="329" t="str">
        <f>VLOOKUP(B470,Tot_res!C:D,2,FALSE)</f>
        <v>Ordenación y promoción de las telecomunicaciones y de la sociedad de la información</v>
      </c>
      <c r="D470" s="336">
        <f>Saldo_relativo_per_capita!D470*Saldo_relativo_per_capita!D$552/1000000</f>
        <v>0</v>
      </c>
      <c r="E470" s="336">
        <f>Saldo_relativo_per_capita!E470*Saldo_relativo_per_capita!E$552/1000000</f>
        <v>0</v>
      </c>
      <c r="F470" s="336">
        <f>Saldo_relativo_per_capita!F470*Saldo_relativo_per_capita!F$552/1000000</f>
        <v>0</v>
      </c>
      <c r="G470" s="336">
        <f>Saldo_relativo_per_capita!G470*Saldo_relativo_per_capita!G$552/1000000</f>
        <v>0</v>
      </c>
      <c r="H470" s="336">
        <f>Saldo_relativo_per_capita!H470*Saldo_relativo_per_capita!H$552/1000000</f>
        <v>0</v>
      </c>
      <c r="I470" s="336">
        <f>Saldo_relativo_per_capita!I470*Saldo_relativo_per_capita!I$552/1000000</f>
        <v>0</v>
      </c>
      <c r="J470" s="336">
        <f>Saldo_relativo_per_capita!J470*Saldo_relativo_per_capita!J$552/1000000</f>
        <v>0</v>
      </c>
      <c r="K470" s="336">
        <f>Saldo_relativo_per_capita!K470*Saldo_relativo_per_capita!K$552/1000000</f>
        <v>0</v>
      </c>
      <c r="L470" s="336">
        <f>Saldo_relativo_per_capita!L470*Saldo_relativo_per_capita!L$552/1000000</f>
        <v>0</v>
      </c>
      <c r="M470" s="336">
        <f>Saldo_relativo_per_capita!M470*Saldo_relativo_per_capita!M$552/1000000</f>
        <v>0</v>
      </c>
      <c r="N470" s="336">
        <f>Saldo_relativo_per_capita!N470*Saldo_relativo_per_capita!N$552/1000000</f>
        <v>0</v>
      </c>
      <c r="O470" s="336">
        <f>Saldo_relativo_per_capita!O470*Saldo_relativo_per_capita!O$552/1000000</f>
        <v>0</v>
      </c>
      <c r="P470" s="336">
        <f>Saldo_relativo_per_capita!P470*Saldo_relativo_per_capita!P$552/1000000</f>
        <v>0</v>
      </c>
      <c r="Q470" s="336">
        <f>Saldo_relativo_per_capita!Q470*Saldo_relativo_per_capita!Q$552/1000000</f>
        <v>0</v>
      </c>
      <c r="R470" s="336">
        <f>Saldo_relativo_per_capita!R470*Saldo_relativo_per_capita!R$552/1000000</f>
        <v>0</v>
      </c>
      <c r="S470" s="336">
        <f>Saldo_relativo_per_capita!S470*Saldo_relativo_per_capita!S$552/1000000</f>
        <v>0</v>
      </c>
      <c r="T470" s="336">
        <f>Saldo_relativo_per_capita!T470*Saldo_relativo_per_capita!T$552/1000000</f>
        <v>0</v>
      </c>
      <c r="U470" s="336">
        <f>Saldo_relativo_per_capita!U470*Saldo_relativo_per_capita!U$552/1000000</f>
        <v>0</v>
      </c>
      <c r="V470" s="336">
        <f>Saldo_relativo_per_capita!V470*Saldo_relativo_per_capita!V$552/1000000</f>
        <v>0</v>
      </c>
    </row>
    <row r="471" spans="1:22" s="115" customFormat="1">
      <c r="A471" s="351" t="str">
        <f>IF(B471="","",(IF(ISERROR(MATCH(B471,Tot_res!C:C,0)),"Eliminar!!!","")))</f>
        <v/>
      </c>
      <c r="B471" s="115" t="s">
        <v>1221</v>
      </c>
      <c r="C471" s="329" t="str">
        <f>VLOOKUP(B471,Tot_res!C:D,2,FALSE)</f>
        <v>Defensa de la competencia en los mercados y regulación de sectores productivos (sistema eléctrico)</v>
      </c>
      <c r="D471" s="336">
        <f>Saldo_relativo_per_capita!D471*Saldo_relativo_per_capita!D$552/1000000</f>
        <v>0</v>
      </c>
      <c r="E471" s="336">
        <f>Saldo_relativo_per_capita!E471*Saldo_relativo_per_capita!E$552/1000000</f>
        <v>-82.666156136419005</v>
      </c>
      <c r="F471" s="336">
        <f>Saldo_relativo_per_capita!F471*Saldo_relativo_per_capita!F$552/1000000</f>
        <v>24.994599682909705</v>
      </c>
      <c r="G471" s="336">
        <f>Saldo_relativo_per_capita!G471*Saldo_relativo_per_capita!G$552/1000000</f>
        <v>44.139589870383666</v>
      </c>
      <c r="H471" s="336">
        <f>Saldo_relativo_per_capita!H471*Saldo_relativo_per_capita!H$552/1000000</f>
        <v>-5.0692315960153378</v>
      </c>
      <c r="I471" s="336">
        <f>Saldo_relativo_per_capita!I471*Saldo_relativo_per_capita!I$552/1000000</f>
        <v>-29.824814569754999</v>
      </c>
      <c r="J471" s="336">
        <f>Saldo_relativo_per_capita!J471*Saldo_relativo_per_capita!J$552/1000000</f>
        <v>10.295108219069816</v>
      </c>
      <c r="K471" s="336">
        <f>Saldo_relativo_per_capita!K471*Saldo_relativo_per_capita!K$552/1000000</f>
        <v>-7.8810107254581387</v>
      </c>
      <c r="L471" s="336">
        <f>Saldo_relativo_per_capita!L471*Saldo_relativo_per_capita!L$552/1000000</f>
        <v>-2.5153780222689357</v>
      </c>
      <c r="M471" s="336">
        <f>Saldo_relativo_per_capita!M471*Saldo_relativo_per_capita!M$552/1000000</f>
        <v>46.531144322028169</v>
      </c>
      <c r="N471" s="336">
        <f>Saldo_relativo_per_capita!N471*Saldo_relativo_per_capita!N$552/1000000</f>
        <v>-13.637055539376515</v>
      </c>
      <c r="O471" s="336">
        <f>Saldo_relativo_per_capita!O471*Saldo_relativo_per_capita!O$552/1000000</f>
        <v>-17.333635826263738</v>
      </c>
      <c r="P471" s="336">
        <f>Saldo_relativo_per_capita!P471*Saldo_relativo_per_capita!P$552/1000000</f>
        <v>42.196097108932292</v>
      </c>
      <c r="Q471" s="336">
        <f>Saldo_relativo_per_capita!Q471*Saldo_relativo_per_capita!Q$552/1000000</f>
        <v>-66.509166429152216</v>
      </c>
      <c r="R471" s="336">
        <f>Saldo_relativo_per_capita!R471*Saldo_relativo_per_capita!R$552/1000000</f>
        <v>4.5017925367033822</v>
      </c>
      <c r="S471" s="336">
        <f>Saldo_relativo_per_capita!S471*Saldo_relativo_per_capita!S$552/1000000</f>
        <v>11.835551053155456</v>
      </c>
      <c r="T471" s="336">
        <f>Saldo_relativo_per_capita!T471*Saldo_relativo_per_capita!T$552/1000000</f>
        <v>47.057542704967872</v>
      </c>
      <c r="U471" s="336">
        <f>Saldo_relativo_per_capita!U471*Saldo_relativo_per_capita!U$552/1000000</f>
        <v>-1.0575132525751425</v>
      </c>
      <c r="V471" s="336">
        <f>Saldo_relativo_per_capita!V471*Saldo_relativo_per_capita!V$552/1000000</f>
        <v>-5.057463400866383</v>
      </c>
    </row>
    <row r="472" spans="1:22" s="115" customFormat="1">
      <c r="A472" s="351" t="str">
        <f>IF(B472="","",(IF(ISERROR(MATCH(B472,Tot_res!C:C,0)),"Eliminar!!!","")))</f>
        <v/>
      </c>
      <c r="B472" s="115" t="s">
        <v>422</v>
      </c>
      <c r="C472" s="329" t="str">
        <f>VLOOKUP(B472,Tot_res!C:D,2,FALSE)</f>
        <v>Regulación y vigilancia de la competencia en el mercado de tabacos</v>
      </c>
      <c r="D472" s="336">
        <f>Saldo_relativo_per_capita!D472*Saldo_relativo_per_capita!D$552/1000000</f>
        <v>0</v>
      </c>
      <c r="E472" s="336">
        <f>Saldo_relativo_per_capita!E472*Saldo_relativo_per_capita!E$552/1000000</f>
        <v>-0.23316489295227805</v>
      </c>
      <c r="F472" s="336">
        <f>Saldo_relativo_per_capita!F472*Saldo_relativo_per_capita!F$552/1000000</f>
        <v>2.2280314054433554E-2</v>
      </c>
      <c r="G472" s="336">
        <f>Saldo_relativo_per_capita!G472*Saldo_relativo_per_capita!G$552/1000000</f>
        <v>1.5301138620385065E-2</v>
      </c>
      <c r="H472" s="336">
        <f>Saldo_relativo_per_capita!H472*Saldo_relativo_per_capita!H$552/1000000</f>
        <v>0.10287664376050704</v>
      </c>
      <c r="I472" s="336">
        <f>Saldo_relativo_per_capita!I472*Saldo_relativo_per_capita!I$552/1000000</f>
        <v>-0.23741550470384204</v>
      </c>
      <c r="J472" s="336">
        <f>Saldo_relativo_per_capita!J472*Saldo_relativo_per_capita!J$552/1000000</f>
        <v>9.6821875286090108E-3</v>
      </c>
      <c r="K472" s="336">
        <f>Saldo_relativo_per_capita!K472*Saldo_relativo_per_capita!K$552/1000000</f>
        <v>3.5120255825895016E-3</v>
      </c>
      <c r="L472" s="336">
        <f>Saldo_relativo_per_capita!L472*Saldo_relativo_per_capita!L$552/1000000</f>
        <v>1.3134602866322514E-2</v>
      </c>
      <c r="M472" s="336">
        <f>Saldo_relativo_per_capita!M472*Saldo_relativo_per_capita!M$552/1000000</f>
        <v>0.18472244114294509</v>
      </c>
      <c r="N472" s="336">
        <f>Saldo_relativo_per_capita!N472*Saldo_relativo_per_capita!N$552/1000000</f>
        <v>0.10104930666883688</v>
      </c>
      <c r="O472" s="336">
        <f>Saldo_relativo_per_capita!O472*Saldo_relativo_per_capita!O$552/1000000</f>
        <v>1.6003915350422032E-2</v>
      </c>
      <c r="P472" s="336">
        <f>Saldo_relativo_per_capita!P472*Saldo_relativo_per_capita!P$552/1000000</f>
        <v>-2.6763568454213665E-2</v>
      </c>
      <c r="Q472" s="336">
        <f>Saldo_relativo_per_capita!Q472*Saldo_relativo_per_capita!Q$552/1000000</f>
        <v>-7.9505873370587982E-2</v>
      </c>
      <c r="R472" s="336">
        <f>Saldo_relativo_per_capita!R472*Saldo_relativo_per_capita!R$552/1000000</f>
        <v>2.1883608964222073E-2</v>
      </c>
      <c r="S472" s="336">
        <f>Saldo_relativo_per_capita!S472*Saldo_relativo_per_capita!S$552/1000000</f>
        <v>5.3330550287711498E-2</v>
      </c>
      <c r="T472" s="336">
        <f>Saldo_relativo_per_capita!T472*Saldo_relativo_per_capita!T$552/1000000</f>
        <v>4.9301704303124354E-2</v>
      </c>
      <c r="U472" s="336">
        <f>Saldo_relativo_per_capita!U472*Saldo_relativo_per_capita!U$552/1000000</f>
        <v>2.1663009269364607E-3</v>
      </c>
      <c r="V472" s="336">
        <f>Saldo_relativo_per_capita!V472*Saldo_relativo_per_capita!V$552/1000000</f>
        <v>-1.839490057612355E-2</v>
      </c>
    </row>
    <row r="473" spans="1:22" s="115" customFormat="1">
      <c r="A473" s="351" t="str">
        <f>IF(B473="","",(IF(ISERROR(MATCH(B473,Tot_res!C:C,0)),"Eliminar!!!","")))</f>
        <v/>
      </c>
      <c r="B473" s="115" t="s">
        <v>423</v>
      </c>
      <c r="C473" s="329" t="str">
        <f>VLOOKUP(B473,Tot_res!C:D,2,FALSE)</f>
        <v>Publicaciones</v>
      </c>
      <c r="D473" s="336">
        <f>Saldo_relativo_per_capita!D473*Saldo_relativo_per_capita!D$552/1000000</f>
        <v>0</v>
      </c>
      <c r="E473" s="336">
        <f>Saldo_relativo_per_capita!E473*Saldo_relativo_per_capita!E$552/1000000</f>
        <v>-1.3361243272483777E-2</v>
      </c>
      <c r="F473" s="336">
        <f>Saldo_relativo_per_capita!F473*Saldo_relativo_per_capita!F$552/1000000</f>
        <v>1.5933620807808415E-3</v>
      </c>
      <c r="G473" s="336">
        <f>Saldo_relativo_per_capita!G473*Saldo_relativo_per_capita!G$552/1000000</f>
        <v>7.1980314330609939E-4</v>
      </c>
      <c r="H473" s="336">
        <f>Saldo_relativo_per_capita!H473*Saldo_relativo_per_capita!H$552/1000000</f>
        <v>-1.4083686047071805E-3</v>
      </c>
      <c r="I473" s="336">
        <f>Saldo_relativo_per_capita!I473*Saldo_relativo_per_capita!I$552/1000000</f>
        <v>-4.0111088470883589E-3</v>
      </c>
      <c r="J473" s="336">
        <f>Saldo_relativo_per_capita!J473*Saldo_relativo_per_capita!J$552/1000000</f>
        <v>3.1041227180424191E-4</v>
      </c>
      <c r="K473" s="336">
        <f>Saldo_relativo_per_capita!K473*Saldo_relativo_per_capita!K$552/1000000</f>
        <v>-4.2945738641135991E-5</v>
      </c>
      <c r="L473" s="336">
        <f>Saldo_relativo_per_capita!L473*Saldo_relativo_per_capita!L$552/1000000</f>
        <v>-1.6084226118019938E-3</v>
      </c>
      <c r="M473" s="336">
        <f>Saldo_relativo_per_capita!M473*Saldo_relativo_per_capita!M$552/1000000</f>
        <v>7.6918716666730677E-3</v>
      </c>
      <c r="N473" s="336">
        <f>Saldo_relativo_per_capita!N473*Saldo_relativo_per_capita!N$552/1000000</f>
        <v>-2.3568254074267229E-3</v>
      </c>
      <c r="O473" s="336">
        <f>Saldo_relativo_per_capita!O473*Saldo_relativo_per_capita!O$552/1000000</f>
        <v>-1.9061483110015852E-3</v>
      </c>
      <c r="P473" s="336">
        <f>Saldo_relativo_per_capita!P473*Saldo_relativo_per_capita!P$552/1000000</f>
        <v>3.593201434890564E-3</v>
      </c>
      <c r="Q473" s="336">
        <f>Saldo_relativo_per_capita!Q473*Saldo_relativo_per_capita!Q$552/1000000</f>
        <v>-3.2869112187735089E-3</v>
      </c>
      <c r="R473" s="336">
        <f>Saldo_relativo_per_capita!R473*Saldo_relativo_per_capita!R$552/1000000</f>
        <v>-4.5153709697655153E-4</v>
      </c>
      <c r="S473" s="336">
        <f>Saldo_relativo_per_capita!S473*Saldo_relativo_per_capita!S$552/1000000</f>
        <v>2.4897641205720153E-3</v>
      </c>
      <c r="T473" s="336">
        <f>Saldo_relativo_per_capita!T473*Saldo_relativo_per_capita!T$552/1000000</f>
        <v>1.1892716034859118E-2</v>
      </c>
      <c r="U473" s="336">
        <f>Saldo_relativo_per_capita!U473*Saldo_relativo_per_capita!U$552/1000000</f>
        <v>6.1722117506640575E-4</v>
      </c>
      <c r="V473" s="336">
        <f>Saldo_relativo_per_capita!V473*Saldo_relativo_per_capita!V$552/1000000</f>
        <v>-4.7484081905152341E-4</v>
      </c>
    </row>
    <row r="474" spans="1:22" s="115" customFormat="1">
      <c r="A474" s="352"/>
      <c r="C474" s="133"/>
      <c r="D474" s="217"/>
      <c r="E474" s="217"/>
      <c r="F474" s="217"/>
      <c r="G474" s="217"/>
      <c r="H474" s="217"/>
      <c r="I474" s="217"/>
      <c r="J474" s="217"/>
      <c r="K474" s="217"/>
      <c r="L474" s="217"/>
      <c r="M474" s="217"/>
      <c r="N474" s="217"/>
      <c r="O474" s="217"/>
      <c r="P474" s="217"/>
      <c r="Q474" s="217"/>
      <c r="R474" s="217"/>
      <c r="S474" s="217"/>
      <c r="T474" s="217"/>
      <c r="U474" s="217"/>
      <c r="V474" s="217"/>
    </row>
    <row r="475" spans="1:22" s="115" customFormat="1">
      <c r="A475" s="352"/>
      <c r="C475" s="151" t="s">
        <v>8</v>
      </c>
      <c r="D475" s="215">
        <f>Saldo_relativo_per_capita!D475*Saldo_relativo_per_capita!D$552/1000000</f>
        <v>0</v>
      </c>
      <c r="E475" s="215">
        <f>Saldo_relativo_per_capita!E475*Saldo_relativo_per_capita!E$552/1000000</f>
        <v>-5935.5504665112949</v>
      </c>
      <c r="F475" s="215">
        <f>Saldo_relativo_per_capita!F475*Saldo_relativo_per_capita!F$552/1000000</f>
        <v>1432.692856561406</v>
      </c>
      <c r="G475" s="215">
        <f>Saldo_relativo_per_capita!G475*Saldo_relativo_per_capita!G$552/1000000</f>
        <v>1990.53338857126</v>
      </c>
      <c r="H475" s="215">
        <f>Saldo_relativo_per_capita!H475*Saldo_relativo_per_capita!H$552/1000000</f>
        <v>-625.92035800650922</v>
      </c>
      <c r="I475" s="215">
        <f>Saldo_relativo_per_capita!I475*Saldo_relativo_per_capita!I$552/1000000</f>
        <v>-495.49201805136687</v>
      </c>
      <c r="J475" s="215">
        <f>Saldo_relativo_per_capita!J475*Saldo_relativo_per_capita!J$552/1000000</f>
        <v>549.33453129659301</v>
      </c>
      <c r="K475" s="215">
        <f>Saldo_relativo_per_capita!K475*Saldo_relativo_per_capita!K$552/1000000</f>
        <v>3085.7454187015533</v>
      </c>
      <c r="L475" s="215">
        <f>Saldo_relativo_per_capita!L475*Saldo_relativo_per_capita!L$552/1000000</f>
        <v>-1160.7032669251271</v>
      </c>
      <c r="M475" s="215">
        <f>Saldo_relativo_per_capita!M475*Saldo_relativo_per_capita!M$552/1000000</f>
        <v>295.01917489231511</v>
      </c>
      <c r="N475" s="215">
        <f>Saldo_relativo_per_capita!N475*Saldo_relativo_per_capita!N$552/1000000</f>
        <v>-5300.1936646531012</v>
      </c>
      <c r="O475" s="215">
        <f>Saldo_relativo_per_capita!O475*Saldo_relativo_per_capita!O$552/1000000</f>
        <v>566.75063484288728</v>
      </c>
      <c r="P475" s="215">
        <f>Saldo_relativo_per_capita!P475*Saldo_relativo_per_capita!P$552/1000000</f>
        <v>1583.8401330492716</v>
      </c>
      <c r="Q475" s="215">
        <f>Saldo_relativo_per_capita!Q475*Saldo_relativo_per_capita!Q$552/1000000</f>
        <v>-2279.38911010322</v>
      </c>
      <c r="R475" s="215">
        <f>Saldo_relativo_per_capita!R475*Saldo_relativo_per_capita!R$552/1000000</f>
        <v>-1785.4138212618707</v>
      </c>
      <c r="S475" s="215">
        <f>Saldo_relativo_per_capita!S475*Saldo_relativo_per_capita!S$552/1000000</f>
        <v>801.25796505078881</v>
      </c>
      <c r="T475" s="215">
        <f>Saldo_relativo_per_capita!T475*Saldo_relativo_per_capita!T$552/1000000</f>
        <v>6890.2986749692072</v>
      </c>
      <c r="U475" s="215">
        <f>Saldo_relativo_per_capita!U475*Saldo_relativo_per_capita!U$552/1000000</f>
        <v>87.206912900200393</v>
      </c>
      <c r="V475" s="215">
        <f>Saldo_relativo_per_capita!V475*Saldo_relativo_per_capita!V$552/1000000</f>
        <v>299.98301467696382</v>
      </c>
    </row>
    <row r="476" spans="1:22" s="115" customFormat="1">
      <c r="A476" s="352"/>
      <c r="C476" s="133"/>
      <c r="D476" s="217"/>
      <c r="E476" s="217"/>
      <c r="F476" s="217"/>
      <c r="G476" s="217"/>
      <c r="H476" s="217"/>
      <c r="I476" s="217"/>
      <c r="J476" s="217"/>
      <c r="K476" s="217"/>
      <c r="L476" s="217"/>
      <c r="M476" s="217"/>
      <c r="N476" s="217"/>
      <c r="O476" s="217"/>
      <c r="P476" s="217"/>
      <c r="Q476" s="217"/>
      <c r="R476" s="217"/>
      <c r="S476" s="217"/>
      <c r="T476" s="217"/>
      <c r="U476" s="217"/>
      <c r="V476" s="217"/>
    </row>
    <row r="477" spans="1:22" s="137" customFormat="1">
      <c r="A477" s="352"/>
      <c r="C477" s="151" t="s">
        <v>69</v>
      </c>
      <c r="D477" s="215">
        <f>Saldo_relativo_per_capita!D477*Saldo_relativo_per_capita!D$552/1000000</f>
        <v>0</v>
      </c>
      <c r="E477" s="215">
        <f>Saldo_relativo_per_capita!E477*Saldo_relativo_per_capita!E$552/1000000</f>
        <v>-132.30201016598403</v>
      </c>
      <c r="F477" s="215">
        <f>Saldo_relativo_per_capita!F477*Saldo_relativo_per_capita!F$552/1000000</f>
        <v>142.56415982125412</v>
      </c>
      <c r="G477" s="215">
        <f>Saldo_relativo_per_capita!G477*Saldo_relativo_per_capita!G$552/1000000</f>
        <v>275.04547352259237</v>
      </c>
      <c r="H477" s="215">
        <f>Saldo_relativo_per_capita!H477*Saldo_relativo_per_capita!H$552/1000000</f>
        <v>-154.15477694155908</v>
      </c>
      <c r="I477" s="215">
        <f>Saldo_relativo_per_capita!I477*Saldo_relativo_per_capita!I$552/1000000</f>
        <v>147.87311605688652</v>
      </c>
      <c r="J477" s="215">
        <f>Saldo_relativo_per_capita!J477*Saldo_relativo_per_capita!J$552/1000000</f>
        <v>77.934816815192391</v>
      </c>
      <c r="K477" s="215">
        <f>Saldo_relativo_per_capita!K477*Saldo_relativo_per_capita!K$552/1000000</f>
        <v>395.41273003255321</v>
      </c>
      <c r="L477" s="215">
        <f>Saldo_relativo_per_capita!L477*Saldo_relativo_per_capita!L$552/1000000</f>
        <v>-33.191191070635192</v>
      </c>
      <c r="M477" s="215">
        <f>Saldo_relativo_per_capita!M477*Saldo_relativo_per_capita!M$552/1000000</f>
        <v>-143.10706957098694</v>
      </c>
      <c r="N477" s="215">
        <f>Saldo_relativo_per_capita!N477*Saldo_relativo_per_capita!N$552/1000000</f>
        <v>-369.70164895640289</v>
      </c>
      <c r="O477" s="215">
        <f>Saldo_relativo_per_capita!O477*Saldo_relativo_per_capita!O$552/1000000</f>
        <v>123.98458986163492</v>
      </c>
      <c r="P477" s="215">
        <f>Saldo_relativo_per_capita!P477*Saldo_relativo_per_capita!P$552/1000000</f>
        <v>352.61078746327144</v>
      </c>
      <c r="Q477" s="215">
        <f>Saldo_relativo_per_capita!Q477*Saldo_relativo_per_capita!Q$552/1000000</f>
        <v>-556.3579890215226</v>
      </c>
      <c r="R477" s="215">
        <f>Saldo_relativo_per_capita!R477*Saldo_relativo_per_capita!R$552/1000000</f>
        <v>-111.58123336972187</v>
      </c>
      <c r="S477" s="215">
        <f>Saldo_relativo_per_capita!S477*Saldo_relativo_per_capita!S$552/1000000</f>
        <v>-98.942201441594989</v>
      </c>
      <c r="T477" s="215">
        <f>Saldo_relativo_per_capita!T477*Saldo_relativo_per_capita!T$552/1000000</f>
        <v>-28.584014175376023</v>
      </c>
      <c r="U477" s="215">
        <f>Saldo_relativo_per_capita!U477*Saldo_relativo_per_capita!U$552/1000000</f>
        <v>21.997088288268163</v>
      </c>
      <c r="V477" s="215">
        <f>Saldo_relativo_per_capita!V477*Saldo_relativo_per_capita!V$552/1000000</f>
        <v>90.499372852127323</v>
      </c>
    </row>
    <row r="478" spans="1:22">
      <c r="A478" s="351" t="str">
        <f>IF(B478="","",(IF(ISERROR(MATCH(B478,Tot_res!C:C,0)),"Eliminar!!!","")))</f>
        <v/>
      </c>
      <c r="B478" s="115" t="s">
        <v>625</v>
      </c>
      <c r="C478" s="329" t="str">
        <f>VLOOKUP(B478,Tot_res!C:D,2,FALSE)</f>
        <v>Amortización y gastos financieros de la deuda pública en moneda nacional</v>
      </c>
      <c r="D478" s="336">
        <f>Saldo_relativo_per_capita!D478*Saldo_relativo_per_capita!D$552/1000000</f>
        <v>0</v>
      </c>
      <c r="E478" s="336">
        <f>Saldo_relativo_per_capita!E478*Saldo_relativo_per_capita!E$552/1000000</f>
        <v>-131.94593911237044</v>
      </c>
      <c r="F478" s="336">
        <f>Saldo_relativo_per_capita!F478*Saldo_relativo_per_capita!F$552/1000000</f>
        <v>142.18046972817658</v>
      </c>
      <c r="G478" s="336">
        <f>Saldo_relativo_per_capita!G478*Saldo_relativo_per_capita!G$552/1000000</f>
        <v>274.30522980728023</v>
      </c>
      <c r="H478" s="336">
        <f>Saldo_relativo_per_capita!H478*Saldo_relativo_per_capita!H$552/1000000</f>
        <v>-153.73989243771726</v>
      </c>
      <c r="I478" s="336">
        <f>Saldo_relativo_per_capita!I478*Saldo_relativo_per_capita!I$552/1000000</f>
        <v>147.47513770289748</v>
      </c>
      <c r="J478" s="336">
        <f>Saldo_relativo_per_capita!J478*Saldo_relativo_per_capita!J$552/1000000</f>
        <v>77.725066923247013</v>
      </c>
      <c r="K478" s="336">
        <f>Saldo_relativo_per_capita!K478*Saldo_relativo_per_capita!K$552/1000000</f>
        <v>394.34853586635865</v>
      </c>
      <c r="L478" s="336">
        <f>Saldo_relativo_per_capita!L478*Saldo_relativo_per_capita!L$552/1000000</f>
        <v>-33.101861948875133</v>
      </c>
      <c r="M478" s="336">
        <f>Saldo_relativo_per_capita!M478*Saldo_relativo_per_capita!M$552/1000000</f>
        <v>-142.72191831759491</v>
      </c>
      <c r="N478" s="336">
        <f>Saldo_relativo_per_capita!N478*Saldo_relativo_per_capita!N$552/1000000</f>
        <v>-368.70665231575464</v>
      </c>
      <c r="O478" s="336">
        <f>Saldo_relativo_per_capita!O478*Saldo_relativo_per_capita!O$552/1000000</f>
        <v>123.65090389958243</v>
      </c>
      <c r="P478" s="336">
        <f>Saldo_relativo_per_capita!P478*Saldo_relativo_per_capita!P$552/1000000</f>
        <v>351.66178831768286</v>
      </c>
      <c r="Q478" s="336">
        <f>Saldo_relativo_per_capita!Q478*Saldo_relativo_per_capita!Q$552/1000000</f>
        <v>-554.86063478564802</v>
      </c>
      <c r="R478" s="336">
        <f>Saldo_relativo_per_capita!R478*Saldo_relativo_per_capita!R$552/1000000</f>
        <v>-111.28092918477788</v>
      </c>
      <c r="S478" s="336">
        <f>Saldo_relativo_per_capita!S478*Saldo_relativo_per_capita!S$552/1000000</f>
        <v>-98.675913318913729</v>
      </c>
      <c r="T478" s="336">
        <f>Saldo_relativo_per_capita!T478*Saldo_relativo_per_capita!T$552/1000000</f>
        <v>-28.50708458049569</v>
      </c>
      <c r="U478" s="336">
        <f>Saldo_relativo_per_capita!U478*Saldo_relativo_per_capita!U$552/1000000</f>
        <v>21.93788641829369</v>
      </c>
      <c r="V478" s="336">
        <f>Saldo_relativo_per_capita!V478*Saldo_relativo_per_capita!V$552/1000000</f>
        <v>90.255807338630632</v>
      </c>
    </row>
    <row r="479" spans="1:22">
      <c r="A479" s="351" t="str">
        <f>IF(B479="","",(IF(ISERROR(MATCH(B479,Tot_res!C:C,0)),"Eliminar!!!","")))</f>
        <v/>
      </c>
      <c r="B479" s="115" t="s">
        <v>626</v>
      </c>
      <c r="C479" s="329" t="str">
        <f>VLOOKUP(B479,Tot_res!C:D,2,FALSE)</f>
        <v>Amortización y gastos financieros de la deuda pública en moneda extranjera</v>
      </c>
      <c r="D479" s="336">
        <f>Saldo_relativo_per_capita!D479*Saldo_relativo_per_capita!D$552/1000000</f>
        <v>0</v>
      </c>
      <c r="E479" s="336">
        <f>Saldo_relativo_per_capita!E479*Saldo_relativo_per_capita!E$552/1000000</f>
        <v>-0.35607105361249747</v>
      </c>
      <c r="F479" s="336">
        <f>Saldo_relativo_per_capita!F479*Saldo_relativo_per_capita!F$552/1000000</f>
        <v>0.38369009307756169</v>
      </c>
      <c r="G479" s="336">
        <f>Saldo_relativo_per_capita!G479*Saldo_relativo_per_capita!G$552/1000000</f>
        <v>0.74024371531218669</v>
      </c>
      <c r="H479" s="336">
        <f>Saldo_relativo_per_capita!H479*Saldo_relativo_per_capita!H$552/1000000</f>
        <v>-0.41488450384175307</v>
      </c>
      <c r="I479" s="336">
        <f>Saldo_relativo_per_capita!I479*Saldo_relativo_per_capita!I$552/1000000</f>
        <v>0.39797835398934001</v>
      </c>
      <c r="J479" s="336">
        <f>Saldo_relativo_per_capita!J479*Saldo_relativo_per_capita!J$552/1000000</f>
        <v>0.2097498919454639</v>
      </c>
      <c r="K479" s="336">
        <f>Saldo_relativo_per_capita!K479*Saldo_relativo_per_capita!K$552/1000000</f>
        <v>1.0641941661948111</v>
      </c>
      <c r="L479" s="336">
        <f>Saldo_relativo_per_capita!L479*Saldo_relativo_per_capita!L$552/1000000</f>
        <v>-8.9329121759733732E-2</v>
      </c>
      <c r="M479" s="336">
        <f>Saldo_relativo_per_capita!M479*Saldo_relativo_per_capita!M$552/1000000</f>
        <v>-0.38515125339070011</v>
      </c>
      <c r="N479" s="336">
        <f>Saldo_relativo_per_capita!N479*Saldo_relativo_per_capita!N$552/1000000</f>
        <v>-0.99499664064840387</v>
      </c>
      <c r="O479" s="336">
        <f>Saldo_relativo_per_capita!O479*Saldo_relativo_per_capita!O$552/1000000</f>
        <v>0.33368596205272882</v>
      </c>
      <c r="P479" s="336">
        <f>Saldo_relativo_per_capita!P479*Saldo_relativo_per_capita!P$552/1000000</f>
        <v>0.94899914558865817</v>
      </c>
      <c r="Q479" s="336">
        <f>Saldo_relativo_per_capita!Q479*Saldo_relativo_per_capita!Q$552/1000000</f>
        <v>-1.4973542358735765</v>
      </c>
      <c r="R479" s="336">
        <f>Saldo_relativo_per_capita!R479*Saldo_relativo_per_capita!R$552/1000000</f>
        <v>-0.30030418494392785</v>
      </c>
      <c r="S479" s="336">
        <f>Saldo_relativo_per_capita!S479*Saldo_relativo_per_capita!S$552/1000000</f>
        <v>-0.26628812268120045</v>
      </c>
      <c r="T479" s="336">
        <f>Saldo_relativo_per_capita!T479*Saldo_relativo_per_capita!T$552/1000000</f>
        <v>-7.6929594880165778E-2</v>
      </c>
      <c r="U479" s="336">
        <f>Saldo_relativo_per_capita!U479*Saldo_relativo_per_capita!U$552/1000000</f>
        <v>5.9201869974494697E-2</v>
      </c>
      <c r="V479" s="336">
        <f>Saldo_relativo_per_capita!V479*Saldo_relativo_per_capita!V$552/1000000</f>
        <v>0.24356551349673031</v>
      </c>
    </row>
    <row r="480" spans="1:22">
      <c r="A480" s="352"/>
      <c r="D480" s="39"/>
      <c r="E480" s="39"/>
      <c r="F480" s="39"/>
      <c r="G480" s="39"/>
      <c r="H480" s="39"/>
      <c r="I480" s="39"/>
      <c r="J480" s="39"/>
      <c r="K480" s="39"/>
      <c r="L480" s="39"/>
      <c r="M480" s="39"/>
      <c r="N480" s="39"/>
      <c r="O480" s="39"/>
      <c r="P480" s="39"/>
      <c r="Q480" s="39"/>
      <c r="R480" s="39"/>
      <c r="S480" s="39"/>
      <c r="T480" s="39"/>
      <c r="U480" s="39"/>
      <c r="V480" s="39"/>
    </row>
    <row r="481" spans="1:22" s="115" customFormat="1">
      <c r="A481" s="352"/>
      <c r="C481" s="137" t="s">
        <v>7</v>
      </c>
      <c r="D481" s="215">
        <f>Saldo_relativo_per_capita!D481*Saldo_relativo_per_capita!D$552/1000000</f>
        <v>0</v>
      </c>
      <c r="E481" s="215">
        <f>Saldo_relativo_per_capita!E481*Saldo_relativo_per_capita!E$552/1000000</f>
        <v>-6067.8524766772871</v>
      </c>
      <c r="F481" s="215">
        <f>Saldo_relativo_per_capita!F481*Saldo_relativo_per_capita!F$552/1000000</f>
        <v>1575.257016382659</v>
      </c>
      <c r="G481" s="215">
        <f>Saldo_relativo_per_capita!G481*Saldo_relativo_per_capita!G$552/1000000</f>
        <v>2265.5788620938506</v>
      </c>
      <c r="H481" s="215">
        <f>Saldo_relativo_per_capita!H481*Saldo_relativo_per_capita!H$552/1000000</f>
        <v>-780.07513494806938</v>
      </c>
      <c r="I481" s="215">
        <f>Saldo_relativo_per_capita!I481*Saldo_relativo_per_capita!I$552/1000000</f>
        <v>-347.61890199448197</v>
      </c>
      <c r="J481" s="215">
        <f>Saldo_relativo_per_capita!J481*Saldo_relativo_per_capita!J$552/1000000</f>
        <v>627.26934811178501</v>
      </c>
      <c r="K481" s="215">
        <f>Saldo_relativo_per_capita!K481*Saldo_relativo_per_capita!K$552/1000000</f>
        <v>3481.1581487341068</v>
      </c>
      <c r="L481" s="215">
        <f>Saldo_relativo_per_capita!L481*Saldo_relativo_per_capita!L$552/1000000</f>
        <v>-1193.8944579957624</v>
      </c>
      <c r="M481" s="215">
        <f>Saldo_relativo_per_capita!M481*Saldo_relativo_per_capita!M$552/1000000</f>
        <v>151.91210532132646</v>
      </c>
      <c r="N481" s="215">
        <f>Saldo_relativo_per_capita!N481*Saldo_relativo_per_capita!N$552/1000000</f>
        <v>-5669.895313609507</v>
      </c>
      <c r="O481" s="215">
        <f>Saldo_relativo_per_capita!O481*Saldo_relativo_per_capita!O$552/1000000</f>
        <v>690.73522470452303</v>
      </c>
      <c r="P481" s="215">
        <f>Saldo_relativo_per_capita!P481*Saldo_relativo_per_capita!P$552/1000000</f>
        <v>1936.4509205125396</v>
      </c>
      <c r="Q481" s="215">
        <f>Saldo_relativo_per_capita!Q481*Saldo_relativo_per_capita!Q$552/1000000</f>
        <v>-2835.7470991247446</v>
      </c>
      <c r="R481" s="215">
        <f>Saldo_relativo_per_capita!R481*Saldo_relativo_per_capita!R$552/1000000</f>
        <v>-1896.9950546315947</v>
      </c>
      <c r="S481" s="215">
        <f>Saldo_relativo_per_capita!S481*Saldo_relativo_per_capita!S$552/1000000</f>
        <v>702.31576360919371</v>
      </c>
      <c r="T481" s="215">
        <f>Saldo_relativo_per_capita!T481*Saldo_relativo_per_capita!T$552/1000000</f>
        <v>6861.7146607938266</v>
      </c>
      <c r="U481" s="215">
        <f>Saldo_relativo_per_capita!U481*Saldo_relativo_per_capita!U$552/1000000</f>
        <v>109.20400118846874</v>
      </c>
      <c r="V481" s="215">
        <f>Saldo_relativo_per_capita!V481*Saldo_relativo_per_capita!V$552/1000000</f>
        <v>390.48238752909106</v>
      </c>
    </row>
    <row r="482" spans="1:22" s="115" customFormat="1">
      <c r="A482" s="352"/>
      <c r="C482" s="137" t="s">
        <v>80</v>
      </c>
      <c r="D482" s="215">
        <f>Saldo_relativo_per_capita!D482*Saldo_relativo_per_capita!D$552/1000000</f>
        <v>0</v>
      </c>
      <c r="E482" s="215">
        <f>Saldo_relativo_per_capita!E482*Saldo_relativo_per_capita!E$552/1000000</f>
        <v>-6387.1378508360358</v>
      </c>
      <c r="F482" s="215">
        <f>Saldo_relativo_per_capita!F482*Saldo_relativo_per_capita!F$552/1000000</f>
        <v>1492.0161115949577</v>
      </c>
      <c r="G482" s="215">
        <f>Saldo_relativo_per_capita!G482*Saldo_relativo_per_capita!G$552/1000000</f>
        <v>2204.2518965502577</v>
      </c>
      <c r="H482" s="215">
        <f>Saldo_relativo_per_capita!H482*Saldo_relativo_per_capita!H$552/1000000</f>
        <v>-940.98926198059951</v>
      </c>
      <c r="I482" s="215">
        <f>Saldo_relativo_per_capita!I482*Saldo_relativo_per_capita!I$552/1000000</f>
        <v>-377.92718169319119</v>
      </c>
      <c r="J482" s="215">
        <f>Saldo_relativo_per_capita!J482*Saldo_relativo_per_capita!J$552/1000000</f>
        <v>608.19316317847756</v>
      </c>
      <c r="K482" s="215">
        <f>Saldo_relativo_per_capita!K482*Saldo_relativo_per_capita!K$552/1000000</f>
        <v>3404.9274818642743</v>
      </c>
      <c r="L482" s="215">
        <f>Saldo_relativo_per_capita!L482*Saldo_relativo_per_capita!L$552/1000000</f>
        <v>-1144.8776710296775</v>
      </c>
      <c r="M482" s="215">
        <f>Saldo_relativo_per_capita!M482*Saldo_relativo_per_capita!M$552/1000000</f>
        <v>-471.14131469178835</v>
      </c>
      <c r="N482" s="215">
        <f>Saldo_relativo_per_capita!N482*Saldo_relativo_per_capita!N$552/1000000</f>
        <v>-6041.1296423168724</v>
      </c>
      <c r="O482" s="215">
        <f>Saldo_relativo_per_capita!O482*Saldo_relativo_per_capita!O$552/1000000</f>
        <v>563.18802554647959</v>
      </c>
      <c r="P482" s="215">
        <f>Saldo_relativo_per_capita!P482*Saldo_relativo_per_capita!P$552/1000000</f>
        <v>1769.8369464973764</v>
      </c>
      <c r="Q482" s="215">
        <f>Saldo_relativo_per_capita!Q482*Saldo_relativo_per_capita!Q$552/1000000</f>
        <v>-2140.0967282258648</v>
      </c>
      <c r="R482" s="215">
        <f>Saldo_relativo_per_capita!R482*Saldo_relativo_per_capita!R$552/1000000</f>
        <v>-2019.7016276898089</v>
      </c>
      <c r="S482" s="215">
        <f>Saldo_relativo_per_capita!S482*Saldo_relativo_per_capita!S$552/1000000</f>
        <v>1158.9176680338037</v>
      </c>
      <c r="T482" s="215">
        <f>Saldo_relativo_per_capita!T482*Saldo_relativo_per_capita!T$552/1000000</f>
        <v>7825.1735077299854</v>
      </c>
      <c r="U482" s="215">
        <f>Saldo_relativo_per_capita!U482*Saldo_relativo_per_capita!U$552/1000000</f>
        <v>100.25316760581411</v>
      </c>
      <c r="V482" s="215">
        <f>Saldo_relativo_per_capita!V482*Saldo_relativo_per_capita!V$552/1000000</f>
        <v>396.24330986234696</v>
      </c>
    </row>
    <row r="483" spans="1:22">
      <c r="A483" s="352"/>
      <c r="C483" s="38"/>
      <c r="D483" s="39"/>
      <c r="E483" s="39"/>
      <c r="F483" s="39"/>
      <c r="G483" s="39"/>
      <c r="H483" s="39"/>
      <c r="I483" s="39"/>
      <c r="J483" s="39"/>
      <c r="K483" s="39"/>
      <c r="L483" s="39"/>
      <c r="M483" s="39"/>
      <c r="N483" s="39"/>
      <c r="O483" s="39"/>
      <c r="P483" s="39"/>
      <c r="Q483" s="39"/>
      <c r="R483" s="39"/>
      <c r="S483" s="39"/>
      <c r="T483" s="39"/>
      <c r="U483" s="39"/>
      <c r="V483" s="39"/>
    </row>
    <row r="484" spans="1:22">
      <c r="A484" s="352"/>
      <c r="C484" s="38"/>
      <c r="D484" s="39"/>
      <c r="E484" s="39"/>
      <c r="F484" s="39"/>
      <c r="G484" s="39"/>
      <c r="H484" s="39"/>
      <c r="I484" s="39"/>
      <c r="J484" s="39"/>
      <c r="K484" s="39"/>
      <c r="L484" s="39"/>
      <c r="M484" s="39"/>
      <c r="N484" s="39"/>
      <c r="O484" s="39"/>
      <c r="P484" s="39"/>
      <c r="Q484" s="39"/>
      <c r="R484" s="39"/>
      <c r="S484" s="39"/>
      <c r="T484" s="39"/>
      <c r="U484" s="39"/>
      <c r="V484" s="39"/>
    </row>
    <row r="485" spans="1:22">
      <c r="A485" s="352"/>
      <c r="C485" s="38"/>
      <c r="D485" s="39"/>
      <c r="E485" s="39"/>
      <c r="F485" s="39"/>
      <c r="G485" s="39"/>
      <c r="H485" s="39"/>
      <c r="I485" s="39"/>
      <c r="J485" s="39"/>
      <c r="K485" s="39"/>
      <c r="L485" s="39"/>
      <c r="M485" s="39"/>
      <c r="N485" s="39"/>
      <c r="O485" s="39"/>
      <c r="P485" s="39"/>
      <c r="Q485" s="39"/>
      <c r="R485" s="39"/>
      <c r="S485" s="39"/>
      <c r="T485" s="39"/>
      <c r="U485" s="39"/>
      <c r="V485" s="39"/>
    </row>
    <row r="486" spans="1:22">
      <c r="A486" s="352"/>
      <c r="C486" s="38"/>
      <c r="D486" s="39"/>
      <c r="E486" s="39"/>
      <c r="F486" s="39"/>
      <c r="G486" s="39"/>
      <c r="H486" s="39"/>
      <c r="I486" s="39"/>
      <c r="J486" s="39"/>
      <c r="K486" s="39"/>
      <c r="L486" s="39"/>
      <c r="M486" s="39"/>
      <c r="N486" s="39"/>
      <c r="O486" s="39"/>
      <c r="P486" s="39"/>
      <c r="Q486" s="39"/>
      <c r="R486" s="39"/>
      <c r="S486" s="39"/>
      <c r="T486" s="39"/>
      <c r="U486" s="39"/>
      <c r="V486" s="39"/>
    </row>
    <row r="487" spans="1:22">
      <c r="A487" s="352"/>
      <c r="C487" s="38"/>
      <c r="D487" s="39"/>
      <c r="E487" s="39"/>
      <c r="F487" s="39"/>
      <c r="G487" s="39"/>
      <c r="H487" s="39"/>
      <c r="I487" s="39"/>
      <c r="J487" s="39"/>
      <c r="K487" s="39"/>
      <c r="L487" s="39"/>
      <c r="M487" s="39"/>
      <c r="N487" s="39"/>
      <c r="O487" s="39"/>
      <c r="P487" s="39"/>
      <c r="Q487" s="39"/>
      <c r="R487" s="39"/>
      <c r="S487" s="39"/>
      <c r="T487" s="39"/>
      <c r="U487" s="39"/>
      <c r="V487" s="39"/>
    </row>
    <row r="488" spans="1:22">
      <c r="A488" s="352"/>
      <c r="C488" s="34"/>
      <c r="D488" s="39"/>
      <c r="E488" s="39"/>
      <c r="F488" s="39"/>
      <c r="G488" s="39"/>
      <c r="H488" s="39"/>
      <c r="I488" s="39"/>
      <c r="J488" s="39"/>
      <c r="K488" s="39"/>
      <c r="L488" s="39"/>
      <c r="M488" s="39"/>
      <c r="N488" s="39"/>
      <c r="O488" s="39"/>
      <c r="P488" s="39"/>
      <c r="Q488" s="39"/>
      <c r="R488" s="39"/>
      <c r="S488" s="39"/>
      <c r="T488" s="39"/>
      <c r="U488" s="39"/>
      <c r="V488" s="39"/>
    </row>
    <row r="489" spans="1:22" s="115" customFormat="1">
      <c r="A489" s="352"/>
      <c r="C489" s="232" t="s">
        <v>465</v>
      </c>
      <c r="D489" s="217"/>
      <c r="E489" s="217"/>
      <c r="F489" s="217"/>
      <c r="G489" s="217"/>
      <c r="H489" s="217"/>
      <c r="I489" s="217"/>
      <c r="J489" s="217"/>
      <c r="K489" s="217"/>
      <c r="L489" s="217"/>
      <c r="M489" s="217"/>
      <c r="N489" s="217"/>
      <c r="O489" s="217"/>
      <c r="P489" s="217"/>
      <c r="Q489" s="217"/>
      <c r="R489" s="217"/>
      <c r="S489" s="217"/>
      <c r="T489" s="217"/>
      <c r="U489" s="217"/>
      <c r="V489" s="217"/>
    </row>
    <row r="490" spans="1:22" s="115" customFormat="1">
      <c r="A490" s="352"/>
    </row>
    <row r="491" spans="1:22" s="115" customFormat="1">
      <c r="A491" s="352"/>
    </row>
    <row r="492" spans="1:22" s="115" customFormat="1">
      <c r="A492" s="352"/>
      <c r="C492" s="109" t="s">
        <v>86</v>
      </c>
      <c r="D492" s="215">
        <f>Saldo_relativo_per_capita!D492*Saldo_relativo_per_capita!D$552/1000000</f>
        <v>0</v>
      </c>
      <c r="E492" s="215">
        <f>Saldo_relativo_per_capita!E492*Saldo_relativo_per_capita!E$552/1000000</f>
        <v>8328.3580699291961</v>
      </c>
      <c r="F492" s="215">
        <f>Saldo_relativo_per_capita!F492*Saldo_relativo_per_capita!F$552/1000000</f>
        <v>-251.90881711881099</v>
      </c>
      <c r="G492" s="215">
        <f>Saldo_relativo_per_capita!G492*Saldo_relativo_per_capita!G$552/1000000</f>
        <v>-85.626764257947883</v>
      </c>
      <c r="H492" s="215">
        <f>Saldo_relativo_per_capita!H492*Saldo_relativo_per_capita!H$552/1000000</f>
        <v>-125.34734241959254</v>
      </c>
      <c r="I492" s="215">
        <f>Saldo_relativo_per_capita!I492*Saldo_relativo_per_capita!I$552/1000000</f>
        <v>2091.9857254089807</v>
      </c>
      <c r="J492" s="215">
        <f>Saldo_relativo_per_capita!J492*Saldo_relativo_per_capita!J$552/1000000</f>
        <v>-15.806330836104857</v>
      </c>
      <c r="K492" s="215">
        <f>Saldo_relativo_per_capita!K492*Saldo_relativo_per_capita!K$552/1000000</f>
        <v>679.40315877937678</v>
      </c>
      <c r="L492" s="215">
        <f>Saldo_relativo_per_capita!L492*Saldo_relativo_per_capita!L$552/1000000</f>
        <v>1912.8546545614658</v>
      </c>
      <c r="M492" s="215">
        <f>Saldo_relativo_per_capita!M492*Saldo_relativo_per_capita!M$552/1000000</f>
        <v>-4982.1731011172515</v>
      </c>
      <c r="N492" s="215">
        <f>Saldo_relativo_per_capita!N492*Saldo_relativo_per_capita!N$552/1000000</f>
        <v>2568.7108873591451</v>
      </c>
      <c r="O492" s="215">
        <f>Saldo_relativo_per_capita!O492*Saldo_relativo_per_capita!O$552/1000000</f>
        <v>1374.5366236258883</v>
      </c>
      <c r="P492" s="215">
        <f>Saldo_relativo_per_capita!P492*Saldo_relativo_per_capita!P$552/1000000</f>
        <v>1072.8403748619801</v>
      </c>
      <c r="Q492" s="215">
        <f>Saldo_relativo_per_capita!Q492*Saldo_relativo_per_capita!Q$552/1000000</f>
        <v>-11294.37414080997</v>
      </c>
      <c r="R492" s="215">
        <f>Saldo_relativo_per_capita!R492*Saldo_relativo_per_capita!R$552/1000000</f>
        <v>1333.777655693619</v>
      </c>
      <c r="S492" s="215">
        <f>Saldo_relativo_per_capita!S492*Saldo_relativo_per_capita!S$552/1000000</f>
        <v>-479.29707054003006</v>
      </c>
      <c r="T492" s="215">
        <f>Saldo_relativo_per_capita!T492*Saldo_relativo_per_capita!T$552/1000000</f>
        <v>-2317.6739664168113</v>
      </c>
      <c r="U492" s="215">
        <f>Saldo_relativo_per_capita!U492*Saldo_relativo_per_capita!U$552/1000000</f>
        <v>5.7369721988262397</v>
      </c>
      <c r="V492" s="215">
        <f>Saldo_relativo_per_capita!V492*Saldo_relativo_per_capita!V$552/1000000</f>
        <v>184.00341109800914</v>
      </c>
    </row>
    <row r="493" spans="1:22">
      <c r="A493" s="352"/>
      <c r="D493" s="39"/>
      <c r="E493" s="39"/>
      <c r="F493" s="39"/>
      <c r="G493" s="39"/>
      <c r="H493" s="39"/>
      <c r="I493" s="39"/>
      <c r="J493" s="39"/>
      <c r="K493" s="39"/>
      <c r="L493" s="39"/>
      <c r="M493" s="39"/>
      <c r="N493" s="39"/>
      <c r="O493" s="39"/>
      <c r="P493" s="39"/>
      <c r="Q493" s="39"/>
      <c r="R493" s="39"/>
      <c r="S493" s="39"/>
      <c r="T493" s="39"/>
      <c r="U493" s="39"/>
      <c r="V493" s="39"/>
    </row>
    <row r="494" spans="1:22" s="115" customFormat="1" ht="13.5">
      <c r="A494" s="352"/>
      <c r="C494" s="112" t="s">
        <v>87</v>
      </c>
      <c r="D494" s="215">
        <f>Saldo_relativo_per_capita!D494*Saldo_relativo_per_capita!D$552/1000000</f>
        <v>0</v>
      </c>
      <c r="E494" s="215">
        <f>Saldo_relativo_per_capita!E494*Saldo_relativo_per_capita!E$552/1000000</f>
        <v>6691.3450186885329</v>
      </c>
      <c r="F494" s="215">
        <f>Saldo_relativo_per_capita!F494*Saldo_relativo_per_capita!F$552/1000000</f>
        <v>-220.85744680915153</v>
      </c>
      <c r="G494" s="215">
        <f>Saldo_relativo_per_capita!G494*Saldo_relativo_per_capita!G$552/1000000</f>
        <v>-108.85660691208543</v>
      </c>
      <c r="H494" s="215">
        <f>Saldo_relativo_per_capita!H494*Saldo_relativo_per_capita!H$552/1000000</f>
        <v>17.07921529382239</v>
      </c>
      <c r="I494" s="215">
        <f>Saldo_relativo_per_capita!I494*Saldo_relativo_per_capita!I$552/1000000</f>
        <v>1374.116138413096</v>
      </c>
      <c r="J494" s="215">
        <f>Saldo_relativo_per_capita!J494*Saldo_relativo_per_capita!J$552/1000000</f>
        <v>-13.326452795687182</v>
      </c>
      <c r="K494" s="215">
        <f>Saldo_relativo_per_capita!K494*Saldo_relativo_per_capita!K$552/1000000</f>
        <v>442.24231039920141</v>
      </c>
      <c r="L494" s="215">
        <f>Saldo_relativo_per_capita!L494*Saldo_relativo_per_capita!L$552/1000000</f>
        <v>1458.0393677998745</v>
      </c>
      <c r="M494" s="215">
        <f>Saldo_relativo_per_capita!M494*Saldo_relativo_per_capita!M$552/1000000</f>
        <v>-3642.1520277085933</v>
      </c>
      <c r="N494" s="215">
        <f>Saldo_relativo_per_capita!N494*Saldo_relativo_per_capita!N$552/1000000</f>
        <v>2116.0361155726487</v>
      </c>
      <c r="O494" s="215">
        <f>Saldo_relativo_per_capita!O494*Saldo_relativo_per_capita!O$552/1000000</f>
        <v>991.86974484790221</v>
      </c>
      <c r="P494" s="215">
        <f>Saldo_relativo_per_capita!P494*Saldo_relativo_per_capita!P$552/1000000</f>
        <v>865.46340537511048</v>
      </c>
      <c r="Q494" s="215">
        <f>Saldo_relativo_per_capita!Q494*Saldo_relativo_per_capita!Q$552/1000000</f>
        <v>-8904.2516753503423</v>
      </c>
      <c r="R494" s="215">
        <f>Saldo_relativo_per_capita!R494*Saldo_relativo_per_capita!R$552/1000000</f>
        <v>1062.4355122382613</v>
      </c>
      <c r="S494" s="215">
        <f>Saldo_relativo_per_capita!S494*Saldo_relativo_per_capita!S$552/1000000</f>
        <v>-380.95189815951147</v>
      </c>
      <c r="T494" s="215">
        <f>Saldo_relativo_per_capita!T494*Saldo_relativo_per_capita!T$552/1000000</f>
        <v>-1877.136009808786</v>
      </c>
      <c r="U494" s="215">
        <f>Saldo_relativo_per_capita!U494*Saldo_relativo_per_capita!U$552/1000000</f>
        <v>-6.2392244884171459</v>
      </c>
      <c r="V494" s="215">
        <f>Saldo_relativo_per_capita!V494*Saldo_relativo_per_capita!V$552/1000000</f>
        <v>135.14451340412828</v>
      </c>
    </row>
    <row r="495" spans="1:22" s="115" customFormat="1">
      <c r="A495" s="351" t="str">
        <f>IF(B495="","",(IF(ISERROR(MATCH(B495,Tot_res!C:C,0)),"Eliminar!!!","")))</f>
        <v/>
      </c>
      <c r="B495" s="115" t="s">
        <v>427</v>
      </c>
      <c r="C495" s="329" t="str">
        <f>VLOOKUP(B495,Tot_res!C:D,2,FALSE)</f>
        <v>IRPF, ingresos homogeneizados</v>
      </c>
      <c r="D495" s="217">
        <f>Saldo_relativo_per_capita!D495*Saldo_relativo_per_capita!D$552/1000000</f>
        <v>0</v>
      </c>
      <c r="E495" s="217">
        <f>Saldo_relativo_per_capita!E495*Saldo_relativo_per_capita!E$552/1000000</f>
        <v>5500.3252120814504</v>
      </c>
      <c r="F495" s="217">
        <f>Saldo_relativo_per_capita!F495*Saldo_relativo_per_capita!F$552/1000000</f>
        <v>-149.02588740493931</v>
      </c>
      <c r="G495" s="217">
        <f>Saldo_relativo_per_capita!G495*Saldo_relativo_per_capita!G$552/1000000</f>
        <v>-95.673116710219574</v>
      </c>
      <c r="H495" s="217">
        <f>Saldo_relativo_per_capita!H495*Saldo_relativo_per_capita!H$552/1000000</f>
        <v>20.766410191055964</v>
      </c>
      <c r="I495" s="217">
        <f>Saldo_relativo_per_capita!I495*Saldo_relativo_per_capita!I$552/1000000</f>
        <v>1121.4123720129767</v>
      </c>
      <c r="J495" s="217">
        <f>Saldo_relativo_per_capita!J495*Saldo_relativo_per_capita!J$552/1000000</f>
        <v>19.536342101847893</v>
      </c>
      <c r="K495" s="217">
        <f>Saldo_relativo_per_capita!K495*Saldo_relativo_per_capita!K$552/1000000</f>
        <v>378.59617131649316</v>
      </c>
      <c r="L495" s="217">
        <f>Saldo_relativo_per_capita!L495*Saldo_relativo_per_capita!L$552/1000000</f>
        <v>1179.2045028632331</v>
      </c>
      <c r="M495" s="217">
        <f>Saldo_relativo_per_capita!M495*Saldo_relativo_per_capita!M$552/1000000</f>
        <v>-3041.9134636394701</v>
      </c>
      <c r="N495" s="217">
        <f>Saldo_relativo_per_capita!N495*Saldo_relativo_per_capita!N$552/1000000</f>
        <v>1851.0196780713052</v>
      </c>
      <c r="O495" s="217">
        <f>Saldo_relativo_per_capita!O495*Saldo_relativo_per_capita!O$552/1000000</f>
        <v>806.9389916391068</v>
      </c>
      <c r="P495" s="217">
        <f>Saldo_relativo_per_capita!P495*Saldo_relativo_per_capita!P$552/1000000</f>
        <v>809.02982339464438</v>
      </c>
      <c r="Q495" s="217">
        <f>Saldo_relativo_per_capita!Q495*Saldo_relativo_per_capita!Q$552/1000000</f>
        <v>-7587.7358921849873</v>
      </c>
      <c r="R495" s="217">
        <f>Saldo_relativo_per_capita!R495*Saldo_relativo_per_capita!R$552/1000000</f>
        <v>877.68604950738097</v>
      </c>
      <c r="S495" s="217">
        <f>Saldo_relativo_per_capita!S495*Saldo_relativo_per_capita!S$552/1000000</f>
        <v>-308.3042170975761</v>
      </c>
      <c r="T495" s="217">
        <f>Saldo_relativo_per_capita!T495*Saldo_relativo_per_capita!T$552/1000000</f>
        <v>-1507.4551859389594</v>
      </c>
      <c r="U495" s="217">
        <f>Saldo_relativo_per_capita!U495*Saldo_relativo_per_capita!U$552/1000000</f>
        <v>5.8529774770449761</v>
      </c>
      <c r="V495" s="217">
        <f>Saldo_relativo_per_capita!V495*Saldo_relativo_per_capita!V$552/1000000</f>
        <v>119.73923231960916</v>
      </c>
    </row>
    <row r="496" spans="1:22" s="115" customFormat="1">
      <c r="A496" s="351" t="str">
        <f>IF(B496="","",(IF(ISERROR(MATCH(B496,Tot_res!C:C,0)),"Eliminar!!!","")))</f>
        <v/>
      </c>
      <c r="B496" s="115" t="s">
        <v>428</v>
      </c>
      <c r="C496" s="329" t="str">
        <f>VLOOKUP(B496,Tot_res!C:D,2,FALSE)</f>
        <v>Impuesto sobre sociedades, ingresos homogéneos</v>
      </c>
      <c r="D496" s="217">
        <f>Saldo_relativo_per_capita!D496*Saldo_relativo_per_capita!D$552/1000000</f>
        <v>0</v>
      </c>
      <c r="E496" s="217">
        <f>Saldo_relativo_per_capita!E496*Saldo_relativo_per_capita!E$552/1000000</f>
        <v>1034.496460468494</v>
      </c>
      <c r="F496" s="217">
        <f>Saldo_relativo_per_capita!F496*Saldo_relativo_per_capita!F$552/1000000</f>
        <v>-46.961544275547958</v>
      </c>
      <c r="G496" s="217">
        <f>Saldo_relativo_per_capita!G496*Saldo_relativo_per_capita!G$552/1000000</f>
        <v>12.954232110014697</v>
      </c>
      <c r="H496" s="217">
        <f>Saldo_relativo_per_capita!H496*Saldo_relativo_per_capita!H$552/1000000</f>
        <v>-13.128196446765715</v>
      </c>
      <c r="I496" s="217">
        <f>Saldo_relativo_per_capita!I496*Saldo_relativo_per_capita!I$552/1000000</f>
        <v>201.75213336903735</v>
      </c>
      <c r="J496" s="217">
        <f>Saldo_relativo_per_capita!J496*Saldo_relativo_per_capita!J$552/1000000</f>
        <v>-20.705259605766781</v>
      </c>
      <c r="K496" s="217">
        <f>Saldo_relativo_per_capita!K496*Saldo_relativo_per_capita!K$552/1000000</f>
        <v>99.822090156864789</v>
      </c>
      <c r="L496" s="217">
        <f>Saldo_relativo_per_capita!L496*Saldo_relativo_per_capita!L$552/1000000</f>
        <v>250.4839250856061</v>
      </c>
      <c r="M496" s="217">
        <f>Saldo_relativo_per_capita!M496*Saldo_relativo_per_capita!M$552/1000000</f>
        <v>-557.79850857389613</v>
      </c>
      <c r="N496" s="217">
        <f>Saldo_relativo_per_capita!N496*Saldo_relativo_per_capita!N$552/1000000</f>
        <v>234.03945646680117</v>
      </c>
      <c r="O496" s="217">
        <f>Saldo_relativo_per_capita!O496*Saldo_relativo_per_capita!O$552/1000000</f>
        <v>173.06334552897039</v>
      </c>
      <c r="P496" s="217">
        <f>Saldo_relativo_per_capita!P496*Saldo_relativo_per_capita!P$552/1000000</f>
        <v>96.650826196000594</v>
      </c>
      <c r="Q496" s="217">
        <f>Saldo_relativo_per_capita!Q496*Saldo_relativo_per_capita!Q$552/1000000</f>
        <v>-1240.3482036934538</v>
      </c>
      <c r="R496" s="217">
        <f>Saldo_relativo_per_capita!R496*Saldo_relativo_per_capita!R$552/1000000</f>
        <v>151.87987836025351</v>
      </c>
      <c r="S496" s="217">
        <f>Saldo_relativo_per_capita!S496*Saldo_relativo_per_capita!S$552/1000000</f>
        <v>-64.16692585719008</v>
      </c>
      <c r="T496" s="217">
        <f>Saldo_relativo_per_capita!T496*Saldo_relativo_per_capita!T$552/1000000</f>
        <v>-315.60628271358183</v>
      </c>
      <c r="U496" s="217">
        <f>Saldo_relativo_per_capita!U496*Saldo_relativo_per_capita!U$552/1000000</f>
        <v>-8.636086711557903</v>
      </c>
      <c r="V496" s="217">
        <f>Saldo_relativo_per_capita!V496*Saldo_relativo_per_capita!V$552/1000000</f>
        <v>12.208660135719047</v>
      </c>
    </row>
    <row r="497" spans="1:22" s="115" customFormat="1">
      <c r="A497" s="351" t="str">
        <f>IF(B497="","",(IF(ISERROR(MATCH(B497,Tot_res!C:C,0)),"Eliminar!!!","")))</f>
        <v/>
      </c>
      <c r="B497" s="115" t="s">
        <v>429</v>
      </c>
      <c r="C497" s="329" t="str">
        <f>VLOOKUP(B497,Tot_res!C:D,2,FALSE)</f>
        <v>Impuesto sobre la renta de no residentes</v>
      </c>
      <c r="D497" s="217">
        <f>Saldo_relativo_per_capita!D497*Saldo_relativo_per_capita!D$552/1000000</f>
        <v>0</v>
      </c>
      <c r="E497" s="217">
        <f>Saldo_relativo_per_capita!E497*Saldo_relativo_per_capita!E$552/1000000</f>
        <v>0</v>
      </c>
      <c r="F497" s="217">
        <f>Saldo_relativo_per_capita!F497*Saldo_relativo_per_capita!F$552/1000000</f>
        <v>0</v>
      </c>
      <c r="G497" s="217">
        <f>Saldo_relativo_per_capita!G497*Saldo_relativo_per_capita!G$552/1000000</f>
        <v>0</v>
      </c>
      <c r="H497" s="217">
        <f>Saldo_relativo_per_capita!H497*Saldo_relativo_per_capita!H$552/1000000</f>
        <v>0</v>
      </c>
      <c r="I497" s="217">
        <f>Saldo_relativo_per_capita!I497*Saldo_relativo_per_capita!I$552/1000000</f>
        <v>0</v>
      </c>
      <c r="J497" s="217">
        <f>Saldo_relativo_per_capita!J497*Saldo_relativo_per_capita!J$552/1000000</f>
        <v>0</v>
      </c>
      <c r="K497" s="217">
        <f>Saldo_relativo_per_capita!K497*Saldo_relativo_per_capita!K$552/1000000</f>
        <v>0</v>
      </c>
      <c r="L497" s="217">
        <f>Saldo_relativo_per_capita!L497*Saldo_relativo_per_capita!L$552/1000000</f>
        <v>0</v>
      </c>
      <c r="M497" s="217">
        <f>Saldo_relativo_per_capita!M497*Saldo_relativo_per_capita!M$552/1000000</f>
        <v>0</v>
      </c>
      <c r="N497" s="217">
        <f>Saldo_relativo_per_capita!N497*Saldo_relativo_per_capita!N$552/1000000</f>
        <v>0</v>
      </c>
      <c r="O497" s="217">
        <f>Saldo_relativo_per_capita!O497*Saldo_relativo_per_capita!O$552/1000000</f>
        <v>0</v>
      </c>
      <c r="P497" s="217">
        <f>Saldo_relativo_per_capita!P497*Saldo_relativo_per_capita!P$552/1000000</f>
        <v>0</v>
      </c>
      <c r="Q497" s="217">
        <f>Saldo_relativo_per_capita!Q497*Saldo_relativo_per_capita!Q$552/1000000</f>
        <v>0</v>
      </c>
      <c r="R497" s="217">
        <f>Saldo_relativo_per_capita!R497*Saldo_relativo_per_capita!R$552/1000000</f>
        <v>0</v>
      </c>
      <c r="S497" s="217">
        <f>Saldo_relativo_per_capita!S497*Saldo_relativo_per_capita!S$552/1000000</f>
        <v>0</v>
      </c>
      <c r="T497" s="217">
        <f>Saldo_relativo_per_capita!T497*Saldo_relativo_per_capita!T$552/1000000</f>
        <v>0</v>
      </c>
      <c r="U497" s="217">
        <f>Saldo_relativo_per_capita!U497*Saldo_relativo_per_capita!U$552/1000000</f>
        <v>0</v>
      </c>
      <c r="V497" s="217">
        <f>Saldo_relativo_per_capita!V497*Saldo_relativo_per_capita!V$552/1000000</f>
        <v>0</v>
      </c>
    </row>
    <row r="498" spans="1:22" s="115" customFormat="1">
      <c r="A498" s="351" t="str">
        <f>IF(B498="","",(IF(ISERROR(MATCH(B498,Tot_res!C:C,0)),"Eliminar!!!","")))</f>
        <v/>
      </c>
      <c r="B498" s="115" t="s">
        <v>431</v>
      </c>
      <c r="C498" s="329" t="str">
        <f>VLOOKUP(B498,Tot_res!C:D,2,FALSE)</f>
        <v>Impuesto sobre sucesiones y donaciones, ing. homog.</v>
      </c>
      <c r="D498" s="217">
        <f>Saldo_relativo_per_capita!D498*Saldo_relativo_per_capita!D$552/1000000</f>
        <v>0</v>
      </c>
      <c r="E498" s="217">
        <f>Saldo_relativo_per_capita!E498*Saldo_relativo_per_capita!E$552/1000000</f>
        <v>114.36781087074836</v>
      </c>
      <c r="F498" s="217">
        <f>Saldo_relativo_per_capita!F498*Saldo_relativo_per_capita!F$552/1000000</f>
        <v>-25.393129518573872</v>
      </c>
      <c r="G498" s="217">
        <f>Saldo_relativo_per_capita!G498*Saldo_relativo_per_capita!G$552/1000000</f>
        <v>-26.206382123332581</v>
      </c>
      <c r="H498" s="217">
        <f>Saldo_relativo_per_capita!H498*Saldo_relativo_per_capita!H$552/1000000</f>
        <v>10.968128883030342</v>
      </c>
      <c r="I498" s="217">
        <f>Saldo_relativo_per_capita!I498*Saldo_relativo_per_capita!I$552/1000000</f>
        <v>39.137262714676808</v>
      </c>
      <c r="J498" s="217">
        <f>Saldo_relativo_per_capita!J498*Saldo_relativo_per_capita!J$552/1000000</f>
        <v>-11.606628687134872</v>
      </c>
      <c r="K498" s="217">
        <f>Saldo_relativo_per_capita!K498*Saldo_relativo_per_capita!K$552/1000000</f>
        <v>-40.321872198331405</v>
      </c>
      <c r="L498" s="217">
        <f>Saldo_relativo_per_capita!L498*Saldo_relativo_per_capita!L$552/1000000</f>
        <v>16.481535338750586</v>
      </c>
      <c r="M498" s="217">
        <f>Saldo_relativo_per_capita!M498*Saldo_relativo_per_capita!M$552/1000000</f>
        <v>-19.224619473138986</v>
      </c>
      <c r="N498" s="217">
        <f>Saldo_relativo_per_capita!N498*Saldo_relativo_per_capita!N$552/1000000</f>
        <v>21.903374056430373</v>
      </c>
      <c r="O498" s="217">
        <f>Saldo_relativo_per_capita!O498*Saldo_relativo_per_capita!O$552/1000000</f>
        <v>4.6584032412751011</v>
      </c>
      <c r="P498" s="217">
        <f>Saldo_relativo_per_capita!P498*Saldo_relativo_per_capita!P$552/1000000</f>
        <v>-45.205044623427909</v>
      </c>
      <c r="Q498" s="217">
        <f>Saldo_relativo_per_capita!Q498*Saldo_relativo_per_capita!Q$552/1000000</f>
        <v>-10.351784535363375</v>
      </c>
      <c r="R498" s="217">
        <f>Saldo_relativo_per_capita!R498*Saldo_relativo_per_capita!R$552/1000000</f>
        <v>25.017854150906658</v>
      </c>
      <c r="S498" s="217">
        <f>Saldo_relativo_per_capita!S498*Saldo_relativo_per_capita!S$552/1000000</f>
        <v>-7.4826636434352327</v>
      </c>
      <c r="T498" s="217">
        <f>Saldo_relativo_per_capita!T498*Saldo_relativo_per_capita!T$552/1000000</f>
        <v>-45.294707011289901</v>
      </c>
      <c r="U498" s="217">
        <f>Saldo_relativo_per_capita!U498*Saldo_relativo_per_capita!U$552/1000000</f>
        <v>-3.6578230975230053</v>
      </c>
      <c r="V498" s="217">
        <f>Saldo_relativo_per_capita!V498*Saldo_relativo_per_capita!V$552/1000000</f>
        <v>2.2102856557333688</v>
      </c>
    </row>
    <row r="499" spans="1:22" s="115" customFormat="1">
      <c r="A499" s="351" t="str">
        <f>IF(B499="","",(IF(ISERROR(MATCH(B499,Tot_res!C:C,0)),"Eliminar!!!","")))</f>
        <v/>
      </c>
      <c r="B499" s="115" t="s">
        <v>650</v>
      </c>
      <c r="C499" s="329" t="str">
        <f>VLOOKUP(B499,Tot_res!C:D,2,FALSE)</f>
        <v>Impuesto sobre el patrimonio, recaudación real</v>
      </c>
      <c r="D499" s="217">
        <f>Saldo_relativo_per_capita!D499*Saldo_relativo_per_capita!D$552/1000000</f>
        <v>0</v>
      </c>
      <c r="E499" s="217">
        <f>Saldo_relativo_per_capita!E499*Saldo_relativo_per_capita!E$552/1000000</f>
        <v>0</v>
      </c>
      <c r="F499" s="217">
        <f>Saldo_relativo_per_capita!F499*Saldo_relativo_per_capita!F$552/1000000</f>
        <v>0</v>
      </c>
      <c r="G499" s="217">
        <f>Saldo_relativo_per_capita!G499*Saldo_relativo_per_capita!G$552/1000000</f>
        <v>0</v>
      </c>
      <c r="H499" s="217">
        <f>Saldo_relativo_per_capita!H499*Saldo_relativo_per_capita!H$552/1000000</f>
        <v>0</v>
      </c>
      <c r="I499" s="217">
        <f>Saldo_relativo_per_capita!I499*Saldo_relativo_per_capita!I$552/1000000</f>
        <v>0</v>
      </c>
      <c r="J499" s="217">
        <f>Saldo_relativo_per_capita!J499*Saldo_relativo_per_capita!J$552/1000000</f>
        <v>0</v>
      </c>
      <c r="K499" s="217">
        <f>Saldo_relativo_per_capita!K499*Saldo_relativo_per_capita!K$552/1000000</f>
        <v>0</v>
      </c>
      <c r="L499" s="217">
        <f>Saldo_relativo_per_capita!L499*Saldo_relativo_per_capita!L$552/1000000</f>
        <v>0</v>
      </c>
      <c r="M499" s="217">
        <f>Saldo_relativo_per_capita!M499*Saldo_relativo_per_capita!M$552/1000000</f>
        <v>0</v>
      </c>
      <c r="N499" s="217">
        <f>Saldo_relativo_per_capita!N499*Saldo_relativo_per_capita!N$552/1000000</f>
        <v>0</v>
      </c>
      <c r="O499" s="217">
        <f>Saldo_relativo_per_capita!O499*Saldo_relativo_per_capita!O$552/1000000</f>
        <v>0</v>
      </c>
      <c r="P499" s="217">
        <f>Saldo_relativo_per_capita!P499*Saldo_relativo_per_capita!P$552/1000000</f>
        <v>0</v>
      </c>
      <c r="Q499" s="217">
        <f>Saldo_relativo_per_capita!Q499*Saldo_relativo_per_capita!Q$552/1000000</f>
        <v>0</v>
      </c>
      <c r="R499" s="217">
        <f>Saldo_relativo_per_capita!R499*Saldo_relativo_per_capita!R$552/1000000</f>
        <v>0</v>
      </c>
      <c r="S499" s="217">
        <f>Saldo_relativo_per_capita!S499*Saldo_relativo_per_capita!S$552/1000000</f>
        <v>0</v>
      </c>
      <c r="T499" s="217">
        <f>Saldo_relativo_per_capita!T499*Saldo_relativo_per_capita!T$552/1000000</f>
        <v>0</v>
      </c>
      <c r="U499" s="217">
        <f>Saldo_relativo_per_capita!U499*Saldo_relativo_per_capita!U$552/1000000</f>
        <v>0</v>
      </c>
      <c r="V499" s="217">
        <f>Saldo_relativo_per_capita!V499*Saldo_relativo_per_capita!V$552/1000000</f>
        <v>0</v>
      </c>
    </row>
    <row r="500" spans="1:22" s="115" customFormat="1">
      <c r="A500" s="351" t="str">
        <f>IF(B500="","",(IF(ISERROR(MATCH(B500,Tot_res!C:C,0)),"Eliminar!!!","")))</f>
        <v/>
      </c>
      <c r="B500" s="115" t="s">
        <v>1223</v>
      </c>
      <c r="C500" s="329" t="str">
        <f>VLOOKUP(B500,Tot_res!C:D,2,FALSE)</f>
        <v>Impuestos mediombientales. Ingresos homogeneizados</v>
      </c>
      <c r="D500" s="217">
        <f>Saldo_relativo_per_capita!D500*Saldo_relativo_per_capita!D$552/1000000</f>
        <v>0</v>
      </c>
      <c r="E500" s="217">
        <f>Saldo_relativo_per_capita!E500*Saldo_relativo_per_capita!E$552/1000000</f>
        <v>25.579477756071022</v>
      </c>
      <c r="F500" s="217">
        <f>Saldo_relativo_per_capita!F500*Saldo_relativo_per_capita!F$552/1000000</f>
        <v>-1.0964198323138957E-3</v>
      </c>
      <c r="G500" s="217">
        <f>Saldo_relativo_per_capita!G500*Saldo_relativo_per_capita!G$552/1000000</f>
        <v>-0.53132741586787635</v>
      </c>
      <c r="H500" s="217">
        <f>Saldo_relativo_per_capita!H500*Saldo_relativo_per_capita!H$552/1000000</f>
        <v>-2.3014698439246972</v>
      </c>
      <c r="I500" s="217">
        <f>Saldo_relativo_per_capita!I500*Saldo_relativo_per_capita!I$552/1000000</f>
        <v>8.0303254252819478</v>
      </c>
      <c r="J500" s="217">
        <f>Saldo_relativo_per_capita!J500*Saldo_relativo_per_capita!J$552/1000000</f>
        <v>-0.52184991923620172</v>
      </c>
      <c r="K500" s="217">
        <f>Saldo_relativo_per_capita!K500*Saldo_relativo_per_capita!K$552/1000000</f>
        <v>3.0026280332457191</v>
      </c>
      <c r="L500" s="217">
        <f>Saldo_relativo_per_capita!L500*Saldo_relativo_per_capita!L$552/1000000</f>
        <v>7.9638844445738179</v>
      </c>
      <c r="M500" s="217">
        <f>Saldo_relativo_per_capita!M500*Saldo_relativo_per_capita!M$552/1000000</f>
        <v>-22.240265924755398</v>
      </c>
      <c r="N500" s="217">
        <f>Saldo_relativo_per_capita!N500*Saldo_relativo_per_capita!N$552/1000000</f>
        <v>4.5901581237672016</v>
      </c>
      <c r="O500" s="217">
        <f>Saldo_relativo_per_capita!O500*Saldo_relativo_per_capita!O$552/1000000</f>
        <v>5.2612160655261135</v>
      </c>
      <c r="P500" s="217">
        <f>Saldo_relativo_per_capita!P500*Saldo_relativo_per_capita!P$552/1000000</f>
        <v>3.3359971621776725</v>
      </c>
      <c r="Q500" s="217">
        <f>Saldo_relativo_per_capita!Q500*Saldo_relativo_per_capita!Q$552/1000000</f>
        <v>-30.017107733408125</v>
      </c>
      <c r="R500" s="217">
        <f>Saldo_relativo_per_capita!R500*Saldo_relativo_per_capita!R$552/1000000</f>
        <v>5.3146432506787127</v>
      </c>
      <c r="S500" s="217">
        <f>Saldo_relativo_per_capita!S500*Saldo_relativo_per_capita!S$552/1000000</f>
        <v>-1.2087620399852572</v>
      </c>
      <c r="T500" s="217">
        <f>Saldo_relativo_per_capita!T500*Saldo_relativo_per_capita!T$552/1000000</f>
        <v>-7.092284979662324</v>
      </c>
      <c r="U500" s="217">
        <f>Saldo_relativo_per_capita!U500*Saldo_relativo_per_capita!U$552/1000000</f>
        <v>0.11659622215857474</v>
      </c>
      <c r="V500" s="217">
        <f>Saldo_relativo_per_capita!V500*Saldo_relativo_per_capita!V$552/1000000</f>
        <v>0.7192377931915408</v>
      </c>
    </row>
    <row r="501" spans="1:22" s="115" customFormat="1">
      <c r="A501" s="351" t="str">
        <f>IF(B501="","",(IF(ISERROR(MATCH(B501,Tot_res!C:C,0)),"Eliminar!!!","")))</f>
        <v/>
      </c>
      <c r="B501" s="115" t="s">
        <v>1225</v>
      </c>
      <c r="C501" s="329" t="str">
        <f>VLOOKUP(B501,Tot_res!C:D,2,FALSE)</f>
        <v>Impuesto sobre los depósitos de las entidades de crédito.  Ingresos homogeneizados</v>
      </c>
      <c r="D501" s="217">
        <f>Saldo_relativo_per_capita!D501*Saldo_relativo_per_capita!D$552/1000000</f>
        <v>0</v>
      </c>
      <c r="E501" s="217">
        <f>Saldo_relativo_per_capita!E501*Saldo_relativo_per_capita!E$552/1000000</f>
        <v>16.576057511766962</v>
      </c>
      <c r="F501" s="217">
        <f>Saldo_relativo_per_capita!F501*Saldo_relativo_per_capita!F$552/1000000</f>
        <v>0.52421080974116974</v>
      </c>
      <c r="G501" s="217">
        <f>Saldo_relativo_per_capita!G501*Saldo_relativo_per_capita!G$552/1000000</f>
        <v>0.59998722732040466</v>
      </c>
      <c r="H501" s="217">
        <f>Saldo_relativo_per_capita!H501*Saldo_relativo_per_capita!H$552/1000000</f>
        <v>0.77434251042683888</v>
      </c>
      <c r="I501" s="217">
        <f>Saldo_relativo_per_capita!I501*Saldo_relativo_per_capita!I$552/1000000</f>
        <v>3.7840448911226408</v>
      </c>
      <c r="J501" s="217">
        <f>Saldo_relativo_per_capita!J501*Saldo_relativo_per_capita!J$552/1000000</f>
        <v>-2.9056685396987546E-2</v>
      </c>
      <c r="K501" s="217">
        <f>Saldo_relativo_per_capita!K501*Saldo_relativo_per_capita!K$552/1000000</f>
        <v>1.143293090929379</v>
      </c>
      <c r="L501" s="217">
        <f>Saldo_relativo_per_capita!L501*Saldo_relativo_per_capita!L$552/1000000</f>
        <v>3.9055200677104955</v>
      </c>
      <c r="M501" s="217">
        <f>Saldo_relativo_per_capita!M501*Saldo_relativo_per_capita!M$552/1000000</f>
        <v>-0.97517009733194682</v>
      </c>
      <c r="N501" s="217">
        <f>Saldo_relativo_per_capita!N501*Saldo_relativo_per_capita!N$552/1000000</f>
        <v>4.4834488543462454</v>
      </c>
      <c r="O501" s="217">
        <f>Saldo_relativo_per_capita!O501*Saldo_relativo_per_capita!O$552/1000000</f>
        <v>1.9477883730236372</v>
      </c>
      <c r="P501" s="217">
        <f>Saldo_relativo_per_capita!P501*Saldo_relativo_per_capita!P$552/1000000</f>
        <v>1.6518032457150467</v>
      </c>
      <c r="Q501" s="217">
        <f>Saldo_relativo_per_capita!Q501*Saldo_relativo_per_capita!Q$552/1000000</f>
        <v>-35.798687203131976</v>
      </c>
      <c r="R501" s="217">
        <f>Saldo_relativo_per_capita!R501*Saldo_relativo_per_capita!R$552/1000000</f>
        <v>2.5370869690412499</v>
      </c>
      <c r="S501" s="217">
        <f>Saldo_relativo_per_capita!S501*Saldo_relativo_per_capita!S$552/1000000</f>
        <v>0.21067047867553595</v>
      </c>
      <c r="T501" s="217">
        <f>Saldo_relativo_per_capita!T501*Saldo_relativo_per_capita!T$552/1000000</f>
        <v>-1.6875491652939418</v>
      </c>
      <c r="U501" s="217">
        <f>Saldo_relativo_per_capita!U501*Saldo_relativo_per_capita!U$552/1000000</f>
        <v>8.5111621460133E-2</v>
      </c>
      <c r="V501" s="217">
        <f>Saldo_relativo_per_capita!V501*Saldo_relativo_per_capita!V$552/1000000</f>
        <v>0.26709749987509912</v>
      </c>
    </row>
    <row r="502" spans="1:22">
      <c r="A502" s="352"/>
      <c r="C502" s="31"/>
      <c r="D502" s="39"/>
      <c r="E502" s="39"/>
      <c r="F502" s="39"/>
      <c r="G502" s="39"/>
      <c r="H502" s="39"/>
      <c r="I502" s="39"/>
      <c r="J502" s="39"/>
      <c r="K502" s="39"/>
      <c r="L502" s="39"/>
      <c r="M502" s="39"/>
      <c r="N502" s="39"/>
      <c r="O502" s="39"/>
      <c r="P502" s="39"/>
      <c r="Q502" s="39"/>
      <c r="R502" s="39"/>
      <c r="S502" s="39"/>
      <c r="T502" s="39"/>
      <c r="U502" s="39"/>
      <c r="V502" s="39"/>
    </row>
    <row r="503" spans="1:22" s="115" customFormat="1" ht="13.5">
      <c r="A503" s="352"/>
      <c r="C503" s="112" t="s">
        <v>109</v>
      </c>
      <c r="D503" s="218">
        <f>Saldo_relativo_per_capita!D503*Saldo_relativo_per_capita!D$552/1000000</f>
        <v>0</v>
      </c>
      <c r="E503" s="218">
        <f>Saldo_relativo_per_capita!E503*Saldo_relativo_per_capita!E$552/1000000</f>
        <v>1637.0130512406654</v>
      </c>
      <c r="F503" s="218">
        <f>Saldo_relativo_per_capita!F503*Saldo_relativo_per_capita!F$552/1000000</f>
        <v>-31.05137030965885</v>
      </c>
      <c r="G503" s="218">
        <f>Saldo_relativo_per_capita!G503*Saldo_relativo_per_capita!G$552/1000000</f>
        <v>23.229842654137066</v>
      </c>
      <c r="H503" s="218">
        <f>Saldo_relativo_per_capita!H503*Saldo_relativo_per_capita!H$552/1000000</f>
        <v>-142.42655771341541</v>
      </c>
      <c r="I503" s="218">
        <f>Saldo_relativo_per_capita!I503*Saldo_relativo_per_capita!I$552/1000000</f>
        <v>717.86958699588547</v>
      </c>
      <c r="J503" s="218">
        <f>Saldo_relativo_per_capita!J503*Saldo_relativo_per_capita!J$552/1000000</f>
        <v>-2.4798780404176743</v>
      </c>
      <c r="K503" s="218">
        <f>Saldo_relativo_per_capita!K503*Saldo_relativo_per_capita!K$552/1000000</f>
        <v>237.16084838017821</v>
      </c>
      <c r="L503" s="218">
        <f>Saldo_relativo_per_capita!L503*Saldo_relativo_per_capita!L$552/1000000</f>
        <v>454.81528676159201</v>
      </c>
      <c r="M503" s="218">
        <f>Saldo_relativo_per_capita!M503*Saldo_relativo_per_capita!M$552/1000000</f>
        <v>-1340.0210734086577</v>
      </c>
      <c r="N503" s="218">
        <f>Saldo_relativo_per_capita!N503*Saldo_relativo_per_capita!N$552/1000000</f>
        <v>452.6747717864979</v>
      </c>
      <c r="O503" s="218">
        <f>Saldo_relativo_per_capita!O503*Saldo_relativo_per_capita!O$552/1000000</f>
        <v>382.66687877798626</v>
      </c>
      <c r="P503" s="218">
        <f>Saldo_relativo_per_capita!P503*Saldo_relativo_per_capita!P$552/1000000</f>
        <v>207.37696948687204</v>
      </c>
      <c r="Q503" s="218">
        <f>Saldo_relativo_per_capita!Q503*Saldo_relativo_per_capita!Q$552/1000000</f>
        <v>-2390.1224654596299</v>
      </c>
      <c r="R503" s="218">
        <f>Saldo_relativo_per_capita!R503*Saldo_relativo_per_capita!R$552/1000000</f>
        <v>271.34214345535963</v>
      </c>
      <c r="S503" s="218">
        <f>Saldo_relativo_per_capita!S503*Saldo_relativo_per_capita!S$552/1000000</f>
        <v>-98.345172380518619</v>
      </c>
      <c r="T503" s="218">
        <f>Saldo_relativo_per_capita!T503*Saldo_relativo_per_capita!T$552/1000000</f>
        <v>-440.53795660802274</v>
      </c>
      <c r="U503" s="218">
        <f>Saldo_relativo_per_capita!U503*Saldo_relativo_per_capita!U$552/1000000</f>
        <v>11.976196687243673</v>
      </c>
      <c r="V503" s="218">
        <f>Saldo_relativo_per_capita!V503*Saldo_relativo_per_capita!V$552/1000000</f>
        <v>48.85889769388109</v>
      </c>
    </row>
    <row r="504" spans="1:22" s="115" customFormat="1">
      <c r="A504" s="351" t="str">
        <f>IF(B504="","",(IF(ISERROR(MATCH(B504,Tot_res!C:C,0)),"Eliminar!!!","")))</f>
        <v/>
      </c>
      <c r="B504" s="115" t="s">
        <v>432</v>
      </c>
      <c r="C504" s="329" t="str">
        <f>VLOOKUP(B504,Tot_res!C:D,2,FALSE)</f>
        <v>IVA</v>
      </c>
      <c r="D504" s="217">
        <f>Saldo_relativo_per_capita!D504*Saldo_relativo_per_capita!D$552/1000000</f>
        <v>0</v>
      </c>
      <c r="E504" s="217">
        <f>Saldo_relativo_per_capita!E504*Saldo_relativo_per_capita!E$552/1000000</f>
        <v>969.22881464847103</v>
      </c>
      <c r="F504" s="217">
        <f>Saldo_relativo_per_capita!F504*Saldo_relativo_per_capita!F$552/1000000</f>
        <v>-102.02879530315673</v>
      </c>
      <c r="G504" s="217">
        <f>Saldo_relativo_per_capita!G504*Saldo_relativo_per_capita!G$552/1000000</f>
        <v>-54.348445159614421</v>
      </c>
      <c r="H504" s="217">
        <f>Saldo_relativo_per_capita!H504*Saldo_relativo_per_capita!H$552/1000000</f>
        <v>-127.98501173974616</v>
      </c>
      <c r="I504" s="217">
        <f>Saldo_relativo_per_capita!I504*Saldo_relativo_per_capita!I$552/1000000</f>
        <v>2578.9575809675603</v>
      </c>
      <c r="J504" s="217">
        <f>Saldo_relativo_per_capita!J504*Saldo_relativo_per_capita!J$552/1000000</f>
        <v>-52.272243820827292</v>
      </c>
      <c r="K504" s="217">
        <f>Saldo_relativo_per_capita!K504*Saldo_relativo_per_capita!K$552/1000000</f>
        <v>0.10353609420899591</v>
      </c>
      <c r="L504" s="217">
        <f>Saldo_relativo_per_capita!L504*Saldo_relativo_per_capita!L$552/1000000</f>
        <v>247.78028015916101</v>
      </c>
      <c r="M504" s="217">
        <f>Saldo_relativo_per_capita!M504*Saldo_relativo_per_capita!M$552/1000000</f>
        <v>-1643.3175856063026</v>
      </c>
      <c r="N504" s="217">
        <f>Saldo_relativo_per_capita!N504*Saldo_relativo_per_capita!N$552/1000000</f>
        <v>121.22152573999871</v>
      </c>
      <c r="O504" s="217">
        <f>Saldo_relativo_per_capita!O504*Saldo_relativo_per_capita!O$552/1000000</f>
        <v>222.3648097886385</v>
      </c>
      <c r="P504" s="217">
        <f>Saldo_relativo_per_capita!P504*Saldo_relativo_per_capita!P$552/1000000</f>
        <v>-18.594403293650185</v>
      </c>
      <c r="Q504" s="217">
        <f>Saldo_relativo_per_capita!Q504*Saldo_relativo_per_capita!Q$552/1000000</f>
        <v>-1858.6740021918667</v>
      </c>
      <c r="R504" s="217">
        <f>Saldo_relativo_per_capita!R504*Saldo_relativo_per_capita!R$552/1000000</f>
        <v>171.36926874353813</v>
      </c>
      <c r="S504" s="217">
        <f>Saldo_relativo_per_capita!S504*Saldo_relativo_per_capita!S$552/1000000</f>
        <v>-145.8286421368301</v>
      </c>
      <c r="T504" s="217">
        <f>Saldo_relativo_per_capita!T504*Saldo_relativo_per_capita!T$552/1000000</f>
        <v>-503.78538154660544</v>
      </c>
      <c r="U504" s="217">
        <f>Saldo_relativo_per_capita!U504*Saldo_relativo_per_capita!U$552/1000000</f>
        <v>-12.237706954062842</v>
      </c>
      <c r="V504" s="217">
        <f>Saldo_relativo_per_capita!V504*Saldo_relativo_per_capita!V$552/1000000</f>
        <v>208.04640161107406</v>
      </c>
    </row>
    <row r="505" spans="1:22" s="115" customFormat="1">
      <c r="A505" s="351" t="str">
        <f>IF(B505="","",(IF(ISERROR(MATCH(B505,Tot_res!C:C,0)),"Eliminar!!!","")))</f>
        <v/>
      </c>
      <c r="B505" s="115" t="s">
        <v>433</v>
      </c>
      <c r="C505" s="329" t="str">
        <f>VLOOKUP(B505,Tot_res!C:D,2,FALSE)</f>
        <v>Impuestos especiales* (sin electricidad ni matriculación)</v>
      </c>
      <c r="D505" s="217">
        <f>Saldo_relativo_per_capita!D505*Saldo_relativo_per_capita!D$552/1000000</f>
        <v>0</v>
      </c>
      <c r="E505" s="217">
        <f>Saldo_relativo_per_capita!E505*Saldo_relativo_per_capita!E$552/1000000</f>
        <v>-186.99354296952191</v>
      </c>
      <c r="F505" s="217">
        <f>Saldo_relativo_per_capita!F505*Saldo_relativo_per_capita!F$552/1000000</f>
        <v>-26.766323626775719</v>
      </c>
      <c r="G505" s="217">
        <f>Saldo_relativo_per_capita!G505*Saldo_relativo_per_capita!G$552/1000000</f>
        <v>-11.775998625762686</v>
      </c>
      <c r="H505" s="217">
        <f>Saldo_relativo_per_capita!H505*Saldo_relativo_per_capita!H$552/1000000</f>
        <v>-58.112395214287453</v>
      </c>
      <c r="I505" s="217">
        <f>Saldo_relativo_per_capita!I505*Saldo_relativo_per_capita!I$552/1000000</f>
        <v>695.49336187019719</v>
      </c>
      <c r="J505" s="217">
        <f>Saldo_relativo_per_capita!J505*Saldo_relativo_per_capita!J$552/1000000</f>
        <v>7.0496225611468653</v>
      </c>
      <c r="K505" s="217">
        <f>Saldo_relativo_per_capita!K505*Saldo_relativo_per_capita!K$552/1000000</f>
        <v>31.009806201199886</v>
      </c>
      <c r="L505" s="217">
        <f>Saldo_relativo_per_capita!L505*Saldo_relativo_per_capita!L$552/1000000</f>
        <v>-18.68476848021734</v>
      </c>
      <c r="M505" s="217">
        <f>Saldo_relativo_per_capita!M505*Saldo_relativo_per_capita!M$552/1000000</f>
        <v>-56.176483012935186</v>
      </c>
      <c r="N505" s="217">
        <f>Saldo_relativo_per_capita!N505*Saldo_relativo_per_capita!N$552/1000000</f>
        <v>-42.79911329627312</v>
      </c>
      <c r="O505" s="217">
        <f>Saldo_relativo_per_capita!O505*Saldo_relativo_per_capita!O$552/1000000</f>
        <v>24.39172978261351</v>
      </c>
      <c r="P505" s="217">
        <f>Saldo_relativo_per_capita!P505*Saldo_relativo_per_capita!P$552/1000000</f>
        <v>-60.480595023132999</v>
      </c>
      <c r="Q505" s="217">
        <f>Saldo_relativo_per_capita!Q505*Saldo_relativo_per_capita!Q$552/1000000</f>
        <v>-277.66863642720648</v>
      </c>
      <c r="R505" s="217">
        <f>Saldo_relativo_per_capita!R505*Saldo_relativo_per_capita!R$552/1000000</f>
        <v>-71.58869127473838</v>
      </c>
      <c r="S505" s="217">
        <f>Saldo_relativo_per_capita!S505*Saldo_relativo_per_capita!S$552/1000000</f>
        <v>3.855480790235037</v>
      </c>
      <c r="T505" s="217">
        <f>Saldo_relativo_per_capita!T505*Saldo_relativo_per_capita!T$552/1000000</f>
        <v>4.3227080269209219</v>
      </c>
      <c r="U505" s="217">
        <f>Saldo_relativo_per_capita!U505*Saldo_relativo_per_capita!U$552/1000000</f>
        <v>2.007241959216914</v>
      </c>
      <c r="V505" s="217">
        <f>Saldo_relativo_per_capita!V505*Saldo_relativo_per_capita!V$552/1000000</f>
        <v>42.916596759319113</v>
      </c>
    </row>
    <row r="506" spans="1:22" s="115" customFormat="1">
      <c r="A506" s="351" t="str">
        <f>IF(B506="","",(IF(ISERROR(MATCH(B506,Tot_res!C:C,0)),"Eliminar!!!","")))</f>
        <v/>
      </c>
      <c r="B506" s="115" t="s">
        <v>434</v>
      </c>
      <c r="C506" s="329" t="str">
        <f>VLOOKUP(B506,Tot_res!C:D,2,FALSE)</f>
        <v>Electricidad</v>
      </c>
      <c r="D506" s="217">
        <f>Saldo_relativo_per_capita!D506*Saldo_relativo_per_capita!D$552/1000000</f>
        <v>0</v>
      </c>
      <c r="E506" s="217">
        <f>Saldo_relativo_per_capita!E506*Saldo_relativo_per_capita!E$552/1000000</f>
        <v>15.927219652991475</v>
      </c>
      <c r="F506" s="217">
        <f>Saldo_relativo_per_capita!F506*Saldo_relativo_per_capita!F$552/1000000</f>
        <v>-0.35922488743660974</v>
      </c>
      <c r="G506" s="217">
        <f>Saldo_relativo_per_capita!G506*Saldo_relativo_per_capita!G$552/1000000</f>
        <v>-0.56867711331967219</v>
      </c>
      <c r="H506" s="217">
        <f>Saldo_relativo_per_capita!H506*Saldo_relativo_per_capita!H$552/1000000</f>
        <v>-5.0906933888649668</v>
      </c>
      <c r="I506" s="217">
        <f>Saldo_relativo_per_capita!I506*Saldo_relativo_per_capita!I$552/1000000</f>
        <v>9.2748114938678281</v>
      </c>
      <c r="J506" s="217">
        <f>Saldo_relativo_per_capita!J506*Saldo_relativo_per_capita!J$552/1000000</f>
        <v>-1.1989938789337349E-2</v>
      </c>
      <c r="K506" s="217">
        <f>Saldo_relativo_per_capita!K506*Saldo_relativo_per_capita!K$552/1000000</f>
        <v>4.7968193242858117</v>
      </c>
      <c r="L506" s="217">
        <f>Saldo_relativo_per_capita!L506*Saldo_relativo_per_capita!L$552/1000000</f>
        <v>3.6302843754065686</v>
      </c>
      <c r="M506" s="217">
        <f>Saldo_relativo_per_capita!M506*Saldo_relativo_per_capita!M$552/1000000</f>
        <v>-14.115980244896161</v>
      </c>
      <c r="N506" s="217">
        <f>Saldo_relativo_per_capita!N506*Saldo_relativo_per_capita!N$552/1000000</f>
        <v>-4.8082503076984011</v>
      </c>
      <c r="O506" s="217">
        <f>Saldo_relativo_per_capita!O506*Saldo_relativo_per_capita!O$552/1000000</f>
        <v>3.2188605979861644</v>
      </c>
      <c r="P506" s="217">
        <f>Saldo_relativo_per_capita!P506*Saldo_relativo_per_capita!P$552/1000000</f>
        <v>3.677598798696482</v>
      </c>
      <c r="Q506" s="217">
        <f>Saldo_relativo_per_capita!Q506*Saldo_relativo_per_capita!Q$552/1000000</f>
        <v>-18.18773359648117</v>
      </c>
      <c r="R506" s="217">
        <f>Saldo_relativo_per_capita!R506*Saldo_relativo_per_capita!R$552/1000000</f>
        <v>2.1833273089432805</v>
      </c>
      <c r="S506" s="217">
        <f>Saldo_relativo_per_capita!S506*Saldo_relativo_per_capita!S$552/1000000</f>
        <v>0.17554303273021682</v>
      </c>
      <c r="T506" s="217">
        <f>Saldo_relativo_per_capita!T506*Saldo_relativo_per_capita!T$552/1000000</f>
        <v>-1.2210012759997377</v>
      </c>
      <c r="U506" s="217">
        <f>Saldo_relativo_per_capita!U506*Saldo_relativo_per_capita!U$552/1000000</f>
        <v>0.50134474112156391</v>
      </c>
      <c r="V506" s="217">
        <f>Saldo_relativo_per_capita!V506*Saldo_relativo_per_capita!V$552/1000000</f>
        <v>0.97774142745674109</v>
      </c>
    </row>
    <row r="507" spans="1:22" s="115" customFormat="1">
      <c r="A507" s="351" t="str">
        <f>IF(B507="","",(IF(ISERROR(MATCH(B507,Tot_res!C:C,0)),"Eliminar!!!","")))</f>
        <v/>
      </c>
      <c r="B507" s="115" t="s">
        <v>435</v>
      </c>
      <c r="C507" s="329" t="str">
        <f>VLOOKUP(B507,Tot_res!C:D,2,FALSE)</f>
        <v>Determinados medios de transporte, homogeneizado</v>
      </c>
      <c r="D507" s="217">
        <f>Saldo_relativo_per_capita!D507*Saldo_relativo_per_capita!D$552/1000000</f>
        <v>0</v>
      </c>
      <c r="E507" s="217">
        <f>Saldo_relativo_per_capita!E507*Saldo_relativo_per_capita!E$552/1000000</f>
        <v>8.4719029628137861</v>
      </c>
      <c r="F507" s="217">
        <f>Saldo_relativo_per_capita!F507*Saldo_relativo_per_capita!F$552/1000000</f>
        <v>2.7262978213561451</v>
      </c>
      <c r="G507" s="217">
        <f>Saldo_relativo_per_capita!G507*Saldo_relativo_per_capita!G$552/1000000</f>
        <v>0.60117081416866136</v>
      </c>
      <c r="H507" s="217">
        <f>Saldo_relativo_per_capita!H507*Saldo_relativo_per_capita!H$552/1000000</f>
        <v>-0.80194774386039858</v>
      </c>
      <c r="I507" s="217">
        <f>Saldo_relativo_per_capita!I507*Saldo_relativo_per_capita!I$552/1000000</f>
        <v>11.829227953157966</v>
      </c>
      <c r="J507" s="217">
        <f>Saldo_relativo_per_capita!J507*Saldo_relativo_per_capita!J$552/1000000</f>
        <v>-1.0906227213838526</v>
      </c>
      <c r="K507" s="217">
        <f>Saldo_relativo_per_capita!K507*Saldo_relativo_per_capita!K$552/1000000</f>
        <v>1.9125357793410518</v>
      </c>
      <c r="L507" s="217">
        <f>Saldo_relativo_per_capita!L507*Saldo_relativo_per_capita!L$552/1000000</f>
        <v>1.5117464240767267</v>
      </c>
      <c r="M507" s="217">
        <f>Saldo_relativo_per_capita!M507*Saldo_relativo_per_capita!M$552/1000000</f>
        <v>-11.412417654945964</v>
      </c>
      <c r="N507" s="217">
        <f>Saldo_relativo_per_capita!N507*Saldo_relativo_per_capita!N$552/1000000</f>
        <v>1.2074086467060963</v>
      </c>
      <c r="O507" s="217">
        <f>Saldo_relativo_per_capita!O507*Saldo_relativo_per_capita!O$552/1000000</f>
        <v>2.0811962926426482</v>
      </c>
      <c r="P507" s="217">
        <f>Saldo_relativo_per_capita!P507*Saldo_relativo_per_capita!P$552/1000000</f>
        <v>2.6428449678527586</v>
      </c>
      <c r="Q507" s="217">
        <f>Saldo_relativo_per_capita!Q507*Saldo_relativo_per_capita!Q$552/1000000</f>
        <v>-19.219674826052046</v>
      </c>
      <c r="R507" s="217">
        <f>Saldo_relativo_per_capita!R507*Saldo_relativo_per_capita!R$552/1000000</f>
        <v>0.79679332983585016</v>
      </c>
      <c r="S507" s="217">
        <f>Saldo_relativo_per_capita!S507*Saldo_relativo_per_capita!S$552/1000000</f>
        <v>-0.79384472927497496</v>
      </c>
      <c r="T507" s="217">
        <f>Saldo_relativo_per_capita!T507*Saldo_relativo_per_capita!T$552/1000000</f>
        <v>-1.464974442831495</v>
      </c>
      <c r="U507" s="217">
        <f>Saldo_relativo_per_capita!U507*Saldo_relativo_per_capita!U$552/1000000</f>
        <v>0.21357550756936935</v>
      </c>
      <c r="V507" s="217">
        <f>Saldo_relativo_per_capita!V507*Saldo_relativo_per_capita!V$552/1000000</f>
        <v>0.78878161882770892</v>
      </c>
    </row>
    <row r="508" spans="1:22" s="115" customFormat="1">
      <c r="A508" s="351" t="str">
        <f>IF(B508="","",(IF(ISERROR(MATCH(B508,Tot_res!C:C,0)),"Eliminar!!!","")))</f>
        <v/>
      </c>
      <c r="B508" s="115" t="s">
        <v>437</v>
      </c>
      <c r="C508" s="329" t="str">
        <f>VLOOKUP(B508,Tot_res!C:D,2,FALSE)</f>
        <v xml:space="preserve">Tráfico exterior </v>
      </c>
      <c r="D508" s="217">
        <f>Saldo_relativo_per_capita!D508*Saldo_relativo_per_capita!D$552/1000000</f>
        <v>0</v>
      </c>
      <c r="E508" s="217">
        <f>Saldo_relativo_per_capita!E508*Saldo_relativo_per_capita!E$552/1000000</f>
        <v>22.283528728778204</v>
      </c>
      <c r="F508" s="217">
        <f>Saldo_relativo_per_capita!F508*Saldo_relativo_per_capita!F$552/1000000</f>
        <v>-1.6938564362971855</v>
      </c>
      <c r="G508" s="217">
        <f>Saldo_relativo_per_capita!G508*Saldo_relativo_per_capita!G$552/1000000</f>
        <v>-1.984136808410951</v>
      </c>
      <c r="H508" s="217">
        <f>Saldo_relativo_per_capita!H508*Saldo_relativo_per_capita!H$552/1000000</f>
        <v>-4.4172915970905562</v>
      </c>
      <c r="I508" s="217">
        <f>Saldo_relativo_per_capita!I508*Saldo_relativo_per_capita!I$552/1000000</f>
        <v>62.927369827444501</v>
      </c>
      <c r="J508" s="217">
        <f>Saldo_relativo_per_capita!J508*Saldo_relativo_per_capita!J$552/1000000</f>
        <v>-1.4158805989913883</v>
      </c>
      <c r="K508" s="217">
        <f>Saldo_relativo_per_capita!K508*Saldo_relativo_per_capita!K$552/1000000</f>
        <v>0.75748885232310137</v>
      </c>
      <c r="L508" s="217">
        <f>Saldo_relativo_per_capita!L508*Saldo_relativo_per_capita!L$552/1000000</f>
        <v>7.620079185725074</v>
      </c>
      <c r="M508" s="217">
        <f>Saldo_relativo_per_capita!M508*Saldo_relativo_per_capita!M$552/1000000</f>
        <v>-38.458637408739804</v>
      </c>
      <c r="N508" s="217">
        <f>Saldo_relativo_per_capita!N508*Saldo_relativo_per_capita!N$552/1000000</f>
        <v>-0.48855869838554</v>
      </c>
      <c r="O508" s="217">
        <f>Saldo_relativo_per_capita!O508*Saldo_relativo_per_capita!O$552/1000000</f>
        <v>5.4038635590716941</v>
      </c>
      <c r="P508" s="217">
        <f>Saldo_relativo_per_capita!P508*Saldo_relativo_per_capita!P$552/1000000</f>
        <v>0.88198127331813025</v>
      </c>
      <c r="Q508" s="217">
        <f>Saldo_relativo_per_capita!Q508*Saldo_relativo_per_capita!Q$552/1000000</f>
        <v>-47.045428465846967</v>
      </c>
      <c r="R508" s="217">
        <f>Saldo_relativo_per_capita!R508*Saldo_relativo_per_capita!R$552/1000000</f>
        <v>4.9636851911868138</v>
      </c>
      <c r="S508" s="217">
        <f>Saldo_relativo_per_capita!S508*Saldo_relativo_per_capita!S$552/1000000</f>
        <v>-2.3683599234418349</v>
      </c>
      <c r="T508" s="217">
        <f>Saldo_relativo_per_capita!T508*Saldo_relativo_per_capita!T$552/1000000</f>
        <v>-11.847802801146461</v>
      </c>
      <c r="U508" s="217">
        <f>Saldo_relativo_per_capita!U508*Saldo_relativo_per_capita!U$552/1000000</f>
        <v>-0.25285721581677278</v>
      </c>
      <c r="V508" s="217">
        <f>Saldo_relativo_per_capita!V508*Saldo_relativo_per_capita!V$552/1000000</f>
        <v>5.1348133363197386</v>
      </c>
    </row>
    <row r="509" spans="1:22" s="115" customFormat="1">
      <c r="A509" s="351" t="str">
        <f>IF(B509="","",(IF(ISERROR(MATCH(B509,Tot_res!C:C,0)),"Eliminar!!!","")))</f>
        <v/>
      </c>
      <c r="B509" s="115" t="s">
        <v>438</v>
      </c>
      <c r="C509" s="329" t="str">
        <f>VLOOKUP(B509,Tot_res!C:D,2,FALSE)</f>
        <v>Impuesto sobre las primas de seguros</v>
      </c>
      <c r="D509" s="217">
        <f>Saldo_relativo_per_capita!D509*Saldo_relativo_per_capita!D$552/1000000</f>
        <v>0</v>
      </c>
      <c r="E509" s="217">
        <f>Saldo_relativo_per_capita!E509*Saldo_relativo_per_capita!E$552/1000000</f>
        <v>31.400051256729277</v>
      </c>
      <c r="F509" s="217">
        <f>Saldo_relativo_per_capita!F509*Saldo_relativo_per_capita!F$552/1000000</f>
        <v>0.68833567654781314</v>
      </c>
      <c r="G509" s="217">
        <f>Saldo_relativo_per_capita!G509*Saldo_relativo_per_capita!G$552/1000000</f>
        <v>-0.48180421927704553</v>
      </c>
      <c r="H509" s="217">
        <f>Saldo_relativo_per_capita!H509*Saldo_relativo_per_capita!H$552/1000000</f>
        <v>-2.1345131027135005</v>
      </c>
      <c r="I509" s="217">
        <f>Saldo_relativo_per_capita!I509*Saldo_relativo_per_capita!I$552/1000000</f>
        <v>9.6258307370591698</v>
      </c>
      <c r="J509" s="217">
        <f>Saldo_relativo_per_capita!J509*Saldo_relativo_per_capita!J$552/1000000</f>
        <v>-1.3153236337327519</v>
      </c>
      <c r="K509" s="217">
        <f>Saldo_relativo_per_capita!K509*Saldo_relativo_per_capita!K$552/1000000</f>
        <v>2.5784847905344459</v>
      </c>
      <c r="L509" s="217">
        <f>Saldo_relativo_per_capita!L509*Saldo_relativo_per_capita!L$552/1000000</f>
        <v>7.0787158223337689</v>
      </c>
      <c r="M509" s="217">
        <f>Saldo_relativo_per_capita!M509*Saldo_relativo_per_capita!M$552/1000000</f>
        <v>-6.8986512488382674</v>
      </c>
      <c r="N509" s="217">
        <f>Saldo_relativo_per_capita!N509*Saldo_relativo_per_capita!N$552/1000000</f>
        <v>1.4383416367205477</v>
      </c>
      <c r="O509" s="217">
        <f>Saldo_relativo_per_capita!O509*Saldo_relativo_per_capita!O$552/1000000</f>
        <v>4.215179649887931</v>
      </c>
      <c r="P509" s="217">
        <f>Saldo_relativo_per_capita!P509*Saldo_relativo_per_capita!P$552/1000000</f>
        <v>-9.3118381442296089E-2</v>
      </c>
      <c r="Q509" s="217">
        <f>Saldo_relativo_per_capita!Q509*Saldo_relativo_per_capita!Q$552/1000000</f>
        <v>-42.783987095168712</v>
      </c>
      <c r="R509" s="217">
        <f>Saldo_relativo_per_capita!R509*Saldo_relativo_per_capita!R$552/1000000</f>
        <v>2.0256880227859195</v>
      </c>
      <c r="S509" s="217">
        <f>Saldo_relativo_per_capita!S509*Saldo_relativo_per_capita!S$552/1000000</f>
        <v>-0.68162788360797866</v>
      </c>
      <c r="T509" s="217">
        <f>Saldo_relativo_per_capita!T509*Saldo_relativo_per_capita!T$552/1000000</f>
        <v>-5.5308314998139254</v>
      </c>
      <c r="U509" s="217">
        <f>Saldo_relativo_per_capita!U509*Saldo_relativo_per_capita!U$552/1000000</f>
        <v>-0.27388100996989301</v>
      </c>
      <c r="V509" s="217">
        <f>Saldo_relativo_per_capita!V509*Saldo_relativo_per_capita!V$552/1000000</f>
        <v>1.1431104819655302</v>
      </c>
    </row>
    <row r="510" spans="1:22" s="115" customFormat="1">
      <c r="A510" s="351" t="str">
        <f>IF(B510="","",(IF(ISERROR(MATCH(B510,Tot_res!C:C,0)),"Eliminar!!!","")))</f>
        <v/>
      </c>
      <c r="B510" s="115" t="s">
        <v>440</v>
      </c>
      <c r="C510" s="329" t="str">
        <f>VLOOKUP(B510,Tot_res!C:D,2,FALSE)</f>
        <v>Transmisiones patrim. y actos jurídicos documentados, ing. homog.</v>
      </c>
      <c r="D510" s="217">
        <f>Saldo_relativo_per_capita!D510*Saldo_relativo_per_capita!D$552/1000000</f>
        <v>0</v>
      </c>
      <c r="E510" s="217">
        <f>Saldo_relativo_per_capita!E510*Saldo_relativo_per_capita!E$552/1000000</f>
        <v>163.74780156476842</v>
      </c>
      <c r="F510" s="217">
        <f>Saldo_relativo_per_capita!F510*Saldo_relativo_per_capita!F$552/1000000</f>
        <v>8.3114229782533915</v>
      </c>
      <c r="G510" s="217">
        <f>Saldo_relativo_per_capita!G510*Saldo_relativo_per_capita!G$552/1000000</f>
        <v>22.817046449808519</v>
      </c>
      <c r="H510" s="217">
        <f>Saldo_relativo_per_capita!H510*Saldo_relativo_per_capita!H$552/1000000</f>
        <v>-12.714237553996039</v>
      </c>
      <c r="I510" s="217">
        <f>Saldo_relativo_per_capita!I510*Saldo_relativo_per_capita!I$552/1000000</f>
        <v>49.006880081078009</v>
      </c>
      <c r="J510" s="217">
        <f>Saldo_relativo_per_capita!J510*Saldo_relativo_per_capita!J$552/1000000</f>
        <v>8.836988757343553</v>
      </c>
      <c r="K510" s="217">
        <f>Saldo_relativo_per_capita!K510*Saldo_relativo_per_capita!K$552/1000000</f>
        <v>37.789268391961095</v>
      </c>
      <c r="L510" s="217">
        <f>Saldo_relativo_per_capita!L510*Saldo_relativo_per_capita!L$552/1000000</f>
        <v>61.757194446194539</v>
      </c>
      <c r="M510" s="217">
        <f>Saldo_relativo_per_capita!M510*Saldo_relativo_per_capita!M$552/1000000</f>
        <v>-94.66236620641979</v>
      </c>
      <c r="N510" s="217">
        <f>Saldo_relativo_per_capita!N510*Saldo_relativo_per_capita!N$552/1000000</f>
        <v>64.735173284697368</v>
      </c>
      <c r="O510" s="217">
        <f>Saldo_relativo_per_capita!O510*Saldo_relativo_per_capita!O$552/1000000</f>
        <v>40.531036882355771</v>
      </c>
      <c r="P510" s="217">
        <f>Saldo_relativo_per_capita!P510*Saldo_relativo_per_capita!P$552/1000000</f>
        <v>88.463803700709889</v>
      </c>
      <c r="Q510" s="217">
        <f>Saldo_relativo_per_capita!Q510*Saldo_relativo_per_capita!Q$552/1000000</f>
        <v>-423.29831046866195</v>
      </c>
      <c r="R510" s="217">
        <f>Saldo_relativo_per_capita!R510*Saldo_relativo_per_capita!R$552/1000000</f>
        <v>50.187450732336337</v>
      </c>
      <c r="S510" s="217">
        <f>Saldo_relativo_per_capita!S510*Saldo_relativo_per_capita!S$552/1000000</f>
        <v>3.4079779402870782</v>
      </c>
      <c r="T510" s="217">
        <f>Saldo_relativo_per_capita!T510*Saldo_relativo_per_capita!T$552/1000000</f>
        <v>-70.601907421431619</v>
      </c>
      <c r="U510" s="217">
        <f>Saldo_relativo_per_capita!U510*Saldo_relativo_per_capita!U$552/1000000</f>
        <v>-0.78891619110430811</v>
      </c>
      <c r="V510" s="217">
        <f>Saldo_relativo_per_capita!V510*Saldo_relativo_per_capita!V$552/1000000</f>
        <v>2.4736926318190413</v>
      </c>
    </row>
    <row r="511" spans="1:22" s="115" customFormat="1">
      <c r="A511" s="351" t="str">
        <f>IF(B511="","",(IF(ISERROR(MATCH(B511,Tot_res!C:C,0)),"Eliminar!!!","")))</f>
        <v/>
      </c>
      <c r="B511" s="115" t="s">
        <v>441</v>
      </c>
      <c r="C511" s="329" t="str">
        <f>VLOOKUP(B511,Tot_res!C:D,2,FALSE)</f>
        <v>Venta Minorista de Hidrocarburos, ingr. Homog.</v>
      </c>
      <c r="D511" s="217">
        <f>Saldo_relativo_per_capita!D511*Saldo_relativo_per_capita!D$552/1000000</f>
        <v>0</v>
      </c>
      <c r="E511" s="217">
        <f>Saldo_relativo_per_capita!E511*Saldo_relativo_per_capita!E$552/1000000</f>
        <v>2.4591343716404783E-3</v>
      </c>
      <c r="F511" s="217">
        <f>Saldo_relativo_per_capita!F511*Saldo_relativo_per_capita!F$552/1000000</f>
        <v>4.0906179799602201E-3</v>
      </c>
      <c r="G511" s="217">
        <f>Saldo_relativo_per_capita!G511*Saldo_relativo_per_capita!G$552/1000000</f>
        <v>-5.1432078099862717E-4</v>
      </c>
      <c r="H511" s="217">
        <f>Saldo_relativo_per_capita!H511*Saldo_relativo_per_capita!H$552/1000000</f>
        <v>-1.3237831488051834E-2</v>
      </c>
      <c r="I511" s="217">
        <f>Saldo_relativo_per_capita!I511*Saldo_relativo_per_capita!I$552/1000000</f>
        <v>9.7783330026994755E-2</v>
      </c>
      <c r="J511" s="217">
        <f>Saldo_relativo_per_capita!J511*Saldo_relativo_per_capita!J$552/1000000</f>
        <v>-3.2660346526474462E-3</v>
      </c>
      <c r="K511" s="217">
        <f>Saldo_relativo_per_capita!K511*Saldo_relativo_per_capita!K$552/1000000</f>
        <v>-7.986369171109637E-4</v>
      </c>
      <c r="L511" s="217">
        <f>Saldo_relativo_per_capita!L511*Saldo_relativo_per_capita!L$552/1000000</f>
        <v>3.8938637866568725E-3</v>
      </c>
      <c r="M511" s="217">
        <f>Saldo_relativo_per_capita!M511*Saldo_relativo_per_capita!M$552/1000000</f>
        <v>-2.5511632459086712E-2</v>
      </c>
      <c r="N511" s="217">
        <f>Saldo_relativo_per_capita!N511*Saldo_relativo_per_capita!N$552/1000000</f>
        <v>-3.0423796411761361E-3</v>
      </c>
      <c r="O511" s="217">
        <f>Saldo_relativo_per_capita!O511*Saldo_relativo_per_capita!O$552/1000000</f>
        <v>4.6773207202710776E-3</v>
      </c>
      <c r="P511" s="217">
        <f>Saldo_relativo_per_capita!P511*Saldo_relativo_per_capita!P$552/1000000</f>
        <v>-1.7460890136736244E-2</v>
      </c>
      <c r="Q511" s="217">
        <f>Saldo_relativo_per_capita!Q511*Saldo_relativo_per_capita!Q$552/1000000</f>
        <v>-5.3555572521114599E-2</v>
      </c>
      <c r="R511" s="217">
        <f>Saldo_relativo_per_capita!R511*Saldo_relativo_per_capita!R$552/1000000</f>
        <v>-2.9445058841148634E-3</v>
      </c>
      <c r="S511" s="217">
        <f>Saldo_relativo_per_capita!S511*Saldo_relativo_per_capita!S$552/1000000</f>
        <v>8.2743126150860101E-4</v>
      </c>
      <c r="T511" s="217">
        <f>Saldo_relativo_per_capita!T511*Saldo_relativo_per_capita!T$552/1000000</f>
        <v>2.846223225074732E-3</v>
      </c>
      <c r="U511" s="217">
        <f>Saldo_relativo_per_capita!U511*Saldo_relativo_per_capita!U$552/1000000</f>
        <v>7.2160886476890578E-5</v>
      </c>
      <c r="V511" s="217">
        <f>Saldo_relativo_per_capita!V511*Saldo_relativo_per_capita!V$552/1000000</f>
        <v>3.6817222224540193E-3</v>
      </c>
    </row>
    <row r="512" spans="1:22" s="115" customFormat="1">
      <c r="A512" s="351" t="str">
        <f>IF(B512="","",(IF(ISERROR(MATCH(B512,Tot_res!C:C,0)),"Eliminar!!!","")))</f>
        <v/>
      </c>
      <c r="B512" s="115" t="s">
        <v>442</v>
      </c>
      <c r="C512" s="329" t="str">
        <f>VLOOKUP(B512,Tot_res!C:D,2,FALSE)</f>
        <v>Tasas sobre el juego, ingresos homogeneizados</v>
      </c>
      <c r="D512" s="217">
        <f>Saldo_relativo_per_capita!D512*Saldo_relativo_per_capita!D$552/1000000</f>
        <v>0</v>
      </c>
      <c r="E512" s="217">
        <f>Saldo_relativo_per_capita!E512*Saldo_relativo_per_capita!E$552/1000000</f>
        <v>43.990417476681792</v>
      </c>
      <c r="F512" s="217">
        <f>Saldo_relativo_per_capita!F512*Saldo_relativo_per_capita!F$552/1000000</f>
        <v>0.90905181619148057</v>
      </c>
      <c r="G512" s="217">
        <f>Saldo_relativo_per_capita!G512*Saldo_relativo_per_capita!G$552/1000000</f>
        <v>2.6203504214986357</v>
      </c>
      <c r="H512" s="217">
        <f>Saldo_relativo_per_capita!H512*Saldo_relativo_per_capita!H$552/1000000</f>
        <v>-4.9548720801587933</v>
      </c>
      <c r="I512" s="217">
        <f>Saldo_relativo_per_capita!I512*Saldo_relativo_per_capita!I$552/1000000</f>
        <v>12.782172282544579</v>
      </c>
      <c r="J512" s="217">
        <f>Saldo_relativo_per_capita!J512*Saldo_relativo_per_capita!J$552/1000000</f>
        <v>-0.30139843738142924</v>
      </c>
      <c r="K512" s="217">
        <f>Saldo_relativo_per_capita!K512*Saldo_relativo_per_capita!K$552/1000000</f>
        <v>-2.56159408045438</v>
      </c>
      <c r="L512" s="217">
        <f>Saldo_relativo_per_capita!L512*Saldo_relativo_per_capita!L$552/1000000</f>
        <v>3.6022208020924302</v>
      </c>
      <c r="M512" s="217">
        <f>Saldo_relativo_per_capita!M512*Saldo_relativo_per_capita!M$552/1000000</f>
        <v>28.578344819319177</v>
      </c>
      <c r="N512" s="217">
        <f>Saldo_relativo_per_capita!N512*Saldo_relativo_per_capita!N$552/1000000</f>
        <v>-21.750101818503342</v>
      </c>
      <c r="O512" s="217">
        <f>Saldo_relativo_per_capita!O512*Saldo_relativo_per_capita!O$552/1000000</f>
        <v>6.5166422656775405</v>
      </c>
      <c r="P512" s="217">
        <f>Saldo_relativo_per_capita!P512*Saldo_relativo_per_capita!P$552/1000000</f>
        <v>13.496557231254629</v>
      </c>
      <c r="Q512" s="217">
        <f>Saldo_relativo_per_capita!Q512*Saldo_relativo_per_capita!Q$552/1000000</f>
        <v>-118.20394700877075</v>
      </c>
      <c r="R512" s="217">
        <f>Saldo_relativo_per_capita!R512*Saldo_relativo_per_capita!R$552/1000000</f>
        <v>10.930230065023837</v>
      </c>
      <c r="S512" s="217">
        <f>Saldo_relativo_per_capita!S512*Saldo_relativo_per_capita!S$552/1000000</f>
        <v>3.4178135392844946</v>
      </c>
      <c r="T512" s="217">
        <f>Saldo_relativo_per_capita!T512*Saldo_relativo_per_capita!T$552/1000000</f>
        <v>17.759837710408366</v>
      </c>
      <c r="U512" s="217">
        <f>Saldo_relativo_per_capita!U512*Saldo_relativo_per_capita!U$552/1000000</f>
        <v>2.2145445166997009</v>
      </c>
      <c r="V512" s="217">
        <f>Saldo_relativo_per_capita!V512*Saldo_relativo_per_capita!V$552/1000000</f>
        <v>0.95373047859194804</v>
      </c>
    </row>
    <row r="513" spans="1:22" s="115" customFormat="1">
      <c r="A513" s="351" t="str">
        <f>IF(B513="","",(IF(ISERROR(MATCH(B513,Tot_res!C:C,0)),"Eliminar!!!","")))</f>
        <v/>
      </c>
      <c r="B513" s="115" t="s">
        <v>443</v>
      </c>
      <c r="C513" s="329" t="str">
        <f>VLOOKUP(B513,Tot_res!C:D,2,FALSE)</f>
        <v>REF Canarias (bruto de comp IGTE e incl. Parte ccll), rec. Homog.</v>
      </c>
      <c r="D513" s="217">
        <f>Saldo_relativo_per_capita!D513*Saldo_relativo_per_capita!D$552/1000000</f>
        <v>0</v>
      </c>
      <c r="E513" s="217">
        <f>Saldo_relativo_per_capita!E513*Saldo_relativo_per_capita!E$552/1000000</f>
        <v>520.52302645792224</v>
      </c>
      <c r="F513" s="217">
        <f>Saldo_relativo_per_capita!F513*Saldo_relativo_per_capita!F$552/1000000</f>
        <v>80.973851661832995</v>
      </c>
      <c r="G513" s="217">
        <f>Saldo_relativo_per_capita!G513*Saldo_relativo_per_capita!G$552/1000000</f>
        <v>61.748865494255874</v>
      </c>
      <c r="H513" s="217">
        <f>Saldo_relativo_per_capita!H513*Saldo_relativo_per_capita!H$552/1000000</f>
        <v>68.710385614030585</v>
      </c>
      <c r="I513" s="217">
        <f>Saldo_relativo_per_capita!I513*Saldo_relativo_per_capita!I$552/1000000</f>
        <v>-2723.7775164940308</v>
      </c>
      <c r="J513" s="217">
        <f>Saldo_relativo_per_capita!J513*Saldo_relativo_per_capita!J$552/1000000</f>
        <v>35.332647200728765</v>
      </c>
      <c r="K513" s="217">
        <f>Saldo_relativo_per_capita!K513*Saldo_relativo_per_capita!K$552/1000000</f>
        <v>149.76807049772907</v>
      </c>
      <c r="L513" s="217">
        <f>Saldo_relativo_per_capita!L513*Saldo_relativo_per_capita!L$552/1000000</f>
        <v>129.48344055635471</v>
      </c>
      <c r="M513" s="217">
        <f>Saldo_relativo_per_capita!M513*Saldo_relativo_per_capita!M$552/1000000</f>
        <v>460.93847717555269</v>
      </c>
      <c r="N513" s="217">
        <f>Saldo_relativo_per_capita!N513*Saldo_relativo_per_capita!N$552/1000000</f>
        <v>308.19541093029801</v>
      </c>
      <c r="O513" s="217">
        <f>Saldo_relativo_per_capita!O513*Saldo_relativo_per_capita!O$552/1000000</f>
        <v>67.754373595468849</v>
      </c>
      <c r="P513" s="217">
        <f>Saldo_relativo_per_capita!P513*Saldo_relativo_per_capita!P$552/1000000</f>
        <v>164.39654090771705</v>
      </c>
      <c r="Q513" s="217">
        <f>Saldo_relativo_per_capita!Q513*Saldo_relativo_per_capita!Q$552/1000000</f>
        <v>389.00999398671257</v>
      </c>
      <c r="R513" s="217">
        <f>Saldo_relativo_per_capita!R513*Saldo_relativo_per_capita!R$552/1000000</f>
        <v>92.268268055707168</v>
      </c>
      <c r="S513" s="217">
        <f>Saldo_relativo_per_capita!S513*Saldo_relativo_per_capita!S$552/1000000</f>
        <v>38.280551786734804</v>
      </c>
      <c r="T513" s="217">
        <f>Saldo_relativo_per_capita!T513*Saldo_relativo_per_capita!T$552/1000000</f>
        <v>126.45224611816748</v>
      </c>
      <c r="U513" s="217">
        <f>Saldo_relativo_per_capita!U513*Saldo_relativo_per_capita!U$552/1000000</f>
        <v>19.314795645955797</v>
      </c>
      <c r="V513" s="217">
        <f>Saldo_relativo_per_capita!V513*Saldo_relativo_per_capita!V$552/1000000</f>
        <v>10.626570808862487</v>
      </c>
    </row>
    <row r="514" spans="1:22" s="115" customFormat="1">
      <c r="A514" s="351" t="str">
        <f>IF(B514="","",(IF(ISERROR(MATCH(B514,Tot_res!C:C,0)),"Eliminar!!!","")))</f>
        <v/>
      </c>
      <c r="B514" s="115" t="s">
        <v>445</v>
      </c>
      <c r="C514" s="329" t="str">
        <f>VLOOKUP(B514,Tot_res!C:D,2,FALSE)</f>
        <v>IPSI, Ceuta y Melilla</v>
      </c>
      <c r="D514" s="217">
        <f>Saldo_relativo_per_capita!D514*Saldo_relativo_per_capita!D$552/1000000</f>
        <v>0</v>
      </c>
      <c r="E514" s="217">
        <f>Saldo_relativo_per_capita!E514*Saldo_relativo_per_capita!E$552/1000000</f>
        <v>40.535569810015957</v>
      </c>
      <c r="F514" s="217">
        <f>Saldo_relativo_per_capita!F514*Saldo_relativo_per_capita!F$552/1000000</f>
        <v>6.3771618360662545</v>
      </c>
      <c r="G514" s="217">
        <f>Saldo_relativo_per_capita!G514*Saldo_relativo_per_capita!G$552/1000000</f>
        <v>5.0978678005488947</v>
      </c>
      <c r="H514" s="217">
        <f>Saldo_relativo_per_capita!H514*Saldo_relativo_per_capita!H$552/1000000</f>
        <v>5.3269139970495365</v>
      </c>
      <c r="I514" s="217">
        <f>Saldo_relativo_per_capita!I514*Saldo_relativo_per_capita!I$552/1000000</f>
        <v>10.145434512460792</v>
      </c>
      <c r="J514" s="217">
        <f>Saldo_relativo_per_capita!J514*Saldo_relativo_per_capita!J$552/1000000</f>
        <v>2.832038869020514</v>
      </c>
      <c r="K514" s="217">
        <f>Saldo_relativo_per_capita!K514*Saldo_relativo_per_capita!K$552/1000000</f>
        <v>11.983191505010151</v>
      </c>
      <c r="L514" s="217">
        <f>Saldo_relativo_per_capita!L514*Saldo_relativo_per_capita!L$552/1000000</f>
        <v>9.9830181382484096</v>
      </c>
      <c r="M514" s="217">
        <f>Saldo_relativo_per_capita!M514*Saldo_relativo_per_capita!M$552/1000000</f>
        <v>36.254732200966139</v>
      </c>
      <c r="N514" s="217">
        <f>Saldo_relativo_per_capita!N514*Saldo_relativo_per_capita!N$552/1000000</f>
        <v>24.091475875133234</v>
      </c>
      <c r="O514" s="217">
        <f>Saldo_relativo_per_capita!O514*Saldo_relativo_per_capita!O$552/1000000</f>
        <v>5.2900199375053401</v>
      </c>
      <c r="P514" s="217">
        <f>Saldo_relativo_per_capita!P514*Saldo_relativo_per_capita!P$552/1000000</f>
        <v>13.223769939330433</v>
      </c>
      <c r="Q514" s="217">
        <f>Saldo_relativo_per_capita!Q514*Saldo_relativo_per_capita!Q$552/1000000</f>
        <v>31.102367734383744</v>
      </c>
      <c r="R514" s="217">
        <f>Saldo_relativo_per_capita!R514*Saldo_relativo_per_capita!R$552/1000000</f>
        <v>7.0789354873779571</v>
      </c>
      <c r="S514" s="217">
        <f>Saldo_relativo_per_capita!S514*Saldo_relativo_per_capita!S$552/1000000</f>
        <v>3.0912309767168624</v>
      </c>
      <c r="T514" s="217">
        <f>Saldo_relativo_per_capita!T514*Saldo_relativo_per_capita!T$552/1000000</f>
        <v>10.563112807147609</v>
      </c>
      <c r="U514" s="217">
        <f>Saldo_relativo_per_capita!U514*Saldo_relativo_per_capita!U$552/1000000</f>
        <v>1.5345704318195004</v>
      </c>
      <c r="V514" s="217">
        <f>Saldo_relativo_per_capita!V514*Saldo_relativo_per_capita!V$552/1000000</f>
        <v>-224.5114118588013</v>
      </c>
    </row>
    <row r="515" spans="1:22" s="115" customFormat="1">
      <c r="A515" s="351" t="str">
        <f>IF(B515="","",(IF(ISERROR(MATCH(B515,Tot_res!C:C,0)),"Eliminar!!!","")))</f>
        <v/>
      </c>
      <c r="B515" s="115" t="s">
        <v>1227</v>
      </c>
      <c r="C515" s="329" t="str">
        <f>VLOOKUP(B515,Tot_res!C:D,2,FALSE)</f>
        <v>Impuesto sobre la actividad de juego. Ingresos homogeneizados</v>
      </c>
      <c r="D515" s="217">
        <f>Saldo_relativo_per_capita!D515*Saldo_relativo_per_capita!D$552/1000000</f>
        <v>0</v>
      </c>
      <c r="E515" s="217">
        <f>Saldo_relativo_per_capita!E515*Saldo_relativo_per_capita!E$552/1000000</f>
        <v>7.5270704927280034</v>
      </c>
      <c r="F515" s="217">
        <f>Saldo_relativo_per_capita!F515*Saldo_relativo_per_capita!F$552/1000000</f>
        <v>-0.14233042350332042</v>
      </c>
      <c r="G515" s="217">
        <f>Saldo_relativo_per_capita!G515*Saldo_relativo_per_capita!G$552/1000000</f>
        <v>-0.52475149448927616</v>
      </c>
      <c r="H515" s="217">
        <f>Saldo_relativo_per_capita!H515*Saldo_relativo_per_capita!H$552/1000000</f>
        <v>-0.17687116155706001</v>
      </c>
      <c r="I515" s="217">
        <f>Saldo_relativo_per_capita!I515*Saldo_relativo_per_capita!I$552/1000000</f>
        <v>1.331979046701476</v>
      </c>
      <c r="J515" s="217">
        <f>Saldo_relativo_per_capita!J515*Saldo_relativo_per_capita!J$552/1000000</f>
        <v>-0.12504820543217207</v>
      </c>
      <c r="K515" s="217">
        <f>Saldo_relativo_per_capita!K515*Saldo_relativo_per_capita!K$552/1000000</f>
        <v>-0.91011827131166834</v>
      </c>
      <c r="L515" s="217">
        <f>Saldo_relativo_per_capita!L515*Saldo_relativo_per_capita!L$552/1000000</f>
        <v>1.014781140624899</v>
      </c>
      <c r="M515" s="217">
        <f>Saldo_relativo_per_capita!M515*Saldo_relativo_per_capita!M$552/1000000</f>
        <v>-0.47722366430953933</v>
      </c>
      <c r="N515" s="217">
        <f>Saldo_relativo_per_capita!N515*Saldo_relativo_per_capita!N$552/1000000</f>
        <v>1.5131669533845169</v>
      </c>
      <c r="O515" s="217">
        <f>Saldo_relativo_per_capita!O515*Saldo_relativo_per_capita!O$552/1000000</f>
        <v>0.86406487577077074</v>
      </c>
      <c r="P515" s="217">
        <f>Saldo_relativo_per_capita!P515*Saldo_relativo_per_capita!P$552/1000000</f>
        <v>-0.23127462266222037</v>
      </c>
      <c r="Q515" s="217">
        <f>Saldo_relativo_per_capita!Q515*Saldo_relativo_per_capita!Q$552/1000000</f>
        <v>-4.7308130368520569</v>
      </c>
      <c r="R515" s="217">
        <f>Saldo_relativo_per_capita!R515*Saldo_relativo_per_capita!R$552/1000000</f>
        <v>1.0441878112611704</v>
      </c>
      <c r="S515" s="217">
        <f>Saldo_relativo_per_capita!S515*Saldo_relativo_per_capita!S$552/1000000</f>
        <v>-0.87524294536497038</v>
      </c>
      <c r="T515" s="217">
        <f>Saldo_relativo_per_capita!T515*Saldo_relativo_per_capita!T$552/1000000</f>
        <v>-5.0988676732874589</v>
      </c>
      <c r="U515" s="217">
        <f>Saldo_relativo_per_capita!U515*Saldo_relativo_per_capita!U$552/1000000</f>
        <v>-0.27323274337281528</v>
      </c>
      <c r="V515" s="217">
        <f>Saldo_relativo_per_capita!V515*Saldo_relativo_per_capita!V$552/1000000</f>
        <v>0.27052392167171163</v>
      </c>
    </row>
    <row r="516" spans="1:22" s="115" customFormat="1">
      <c r="A516" s="351" t="str">
        <f>IF(B516="","",(IF(ISERROR(MATCH(B516,Tot_res!C:C,0)),"Eliminar!!!","")))</f>
        <v/>
      </c>
      <c r="B516" s="115" t="s">
        <v>1229</v>
      </c>
      <c r="C516" s="329" t="str">
        <f>VLOOKUP(B516,Tot_res!C:D,2,FALSE)</f>
        <v>Impuesto sobre gases fluorados. Ingresos homogeneizados</v>
      </c>
      <c r="D516" s="217">
        <f>Saldo_relativo_per_capita!D516*Saldo_relativo_per_capita!D$552/1000000</f>
        <v>0</v>
      </c>
      <c r="E516" s="217">
        <f>Saldo_relativo_per_capita!E516*Saldo_relativo_per_capita!E$552/1000000</f>
        <v>0.36873202391588428</v>
      </c>
      <c r="F516" s="217">
        <f>Saldo_relativo_per_capita!F516*Saldo_relativo_per_capita!F$552/1000000</f>
        <v>-5.1052040717727988E-2</v>
      </c>
      <c r="G516" s="217">
        <f>Saldo_relativo_per_capita!G516*Saldo_relativo_per_capita!G$552/1000000</f>
        <v>2.8869415511672152E-2</v>
      </c>
      <c r="H516" s="217">
        <f>Saldo_relativo_per_capita!H516*Saldo_relativo_per_capita!H$552/1000000</f>
        <v>-6.2785910732355607E-2</v>
      </c>
      <c r="I516" s="217">
        <f>Saldo_relativo_per_capita!I516*Saldo_relativo_per_capita!I$552/1000000</f>
        <v>0.17467138781818967</v>
      </c>
      <c r="J516" s="217">
        <f>Saldo_relativo_per_capita!J516*Saldo_relativo_per_capita!J$552/1000000</f>
        <v>4.5979625335895464E-3</v>
      </c>
      <c r="K516" s="217">
        <f>Saldo_relativo_per_capita!K516*Saldo_relativo_per_capita!K$552/1000000</f>
        <v>-6.5842067733152501E-2</v>
      </c>
      <c r="L516" s="217">
        <f>Saldo_relativo_per_capita!L516*Saldo_relativo_per_capita!L$552/1000000</f>
        <v>3.4400327805597472E-2</v>
      </c>
      <c r="M516" s="217">
        <f>Saldo_relativo_per_capita!M516*Saldo_relativo_per_capita!M$552/1000000</f>
        <v>-0.24777092464608294</v>
      </c>
      <c r="N516" s="217">
        <f>Saldo_relativo_per_capita!N516*Saldo_relativo_per_capita!N$552/1000000</f>
        <v>0.12133522006183077</v>
      </c>
      <c r="O516" s="217">
        <f>Saldo_relativo_per_capita!O516*Saldo_relativo_per_capita!O$552/1000000</f>
        <v>3.0424229647215154E-2</v>
      </c>
      <c r="P516" s="217">
        <f>Saldo_relativo_per_capita!P516*Saldo_relativo_per_capita!P$552/1000000</f>
        <v>1.0724879017508531E-2</v>
      </c>
      <c r="Q516" s="217">
        <f>Saldo_relativo_per_capita!Q516*Saldo_relativo_per_capita!Q$552/1000000</f>
        <v>-0.36873849129532932</v>
      </c>
      <c r="R516" s="217">
        <f>Saldo_relativo_per_capita!R516*Saldo_relativo_per_capita!R$552/1000000</f>
        <v>8.5944487985857021E-2</v>
      </c>
      <c r="S516" s="217">
        <f>Saldo_relativo_per_capita!S516*Saldo_relativo_per_capita!S$552/1000000</f>
        <v>-2.6880259248856231E-2</v>
      </c>
      <c r="T516" s="217">
        <f>Saldo_relativo_per_capita!T516*Saldo_relativo_per_capita!T$552/1000000</f>
        <v>-8.7940832776723085E-2</v>
      </c>
      <c r="U516" s="217">
        <f>Saldo_relativo_per_capita!U516*Saldo_relativo_per_capita!U$552/1000000</f>
        <v>1.6645838301013904E-2</v>
      </c>
      <c r="V516" s="217">
        <f>Saldo_relativo_per_capita!V516*Saldo_relativo_per_capita!V$552/1000000</f>
        <v>3.4664754551874101E-2</v>
      </c>
    </row>
    <row r="517" spans="1:22" s="115" customFormat="1">
      <c r="A517" s="352"/>
      <c r="D517" s="217"/>
      <c r="E517" s="217"/>
      <c r="F517" s="217"/>
      <c r="G517" s="217"/>
      <c r="H517" s="217"/>
      <c r="I517" s="217"/>
      <c r="J517" s="217"/>
      <c r="K517" s="217"/>
      <c r="L517" s="217"/>
      <c r="M517" s="217"/>
      <c r="N517" s="217"/>
      <c r="O517" s="217"/>
      <c r="P517" s="217"/>
      <c r="Q517" s="217"/>
      <c r="R517" s="217"/>
      <c r="S517" s="217"/>
      <c r="T517" s="217"/>
      <c r="U517" s="217"/>
      <c r="V517" s="217"/>
    </row>
    <row r="518" spans="1:22" s="115" customFormat="1" ht="13.5">
      <c r="A518" s="352"/>
      <c r="C518" s="112" t="s">
        <v>424</v>
      </c>
      <c r="D518" s="218">
        <f>Saldo_relativo_per_capita!D518*Saldo_relativo_per_capita!D$552/1000000</f>
        <v>0</v>
      </c>
      <c r="E518" s="218">
        <f>Saldo_relativo_per_capita!E518*Saldo_relativo_per_capita!E$552/1000000</f>
        <v>-542.57863401607085</v>
      </c>
      <c r="F518" s="218">
        <f>Saldo_relativo_per_capita!F518*Saldo_relativo_per_capita!F$552/1000000</f>
        <v>-141.16130523858152</v>
      </c>
      <c r="G518" s="218">
        <f>Saldo_relativo_per_capita!G518*Saldo_relativo_per_capita!G$552/1000000</f>
        <v>-99.972564944168823</v>
      </c>
      <c r="H518" s="218">
        <f>Saldo_relativo_per_capita!H518*Saldo_relativo_per_capita!H$552/1000000</f>
        <v>-200.25048979618032</v>
      </c>
      <c r="I518" s="218">
        <f>Saldo_relativo_per_capita!I518*Saldo_relativo_per_capita!I$552/1000000</f>
        <v>1587.9456425280082</v>
      </c>
      <c r="J518" s="218">
        <f>Saldo_relativo_per_capita!J518*Saldo_relativo_per_capita!J$552/1000000</f>
        <v>-39.683356993607653</v>
      </c>
      <c r="K518" s="218">
        <f>Saldo_relativo_per_capita!K518*Saldo_relativo_per_capita!K$552/1000000</f>
        <v>-168.68410137599716</v>
      </c>
      <c r="L518" s="218">
        <f>Saldo_relativo_per_capita!L518*Saldo_relativo_per_capita!L$552/1000000</f>
        <v>-28.381201175157777</v>
      </c>
      <c r="M518" s="218">
        <f>Saldo_relativo_per_capita!M518*Saldo_relativo_per_capita!M$552/1000000</f>
        <v>-876.86140415548789</v>
      </c>
      <c r="N518" s="218">
        <f>Saldo_relativo_per_capita!N518*Saldo_relativo_per_capita!N$552/1000000</f>
        <v>-513.12198110760585</v>
      </c>
      <c r="O518" s="218">
        <f>Saldo_relativo_per_capita!O518*Saldo_relativo_per_capita!O$552/1000000</f>
        <v>-167.10393112286522</v>
      </c>
      <c r="P518" s="218">
        <f>Saldo_relativo_per_capita!P518*Saldo_relativo_per_capita!P$552/1000000</f>
        <v>-270.4166233821357</v>
      </c>
      <c r="Q518" s="218">
        <f>Saldo_relativo_per_capita!Q518*Saldo_relativo_per_capita!Q$552/1000000</f>
        <v>375.54045679262043</v>
      </c>
      <c r="R518" s="218">
        <f>Saldo_relativo_per_capita!R518*Saldo_relativo_per_capita!R$552/1000000</f>
        <v>-176.33439954356277</v>
      </c>
      <c r="S518" s="218">
        <f>Saldo_relativo_per_capita!S518*Saldo_relativo_per_capita!S$552/1000000</f>
        <v>351.67476395045929</v>
      </c>
      <c r="T518" s="218">
        <f>Saldo_relativo_per_capita!T518*Saldo_relativo_per_capita!T$552/1000000</f>
        <v>824.55157551646437</v>
      </c>
      <c r="U518" s="218">
        <f>Saldo_relativo_per_capita!U518*Saldo_relativo_per_capita!U$552/1000000</f>
        <v>-22.753948996542523</v>
      </c>
      <c r="V518" s="218">
        <f>Saldo_relativo_per_capita!V518*Saldo_relativo_per_capita!V$552/1000000</f>
        <v>107.59150306040991</v>
      </c>
    </row>
    <row r="519" spans="1:22" s="115" customFormat="1">
      <c r="A519" s="351" t="str">
        <f>IF(B519="","",(IF(ISERROR(MATCH(B519,Tot_res!C:C,0)),"Eliminar!!!","")))</f>
        <v/>
      </c>
      <c r="B519" s="115" t="s">
        <v>447</v>
      </c>
      <c r="C519" s="329" t="str">
        <f>VLOOKUP(B519,Tot_res!C:D,2,FALSE)</f>
        <v>IRPF, sobreesfuerzo fiscal</v>
      </c>
      <c r="D519" s="217">
        <f>Saldo_relativo_per_capita!D519*Saldo_relativo_per_capita!D$552/1000000</f>
        <v>0</v>
      </c>
      <c r="E519" s="217">
        <f>Saldo_relativo_per_capita!E519*Saldo_relativo_per_capita!E$552/1000000</f>
        <v>-351.0127228297506</v>
      </c>
      <c r="F519" s="217">
        <f>Saldo_relativo_per_capita!F519*Saldo_relativo_per_capita!F$552/1000000</f>
        <v>-47.72654700247999</v>
      </c>
      <c r="G519" s="217">
        <f>Saldo_relativo_per_capita!G519*Saldo_relativo_per_capita!G$552/1000000</f>
        <v>-41.796502623905837</v>
      </c>
      <c r="H519" s="217">
        <f>Saldo_relativo_per_capita!H519*Saldo_relativo_per_capita!H$552/1000000</f>
        <v>-39.345052885967299</v>
      </c>
      <c r="I519" s="217">
        <f>Saldo_relativo_per_capita!I519*Saldo_relativo_per_capita!I$552/1000000</f>
        <v>-52.737510150471905</v>
      </c>
      <c r="J519" s="217">
        <f>Saldo_relativo_per_capita!J519*Saldo_relativo_per_capita!J$552/1000000</f>
        <v>-2.9749666007047892</v>
      </c>
      <c r="K519" s="217">
        <f>Saldo_relativo_per_capita!K519*Saldo_relativo_per_capita!K$552/1000000</f>
        <v>-66.556142582256257</v>
      </c>
      <c r="L519" s="217">
        <f>Saldo_relativo_per_capita!L519*Saldo_relativo_per_capita!L$552/1000000</f>
        <v>-27.071350702353264</v>
      </c>
      <c r="M519" s="217">
        <f>Saldo_relativo_per_capita!M519*Saldo_relativo_per_capita!M$552/1000000</f>
        <v>-297.57401465598457</v>
      </c>
      <c r="N519" s="217">
        <f>Saldo_relativo_per_capita!N519*Saldo_relativo_per_capita!N$552/1000000</f>
        <v>-158.18718636753388</v>
      </c>
      <c r="O519" s="217">
        <f>Saldo_relativo_per_capita!O519*Saldo_relativo_per_capita!O$552/1000000</f>
        <v>-41.062612452929756</v>
      </c>
      <c r="P519" s="217">
        <f>Saldo_relativo_per_capita!P519*Saldo_relativo_per_capita!P$552/1000000</f>
        <v>-85.854775308942536</v>
      </c>
      <c r="Q519" s="217">
        <f>Saldo_relativo_per_capita!Q519*Saldo_relativo_per_capita!Q$552/1000000</f>
        <v>172.22305271221649</v>
      </c>
      <c r="R519" s="217">
        <f>Saldo_relativo_per_capita!R519*Saldo_relativo_per_capita!R$552/1000000</f>
        <v>-58.035356980476799</v>
      </c>
      <c r="S519" s="217">
        <f>Saldo_relativo_per_capita!S519*Saldo_relativo_per_capita!S$552/1000000</f>
        <v>300.97900850297015</v>
      </c>
      <c r="T519" s="217">
        <f>Saldo_relativo_per_capita!T519*Saldo_relativo_per_capita!T$552/1000000</f>
        <v>779.91782801510385</v>
      </c>
      <c r="U519" s="217">
        <f>Saldo_relativo_per_capita!U519*Saldo_relativo_per_capita!U$552/1000000</f>
        <v>-6.6175317214294838</v>
      </c>
      <c r="V519" s="217">
        <f>Saldo_relativo_per_capita!V519*Saldo_relativo_per_capita!V$552/1000000</f>
        <v>23.432383634896482</v>
      </c>
    </row>
    <row r="520" spans="1:22" s="115" customFormat="1">
      <c r="A520" s="351" t="str">
        <f>IF(B520="","",(IF(ISERROR(MATCH(B520,Tot_res!C:C,0)),"Eliminar!!!","")))</f>
        <v/>
      </c>
      <c r="B520" s="115" t="s">
        <v>449</v>
      </c>
      <c r="C520" s="329" t="str">
        <f>VLOOKUP(B520,Tot_res!C:D,2,FALSE)</f>
        <v>Sociedades, sobreesfuerzo fiscal</v>
      </c>
      <c r="D520" s="217">
        <f>Saldo_relativo_per_capita!D520*Saldo_relativo_per_capita!D$552/1000000</f>
        <v>0</v>
      </c>
      <c r="E520" s="217">
        <f>Saldo_relativo_per_capita!E520*Saldo_relativo_per_capita!E$552/1000000</f>
        <v>-23.906098793170241</v>
      </c>
      <c r="F520" s="217">
        <f>Saldo_relativo_per_capita!F520*Saldo_relativo_per_capita!F$552/1000000</f>
        <v>-2.6358769640313322</v>
      </c>
      <c r="G520" s="217">
        <f>Saldo_relativo_per_capita!G520*Saldo_relativo_per_capita!G$552/1000000</f>
        <v>-2.3780093947155803</v>
      </c>
      <c r="H520" s="217">
        <f>Saldo_relativo_per_capita!H520*Saldo_relativo_per_capita!H$552/1000000</f>
        <v>-2.3417990484136597</v>
      </c>
      <c r="I520" s="217">
        <f>Saldo_relativo_per_capita!I520*Saldo_relativo_per_capita!I$552/1000000</f>
        <v>-5.67663530719891</v>
      </c>
      <c r="J520" s="217">
        <f>Saldo_relativo_per_capita!J520*Saldo_relativo_per_capita!J$552/1000000</f>
        <v>-1.1713730647158545</v>
      </c>
      <c r="K520" s="217">
        <f>Saldo_relativo_per_capita!K520*Saldo_relativo_per_capita!K$552/1000000</f>
        <v>-5.9619913734879733</v>
      </c>
      <c r="L520" s="217">
        <f>Saldo_relativo_per_capita!L520*Saldo_relativo_per_capita!L$552/1000000</f>
        <v>-5.8645311931179425</v>
      </c>
      <c r="M520" s="217">
        <f>Saldo_relativo_per_capita!M520*Saldo_relativo_per_capita!M$552/1000000</f>
        <v>-13.42496740230478</v>
      </c>
      <c r="N520" s="217">
        <f>Saldo_relativo_per_capita!N520*Saldo_relativo_per_capita!N$552/1000000</f>
        <v>-12.16515898766624</v>
      </c>
      <c r="O520" s="217">
        <f>Saldo_relativo_per_capita!O520*Saldo_relativo_per_capita!O$552/1000000</f>
        <v>-3.3240027392202554</v>
      </c>
      <c r="P520" s="217">
        <f>Saldo_relativo_per_capita!P520*Saldo_relativo_per_capita!P$552/1000000</f>
        <v>-6.5067592421121079</v>
      </c>
      <c r="Q520" s="217">
        <f>Saldo_relativo_per_capita!Q520*Saldo_relativo_per_capita!Q$552/1000000</f>
        <v>-7.429924921410878</v>
      </c>
      <c r="R520" s="217">
        <f>Saldo_relativo_per_capita!R520*Saldo_relativo_per_capita!R$552/1000000</f>
        <v>-4.0204439186019689</v>
      </c>
      <c r="S520" s="217">
        <f>Saldo_relativo_per_capita!S520*Saldo_relativo_per_capita!S$552/1000000</f>
        <v>70.873611039947349</v>
      </c>
      <c r="T520" s="217">
        <f>Saldo_relativo_per_capita!T520*Saldo_relativo_per_capita!T$552/1000000</f>
        <v>27.018758429865279</v>
      </c>
      <c r="U520" s="217">
        <f>Saldo_relativo_per_capita!U520*Saldo_relativo_per_capita!U$552/1000000</f>
        <v>-0.64858016931155316</v>
      </c>
      <c r="V520" s="217">
        <f>Saldo_relativo_per_capita!V520*Saldo_relativo_per_capita!V$552/1000000</f>
        <v>-0.43621695033334984</v>
      </c>
    </row>
    <row r="521" spans="1:22" s="115" customFormat="1">
      <c r="A521" s="351" t="str">
        <f>IF(B521="","",(IF(ISERROR(MATCH(B521,Tot_res!C:C,0)),"Eliminar!!!","")))</f>
        <v/>
      </c>
      <c r="B521" s="115" t="s">
        <v>450</v>
      </c>
      <c r="C521" s="329" t="str">
        <f>VLOOKUP(B521,Tot_res!C:D,2,FALSE)</f>
        <v>Sucesiones y donaciones, sobreesfuerzo fiscal</v>
      </c>
      <c r="D521" s="217">
        <f>Saldo_relativo_per_capita!D521*Saldo_relativo_per_capita!D$552/1000000</f>
        <v>0</v>
      </c>
      <c r="E521" s="217">
        <f>Saldo_relativo_per_capita!E521*Saldo_relativo_per_capita!E$552/1000000</f>
        <v>-26.917159443102122</v>
      </c>
      <c r="F521" s="217">
        <f>Saldo_relativo_per_capita!F521*Saldo_relativo_per_capita!F$552/1000000</f>
        <v>-42.302156650226365</v>
      </c>
      <c r="G521" s="217">
        <f>Saldo_relativo_per_capita!G521*Saldo_relativo_per_capita!G$552/1000000</f>
        <v>-23.272177296492238</v>
      </c>
      <c r="H521" s="217">
        <f>Saldo_relativo_per_capita!H521*Saldo_relativo_per_capita!H$552/1000000</f>
        <v>-34.221500308657603</v>
      </c>
      <c r="I521" s="217">
        <f>Saldo_relativo_per_capita!I521*Saldo_relativo_per_capita!I$552/1000000</f>
        <v>7.7308119498129457</v>
      </c>
      <c r="J521" s="217">
        <f>Saldo_relativo_per_capita!J521*Saldo_relativo_per_capita!J$552/1000000</f>
        <v>7.7953125601533495</v>
      </c>
      <c r="K521" s="217">
        <f>Saldo_relativo_per_capita!K521*Saldo_relativo_per_capita!K$552/1000000</f>
        <v>8.5226222349471517</v>
      </c>
      <c r="L521" s="217">
        <f>Saldo_relativo_per_capita!L521*Saldo_relativo_per_capita!L$552/1000000</f>
        <v>24.696531387955975</v>
      </c>
      <c r="M521" s="217">
        <f>Saldo_relativo_per_capita!M521*Saldo_relativo_per_capita!M$552/1000000</f>
        <v>111.71413717452245</v>
      </c>
      <c r="N521" s="217">
        <f>Saldo_relativo_per_capita!N521*Saldo_relativo_per_capita!N$552/1000000</f>
        <v>66.166272402904809</v>
      </c>
      <c r="O521" s="217">
        <f>Saldo_relativo_per_capita!O521*Saldo_relativo_per_capita!O$552/1000000</f>
        <v>5.6491602491751118</v>
      </c>
      <c r="P521" s="217">
        <f>Saldo_relativo_per_capita!P521*Saldo_relativo_per_capita!P$552/1000000</f>
        <v>-41.357341741148943</v>
      </c>
      <c r="Q521" s="217">
        <f>Saldo_relativo_per_capita!Q521*Saldo_relativo_per_capita!Q$552/1000000</f>
        <v>-73.378804712486797</v>
      </c>
      <c r="R521" s="217">
        <f>Saldo_relativo_per_capita!R521*Saldo_relativo_per_capita!R$552/1000000</f>
        <v>-42.083119183107314</v>
      </c>
      <c r="S521" s="217">
        <f>Saldo_relativo_per_capita!S521*Saldo_relativo_per_capita!S$552/1000000</f>
        <v>-9.754768620684608</v>
      </c>
      <c r="T521" s="217">
        <f>Saldo_relativo_per_capita!T521*Saldo_relativo_per_capita!T$552/1000000</f>
        <v>50.914777712514663</v>
      </c>
      <c r="U521" s="217">
        <f>Saldo_relativo_per_capita!U521*Saldo_relativo_per_capita!U$552/1000000</f>
        <v>4.2412461261878232</v>
      </c>
      <c r="V521" s="217">
        <f>Saldo_relativo_per_capita!V521*Saldo_relativo_per_capita!V$552/1000000</f>
        <v>5.8561561577316876</v>
      </c>
    </row>
    <row r="522" spans="1:22" s="115" customFormat="1">
      <c r="A522" s="351" t="str">
        <f>IF(B522="","",(IF(ISERROR(MATCH(B522,Tot_res!C:C,0)),"Eliminar!!!","")))</f>
        <v/>
      </c>
      <c r="B522" s="102" t="s">
        <v>652</v>
      </c>
      <c r="C522" s="329" t="str">
        <f>VLOOKUP(B522,Tot_res!C:D,2,FALSE)</f>
        <v>Patrimonio, sobreesfuerzo fiscal</v>
      </c>
      <c r="D522" s="217">
        <f>Saldo_relativo_per_capita!D522*Saldo_relativo_per_capita!D$552/1000000</f>
        <v>0</v>
      </c>
      <c r="E522" s="217">
        <f>Saldo_relativo_per_capita!E522*Saldo_relativo_per_capita!E$552/1000000</f>
        <v>0.44307939159055498</v>
      </c>
      <c r="F522" s="217">
        <f>Saldo_relativo_per_capita!F522*Saldo_relativo_per_capita!F$552/1000000</f>
        <v>6.9706408461552363E-2</v>
      </c>
      <c r="G522" s="217">
        <f>Saldo_relativo_per_capita!G522*Saldo_relativo_per_capita!G$552/1000000</f>
        <v>5.5722916294571649E-2</v>
      </c>
      <c r="H522" s="217">
        <f>Saldo_relativo_per_capita!H522*Saldo_relativo_per_capita!H$552/1000000</f>
        <v>5.8226535951758737E-2</v>
      </c>
      <c r="I522" s="217">
        <f>Saldo_relativo_per_capita!I522*Saldo_relativo_per_capita!I$552/1000000</f>
        <v>0.11089600990614956</v>
      </c>
      <c r="J522" s="217">
        <f>Saldo_relativo_per_capita!J522*Saldo_relativo_per_capita!J$552/1000000</f>
        <v>3.0955974343707365E-2</v>
      </c>
      <c r="K522" s="217">
        <f>Saldo_relativo_per_capita!K522*Saldo_relativo_per_capita!K$552/1000000</f>
        <v>0.13098385507439136</v>
      </c>
      <c r="L522" s="217">
        <f>Saldo_relativo_per_capita!L522*Saldo_relativo_per_capita!L$552/1000000</f>
        <v>0.1091206963085451</v>
      </c>
      <c r="M522" s="217">
        <f>Saldo_relativo_per_capita!M522*Saldo_relativo_per_capita!M$552/1000000</f>
        <v>0.39628713155312267</v>
      </c>
      <c r="N522" s="217">
        <f>Saldo_relativo_per_capita!N522*Saldo_relativo_per_capita!N$552/1000000</f>
        <v>0.26333505420799624</v>
      </c>
      <c r="O522" s="217">
        <f>Saldo_relativo_per_capita!O522*Saldo_relativo_per_capita!O$552/1000000</f>
        <v>5.7823260568366716E-2</v>
      </c>
      <c r="P522" s="217">
        <f>Saldo_relativo_per_capita!P522*Saldo_relativo_per_capita!P$552/1000000</f>
        <v>0.14454416125672051</v>
      </c>
      <c r="Q522" s="217">
        <f>Saldo_relativo_per_capita!Q522*Saldo_relativo_per_capita!Q$552/1000000</f>
        <v>0.33996853226351703</v>
      </c>
      <c r="R522" s="217">
        <f>Saldo_relativo_per_capita!R522*Saldo_relativo_per_capita!R$552/1000000</f>
        <v>7.7377237906279706E-2</v>
      </c>
      <c r="S522" s="217">
        <f>Saldo_relativo_per_capita!S522*Saldo_relativo_per_capita!S$552/1000000</f>
        <v>3.3789107858825614E-2</v>
      </c>
      <c r="T522" s="217">
        <f>Saldo_relativo_per_capita!T522*Saldo_relativo_per_capita!T$552/1000000</f>
        <v>0.11546149758913478</v>
      </c>
      <c r="U522" s="217">
        <f>Saldo_relativo_per_capita!U522*Saldo_relativo_per_capita!U$552/1000000</f>
        <v>1.6773824482305254E-2</v>
      </c>
      <c r="V522" s="217">
        <f>Saldo_relativo_per_capita!V522*Saldo_relativo_per_capita!V$552/1000000</f>
        <v>-2.4540515956174991</v>
      </c>
    </row>
    <row r="523" spans="1:22" s="115" customFormat="1">
      <c r="A523" s="351" t="str">
        <f>IF(B523="","",(IF(ISERROR(MATCH(B523,Tot_res!C:C,0)),"Eliminar!!!","")))</f>
        <v/>
      </c>
      <c r="B523" s="102" t="s">
        <v>1095</v>
      </c>
      <c r="C523" s="329" t="str">
        <f>VLOOKUP(B523,Tot_res!C:D,2,FALSE)</f>
        <v>IH, sobreesfuerzo fiscal</v>
      </c>
      <c r="D523" s="217">
        <f>Saldo_relativo_per_capita!D523*Saldo_relativo_per_capita!D$552/1000000</f>
        <v>0</v>
      </c>
      <c r="E523" s="217">
        <f>Saldo_relativo_per_capita!E523*Saldo_relativo_per_capita!E$552/1000000</f>
        <v>-35.073033433111441</v>
      </c>
      <c r="F523" s="217">
        <f>Saldo_relativo_per_capita!F523*Saldo_relativo_per_capita!F$552/1000000</f>
        <v>24.031874147979995</v>
      </c>
      <c r="G523" s="217">
        <f>Saldo_relativo_per_capita!G523*Saldo_relativo_per_capita!G$552/1000000</f>
        <v>-1.7409731792481011</v>
      </c>
      <c r="H523" s="217">
        <f>Saldo_relativo_per_capita!H523*Saldo_relativo_per_capita!H$552/1000000</f>
        <v>-10.74990144425179</v>
      </c>
      <c r="I523" s="217">
        <f>Saldo_relativo_per_capita!I523*Saldo_relativo_per_capita!I$552/1000000</f>
        <v>42.003515926899375</v>
      </c>
      <c r="J523" s="217">
        <f>Saldo_relativo_per_capita!J523*Saldo_relativo_per_capita!J$552/1000000</f>
        <v>-7.8449231681575728</v>
      </c>
      <c r="K523" s="217">
        <f>Saldo_relativo_per_capita!K523*Saldo_relativo_per_capita!K$552/1000000</f>
        <v>-28.648338183826954</v>
      </c>
      <c r="L523" s="217">
        <f>Saldo_relativo_per_capita!L523*Saldo_relativo_per_capita!L$552/1000000</f>
        <v>-19.292549489801953</v>
      </c>
      <c r="M523" s="217">
        <f>Saldo_relativo_per_capita!M523*Saldo_relativo_per_capita!M$552/1000000</f>
        <v>-48.188882524905537</v>
      </c>
      <c r="N523" s="217">
        <f>Saldo_relativo_per_capita!N523*Saldo_relativo_per_capita!N$552/1000000</f>
        <v>-14.233716082310474</v>
      </c>
      <c r="O523" s="217">
        <f>Saldo_relativo_per_capita!O523*Saldo_relativo_per_capita!O$552/1000000</f>
        <v>-5.0524140941943338</v>
      </c>
      <c r="P523" s="217">
        <f>Saldo_relativo_per_capita!P523*Saldo_relativo_per_capita!P$552/1000000</f>
        <v>-11.075039484722732</v>
      </c>
      <c r="Q523" s="217">
        <f>Saldo_relativo_per_capita!Q523*Saldo_relativo_per_capita!Q$552/1000000</f>
        <v>67.455760951758819</v>
      </c>
      <c r="R523" s="217">
        <f>Saldo_relativo_per_capita!R523*Saldo_relativo_per_capita!R$552/1000000</f>
        <v>-11.264508210085676</v>
      </c>
      <c r="S523" s="217">
        <f>Saldo_relativo_per_capita!S523*Saldo_relativo_per_capita!S$552/1000000</f>
        <v>11.531715816728592</v>
      </c>
      <c r="T523" s="217">
        <f>Saldo_relativo_per_capita!T523*Saldo_relativo_per_capita!T$552/1000000</f>
        <v>39.118952920726812</v>
      </c>
      <c r="U523" s="217">
        <f>Saldo_relativo_per_capita!U523*Saldo_relativo_per_capita!U$552/1000000</f>
        <v>5.7956092599541469</v>
      </c>
      <c r="V523" s="217">
        <f>Saldo_relativo_per_capita!V523*Saldo_relativo_per_capita!V$552/1000000</f>
        <v>3.2268502705686997</v>
      </c>
    </row>
    <row r="524" spans="1:22" s="115" customFormat="1">
      <c r="A524" s="351" t="str">
        <f>IF(B524="","",(IF(ISERROR(MATCH(B524,Tot_res!C:C,0)),"Eliminar!!!","")))</f>
        <v/>
      </c>
      <c r="B524" s="115" t="s">
        <v>452</v>
      </c>
      <c r="C524" s="329" t="str">
        <f>VLOOKUP(B524,Tot_res!C:D,2,FALSE)</f>
        <v>ITP y AJD, sobreesfuerzo fiscal</v>
      </c>
      <c r="D524" s="217">
        <f>Saldo_relativo_per_capita!D524*Saldo_relativo_per_capita!D$552/1000000</f>
        <v>0</v>
      </c>
      <c r="E524" s="217">
        <f>Saldo_relativo_per_capita!E524*Saldo_relativo_per_capita!E$552/1000000</f>
        <v>-3.8260282474840244</v>
      </c>
      <c r="F524" s="217">
        <f>Saldo_relativo_per_capita!F524*Saldo_relativo_per_capita!F$552/1000000</f>
        <v>5.7288575557237928</v>
      </c>
      <c r="G524" s="217">
        <f>Saldo_relativo_per_capita!G524*Saldo_relativo_per_capita!G$552/1000000</f>
        <v>0.59096812083017891</v>
      </c>
      <c r="H524" s="217">
        <f>Saldo_relativo_per_capita!H524*Saldo_relativo_per_capita!H$552/1000000</f>
        <v>-2.8096579169579092</v>
      </c>
      <c r="I524" s="217">
        <f>Saldo_relativo_per_capita!I524*Saldo_relativo_per_capita!I$552/1000000</f>
        <v>15.587767849109209</v>
      </c>
      <c r="J524" s="217">
        <f>Saldo_relativo_per_capita!J524*Saldo_relativo_per_capita!J$552/1000000</f>
        <v>-0.1639439652937541</v>
      </c>
      <c r="K524" s="217">
        <f>Saldo_relativo_per_capita!K524*Saldo_relativo_per_capita!K$552/1000000</f>
        <v>-1.7866838630661419</v>
      </c>
      <c r="L524" s="217">
        <f>Saldo_relativo_per_capita!L524*Saldo_relativo_per_capita!L$552/1000000</f>
        <v>1.152707693105431</v>
      </c>
      <c r="M524" s="217">
        <f>Saldo_relativo_per_capita!M524*Saldo_relativo_per_capita!M$552/1000000</f>
        <v>-128.49570770187549</v>
      </c>
      <c r="N524" s="217">
        <f>Saldo_relativo_per_capita!N524*Saldo_relativo_per_capita!N$552/1000000</f>
        <v>-57.008884650388964</v>
      </c>
      <c r="O524" s="217">
        <f>Saldo_relativo_per_capita!O524*Saldo_relativo_per_capita!O$552/1000000</f>
        <v>1.2145957123214395</v>
      </c>
      <c r="P524" s="217">
        <f>Saldo_relativo_per_capita!P524*Saldo_relativo_per_capita!P$552/1000000</f>
        <v>-16.330434184915141</v>
      </c>
      <c r="Q524" s="217">
        <f>Saldo_relativo_per_capita!Q524*Saldo_relativo_per_capita!Q$552/1000000</f>
        <v>94.105269305038647</v>
      </c>
      <c r="R524" s="217">
        <f>Saldo_relativo_per_capita!R524*Saldo_relativo_per_capita!R$552/1000000</f>
        <v>1.1489918851790784</v>
      </c>
      <c r="S524" s="217">
        <f>Saldo_relativo_per_capita!S524*Saldo_relativo_per_capita!S$552/1000000</f>
        <v>17.240004964685735</v>
      </c>
      <c r="T524" s="217">
        <f>Saldo_relativo_per_capita!T524*Saldo_relativo_per_capita!T$552/1000000</f>
        <v>81.883536058252545</v>
      </c>
      <c r="U524" s="217">
        <f>Saldo_relativo_per_capita!U524*Saldo_relativo_per_capita!U$552/1000000</f>
        <v>1.393214718113527</v>
      </c>
      <c r="V524" s="217">
        <f>Saldo_relativo_per_capita!V524*Saldo_relativo_per_capita!V$552/1000000</f>
        <v>-9.6245733323782261</v>
      </c>
    </row>
    <row r="525" spans="1:22" s="115" customFormat="1">
      <c r="A525" s="351" t="str">
        <f>IF(B525="","",(IF(ISERROR(MATCH(B525,Tot_res!C:C,0)),"Eliminar!!!","")))</f>
        <v/>
      </c>
      <c r="B525" s="115" t="s">
        <v>453</v>
      </c>
      <c r="C525" s="329" t="str">
        <f>VLOOKUP(B525,Tot_res!C:D,2,FALSE)</f>
        <v>IVMH, sobreesfuerzo fiscal</v>
      </c>
      <c r="D525" s="217">
        <f>Saldo_relativo_per_capita!D525*Saldo_relativo_per_capita!D$552/1000000</f>
        <v>0</v>
      </c>
      <c r="E525" s="217">
        <f>Saldo_relativo_per_capita!E525*Saldo_relativo_per_capita!E$552/1000000</f>
        <v>-0.7561388638037595</v>
      </c>
      <c r="F525" s="217">
        <f>Saldo_relativo_per_capita!F525*Saldo_relativo_per_capita!F$552/1000000</f>
        <v>0.11312999696834787</v>
      </c>
      <c r="G525" s="217">
        <f>Saldo_relativo_per_capita!G525*Saldo_relativo_per_capita!G$552/1000000</f>
        <v>4.6461149310423576E-2</v>
      </c>
      <c r="H525" s="217">
        <f>Saldo_relativo_per_capita!H525*Saldo_relativo_per_capita!H$552/1000000</f>
        <v>3.4055521002499055E-2</v>
      </c>
      <c r="I525" s="217">
        <f>Saldo_relativo_per_capita!I525*Saldo_relativo_per_capita!I$552/1000000</f>
        <v>0.19699714525173925</v>
      </c>
      <c r="J525" s="217">
        <f>Saldo_relativo_per_capita!J525*Saldo_relativo_per_capita!J$552/1000000</f>
        <v>-4.9905316816413643E-2</v>
      </c>
      <c r="K525" s="217">
        <f>Saldo_relativo_per_capita!K525*Saldo_relativo_per_capita!K$552/1000000</f>
        <v>-0.15232185079790567</v>
      </c>
      <c r="L525" s="217">
        <f>Saldo_relativo_per_capita!L525*Saldo_relativo_per_capita!L$552/1000000</f>
        <v>-4.6586273055779864E-2</v>
      </c>
      <c r="M525" s="217">
        <f>Saldo_relativo_per_capita!M525*Saldo_relativo_per_capita!M$552/1000000</f>
        <v>0.17382723953933801</v>
      </c>
      <c r="N525" s="217">
        <f>Saldo_relativo_per_capita!N525*Saldo_relativo_per_capita!N$552/1000000</f>
        <v>-0.41972495805523602</v>
      </c>
      <c r="O525" s="217">
        <f>Saldo_relativo_per_capita!O525*Saldo_relativo_per_capita!O$552/1000000</f>
        <v>-0.18659262438283736</v>
      </c>
      <c r="P525" s="217">
        <f>Saldo_relativo_per_capita!P525*Saldo_relativo_per_capita!P$552/1000000</f>
        <v>7.3602161069343697E-2</v>
      </c>
      <c r="Q525" s="217">
        <f>Saldo_relativo_per_capita!Q525*Saldo_relativo_per_capita!Q$552/1000000</f>
        <v>0.32392214127282981</v>
      </c>
      <c r="R525" s="217">
        <f>Saldo_relativo_per_capita!R525*Saldo_relativo_per_capita!R$552/1000000</f>
        <v>-0.13803421396834561</v>
      </c>
      <c r="S525" s="217">
        <f>Saldo_relativo_per_capita!S525*Saldo_relativo_per_capita!S$552/1000000</f>
        <v>0.56059175539644579</v>
      </c>
      <c r="T525" s="217">
        <f>Saldo_relativo_per_capita!T525*Saldo_relativo_per_capita!T$552/1000000</f>
        <v>0.18427783290826819</v>
      </c>
      <c r="U525" s="217">
        <f>Saldo_relativo_per_capita!U525*Saldo_relativo_per_capita!U$552/1000000</f>
        <v>2.727667657237488E-2</v>
      </c>
      <c r="V525" s="217">
        <f>Saldo_relativo_per_capita!V525*Saldo_relativo_per_capita!V$552/1000000</f>
        <v>1.5162481588668559E-2</v>
      </c>
    </row>
    <row r="526" spans="1:22" s="115" customFormat="1">
      <c r="A526" s="351" t="str">
        <f>IF(B526="","",(IF(ISERROR(MATCH(B526,Tot_res!C:C,0)),"Eliminar!!!","")))</f>
        <v/>
      </c>
      <c r="B526" s="115" t="s">
        <v>455</v>
      </c>
      <c r="C526" s="329" t="str">
        <f>VLOOKUP(B526,Tot_res!C:D,2,FALSE)</f>
        <v>Tasas sobre el juego, sobreesfuerzo fiscal</v>
      </c>
      <c r="D526" s="217">
        <f>Saldo_relativo_per_capita!D526*Saldo_relativo_per_capita!D$552/1000000</f>
        <v>0</v>
      </c>
      <c r="E526" s="217">
        <f>Saldo_relativo_per_capita!E526*Saldo_relativo_per_capita!E$552/1000000</f>
        <v>-11.424754422103781</v>
      </c>
      <c r="F526" s="217">
        <f>Saldo_relativo_per_capita!F526*Saldo_relativo_per_capita!F$552/1000000</f>
        <v>-8.582252087514993</v>
      </c>
      <c r="G526" s="217">
        <f>Saldo_relativo_per_capita!G526*Saldo_relativo_per_capita!G$552/1000000</f>
        <v>-5.1711696390385136</v>
      </c>
      <c r="H526" s="217">
        <f>Saldo_relativo_per_capita!H526*Saldo_relativo_per_capita!H$552/1000000</f>
        <v>5.4606116192080307</v>
      </c>
      <c r="I526" s="217">
        <f>Saldo_relativo_per_capita!I526*Saldo_relativo_per_capita!I$552/1000000</f>
        <v>-16.918592789693296</v>
      </c>
      <c r="J526" s="217">
        <f>Saldo_relativo_per_capita!J526*Saldo_relativo_per_capita!J$552/1000000</f>
        <v>-1.3709940786087733</v>
      </c>
      <c r="K526" s="217">
        <f>Saldo_relativo_per_capita!K526*Saldo_relativo_per_capita!K$552/1000000</f>
        <v>-1.9846821579676792</v>
      </c>
      <c r="L526" s="217">
        <f>Saldo_relativo_per_capita!L526*Saldo_relativo_per_capita!L$552/1000000</f>
        <v>5.5521131619826285</v>
      </c>
      <c r="M526" s="217">
        <f>Saldo_relativo_per_capita!M526*Saldo_relativo_per_capita!M$552/1000000</f>
        <v>-47.879017166283298</v>
      </c>
      <c r="N526" s="217">
        <f>Saldo_relativo_per_capita!N526*Saldo_relativo_per_capita!N$552/1000000</f>
        <v>7.3786429065515016</v>
      </c>
      <c r="O526" s="217">
        <f>Saldo_relativo_per_capita!O526*Saldo_relativo_per_capita!O$552/1000000</f>
        <v>-3.7310192198933829</v>
      </c>
      <c r="P526" s="217">
        <f>Saldo_relativo_per_capita!P526*Saldo_relativo_per_capita!P$552/1000000</f>
        <v>8.1281560245621751</v>
      </c>
      <c r="Q526" s="217">
        <f>Saldo_relativo_per_capita!Q526*Saldo_relativo_per_capita!Q$552/1000000</f>
        <v>95.611234526346692</v>
      </c>
      <c r="R526" s="217">
        <f>Saldo_relativo_per_capita!R526*Saldo_relativo_per_capita!R$552/1000000</f>
        <v>-5.1456139771116733</v>
      </c>
      <c r="S526" s="217">
        <f>Saldo_relativo_per_capita!S526*Saldo_relativo_per_capita!S$552/1000000</f>
        <v>1.0552013932969433</v>
      </c>
      <c r="T526" s="217">
        <f>Saldo_relativo_per_capita!T526*Saldo_relativo_per_capita!T$552/1000000</f>
        <v>-17.507327699331576</v>
      </c>
      <c r="U526" s="217">
        <f>Saldo_relativo_per_capita!U526*Saldo_relativo_per_capita!U$552/1000000</f>
        <v>-3.4085607129521533</v>
      </c>
      <c r="V526" s="217">
        <f>Saldo_relativo_per_capita!V526*Saldo_relativo_per_capita!V$552/1000000</f>
        <v>-6.1975681448875643E-2</v>
      </c>
    </row>
    <row r="527" spans="1:22" s="115" customFormat="1">
      <c r="A527" s="351" t="str">
        <f>IF(B527="","",(IF(ISERROR(MATCH(B527,Tot_res!C:C,0)),"Eliminar!!!","")))</f>
        <v/>
      </c>
      <c r="B527" s="115" t="s">
        <v>456</v>
      </c>
      <c r="C527" s="329" t="str">
        <f>VLOOKUP(B527,Tot_res!C:D,2,FALSE)</f>
        <v>Canarias, sobreesfuerzo fiscal consumo</v>
      </c>
      <c r="D527" s="217">
        <f>Saldo_relativo_per_capita!D527*Saldo_relativo_per_capita!D$552/1000000</f>
        <v>0</v>
      </c>
      <c r="E527" s="217">
        <f>Saldo_relativo_per_capita!E527*Saldo_relativo_per_capita!E$552/1000000</f>
        <v>-291.77857646921501</v>
      </c>
      <c r="F527" s="217">
        <f>Saldo_relativo_per_capita!F527*Saldo_relativo_per_capita!F$552/1000000</f>
        <v>-45.443978271322763</v>
      </c>
      <c r="G527" s="217">
        <f>Saldo_relativo_per_capita!G527*Saldo_relativo_per_capita!G$552/1000000</f>
        <v>-34.833132844765608</v>
      </c>
      <c r="H527" s="217">
        <f>Saldo_relativo_per_capita!H527*Saldo_relativo_per_capita!H$552/1000000</f>
        <v>-38.497356538935982</v>
      </c>
      <c r="I527" s="217">
        <f>Saldo_relativo_per_capita!I527*Saldo_relativo_per_capita!I$552/1000000</f>
        <v>1529.1449848225557</v>
      </c>
      <c r="J527" s="217">
        <f>Saldo_relativo_per_capita!J527*Saldo_relativo_per_capita!J$552/1000000</f>
        <v>-19.866892766683119</v>
      </c>
      <c r="K527" s="217">
        <f>Saldo_relativo_per_capita!K527*Saldo_relativo_per_capita!K$552/1000000</f>
        <v>-84.195579336035621</v>
      </c>
      <c r="L527" s="217">
        <f>Saldo_relativo_per_capita!L527*Saldo_relativo_per_capita!L$552/1000000</f>
        <v>-72.505286894281483</v>
      </c>
      <c r="M527" s="217">
        <f>Saldo_relativo_per_capita!M527*Saldo_relativo_per_capita!M$552/1000000</f>
        <v>-258.65172048272473</v>
      </c>
      <c r="N527" s="217">
        <f>Saldo_relativo_per_capita!N527*Saldo_relativo_per_capita!N$552/1000000</f>
        <v>-172.82730297517006</v>
      </c>
      <c r="O527" s="217">
        <f>Saldo_relativo_per_capita!O527*Saldo_relativo_per_capita!O$552/1000000</f>
        <v>-37.990010942834182</v>
      </c>
      <c r="P527" s="217">
        <f>Saldo_relativo_per_capita!P527*Saldo_relativo_per_capita!P$552/1000000</f>
        <v>-92.472706217597519</v>
      </c>
      <c r="Q527" s="217">
        <f>Saldo_relativo_per_capita!Q527*Saldo_relativo_per_capita!Q$552/1000000</f>
        <v>-218.67370722987343</v>
      </c>
      <c r="R527" s="217">
        <f>Saldo_relativo_per_capita!R527*Saldo_relativo_per_capita!R$552/1000000</f>
        <v>-51.639945713469707</v>
      </c>
      <c r="S527" s="217">
        <f>Saldo_relativo_per_capita!S527*Saldo_relativo_per_capita!S$552/1000000</f>
        <v>-21.541875555748504</v>
      </c>
      <c r="T527" s="217">
        <f>Saldo_relativo_per_capita!T527*Saldo_relativo_per_capita!T$552/1000000</f>
        <v>-71.426929007649704</v>
      </c>
      <c r="U527" s="217">
        <f>Saldo_relativo_per_capita!U527*Saldo_relativo_per_capita!U$552/1000000</f>
        <v>-10.850020328436139</v>
      </c>
      <c r="V527" s="217">
        <f>Saldo_relativo_per_capita!V527*Saldo_relativo_per_capita!V$552/1000000</f>
        <v>-5.949963247812458</v>
      </c>
    </row>
    <row r="528" spans="1:22" s="115" customFormat="1">
      <c r="A528" s="351" t="str">
        <f>IF(B528="","",(IF(ISERROR(MATCH(B528,Tot_res!C:C,0)),"Eliminar!!!","")))</f>
        <v/>
      </c>
      <c r="B528" s="115" t="s">
        <v>457</v>
      </c>
      <c r="C528" s="329" t="str">
        <f>VLOOKUP(B528,Tot_res!C:D,2,FALSE)</f>
        <v>Ceuta y Melilla, sobreesfuerzo fiscal consumo</v>
      </c>
      <c r="D528" s="217">
        <f>Saldo_relativo_per_capita!D528*Saldo_relativo_per_capita!D$552/1000000</f>
        <v>0</v>
      </c>
      <c r="E528" s="217">
        <f>Saldo_relativo_per_capita!E528*Saldo_relativo_per_capita!E$552/1000000</f>
        <v>-15.440150319039908</v>
      </c>
      <c r="F528" s="217">
        <f>Saldo_relativo_per_capita!F528*Saldo_relativo_per_capita!F$552/1000000</f>
        <v>-2.4290848215331589</v>
      </c>
      <c r="G528" s="217">
        <f>Saldo_relativo_per_capita!G528*Saldo_relativo_per_capita!G$552/1000000</f>
        <v>-1.9417969333101452</v>
      </c>
      <c r="H528" s="217">
        <f>Saldo_relativo_per_capita!H528*Saldo_relativo_per_capita!H$552/1000000</f>
        <v>-2.0290414871809639</v>
      </c>
      <c r="I528" s="217">
        <f>Saldo_relativo_per_capita!I528*Saldo_relativo_per_capita!I$552/1000000</f>
        <v>-3.8644339936147634</v>
      </c>
      <c r="J528" s="217">
        <f>Saldo_relativo_per_capita!J528*Saldo_relativo_per_capita!J$552/1000000</f>
        <v>-1.0787342092878625</v>
      </c>
      <c r="K528" s="217">
        <f>Saldo_relativo_per_capita!K528*Saldo_relativo_per_capita!K$552/1000000</f>
        <v>-4.564442513238868</v>
      </c>
      <c r="L528" s="217">
        <f>Saldo_relativo_per_capita!L528*Saldo_relativo_per_capita!L$552/1000000</f>
        <v>-3.802568988537347</v>
      </c>
      <c r="M528" s="217">
        <f>Saldo_relativo_per_capita!M528*Saldo_relativo_per_capita!M$552/1000000</f>
        <v>-13.809563244899492</v>
      </c>
      <c r="N528" s="217">
        <f>Saldo_relativo_per_capita!N528*Saldo_relativo_per_capita!N$552/1000000</f>
        <v>-9.1765333671877727</v>
      </c>
      <c r="O528" s="217">
        <f>Saldo_relativo_per_capita!O528*Saldo_relativo_per_capita!O$552/1000000</f>
        <v>-2.014988401757178</v>
      </c>
      <c r="P528" s="217">
        <f>Saldo_relativo_per_capita!P528*Saldo_relativo_per_capita!P$552/1000000</f>
        <v>-5.0369834840020662</v>
      </c>
      <c r="Q528" s="217">
        <f>Saldo_relativo_per_capita!Q528*Saldo_relativo_per_capita!Q$552/1000000</f>
        <v>-11.847008327443879</v>
      </c>
      <c r="R528" s="217">
        <f>Saldo_relativo_per_capita!R528*Saldo_relativo_per_capita!R$552/1000000</f>
        <v>-2.6963930329874075</v>
      </c>
      <c r="S528" s="217">
        <f>Saldo_relativo_per_capita!S528*Saldo_relativo_per_capita!S$552/1000000</f>
        <v>-1.1774614536092571</v>
      </c>
      <c r="T528" s="217">
        <f>Saldo_relativo_per_capita!T528*Saldo_relativo_per_capita!T$552/1000000</f>
        <v>-4.0235292199848445</v>
      </c>
      <c r="U528" s="217">
        <f>Saldo_relativo_per_capita!U528*Saldo_relativo_per_capita!U$552/1000000</f>
        <v>-0.58452362341265285</v>
      </c>
      <c r="V528" s="217">
        <f>Saldo_relativo_per_capita!V528*Saldo_relativo_per_capita!V$552/1000000</f>
        <v>85.517237421027559</v>
      </c>
    </row>
    <row r="529" spans="1:22" s="115" customFormat="1">
      <c r="A529" s="351" t="str">
        <f>IF(B529="","",(IF(ISERROR(MATCH(B529,Tot_res!C:C,0)),"Eliminar!!!","")))</f>
        <v/>
      </c>
      <c r="B529" s="115" t="s">
        <v>458</v>
      </c>
      <c r="C529" s="329" t="str">
        <f>VLOOKUP(B529,Tot_res!C:D,2,FALSE)</f>
        <v>Impuesto de matriculación, sobreesfuerzo fiscal</v>
      </c>
      <c r="D529" s="217">
        <f>Saldo_relativo_per_capita!D529*Saldo_relativo_per_capita!D$552/1000000</f>
        <v>0</v>
      </c>
      <c r="E529" s="217">
        <f>Saldo_relativo_per_capita!E529*Saldo_relativo_per_capita!E$552/1000000</f>
        <v>-0.41936433966606146</v>
      </c>
      <c r="F529" s="217">
        <f>Saldo_relativo_per_capita!F529*Saldo_relativo_per_capita!F$552/1000000</f>
        <v>5.5838356297988744E-2</v>
      </c>
      <c r="G529" s="217">
        <f>Saldo_relativo_per_capita!G529*Saldo_relativo_per_capita!G$552/1000000</f>
        <v>-3.0041474715734387E-3</v>
      </c>
      <c r="H529" s="217">
        <f>Saldo_relativo_per_capita!H529*Saldo_relativo_per_capita!H$552/1000000</f>
        <v>-9.0274673367174055E-2</v>
      </c>
      <c r="I529" s="217">
        <f>Saldo_relativo_per_capita!I529*Saldo_relativo_per_capita!I$552/1000000</f>
        <v>9.4004843893828585E-2</v>
      </c>
      <c r="J529" s="217">
        <f>Saldo_relativo_per_capita!J529*Saldo_relativo_per_capita!J$552/1000000</f>
        <v>-5.3911045786440404E-2</v>
      </c>
      <c r="K529" s="217">
        <f>Saldo_relativo_per_capita!K529*Saldo_relativo_per_capita!K$552/1000000</f>
        <v>0.10526677256136889</v>
      </c>
      <c r="L529" s="217">
        <f>Saldo_relativo_per_capita!L529*Saldo_relativo_per_capita!L$552/1000000</f>
        <v>8.8348201325969433E-2</v>
      </c>
      <c r="M529" s="217">
        <f>Saldo_relativo_per_capita!M529*Saldo_relativo_per_capita!M$552/1000000</f>
        <v>-0.33407554662752431</v>
      </c>
      <c r="N529" s="217">
        <f>Saldo_relativo_per_capita!N529*Saldo_relativo_per_capita!N$552/1000000</f>
        <v>0.21206787340398608</v>
      </c>
      <c r="O529" s="217">
        <f>Saldo_relativo_per_capita!O529*Saldo_relativo_per_capita!O$552/1000000</f>
        <v>-0.22947163650241126</v>
      </c>
      <c r="P529" s="217">
        <f>Saldo_relativo_per_capita!P529*Saldo_relativo_per_capita!P$552/1000000</f>
        <v>0.11633890781314306</v>
      </c>
      <c r="Q529" s="217">
        <f>Saldo_relativo_per_capita!Q529*Saldo_relativo_per_capita!Q$552/1000000</f>
        <v>0.26957021338392984</v>
      </c>
      <c r="R529" s="217">
        <f>Saldo_relativo_per_capita!R529*Saldo_relativo_per_capita!R$552/1000000</f>
        <v>4.9547277363958662E-2</v>
      </c>
      <c r="S529" s="217">
        <f>Saldo_relativo_per_capita!S529*Saldo_relativo_per_capita!S$552/1000000</f>
        <v>2.6991782616075714E-2</v>
      </c>
      <c r="T529" s="217">
        <f>Saldo_relativo_per_capita!T529*Saldo_relativo_per_capita!T$552/1000000</f>
        <v>9.1301562643716458E-2</v>
      </c>
      <c r="U529" s="217">
        <f>Saldo_relativo_per_capita!U529*Saldo_relativo_per_capita!U$552/1000000</f>
        <v>1.3462576856220362E-2</v>
      </c>
      <c r="V529" s="217">
        <f>Saldo_relativo_per_capita!V529*Saldo_relativo_per_capita!V$552/1000000</f>
        <v>7.3630212609982126E-3</v>
      </c>
    </row>
    <row r="530" spans="1:22" s="115" customFormat="1">
      <c r="A530" s="351" t="str">
        <f>IF(B530="","",(IF(ISERROR(MATCH(B530,Tot_res!C:C,0)),"Eliminar!!!","")))</f>
        <v/>
      </c>
      <c r="B530" s="115" t="s">
        <v>459</v>
      </c>
      <c r="C530" s="329" t="str">
        <f>VLOOKUP(B530,Tot_res!C:D,2,FALSE)</f>
        <v>Impuestos propios de las CCAA</v>
      </c>
      <c r="D530" s="217">
        <f>Saldo_relativo_per_capita!D530*Saldo_relativo_per_capita!D$552/1000000</f>
        <v>0</v>
      </c>
      <c r="E530" s="217">
        <f>Saldo_relativo_per_capita!E530*Saldo_relativo_per_capita!E$552/1000000</f>
        <v>217.53231375278563</v>
      </c>
      <c r="F530" s="217">
        <f>Saldo_relativo_per_capita!F530*Saldo_relativo_per_capita!F$552/1000000</f>
        <v>-22.040815906904555</v>
      </c>
      <c r="G530" s="217">
        <f>Saldo_relativo_per_capita!G530*Saldo_relativo_per_capita!G$552/1000000</f>
        <v>10.471048928343627</v>
      </c>
      <c r="H530" s="217">
        <f>Saldo_relativo_per_capita!H530*Saldo_relativo_per_capita!H$552/1000000</f>
        <v>-75.718799168610175</v>
      </c>
      <c r="I530" s="217">
        <f>Saldo_relativo_per_capita!I530*Saldo_relativo_per_capita!I$552/1000000</f>
        <v>72.273836221558255</v>
      </c>
      <c r="J530" s="217">
        <f>Saldo_relativo_per_capita!J530*Saldo_relativo_per_capita!J$552/1000000</f>
        <v>-12.933981312050113</v>
      </c>
      <c r="K530" s="217">
        <f>Saldo_relativo_per_capita!K530*Saldo_relativo_per_capita!K$552/1000000</f>
        <v>16.407207622097388</v>
      </c>
      <c r="L530" s="217">
        <f>Saldo_relativo_per_capita!L530*Saldo_relativo_per_capita!L$552/1000000</f>
        <v>68.602851225311483</v>
      </c>
      <c r="M530" s="217">
        <f>Saldo_relativo_per_capita!M530*Saldo_relativo_per_capita!M$552/1000000</f>
        <v>-180.78770697549717</v>
      </c>
      <c r="N530" s="217">
        <f>Saldo_relativo_per_capita!N530*Saldo_relativo_per_capita!N$552/1000000</f>
        <v>-163.12379195636134</v>
      </c>
      <c r="O530" s="217">
        <f>Saldo_relativo_per_capita!O530*Saldo_relativo_per_capita!O$552/1000000</f>
        <v>-80.434398233215802</v>
      </c>
      <c r="P530" s="217">
        <f>Saldo_relativo_per_capita!P530*Saldo_relativo_per_capita!P$552/1000000</f>
        <v>-20.245224973395938</v>
      </c>
      <c r="Q530" s="217">
        <f>Saldo_relativo_per_capita!Q530*Saldo_relativo_per_capita!Q$552/1000000</f>
        <v>256.54112360155477</v>
      </c>
      <c r="R530" s="217">
        <f>Saldo_relativo_per_capita!R530*Saldo_relativo_per_capita!R$552/1000000</f>
        <v>-2.5869007142031331</v>
      </c>
      <c r="S530" s="217">
        <f>Saldo_relativo_per_capita!S530*Saldo_relativo_per_capita!S$552/1000000</f>
        <v>-18.152044782998409</v>
      </c>
      <c r="T530" s="217">
        <f>Saldo_relativo_per_capita!T530*Saldo_relativo_per_capita!T$552/1000000</f>
        <v>-61.735532586173683</v>
      </c>
      <c r="U530" s="217">
        <f>Saldo_relativo_per_capita!U530*Saldo_relativo_per_capita!U$552/1000000</f>
        <v>-12.132315623166919</v>
      </c>
      <c r="V530" s="217">
        <f>Saldo_relativo_per_capita!V530*Saldo_relativo_per_capita!V$552/1000000</f>
        <v>8.0631308809262237</v>
      </c>
    </row>
    <row r="531" spans="1:22">
      <c r="A531" s="352"/>
      <c r="D531" s="39"/>
      <c r="E531" s="39"/>
      <c r="F531" s="39"/>
      <c r="G531" s="39"/>
      <c r="H531" s="39"/>
      <c r="I531" s="39"/>
      <c r="J531" s="39"/>
      <c r="K531" s="39"/>
      <c r="L531" s="39"/>
      <c r="M531" s="39"/>
      <c r="N531" s="39"/>
      <c r="O531" s="39"/>
      <c r="P531" s="39"/>
      <c r="Q531" s="39"/>
      <c r="R531" s="39"/>
      <c r="S531" s="39"/>
      <c r="T531" s="39"/>
      <c r="U531" s="39"/>
      <c r="V531" s="39"/>
    </row>
    <row r="532" spans="1:22" s="115" customFormat="1">
      <c r="A532" s="352"/>
      <c r="C532" s="137" t="s">
        <v>425</v>
      </c>
      <c r="D532" s="215">
        <f>Saldo_relativo_per_capita!D532*Saldo_relativo_per_capita!D$552/1000000</f>
        <v>0</v>
      </c>
      <c r="E532" s="215">
        <f>Saldo_relativo_per_capita!E532*Saldo_relativo_per_capita!E$552/1000000</f>
        <v>782.30989450454001</v>
      </c>
      <c r="F532" s="215">
        <f>Saldo_relativo_per_capita!F532*Saldo_relativo_per_capita!F$552/1000000</f>
        <v>-32.163843984483286</v>
      </c>
      <c r="G532" s="215">
        <f>Saldo_relativo_per_capita!G532*Saldo_relativo_per_capita!G$552/1000000</f>
        <v>41.187173995979222</v>
      </c>
      <c r="H532" s="215">
        <f>Saldo_relativo_per_capita!H532*Saldo_relativo_per_capita!H$552/1000000</f>
        <v>-182.71830023704058</v>
      </c>
      <c r="I532" s="215">
        <f>Saldo_relativo_per_capita!I532*Saldo_relativo_per_capita!I$552/1000000</f>
        <v>236.24836573333624</v>
      </c>
      <c r="J532" s="215">
        <f>Saldo_relativo_per_capita!J532*Saldo_relativo_per_capita!J$552/1000000</f>
        <v>-23.089713670033934</v>
      </c>
      <c r="K532" s="215">
        <f>Saldo_relativo_per_capita!K532*Saldo_relativo_per_capita!K$552/1000000</f>
        <v>91.777289145104731</v>
      </c>
      <c r="L532" s="215">
        <f>Saldo_relativo_per_capita!L532*Saldo_relativo_per_capita!L$552/1000000</f>
        <v>108.60569292264086</v>
      </c>
      <c r="M532" s="215">
        <f>Saldo_relativo_per_capita!M532*Saldo_relativo_per_capita!M$552/1000000</f>
        <v>-947.74255243217374</v>
      </c>
      <c r="N532" s="215">
        <f>Saldo_relativo_per_capita!N532*Saldo_relativo_per_capita!N$552/1000000</f>
        <v>124.40439663916681</v>
      </c>
      <c r="O532" s="215">
        <f>Saldo_relativo_per_capita!O532*Saldo_relativo_per_capita!O$552/1000000</f>
        <v>180.53539437223546</v>
      </c>
      <c r="P532" s="215">
        <f>Saldo_relativo_per_capita!P532*Saldo_relativo_per_capita!P$552/1000000</f>
        <v>372.02075672427964</v>
      </c>
      <c r="Q532" s="215">
        <f>Saldo_relativo_per_capita!Q532*Saldo_relativo_per_capita!Q$552/1000000</f>
        <v>-883.26518254089638</v>
      </c>
      <c r="R532" s="215">
        <f>Saldo_relativo_per_capita!R532*Saldo_relativo_per_capita!R$552/1000000</f>
        <v>90.532354597874047</v>
      </c>
      <c r="S532" s="215">
        <f>Saldo_relativo_per_capita!S532*Saldo_relativo_per_capita!S$552/1000000</f>
        <v>-42.206400143837996</v>
      </c>
      <c r="T532" s="215">
        <f>Saldo_relativo_per_capita!T532*Saldo_relativo_per_capita!T$552/1000000</f>
        <v>32.023498061125473</v>
      </c>
      <c r="U532" s="215">
        <f>Saldo_relativo_per_capita!U532*Saldo_relativo_per_capita!U$552/1000000</f>
        <v>-4.2732364346830565</v>
      </c>
      <c r="V532" s="215">
        <f>Saldo_relativo_per_capita!V532*Saldo_relativo_per_capita!V$552/1000000</f>
        <v>55.814412746863439</v>
      </c>
    </row>
    <row r="533" spans="1:22" s="115" customFormat="1">
      <c r="A533" s="351" t="str">
        <f>IF(B533="","",(IF(ISERROR(MATCH(B533,Tot_res!C:C,0)),"Eliminar!!!","")))</f>
        <v/>
      </c>
      <c r="B533" s="102" t="s">
        <v>615</v>
      </c>
      <c r="C533" s="329" t="str">
        <f>VLOOKUP(B533,Tot_res!C:D,2,FALSE)</f>
        <v>Impuestos y tasas municipales</v>
      </c>
      <c r="D533" s="217">
        <f>Saldo_relativo_per_capita!D533*Saldo_relativo_per_capita!D$552/1000000</f>
        <v>0</v>
      </c>
      <c r="E533" s="217">
        <f>Saldo_relativo_per_capita!E533*Saldo_relativo_per_capita!E$552/1000000</f>
        <v>782.30989450454001</v>
      </c>
      <c r="F533" s="217">
        <f>Saldo_relativo_per_capita!F533*Saldo_relativo_per_capita!F$552/1000000</f>
        <v>-32.163843984483286</v>
      </c>
      <c r="G533" s="217">
        <f>Saldo_relativo_per_capita!G533*Saldo_relativo_per_capita!G$552/1000000</f>
        <v>41.187173995979222</v>
      </c>
      <c r="H533" s="217">
        <f>Saldo_relativo_per_capita!H533*Saldo_relativo_per_capita!H$552/1000000</f>
        <v>-182.71830023704058</v>
      </c>
      <c r="I533" s="217">
        <f>Saldo_relativo_per_capita!I533*Saldo_relativo_per_capita!I$552/1000000</f>
        <v>236.24836573333624</v>
      </c>
      <c r="J533" s="217">
        <f>Saldo_relativo_per_capita!J533*Saldo_relativo_per_capita!J$552/1000000</f>
        <v>-23.089713670033934</v>
      </c>
      <c r="K533" s="217">
        <f>Saldo_relativo_per_capita!K533*Saldo_relativo_per_capita!K$552/1000000</f>
        <v>91.777289145104731</v>
      </c>
      <c r="L533" s="217">
        <f>Saldo_relativo_per_capita!L533*Saldo_relativo_per_capita!L$552/1000000</f>
        <v>108.60569292264086</v>
      </c>
      <c r="M533" s="217">
        <f>Saldo_relativo_per_capita!M533*Saldo_relativo_per_capita!M$552/1000000</f>
        <v>-947.74255243217374</v>
      </c>
      <c r="N533" s="217">
        <f>Saldo_relativo_per_capita!N533*Saldo_relativo_per_capita!N$552/1000000</f>
        <v>124.40439663916681</v>
      </c>
      <c r="O533" s="217">
        <f>Saldo_relativo_per_capita!O533*Saldo_relativo_per_capita!O$552/1000000</f>
        <v>180.53539437223546</v>
      </c>
      <c r="P533" s="217">
        <f>Saldo_relativo_per_capita!P533*Saldo_relativo_per_capita!P$552/1000000</f>
        <v>372.02075672427964</v>
      </c>
      <c r="Q533" s="217">
        <f>Saldo_relativo_per_capita!Q533*Saldo_relativo_per_capita!Q$552/1000000</f>
        <v>-883.26518254089638</v>
      </c>
      <c r="R533" s="217">
        <f>Saldo_relativo_per_capita!R533*Saldo_relativo_per_capita!R$552/1000000</f>
        <v>90.532354597874047</v>
      </c>
      <c r="S533" s="217">
        <f>Saldo_relativo_per_capita!S533*Saldo_relativo_per_capita!S$552/1000000</f>
        <v>-42.206400143837996</v>
      </c>
      <c r="T533" s="217">
        <f>Saldo_relativo_per_capita!T533*Saldo_relativo_per_capita!T$552/1000000</f>
        <v>32.023498061125473</v>
      </c>
      <c r="U533" s="217">
        <f>Saldo_relativo_per_capita!U533*Saldo_relativo_per_capita!U$552/1000000</f>
        <v>-4.2732364346830565</v>
      </c>
      <c r="V533" s="217">
        <f>Saldo_relativo_per_capita!V533*Saldo_relativo_per_capita!V$552/1000000</f>
        <v>55.814412746863439</v>
      </c>
    </row>
    <row r="534" spans="1:22" s="115" customFormat="1">
      <c r="A534" s="352"/>
      <c r="D534" s="217"/>
      <c r="E534" s="217"/>
      <c r="F534" s="217"/>
      <c r="G534" s="217"/>
      <c r="H534" s="217"/>
      <c r="I534" s="217"/>
      <c r="J534" s="217"/>
      <c r="K534" s="217"/>
      <c r="L534" s="217"/>
      <c r="M534" s="217"/>
      <c r="N534" s="217"/>
      <c r="O534" s="217"/>
      <c r="P534" s="217"/>
      <c r="Q534" s="217"/>
      <c r="R534" s="217"/>
      <c r="S534" s="217"/>
      <c r="T534" s="217"/>
      <c r="U534" s="217"/>
      <c r="V534" s="217"/>
    </row>
    <row r="535" spans="1:22" s="115" customFormat="1">
      <c r="A535" s="352"/>
      <c r="C535" s="137" t="s">
        <v>94</v>
      </c>
      <c r="D535" s="215">
        <f>Saldo_relativo_per_capita!D535*Saldo_relativo_per_capita!D$552/1000000</f>
        <v>0</v>
      </c>
      <c r="E535" s="215">
        <f>Saldo_relativo_per_capita!E535*Saldo_relativo_per_capita!E$552/1000000</f>
        <v>8568.089330417668</v>
      </c>
      <c r="F535" s="215">
        <f>Saldo_relativo_per_capita!F535*Saldo_relativo_per_capita!F$552/1000000</f>
        <v>-425.23396634187708</v>
      </c>
      <c r="G535" s="215">
        <f>Saldo_relativo_per_capita!G535*Saldo_relativo_per_capita!G$552/1000000</f>
        <v>-144.41215520613818</v>
      </c>
      <c r="H535" s="215">
        <f>Saldo_relativo_per_capita!H535*Saldo_relativo_per_capita!H$552/1000000</f>
        <v>-508.31613245281386</v>
      </c>
      <c r="I535" s="215">
        <f>Saldo_relativo_per_capita!I535*Saldo_relativo_per_capita!I$552/1000000</f>
        <v>3916.1797336703257</v>
      </c>
      <c r="J535" s="215">
        <f>Saldo_relativo_per_capita!J535*Saldo_relativo_per_capita!J$552/1000000</f>
        <v>-78.579401499746353</v>
      </c>
      <c r="K535" s="215">
        <f>Saldo_relativo_per_capita!K535*Saldo_relativo_per_capita!K$552/1000000</f>
        <v>602.49634654848614</v>
      </c>
      <c r="L535" s="215">
        <f>Saldo_relativo_per_capita!L535*Saldo_relativo_per_capita!L$552/1000000</f>
        <v>1993.0791463089497</v>
      </c>
      <c r="M535" s="215">
        <f>Saldo_relativo_per_capita!M535*Saldo_relativo_per_capita!M$552/1000000</f>
        <v>-6806.7770577049168</v>
      </c>
      <c r="N535" s="215">
        <f>Saldo_relativo_per_capita!N535*Saldo_relativo_per_capita!N$552/1000000</f>
        <v>2179.993302890708</v>
      </c>
      <c r="O535" s="215">
        <f>Saldo_relativo_per_capita!O535*Saldo_relativo_per_capita!O$552/1000000</f>
        <v>1387.9680868752591</v>
      </c>
      <c r="P535" s="215">
        <f>Saldo_relativo_per_capita!P535*Saldo_relativo_per_capita!P$552/1000000</f>
        <v>1174.4445082041241</v>
      </c>
      <c r="Q535" s="215">
        <f>Saldo_relativo_per_capita!Q535*Saldo_relativo_per_capita!Q$552/1000000</f>
        <v>-11802.098866558243</v>
      </c>
      <c r="R535" s="215">
        <f>Saldo_relativo_per_capita!R535*Saldo_relativo_per_capita!R$552/1000000</f>
        <v>1247.9756107479307</v>
      </c>
      <c r="S535" s="215">
        <f>Saldo_relativo_per_capita!S535*Saldo_relativo_per_capita!S$552/1000000</f>
        <v>-169.82870673340943</v>
      </c>
      <c r="T535" s="215">
        <f>Saldo_relativo_per_capita!T535*Saldo_relativo_per_capita!T$552/1000000</f>
        <v>-1461.098892839221</v>
      </c>
      <c r="U535" s="215">
        <f>Saldo_relativo_per_capita!U535*Saldo_relativo_per_capita!U$552/1000000</f>
        <v>-21.29021323239942</v>
      </c>
      <c r="V535" s="215">
        <f>Saldo_relativo_per_capita!V535*Saldo_relativo_per_capita!V$552/1000000</f>
        <v>347.40932690528268</v>
      </c>
    </row>
    <row r="536" spans="1:22" s="115" customFormat="1">
      <c r="A536" s="352"/>
      <c r="D536" s="217"/>
      <c r="E536" s="217"/>
      <c r="F536" s="217"/>
      <c r="G536" s="217"/>
      <c r="H536" s="217"/>
      <c r="I536" s="217"/>
      <c r="J536" s="217"/>
      <c r="K536" s="217"/>
      <c r="L536" s="217"/>
      <c r="M536" s="217"/>
      <c r="N536" s="217"/>
      <c r="O536" s="217"/>
      <c r="P536" s="217"/>
      <c r="Q536" s="217"/>
      <c r="R536" s="217"/>
      <c r="S536" s="217"/>
      <c r="T536" s="217"/>
      <c r="U536" s="217"/>
      <c r="V536" s="217"/>
    </row>
    <row r="537" spans="1:22" s="115" customFormat="1">
      <c r="A537" s="352"/>
      <c r="C537" s="154" t="s">
        <v>426</v>
      </c>
      <c r="D537" s="215">
        <f>Saldo_relativo_per_capita!D537*Saldo_relativo_per_capita!D$552/1000000</f>
        <v>0</v>
      </c>
      <c r="E537" s="215">
        <f>Saldo_relativo_per_capita!E537*Saldo_relativo_per_capita!E$552/1000000</f>
        <v>5188.1327292647238</v>
      </c>
      <c r="F537" s="215">
        <f>Saldo_relativo_per_capita!F537*Saldo_relativo_per_capita!F$552/1000000</f>
        <v>-306.07249479994164</v>
      </c>
      <c r="G537" s="215">
        <f>Saldo_relativo_per_capita!G537*Saldo_relativo_per_capita!G$552/1000000</f>
        <v>-22.717857586992402</v>
      </c>
      <c r="H537" s="215">
        <f>Saldo_relativo_per_capita!H537*Saldo_relativo_per_capita!H$552/1000000</f>
        <v>-227.46002151947985</v>
      </c>
      <c r="I537" s="215">
        <f>Saldo_relativo_per_capita!I537*Saldo_relativo_per_capita!I$552/1000000</f>
        <v>724.6681036392921</v>
      </c>
      <c r="J537" s="215">
        <f>Saldo_relativo_per_capita!J537*Saldo_relativo_per_capita!J$552/1000000</f>
        <v>-33.113264842476333</v>
      </c>
      <c r="K537" s="215">
        <f>Saldo_relativo_per_capita!K537*Saldo_relativo_per_capita!K$552/1000000</f>
        <v>196.34911037098382</v>
      </c>
      <c r="L537" s="215">
        <f>Saldo_relativo_per_capita!L537*Saldo_relativo_per_capita!L$552/1000000</f>
        <v>834.25136698291658</v>
      </c>
      <c r="M537" s="215">
        <f>Saldo_relativo_per_capita!M537*Saldo_relativo_per_capita!M$552/1000000</f>
        <v>-3236.6788096816608</v>
      </c>
      <c r="N537" s="215">
        <f>Saldo_relativo_per_capita!N537*Saldo_relativo_per_capita!N$552/1000000</f>
        <v>1755.1074924866855</v>
      </c>
      <c r="O537" s="215">
        <f>Saldo_relativo_per_capita!O537*Saldo_relativo_per_capita!O$552/1000000</f>
        <v>747.86409268033572</v>
      </c>
      <c r="P537" s="215">
        <f>Saldo_relativo_per_capita!P537*Saldo_relativo_per_capita!P$552/1000000</f>
        <v>580.79524022291446</v>
      </c>
      <c r="Q537" s="215">
        <f>Saldo_relativo_per_capita!Q537*Saldo_relativo_per_capita!Q$552/1000000</f>
        <v>-4565.9772597475476</v>
      </c>
      <c r="R537" s="215">
        <f>Saldo_relativo_per_capita!R537*Saldo_relativo_per_capita!R$552/1000000</f>
        <v>756.48162347142522</v>
      </c>
      <c r="S537" s="215">
        <f>Saldo_relativo_per_capita!S537*Saldo_relativo_per_capita!S$552/1000000</f>
        <v>-417.61107302187645</v>
      </c>
      <c r="T537" s="215">
        <f>Saldo_relativo_per_capita!T537*Saldo_relativo_per_capita!T$552/1000000</f>
        <v>-2012.8798930603803</v>
      </c>
      <c r="U537" s="215">
        <f>Saldo_relativo_per_capita!U537*Saldo_relativo_per_capita!U$552/1000000</f>
        <v>-46.108865183807303</v>
      </c>
      <c r="V537" s="215">
        <f>Saldo_relativo_per_capita!V537*Saldo_relativo_per_capita!V$552/1000000</f>
        <v>84.969780324906253</v>
      </c>
    </row>
    <row r="538" spans="1:22" s="115" customFormat="1">
      <c r="A538" s="351" t="str">
        <f>IF(B538="","",(IF(ISERROR(MATCH(B538,Tot_res!C:C,0)),"Eliminar!!!","")))</f>
        <v/>
      </c>
      <c r="B538" s="102" t="s">
        <v>614</v>
      </c>
      <c r="C538" s="329" t="str">
        <f>VLOOKUP(B538,Tot_res!C:D,2,FALSE)</f>
        <v>Cotizaciones sociales</v>
      </c>
      <c r="D538" s="217">
        <f>Saldo_relativo_per_capita!D538*Saldo_relativo_per_capita!D$552/1000000</f>
        <v>0</v>
      </c>
      <c r="E538" s="217">
        <f>Saldo_relativo_per_capita!E538*Saldo_relativo_per_capita!E$552/1000000</f>
        <v>5188.1327292647238</v>
      </c>
      <c r="F538" s="217">
        <f>Saldo_relativo_per_capita!F538*Saldo_relativo_per_capita!F$552/1000000</f>
        <v>-306.07249479994164</v>
      </c>
      <c r="G538" s="217">
        <f>Saldo_relativo_per_capita!G538*Saldo_relativo_per_capita!G$552/1000000</f>
        <v>-22.717857586992402</v>
      </c>
      <c r="H538" s="217">
        <f>Saldo_relativo_per_capita!H538*Saldo_relativo_per_capita!H$552/1000000</f>
        <v>-227.46002151947985</v>
      </c>
      <c r="I538" s="217">
        <f>Saldo_relativo_per_capita!I538*Saldo_relativo_per_capita!I$552/1000000</f>
        <v>724.6681036392921</v>
      </c>
      <c r="J538" s="217">
        <f>Saldo_relativo_per_capita!J538*Saldo_relativo_per_capita!J$552/1000000</f>
        <v>-33.113264842476333</v>
      </c>
      <c r="K538" s="217">
        <f>Saldo_relativo_per_capita!K538*Saldo_relativo_per_capita!K$552/1000000</f>
        <v>196.34911037098382</v>
      </c>
      <c r="L538" s="217">
        <f>Saldo_relativo_per_capita!L538*Saldo_relativo_per_capita!L$552/1000000</f>
        <v>834.25136698291658</v>
      </c>
      <c r="M538" s="217">
        <f>Saldo_relativo_per_capita!M538*Saldo_relativo_per_capita!M$552/1000000</f>
        <v>-3236.6788096816608</v>
      </c>
      <c r="N538" s="217">
        <f>Saldo_relativo_per_capita!N538*Saldo_relativo_per_capita!N$552/1000000</f>
        <v>1755.1074924866855</v>
      </c>
      <c r="O538" s="217">
        <f>Saldo_relativo_per_capita!O538*Saldo_relativo_per_capita!O$552/1000000</f>
        <v>747.86409268033572</v>
      </c>
      <c r="P538" s="217">
        <f>Saldo_relativo_per_capita!P538*Saldo_relativo_per_capita!P$552/1000000</f>
        <v>580.79524022291446</v>
      </c>
      <c r="Q538" s="217">
        <f>Saldo_relativo_per_capita!Q538*Saldo_relativo_per_capita!Q$552/1000000</f>
        <v>-4565.9772597475476</v>
      </c>
      <c r="R538" s="217">
        <f>Saldo_relativo_per_capita!R538*Saldo_relativo_per_capita!R$552/1000000</f>
        <v>756.48162347142522</v>
      </c>
      <c r="S538" s="217">
        <f>Saldo_relativo_per_capita!S538*Saldo_relativo_per_capita!S$552/1000000</f>
        <v>-417.61107302187645</v>
      </c>
      <c r="T538" s="217">
        <f>Saldo_relativo_per_capita!T538*Saldo_relativo_per_capita!T$552/1000000</f>
        <v>-2012.8798930603803</v>
      </c>
      <c r="U538" s="217">
        <f>Saldo_relativo_per_capita!U538*Saldo_relativo_per_capita!U$552/1000000</f>
        <v>-46.108865183807303</v>
      </c>
      <c r="V538" s="217">
        <f>Saldo_relativo_per_capita!V538*Saldo_relativo_per_capita!V$552/1000000</f>
        <v>84.969780324906253</v>
      </c>
    </row>
    <row r="539" spans="1:22">
      <c r="A539" s="352"/>
      <c r="C539" s="38"/>
      <c r="D539" s="39"/>
      <c r="E539" s="39"/>
      <c r="F539" s="39"/>
      <c r="G539" s="39"/>
      <c r="H539" s="39"/>
      <c r="I539" s="39"/>
      <c r="J539" s="39"/>
      <c r="K539" s="39"/>
      <c r="L539" s="39"/>
      <c r="M539" s="39"/>
      <c r="N539" s="39"/>
      <c r="O539" s="39"/>
      <c r="P539" s="39"/>
      <c r="Q539" s="39"/>
      <c r="R539" s="39"/>
      <c r="S539" s="39"/>
      <c r="T539" s="39"/>
      <c r="U539" s="39"/>
      <c r="V539" s="39"/>
    </row>
    <row r="540" spans="1:22" s="115" customFormat="1">
      <c r="A540" s="352"/>
      <c r="C540" s="154" t="s">
        <v>95</v>
      </c>
      <c r="D540" s="215">
        <f>Saldo_relativo_per_capita!D540*Saldo_relativo_per_capita!D$552/1000000</f>
        <v>0</v>
      </c>
      <c r="E540" s="215">
        <f>Saldo_relativo_per_capita!E540*Saldo_relativo_per_capita!E$552/1000000</f>
        <v>0.92432353631351261</v>
      </c>
      <c r="F540" s="215">
        <f>Saldo_relativo_per_capita!F540*Saldo_relativo_per_capita!F$552/1000000</f>
        <v>-1.5666626780178935E-2</v>
      </c>
      <c r="G540" s="215">
        <f>Saldo_relativo_per_capita!G540*Saldo_relativo_per_capita!G$552/1000000</f>
        <v>-1.5475965593555326E-2</v>
      </c>
      <c r="H540" s="215">
        <f>Saldo_relativo_per_capita!H540*Saldo_relativo_per_capita!H$552/1000000</f>
        <v>-4.687816857947999E-2</v>
      </c>
      <c r="I540" s="215">
        <f>Saldo_relativo_per_capita!I540*Saldo_relativo_per_capita!I$552/1000000</f>
        <v>0.22027852612955615</v>
      </c>
      <c r="J540" s="215">
        <f>Saldo_relativo_per_capita!J540*Saldo_relativo_per_capita!J$552/1000000</f>
        <v>-1.355006246478465E-2</v>
      </c>
      <c r="K540" s="215">
        <f>Saldo_relativo_per_capita!K540*Saldo_relativo_per_capita!K$552/1000000</f>
        <v>7.5039387662448775E-2</v>
      </c>
      <c r="L540" s="215">
        <f>Saldo_relativo_per_capita!L540*Saldo_relativo_per_capita!L$552/1000000</f>
        <v>0.23799840543346998</v>
      </c>
      <c r="M540" s="215">
        <f>Saldo_relativo_per_capita!M540*Saldo_relativo_per_capita!M$552/1000000</f>
        <v>-0.77585972798271097</v>
      </c>
      <c r="N540" s="215">
        <f>Saldo_relativo_per_capita!N540*Saldo_relativo_per_capita!N$552/1000000</f>
        <v>0.15642989393192433</v>
      </c>
      <c r="O540" s="215">
        <f>Saldo_relativo_per_capita!O540*Saldo_relativo_per_capita!O$552/1000000</f>
        <v>0.15842267825785591</v>
      </c>
      <c r="P540" s="215">
        <f>Saldo_relativo_per_capita!P540*Saldo_relativo_per_capita!P$552/1000000</f>
        <v>0.10856059164850719</v>
      </c>
      <c r="Q540" s="215">
        <f>Saldo_relativo_per_capita!Q540*Saldo_relativo_per_capita!Q$552/1000000</f>
        <v>-0.88083535430367177</v>
      </c>
      <c r="R540" s="215">
        <f>Saldo_relativo_per_capita!R540*Saldo_relativo_per_capita!R$552/1000000</f>
        <v>0.17069957114448633</v>
      </c>
      <c r="S540" s="215">
        <f>Saldo_relativo_per_capita!S540*Saldo_relativo_per_capita!S$552/1000000</f>
        <v>-5.0887920112987747E-2</v>
      </c>
      <c r="T540" s="215">
        <f>Saldo_relativo_per_capita!T540*Saldo_relativo_per_capita!T$552/1000000</f>
        <v>-0.27087910852877006</v>
      </c>
      <c r="U540" s="215">
        <f>Saldo_relativo_per_capita!U540*Saldo_relativo_per_capita!U$552/1000000</f>
        <v>-1.8768814907838042E-3</v>
      </c>
      <c r="V540" s="215">
        <f>Saldo_relativo_per_capita!V540*Saldo_relativo_per_capita!V$552/1000000</f>
        <v>2.0157225321352425E-2</v>
      </c>
    </row>
    <row r="541" spans="1:22" s="115" customFormat="1">
      <c r="A541" s="351" t="str">
        <f>IF(B541="","",(IF(ISERROR(MATCH(B541,Tot_res!C:C,0)),"Eliminar!!!","")))</f>
        <v/>
      </c>
      <c r="B541" s="102" t="s">
        <v>653</v>
      </c>
      <c r="C541" s="329" t="str">
        <f>VLOOKUP(B541,Tot_res!C:D,2,FALSE)</f>
        <v>Tasas, precios públicos e ingresos procedentes de la venta de bienes y servicios de la AC</v>
      </c>
      <c r="D541" s="217">
        <f>Saldo_relativo_per_capita!D541*Saldo_relativo_per_capita!D$552/1000000</f>
        <v>0</v>
      </c>
      <c r="E541" s="217">
        <f>Saldo_relativo_per_capita!E541*Saldo_relativo_per_capita!E$552/1000000</f>
        <v>0</v>
      </c>
      <c r="F541" s="217">
        <f>Saldo_relativo_per_capita!F541*Saldo_relativo_per_capita!F$552/1000000</f>
        <v>0</v>
      </c>
      <c r="G541" s="217">
        <f>Saldo_relativo_per_capita!G541*Saldo_relativo_per_capita!G$552/1000000</f>
        <v>0</v>
      </c>
      <c r="H541" s="217">
        <f>Saldo_relativo_per_capita!H541*Saldo_relativo_per_capita!H$552/1000000</f>
        <v>0</v>
      </c>
      <c r="I541" s="217">
        <f>Saldo_relativo_per_capita!I541*Saldo_relativo_per_capita!I$552/1000000</f>
        <v>0</v>
      </c>
      <c r="J541" s="217">
        <f>Saldo_relativo_per_capita!J541*Saldo_relativo_per_capita!J$552/1000000</f>
        <v>0</v>
      </c>
      <c r="K541" s="217">
        <f>Saldo_relativo_per_capita!K541*Saldo_relativo_per_capita!K$552/1000000</f>
        <v>0</v>
      </c>
      <c r="L541" s="217">
        <f>Saldo_relativo_per_capita!L541*Saldo_relativo_per_capita!L$552/1000000</f>
        <v>0</v>
      </c>
      <c r="M541" s="217">
        <f>Saldo_relativo_per_capita!M541*Saldo_relativo_per_capita!M$552/1000000</f>
        <v>0</v>
      </c>
      <c r="N541" s="217">
        <f>Saldo_relativo_per_capita!N541*Saldo_relativo_per_capita!N$552/1000000</f>
        <v>0</v>
      </c>
      <c r="O541" s="217">
        <f>Saldo_relativo_per_capita!O541*Saldo_relativo_per_capita!O$552/1000000</f>
        <v>0</v>
      </c>
      <c r="P541" s="217">
        <f>Saldo_relativo_per_capita!P541*Saldo_relativo_per_capita!P$552/1000000</f>
        <v>0</v>
      </c>
      <c r="Q541" s="217">
        <f>Saldo_relativo_per_capita!Q541*Saldo_relativo_per_capita!Q$552/1000000</f>
        <v>0</v>
      </c>
      <c r="R541" s="217">
        <f>Saldo_relativo_per_capita!R541*Saldo_relativo_per_capita!R$552/1000000</f>
        <v>0</v>
      </c>
      <c r="S541" s="217">
        <f>Saldo_relativo_per_capita!S541*Saldo_relativo_per_capita!S$552/1000000</f>
        <v>0</v>
      </c>
      <c r="T541" s="217">
        <f>Saldo_relativo_per_capita!T541*Saldo_relativo_per_capita!T$552/1000000</f>
        <v>0</v>
      </c>
      <c r="U541" s="217">
        <f>Saldo_relativo_per_capita!U541*Saldo_relativo_per_capita!U$552/1000000</f>
        <v>0</v>
      </c>
      <c r="V541" s="217">
        <f>Saldo_relativo_per_capita!V541*Saldo_relativo_per_capita!V$552/1000000</f>
        <v>0</v>
      </c>
    </row>
    <row r="542" spans="1:22" s="115" customFormat="1">
      <c r="A542" s="351" t="str">
        <f>IF(B542="","",(IF(ISERROR(MATCH(B542,Tot_res!C:C,0)),"Eliminar!!!","")))</f>
        <v/>
      </c>
      <c r="B542" s="102" t="s">
        <v>462</v>
      </c>
      <c r="C542" s="329" t="str">
        <f>VLOOKUP(B542,Tot_res!C:D,2,FALSE)</f>
        <v>Tasas, CNMV</v>
      </c>
      <c r="D542" s="217">
        <f>Saldo_relativo_per_capita!D542*Saldo_relativo_per_capita!D$552/1000000</f>
        <v>0</v>
      </c>
      <c r="E542" s="217">
        <f>Saldo_relativo_per_capita!E542*Saldo_relativo_per_capita!E$552/1000000</f>
        <v>0.93426609097528346</v>
      </c>
      <c r="F542" s="217">
        <f>Saldo_relativo_per_capita!F542*Saldo_relativo_per_capita!F$552/1000000</f>
        <v>-1.6019438069692252E-2</v>
      </c>
      <c r="G542" s="217">
        <f>Saldo_relativo_per_capita!G542*Saldo_relativo_per_capita!G$552/1000000</f>
        <v>-1.5650566490120966E-2</v>
      </c>
      <c r="H542" s="217">
        <f>Saldo_relativo_per_capita!H542*Saldo_relativo_per_capita!H$552/1000000</f>
        <v>-4.7341607878338472E-2</v>
      </c>
      <c r="I542" s="217">
        <f>Saldo_relativo_per_capita!I542*Saldo_relativo_per_capita!I$552/1000000</f>
        <v>0.22253403700377161</v>
      </c>
      <c r="J542" s="217">
        <f>Saldo_relativo_per_capita!J542*Saldo_relativo_per_capita!J$552/1000000</f>
        <v>-1.362212593036799E-2</v>
      </c>
      <c r="K542" s="217">
        <f>Saldo_relativo_per_capita!K542*Saldo_relativo_per_capita!K$552/1000000</f>
        <v>7.5580410972913639E-2</v>
      </c>
      <c r="L542" s="217">
        <f>Saldo_relativo_per_capita!L542*Saldo_relativo_per_capita!L$552/1000000</f>
        <v>0.24039971174306171</v>
      </c>
      <c r="M542" s="217">
        <f>Saldo_relativo_per_capita!M542*Saldo_relativo_per_capita!M$552/1000000</f>
        <v>-0.78338306931355517</v>
      </c>
      <c r="N542" s="217">
        <f>Saldo_relativo_per_capita!N542*Saldo_relativo_per_capita!N$552/1000000</f>
        <v>0.15873865114033214</v>
      </c>
      <c r="O542" s="217">
        <f>Saldo_relativo_per_capita!O542*Saldo_relativo_per_capita!O$552/1000000</f>
        <v>0.16009266934948058</v>
      </c>
      <c r="P542" s="217">
        <f>Saldo_relativo_per_capita!P542*Saldo_relativo_per_capita!P$552/1000000</f>
        <v>0.10970367158471597</v>
      </c>
      <c r="Q542" s="217">
        <f>Saldo_relativo_per_capita!Q542*Saldo_relativo_per_capita!Q$552/1000000</f>
        <v>-0.89060016024320277</v>
      </c>
      <c r="R542" s="217">
        <f>Saldo_relativo_per_capita!R542*Saldo_relativo_per_capita!R$552/1000000</f>
        <v>0.17247914949413909</v>
      </c>
      <c r="S542" s="217">
        <f>Saldo_relativo_per_capita!S542*Saldo_relativo_per_capita!S$552/1000000</f>
        <v>-5.1537395789123502E-2</v>
      </c>
      <c r="T542" s="217">
        <f>Saldo_relativo_per_capita!T542*Saldo_relativo_per_capita!T$552/1000000</f>
        <v>-0.27410706227639148</v>
      </c>
      <c r="U542" s="217">
        <f>Saldo_relativo_per_capita!U542*Saldo_relativo_per_capita!U$552/1000000</f>
        <v>-1.9018872529762746E-3</v>
      </c>
      <c r="V542" s="217">
        <f>Saldo_relativo_per_capita!V542*Saldo_relativo_per_capita!V$552/1000000</f>
        <v>2.0368920980062634E-2</v>
      </c>
    </row>
    <row r="543" spans="1:22" s="115" customFormat="1">
      <c r="A543" s="351" t="str">
        <f>IF(B543="","",(IF(ISERROR(MATCH(B543,Tot_res!C:C,0)),"Eliminar!!!","")))</f>
        <v/>
      </c>
      <c r="B543" s="102" t="s">
        <v>1231</v>
      </c>
      <c r="C543" s="329" t="str">
        <f>VLOOKUP(B543,Tot_res!C:D,2,FALSE)</f>
        <v>Tasas, CNMC</v>
      </c>
      <c r="D543" s="217">
        <f>Saldo_relativo_per_capita!D543*Saldo_relativo_per_capita!D$552/1000000</f>
        <v>0</v>
      </c>
      <c r="E543" s="217">
        <f>Saldo_relativo_per_capita!E543*Saldo_relativo_per_capita!E$552/1000000</f>
        <v>-9.9425546634798224E-3</v>
      </c>
      <c r="F543" s="217">
        <f>Saldo_relativo_per_capita!F543*Saldo_relativo_per_capita!F$552/1000000</f>
        <v>3.528112894262485E-4</v>
      </c>
      <c r="G543" s="217">
        <f>Saldo_relativo_per_capita!G543*Saldo_relativo_per_capita!G$552/1000000</f>
        <v>1.7460089643064785E-4</v>
      </c>
      <c r="H543" s="217">
        <f>Saldo_relativo_per_capita!H543*Saldo_relativo_per_capita!H$552/1000000</f>
        <v>4.6343929874085156E-4</v>
      </c>
      <c r="I543" s="217">
        <f>Saldo_relativo_per_capita!I543*Saldo_relativo_per_capita!I$552/1000000</f>
        <v>-2.2555108743107684E-3</v>
      </c>
      <c r="J543" s="217">
        <f>Saldo_relativo_per_capita!J543*Saldo_relativo_per_capita!J$552/1000000</f>
        <v>7.2063465508381182E-5</v>
      </c>
      <c r="K543" s="217">
        <f>Saldo_relativo_per_capita!K543*Saldo_relativo_per_capita!K$552/1000000</f>
        <v>-5.4102331075720834E-4</v>
      </c>
      <c r="L543" s="217">
        <f>Saldo_relativo_per_capita!L543*Saldo_relativo_per_capita!L$552/1000000</f>
        <v>-2.4013063098683404E-3</v>
      </c>
      <c r="M543" s="217">
        <f>Saldo_relativo_per_capita!M543*Saldo_relativo_per_capita!M$552/1000000</f>
        <v>7.5233413301299418E-3</v>
      </c>
      <c r="N543" s="217">
        <f>Saldo_relativo_per_capita!N543*Saldo_relativo_per_capita!N$552/1000000</f>
        <v>-2.3087572089006514E-3</v>
      </c>
      <c r="O543" s="217">
        <f>Saldo_relativo_per_capita!O543*Saldo_relativo_per_capita!O$552/1000000</f>
        <v>-1.669991091787421E-3</v>
      </c>
      <c r="P543" s="217">
        <f>Saldo_relativo_per_capita!P543*Saldo_relativo_per_capita!P$552/1000000</f>
        <v>-1.1430799363392049E-3</v>
      </c>
      <c r="Q543" s="217">
        <f>Saldo_relativo_per_capita!Q543*Saldo_relativo_per_capita!Q$552/1000000</f>
        <v>9.7648059384940061E-3</v>
      </c>
      <c r="R543" s="217">
        <f>Saldo_relativo_per_capita!R543*Saldo_relativo_per_capita!R$552/1000000</f>
        <v>-1.7795783499252485E-3</v>
      </c>
      <c r="S543" s="217">
        <f>Saldo_relativo_per_capita!S543*Saldo_relativo_per_capita!S$552/1000000</f>
        <v>6.4947567596961616E-4</v>
      </c>
      <c r="T543" s="217">
        <f>Saldo_relativo_per_capita!T543*Saldo_relativo_per_capita!T$552/1000000</f>
        <v>3.2279537472561606E-3</v>
      </c>
      <c r="U543" s="217">
        <f>Saldo_relativo_per_capita!U543*Saldo_relativo_per_capita!U$552/1000000</f>
        <v>2.5005762146258236E-5</v>
      </c>
      <c r="V543" s="217">
        <f>Saldo_relativo_per_capita!V543*Saldo_relativo_per_capita!V$552/1000000</f>
        <v>-2.1169565873336375E-4</v>
      </c>
    </row>
    <row r="544" spans="1:22" s="115" customFormat="1">
      <c r="A544" s="351" t="str">
        <f>IF(B544="","",(IF(ISERROR(MATCH(B544,Tot_res!C:C,0)),"Eliminar!!!","")))</f>
        <v/>
      </c>
      <c r="B544" s="102" t="s">
        <v>460</v>
      </c>
      <c r="C544" s="329" t="str">
        <f>VLOOKUP(B544,Tot_res!C:D,2,FALSE)</f>
        <v>Ingresos financieros, patrimoniales y similares de la Administración Central</v>
      </c>
      <c r="D544" s="217">
        <f>Saldo_relativo_per_capita!D544*Saldo_relativo_per_capita!D$552/1000000</f>
        <v>0</v>
      </c>
      <c r="E544" s="217">
        <f>Saldo_relativo_per_capita!E544*Saldo_relativo_per_capita!E$552/1000000</f>
        <v>0</v>
      </c>
      <c r="F544" s="217">
        <f>Saldo_relativo_per_capita!F544*Saldo_relativo_per_capita!F$552/1000000</f>
        <v>0</v>
      </c>
      <c r="G544" s="217">
        <f>Saldo_relativo_per_capita!G544*Saldo_relativo_per_capita!G$552/1000000</f>
        <v>0</v>
      </c>
      <c r="H544" s="217">
        <f>Saldo_relativo_per_capita!H544*Saldo_relativo_per_capita!H$552/1000000</f>
        <v>0</v>
      </c>
      <c r="I544" s="217">
        <f>Saldo_relativo_per_capita!I544*Saldo_relativo_per_capita!I$552/1000000</f>
        <v>0</v>
      </c>
      <c r="J544" s="217">
        <f>Saldo_relativo_per_capita!J544*Saldo_relativo_per_capita!J$552/1000000</f>
        <v>0</v>
      </c>
      <c r="K544" s="217">
        <f>Saldo_relativo_per_capita!K544*Saldo_relativo_per_capita!K$552/1000000</f>
        <v>0</v>
      </c>
      <c r="L544" s="217">
        <f>Saldo_relativo_per_capita!L544*Saldo_relativo_per_capita!L$552/1000000</f>
        <v>0</v>
      </c>
      <c r="M544" s="217">
        <f>Saldo_relativo_per_capita!M544*Saldo_relativo_per_capita!M$552/1000000</f>
        <v>0</v>
      </c>
      <c r="N544" s="217">
        <f>Saldo_relativo_per_capita!N544*Saldo_relativo_per_capita!N$552/1000000</f>
        <v>0</v>
      </c>
      <c r="O544" s="217">
        <f>Saldo_relativo_per_capita!O544*Saldo_relativo_per_capita!O$552/1000000</f>
        <v>0</v>
      </c>
      <c r="P544" s="217">
        <f>Saldo_relativo_per_capita!P544*Saldo_relativo_per_capita!P$552/1000000</f>
        <v>0</v>
      </c>
      <c r="Q544" s="217">
        <f>Saldo_relativo_per_capita!Q544*Saldo_relativo_per_capita!Q$552/1000000</f>
        <v>0</v>
      </c>
      <c r="R544" s="217">
        <f>Saldo_relativo_per_capita!R544*Saldo_relativo_per_capita!R$552/1000000</f>
        <v>0</v>
      </c>
      <c r="S544" s="217">
        <f>Saldo_relativo_per_capita!S544*Saldo_relativo_per_capita!S$552/1000000</f>
        <v>0</v>
      </c>
      <c r="T544" s="217">
        <f>Saldo_relativo_per_capita!T544*Saldo_relativo_per_capita!T$552/1000000</f>
        <v>0</v>
      </c>
      <c r="U544" s="217">
        <f>Saldo_relativo_per_capita!U544*Saldo_relativo_per_capita!U$552/1000000</f>
        <v>0</v>
      </c>
      <c r="V544" s="217">
        <f>Saldo_relativo_per_capita!V544*Saldo_relativo_per_capita!V$552/1000000</f>
        <v>0</v>
      </c>
    </row>
    <row r="545" spans="1:22" s="115" customFormat="1">
      <c r="A545" s="351" t="str">
        <f>IF(B545="","",(IF(ISERROR(MATCH(B545,Tot_res!C:C,0)),"Eliminar!!!","")))</f>
        <v/>
      </c>
      <c r="B545" s="102" t="s">
        <v>463</v>
      </c>
      <c r="C545" s="329" t="str">
        <f>VLOOKUP(B545,Tot_res!C:D,2,FALSE)</f>
        <v>Ingresos del Banco de España, BdE</v>
      </c>
      <c r="D545" s="217">
        <f>Saldo_relativo_per_capita!D545*Saldo_relativo_per_capita!D$552/1000000</f>
        <v>0</v>
      </c>
      <c r="E545" s="217">
        <f>Saldo_relativo_per_capita!E545*Saldo_relativo_per_capita!E$552/1000000</f>
        <v>0</v>
      </c>
      <c r="F545" s="217">
        <f>Saldo_relativo_per_capita!F545*Saldo_relativo_per_capita!F$552/1000000</f>
        <v>0</v>
      </c>
      <c r="G545" s="217">
        <f>Saldo_relativo_per_capita!G545*Saldo_relativo_per_capita!G$552/1000000</f>
        <v>0</v>
      </c>
      <c r="H545" s="217">
        <f>Saldo_relativo_per_capita!H545*Saldo_relativo_per_capita!H$552/1000000</f>
        <v>0</v>
      </c>
      <c r="I545" s="217">
        <f>Saldo_relativo_per_capita!I545*Saldo_relativo_per_capita!I$552/1000000</f>
        <v>0</v>
      </c>
      <c r="J545" s="217">
        <f>Saldo_relativo_per_capita!J545*Saldo_relativo_per_capita!J$552/1000000</f>
        <v>0</v>
      </c>
      <c r="K545" s="217">
        <f>Saldo_relativo_per_capita!K545*Saldo_relativo_per_capita!K$552/1000000</f>
        <v>0</v>
      </c>
      <c r="L545" s="217">
        <f>Saldo_relativo_per_capita!L545*Saldo_relativo_per_capita!L$552/1000000</f>
        <v>0</v>
      </c>
      <c r="M545" s="217">
        <f>Saldo_relativo_per_capita!M545*Saldo_relativo_per_capita!M$552/1000000</f>
        <v>0</v>
      </c>
      <c r="N545" s="217">
        <f>Saldo_relativo_per_capita!N545*Saldo_relativo_per_capita!N$552/1000000</f>
        <v>0</v>
      </c>
      <c r="O545" s="217">
        <f>Saldo_relativo_per_capita!O545*Saldo_relativo_per_capita!O$552/1000000</f>
        <v>0</v>
      </c>
      <c r="P545" s="217">
        <f>Saldo_relativo_per_capita!P545*Saldo_relativo_per_capita!P$552/1000000</f>
        <v>0</v>
      </c>
      <c r="Q545" s="217">
        <f>Saldo_relativo_per_capita!Q545*Saldo_relativo_per_capita!Q$552/1000000</f>
        <v>0</v>
      </c>
      <c r="R545" s="217">
        <f>Saldo_relativo_per_capita!R545*Saldo_relativo_per_capita!R$552/1000000</f>
        <v>0</v>
      </c>
      <c r="S545" s="217">
        <f>Saldo_relativo_per_capita!S545*Saldo_relativo_per_capita!S$552/1000000</f>
        <v>0</v>
      </c>
      <c r="T545" s="217">
        <f>Saldo_relativo_per_capita!T545*Saldo_relativo_per_capita!T$552/1000000</f>
        <v>0</v>
      </c>
      <c r="U545" s="217">
        <f>Saldo_relativo_per_capita!U545*Saldo_relativo_per_capita!U$552/1000000</f>
        <v>0</v>
      </c>
      <c r="V545" s="217">
        <f>Saldo_relativo_per_capita!V545*Saldo_relativo_per_capita!V$552/1000000</f>
        <v>0</v>
      </c>
    </row>
    <row r="546" spans="1:22">
      <c r="A546" s="349" t="s">
        <v>1086</v>
      </c>
      <c r="C546" s="30"/>
      <c r="D546" s="39"/>
      <c r="E546" s="39"/>
      <c r="F546" s="39"/>
      <c r="G546" s="39"/>
      <c r="H546" s="39"/>
      <c r="I546" s="39"/>
      <c r="J546" s="39"/>
      <c r="K546" s="39"/>
      <c r="L546" s="39"/>
      <c r="M546" s="39"/>
      <c r="N546" s="39"/>
      <c r="O546" s="39"/>
      <c r="P546" s="39"/>
      <c r="Q546" s="39"/>
      <c r="R546" s="39"/>
      <c r="S546" s="39"/>
      <c r="T546" s="39"/>
      <c r="U546" s="39"/>
      <c r="V546" s="39"/>
    </row>
    <row r="547" spans="1:22" s="115" customFormat="1">
      <c r="A547" s="349" t="str">
        <f>IF(B547="","",(IF(ISERROR(MATCH(B547,Tot_res!C:C,0)),"Eliminar!!!","")))</f>
        <v/>
      </c>
      <c r="D547" s="217"/>
      <c r="E547" s="217"/>
      <c r="F547" s="217"/>
      <c r="G547" s="217"/>
      <c r="H547" s="217"/>
      <c r="I547" s="217"/>
      <c r="J547" s="217"/>
      <c r="K547" s="217"/>
      <c r="L547" s="217"/>
      <c r="M547" s="217"/>
      <c r="N547" s="217"/>
      <c r="O547" s="217"/>
      <c r="P547" s="217"/>
      <c r="Q547" s="217"/>
      <c r="R547" s="217"/>
      <c r="S547" s="217"/>
      <c r="T547" s="217"/>
      <c r="U547" s="217"/>
      <c r="V547" s="217"/>
    </row>
    <row r="548" spans="1:22" s="115" customFormat="1">
      <c r="A548" s="349" t="str">
        <f>IF(B548="","",(IF(ISERROR(MATCH(B548,Tot_res!C:C,0)),"Eliminar!!!","")))</f>
        <v/>
      </c>
      <c r="C548" s="137" t="s">
        <v>96</v>
      </c>
      <c r="D548" s="215">
        <f>Saldo_relativo_per_capita!D548*Saldo_relativo_per_capita!D$552/1000000</f>
        <v>0</v>
      </c>
      <c r="E548" s="215">
        <f>Saldo_relativo_per_capita!E548*Saldo_relativo_per_capita!E$552/1000000</f>
        <v>13757.146383218696</v>
      </c>
      <c r="F548" s="215">
        <f>Saldo_relativo_per_capita!F548*Saldo_relativo_per_capita!F$552/1000000</f>
        <v>-731.32212776860206</v>
      </c>
      <c r="G548" s="215">
        <f>Saldo_relativo_per_capita!G548*Saldo_relativo_per_capita!G$552/1000000</f>
        <v>-167.14548875872654</v>
      </c>
      <c r="H548" s="215">
        <f>Saldo_relativo_per_capita!H548*Saldo_relativo_per_capita!H$552/1000000</f>
        <v>-735.82303214087426</v>
      </c>
      <c r="I548" s="215">
        <f>Saldo_relativo_per_capita!I548*Saldo_relativo_per_capita!I$552/1000000</f>
        <v>4641.0681158357465</v>
      </c>
      <c r="J548" s="215">
        <f>Saldo_relativo_per_capita!J548*Saldo_relativo_per_capita!J$552/1000000</f>
        <v>-111.70621640468902</v>
      </c>
      <c r="K548" s="215">
        <f>Saldo_relativo_per_capita!K548*Saldo_relativo_per_capita!K$552/1000000</f>
        <v>798.92049630712927</v>
      </c>
      <c r="L548" s="215">
        <f>Saldo_relativo_per_capita!L548*Saldo_relativo_per_capita!L$552/1000000</f>
        <v>2827.5685116972968</v>
      </c>
      <c r="M548" s="215">
        <f>Saldo_relativo_per_capita!M548*Saldo_relativo_per_capita!M$552/1000000</f>
        <v>-10044.231727114566</v>
      </c>
      <c r="N548" s="215">
        <f>Saldo_relativo_per_capita!N548*Saldo_relativo_per_capita!N$552/1000000</f>
        <v>3935.2572252713226</v>
      </c>
      <c r="O548" s="215">
        <f>Saldo_relativo_per_capita!O548*Saldo_relativo_per_capita!O$552/1000000</f>
        <v>2135.9906022338514</v>
      </c>
      <c r="P548" s="215">
        <f>Saldo_relativo_per_capita!P548*Saldo_relativo_per_capita!P$552/1000000</f>
        <v>1755.3483090186796</v>
      </c>
      <c r="Q548" s="215">
        <f>Saldo_relativo_per_capita!Q548*Saldo_relativo_per_capita!Q$552/1000000</f>
        <v>-16368.956961660104</v>
      </c>
      <c r="R548" s="215">
        <f>Saldo_relativo_per_capita!R548*Saldo_relativo_per_capita!R$552/1000000</f>
        <v>2004.6279337904984</v>
      </c>
      <c r="S548" s="215">
        <f>Saldo_relativo_per_capita!S548*Saldo_relativo_per_capita!S$552/1000000</f>
        <v>-587.49066767539955</v>
      </c>
      <c r="T548" s="215">
        <f>Saldo_relativo_per_capita!T548*Saldo_relativo_per_capita!T$552/1000000</f>
        <v>-3474.249665008133</v>
      </c>
      <c r="U548" s="215">
        <f>Saldo_relativo_per_capita!U548*Saldo_relativo_per_capita!U$552/1000000</f>
        <v>-67.400955297697465</v>
      </c>
      <c r="V548" s="215">
        <f>Saldo_relativo_per_capita!V548*Saldo_relativo_per_capita!V$552/1000000</f>
        <v>432.39926445551021</v>
      </c>
    </row>
    <row r="549" spans="1:22" s="115" customFormat="1">
      <c r="A549" s="349" t="str">
        <f>IF(B549="","",(IF(ISERROR(MATCH(B549,Tot_res!C:C,0)),"Eliminar!!!","")))</f>
        <v/>
      </c>
      <c r="C549" s="137" t="s">
        <v>97</v>
      </c>
      <c r="D549" s="215">
        <f>Saldo_relativo_per_capita!D549*Saldo_relativo_per_capita!D$552/1000000</f>
        <v>0</v>
      </c>
      <c r="E549" s="215">
        <f>Saldo_relativo_per_capita!E549*Saldo_relativo_per_capita!E$552/1000000</f>
        <v>14299.725017234779</v>
      </c>
      <c r="F549" s="215">
        <f>Saldo_relativo_per_capita!F549*Saldo_relativo_per_capita!F$552/1000000</f>
        <v>-590.16082253001673</v>
      </c>
      <c r="G549" s="215">
        <f>Saldo_relativo_per_capita!G549*Saldo_relativo_per_capita!G$552/1000000</f>
        <v>-67.172923814554622</v>
      </c>
      <c r="H549" s="215">
        <f>Saldo_relativo_per_capita!H549*Saldo_relativo_per_capita!H$552/1000000</f>
        <v>-535.57254234469144</v>
      </c>
      <c r="I549" s="215">
        <f>Saldo_relativo_per_capita!I549*Saldo_relativo_per_capita!I$552/1000000</f>
        <v>3053.1224733077415</v>
      </c>
      <c r="J549" s="215">
        <f>Saldo_relativo_per_capita!J549*Saldo_relativo_per_capita!J$552/1000000</f>
        <v>-72.022859411079509</v>
      </c>
      <c r="K549" s="215">
        <f>Saldo_relativo_per_capita!K549*Saldo_relativo_per_capita!K$552/1000000</f>
        <v>967.60459768313115</v>
      </c>
      <c r="L549" s="215">
        <f>Saldo_relativo_per_capita!L549*Saldo_relativo_per_capita!L$552/1000000</f>
        <v>2855.9497128724579</v>
      </c>
      <c r="M549" s="215">
        <f>Saldo_relativo_per_capita!M549*Saldo_relativo_per_capita!M$552/1000000</f>
        <v>-9167.3703229590628</v>
      </c>
      <c r="N549" s="215">
        <f>Saldo_relativo_per_capita!N549*Saldo_relativo_per_capita!N$552/1000000</f>
        <v>4448.3792063789333</v>
      </c>
      <c r="O549" s="215">
        <f>Saldo_relativo_per_capita!O549*Saldo_relativo_per_capita!O$552/1000000</f>
        <v>2303.0945333567192</v>
      </c>
      <c r="P549" s="215">
        <f>Saldo_relativo_per_capita!P549*Saldo_relativo_per_capita!P$552/1000000</f>
        <v>2025.7649324008289</v>
      </c>
      <c r="Q549" s="215">
        <f>Saldo_relativo_per_capita!Q549*Saldo_relativo_per_capita!Q$552/1000000</f>
        <v>-16744.497418452709</v>
      </c>
      <c r="R549" s="215">
        <f>Saldo_relativo_per_capita!R549*Saldo_relativo_per_capita!R$552/1000000</f>
        <v>2180.9623333340655</v>
      </c>
      <c r="S549" s="215">
        <f>Saldo_relativo_per_capita!S549*Saldo_relativo_per_capita!S$552/1000000</f>
        <v>-939.16543162585663</v>
      </c>
      <c r="T549" s="215">
        <f>Saldo_relativo_per_capita!T549*Saldo_relativo_per_capita!T$552/1000000</f>
        <v>-4298.8012405245927</v>
      </c>
      <c r="U549" s="215">
        <f>Saldo_relativo_per_capita!U549*Saldo_relativo_per_capita!U$552/1000000</f>
        <v>-44.647006301154441</v>
      </c>
      <c r="V549" s="215">
        <f>Saldo_relativo_per_capita!V549*Saldo_relativo_per_capita!V$552/1000000</f>
        <v>324.80776139510056</v>
      </c>
    </row>
    <row r="550" spans="1:22" s="115" customFormat="1">
      <c r="A550" s="349"/>
      <c r="D550" s="215"/>
      <c r="E550" s="215"/>
      <c r="F550" s="215"/>
      <c r="G550" s="215"/>
      <c r="H550" s="215"/>
      <c r="I550" s="215"/>
      <c r="J550" s="215"/>
      <c r="K550" s="215"/>
      <c r="L550" s="215"/>
      <c r="M550" s="215"/>
      <c r="N550" s="215"/>
      <c r="O550" s="215"/>
      <c r="P550" s="215"/>
      <c r="Q550" s="215"/>
      <c r="R550" s="215"/>
      <c r="S550" s="215"/>
      <c r="T550" s="215"/>
      <c r="U550" s="215"/>
      <c r="V550" s="215"/>
    </row>
    <row r="551" spans="1:22" s="115" customFormat="1">
      <c r="A551" s="349"/>
      <c r="C551" s="137"/>
      <c r="D551" s="215"/>
      <c r="E551" s="215"/>
      <c r="F551" s="215"/>
      <c r="G551" s="215"/>
      <c r="H551" s="215"/>
      <c r="I551" s="215"/>
      <c r="J551" s="215"/>
      <c r="K551" s="215"/>
      <c r="L551" s="215"/>
      <c r="M551" s="215"/>
      <c r="N551" s="215"/>
      <c r="O551" s="215"/>
      <c r="P551" s="215"/>
      <c r="Q551" s="215"/>
      <c r="R551" s="215"/>
      <c r="S551" s="215"/>
      <c r="T551" s="215"/>
      <c r="U551" s="215"/>
      <c r="V551" s="215"/>
    </row>
    <row r="552" spans="1:22" s="115" customFormat="1">
      <c r="A552" s="349"/>
      <c r="C552" s="137" t="s">
        <v>111</v>
      </c>
      <c r="D552" s="215">
        <f t="shared" ref="D552:V552" si="0">D481+D548</f>
        <v>0</v>
      </c>
      <c r="E552" s="215">
        <f t="shared" si="0"/>
        <v>7689.2939065414093</v>
      </c>
      <c r="F552" s="215">
        <f t="shared" si="0"/>
        <v>843.93488861405694</v>
      </c>
      <c r="G552" s="215">
        <f t="shared" si="0"/>
        <v>2098.4333733351241</v>
      </c>
      <c r="H552" s="215">
        <f t="shared" si="0"/>
        <v>-1515.8981670889436</v>
      </c>
      <c r="I552" s="215">
        <f t="shared" si="0"/>
        <v>4293.4492138412643</v>
      </c>
      <c r="J552" s="215">
        <f t="shared" si="0"/>
        <v>515.56313170709598</v>
      </c>
      <c r="K552" s="215">
        <f t="shared" si="0"/>
        <v>4280.0786450412361</v>
      </c>
      <c r="L552" s="215">
        <f t="shared" si="0"/>
        <v>1633.6740537015344</v>
      </c>
      <c r="M552" s="215">
        <f t="shared" si="0"/>
        <v>-9892.31962179324</v>
      </c>
      <c r="N552" s="215">
        <f t="shared" si="0"/>
        <v>-1734.6380883381844</v>
      </c>
      <c r="O552" s="215">
        <f t="shared" si="0"/>
        <v>2826.7258269383747</v>
      </c>
      <c r="P552" s="215">
        <f t="shared" si="0"/>
        <v>3691.7992295312192</v>
      </c>
      <c r="Q552" s="215">
        <f t="shared" si="0"/>
        <v>-19204.704060784847</v>
      </c>
      <c r="R552" s="215">
        <f t="shared" si="0"/>
        <v>107.63287915890373</v>
      </c>
      <c r="S552" s="215">
        <f t="shared" si="0"/>
        <v>114.82509593379416</v>
      </c>
      <c r="T552" s="215">
        <f t="shared" si="0"/>
        <v>3387.4649957856936</v>
      </c>
      <c r="U552" s="215">
        <f t="shared" si="0"/>
        <v>41.803045890771273</v>
      </c>
      <c r="V552" s="215">
        <f t="shared" si="0"/>
        <v>822.88165198460126</v>
      </c>
    </row>
    <row r="553" spans="1:22" s="115" customFormat="1">
      <c r="A553" s="349"/>
    </row>
    <row r="554" spans="1:22" s="115" customFormat="1">
      <c r="A554" s="349"/>
      <c r="C554" s="115" t="s">
        <v>1005</v>
      </c>
      <c r="D554" s="217">
        <f t="shared" ref="D554:V554" si="1">D381+D492+D537</f>
        <v>0</v>
      </c>
      <c r="E554" s="217">
        <f t="shared" si="1"/>
        <v>9221.582882984465</v>
      </c>
      <c r="F554" s="217">
        <f t="shared" si="1"/>
        <v>30.611933616747308</v>
      </c>
      <c r="G554" s="217">
        <f t="shared" si="1"/>
        <v>1736.3674388752302</v>
      </c>
      <c r="H554" s="217">
        <f t="shared" si="1"/>
        <v>-1102.9193150487699</v>
      </c>
      <c r="I554" s="217">
        <f t="shared" si="1"/>
        <v>1018.6884339230463</v>
      </c>
      <c r="J554" s="217">
        <f t="shared" si="1"/>
        <v>270.77284786197799</v>
      </c>
      <c r="K554" s="217">
        <f t="shared" si="1"/>
        <v>2306.1333012820569</v>
      </c>
      <c r="L554" s="217">
        <f t="shared" si="1"/>
        <v>1696.7451930235502</v>
      </c>
      <c r="M554" s="217">
        <f t="shared" si="1"/>
        <v>-6175.2780328504869</v>
      </c>
      <c r="N554" s="217">
        <f t="shared" si="1"/>
        <v>2512.7967490004221</v>
      </c>
      <c r="O554" s="217">
        <f t="shared" si="1"/>
        <v>1775.8871765442163</v>
      </c>
      <c r="P554" s="217">
        <f t="shared" si="1"/>
        <v>2965.0389596446335</v>
      </c>
      <c r="Q554" s="217">
        <f t="shared" si="1"/>
        <v>-14866.945488085717</v>
      </c>
      <c r="R554" s="217">
        <f t="shared" si="1"/>
        <v>1163.5782396665068</v>
      </c>
      <c r="S554" s="217">
        <f t="shared" si="1"/>
        <v>-704.56756536139073</v>
      </c>
      <c r="T554" s="217">
        <f t="shared" si="1"/>
        <v>-1892.0176907968485</v>
      </c>
      <c r="U554" s="217">
        <f t="shared" si="1"/>
        <v>-40.217115980389025</v>
      </c>
      <c r="V554" s="217">
        <f t="shared" si="1"/>
        <v>83.742051700701495</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zoomScaleSheetLayoutView="55" workbookViewId="0"/>
  </sheetViews>
  <sheetFormatPr baseColWidth="10" defaultColWidth="11" defaultRowHeight="12.75"/>
  <cols>
    <col min="1" max="1" width="11" style="9"/>
    <col min="2" max="2" width="24.5" style="9" customWidth="1"/>
    <col min="3" max="3" width="27.5" style="9" customWidth="1"/>
    <col min="4" max="4" width="24.5" style="9" customWidth="1"/>
    <col min="5" max="5" width="19.25" style="9" customWidth="1"/>
    <col min="6" max="6" width="28.5" style="9" customWidth="1"/>
    <col min="7" max="7" width="19.875" style="9" customWidth="1"/>
    <col min="8" max="8" width="21.25" style="9" customWidth="1"/>
    <col min="9" max="9" width="21.625" style="9" customWidth="1"/>
    <col min="10" max="10" width="25.375" style="9" customWidth="1"/>
    <col min="11" max="11" width="19.125" style="9" customWidth="1"/>
    <col min="12" max="12" width="24.875" style="9" customWidth="1"/>
    <col min="13" max="13" width="22.5" style="9" customWidth="1"/>
    <col min="14" max="14" width="25.375" style="9" customWidth="1"/>
    <col min="15" max="15" width="25.5" style="9" customWidth="1"/>
    <col min="16" max="16" width="25.875" style="9" customWidth="1"/>
    <col min="17" max="17" width="34.875" style="9" customWidth="1"/>
    <col min="18" max="18" width="19" style="9" customWidth="1"/>
    <col min="19" max="19" width="20" style="9" customWidth="1"/>
    <col min="20" max="23" width="11" style="9"/>
    <col min="24" max="24" width="15.5" style="9" customWidth="1"/>
    <col min="25" max="25" width="14.125" style="9" customWidth="1"/>
    <col min="26" max="26" width="11" style="9" customWidth="1"/>
    <col min="27" max="27" width="12.875" style="9" customWidth="1"/>
    <col min="28" max="29" width="14.875" style="9" customWidth="1"/>
    <col min="30" max="30" width="17.75" style="9" customWidth="1"/>
    <col min="31" max="31" width="15.25" style="9" customWidth="1"/>
    <col min="32" max="32" width="17.75" style="9" customWidth="1"/>
    <col min="33" max="33" width="11" style="9"/>
    <col min="34" max="34" width="29.125" style="9" customWidth="1"/>
    <col min="35" max="35" width="13.75" style="9" customWidth="1"/>
    <col min="36" max="36" width="11" style="9"/>
    <col min="37" max="37" width="13" style="9" customWidth="1"/>
    <col min="38" max="38" width="15.75" style="9" customWidth="1"/>
    <col min="39" max="39" width="13.625" style="9" customWidth="1"/>
    <col min="40" max="40" width="14.125" style="9" customWidth="1"/>
    <col min="41" max="16384" width="11" style="9"/>
  </cols>
  <sheetData>
    <row r="1" spans="2:16" ht="27.75" thickBot="1">
      <c r="B1" s="436" t="s">
        <v>1240</v>
      </c>
      <c r="C1" s="437"/>
      <c r="D1" s="465"/>
      <c r="E1" s="14"/>
      <c r="F1" s="14"/>
      <c r="G1" s="14"/>
      <c r="H1" s="14"/>
    </row>
    <row r="2" spans="2:16">
      <c r="B2" s="9" t="s">
        <v>1078</v>
      </c>
    </row>
    <row r="6" spans="2:16" ht="18.75">
      <c r="B6" s="258" t="str">
        <f>" Cuadros 2: Clasificación del gasto público, años "&amp;(Resumen!C2-1)&amp;" y "&amp; (Resumen!C2) &amp; " obligaciones reconocidas, miles de euros"</f>
        <v xml:space="preserve"> Cuadros 2: Clasificación del gasto público, años 2013 y 2014 obligaciones reconocidas, miles de euros</v>
      </c>
    </row>
    <row r="7" spans="2:16">
      <c r="B7" s="208" t="s">
        <v>1243</v>
      </c>
    </row>
    <row r="8" spans="2:16">
      <c r="B8" s="208"/>
    </row>
    <row r="9" spans="2:16">
      <c r="B9" s="208"/>
    </row>
    <row r="10" spans="2:16">
      <c r="B10" s="208"/>
    </row>
    <row r="11" spans="2:16" ht="18.75">
      <c r="B11" s="258" t="str">
        <f>" Cuadros 3: Clasificación de los ingresos públicos, años "&amp;(Resumen!C2-1)&amp;" y "&amp; (Resumen!C2) &amp; ", miles de euros"</f>
        <v xml:space="preserve"> Cuadros 3: Clasificación de los ingresos públicos, años 2013 y 2014, miles de euros</v>
      </c>
    </row>
    <row r="12" spans="2:16">
      <c r="B12" s="208" t="s">
        <v>1244</v>
      </c>
    </row>
    <row r="13" spans="2:16" ht="18.75">
      <c r="B13" s="258"/>
    </row>
    <row r="15" spans="2:16" ht="13.5" customHeight="1">
      <c r="B15" s="457" t="s">
        <v>1242</v>
      </c>
      <c r="K15" s="363" t="s">
        <v>1172</v>
      </c>
    </row>
    <row r="16" spans="2:16" ht="18.75">
      <c r="B16" s="258"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2014</v>
      </c>
      <c r="C16" s="22"/>
      <c r="D16" s="22"/>
      <c r="E16" s="22"/>
      <c r="F16" s="22"/>
      <c r="G16" s="22"/>
      <c r="H16" s="22"/>
      <c r="I16" s="22"/>
      <c r="J16" s="22"/>
      <c r="K16" s="258" t="str">
        <f>"Cuadro 4b: Gastos e ingresos totales y saldos fiscales absolutos, según destino del FLA y del FFPP, resto de operaciones financieras imputadas por población, millones de euros "&amp; (Resumen!C2)</f>
        <v>Cuadro 4b: Gastos e ingresos totales y saldos fiscales absolutos, según destino del FLA y del FFPP, resto de operaciones financieras imputadas por población, millones de euros 2014</v>
      </c>
      <c r="L16" s="22"/>
      <c r="M16" s="22"/>
      <c r="N16" s="22"/>
      <c r="O16" s="22"/>
      <c r="P16" s="22"/>
    </row>
    <row r="17" spans="2:30" ht="27.75" thickBot="1">
      <c r="B17" s="256"/>
      <c r="C17" s="257" t="s">
        <v>479</v>
      </c>
      <c r="D17" s="257" t="s">
        <v>480</v>
      </c>
      <c r="E17" s="257" t="s">
        <v>1142</v>
      </c>
      <c r="F17" s="257" t="s">
        <v>482</v>
      </c>
      <c r="G17" s="257" t="s">
        <v>494</v>
      </c>
      <c r="H17" s="257" t="s">
        <v>483</v>
      </c>
      <c r="I17" s="257" t="s">
        <v>484</v>
      </c>
      <c r="J17" s="22"/>
      <c r="K17" s="256"/>
      <c r="L17" s="257" t="s">
        <v>479</v>
      </c>
      <c r="M17" s="257" t="s">
        <v>480</v>
      </c>
      <c r="N17" s="257" t="s">
        <v>481</v>
      </c>
      <c r="O17" s="257" t="s">
        <v>482</v>
      </c>
      <c r="P17" s="257" t="s">
        <v>1123</v>
      </c>
      <c r="Q17" s="257" t="s">
        <v>1124</v>
      </c>
      <c r="R17" s="257" t="s">
        <v>484</v>
      </c>
    </row>
    <row r="18" spans="2:30">
      <c r="B18" s="208" t="s">
        <v>9</v>
      </c>
      <c r="C18" s="64">
        <f>+Resumen!Z34/1000</f>
        <v>53698.731727455139</v>
      </c>
      <c r="D18" s="64">
        <f>+Resumen!O34/1000</f>
        <v>67924.566125870551</v>
      </c>
      <c r="E18" s="64">
        <f>+D18-C18</f>
        <v>14225.834398415413</v>
      </c>
      <c r="F18" s="89">
        <f>+E18*1000/Resumen!AD111</f>
        <v>0.10253333266840158</v>
      </c>
      <c r="G18" s="64">
        <f>+Resumen!D166</f>
        <v>5210.1553949645968</v>
      </c>
      <c r="H18" s="64">
        <f>+E18+G18</f>
        <v>19435.989793380009</v>
      </c>
      <c r="I18" s="60">
        <f>+H18*1000/Resumen!AD111</f>
        <v>0.14008575886742142</v>
      </c>
      <c r="J18" s="60"/>
      <c r="K18" s="208" t="s">
        <v>9</v>
      </c>
      <c r="L18" s="64">
        <f>+Resumen!Z34/1000</f>
        <v>53698.731727455139</v>
      </c>
      <c r="M18" s="64">
        <f>+Resumen!O34/1000</f>
        <v>67924.566125870551</v>
      </c>
      <c r="N18" s="64">
        <f>+M18-L18</f>
        <v>14225.834398415413</v>
      </c>
      <c r="O18" s="89">
        <f>+N18*1000/Resumen!AD111</f>
        <v>0.10253333266840158</v>
      </c>
      <c r="P18" s="64">
        <f>+Resumen!C166</f>
        <v>5131.9381171027399</v>
      </c>
      <c r="Q18" s="64">
        <f t="shared" ref="Q18:Q35" si="0">+E18+P18</f>
        <v>19357.772515518154</v>
      </c>
      <c r="R18" s="60">
        <f>+Q18*1000/Resumen!AD111</f>
        <v>0.139522004366503</v>
      </c>
      <c r="AB18" s="64"/>
      <c r="AC18" s="48"/>
      <c r="AD18" s="47"/>
    </row>
    <row r="19" spans="2:30">
      <c r="B19" s="208" t="s">
        <v>10</v>
      </c>
      <c r="C19" s="64">
        <f>+Resumen!Z35/1000</f>
        <v>11343.657257677974</v>
      </c>
      <c r="D19" s="64">
        <f>+Resumen!O35/1000</f>
        <v>13215.937788404626</v>
      </c>
      <c r="E19" s="64">
        <f t="shared" ref="E19:E36" si="1">+D19-C19</f>
        <v>1872.2805307266517</v>
      </c>
      <c r="F19" s="89">
        <f>+E19*1000/Resumen!AD112</f>
        <v>5.7144006072183555E-2</v>
      </c>
      <c r="G19" s="64">
        <f>+Resumen!D167</f>
        <v>819.67527039753361</v>
      </c>
      <c r="H19" s="64">
        <f t="shared" ref="H19:H36" si="2">+E19+G19</f>
        <v>2691.9558011241852</v>
      </c>
      <c r="I19" s="60">
        <f>+H19*1000/Resumen!AD112</f>
        <v>8.2161372786260567E-2</v>
      </c>
      <c r="J19" s="60"/>
      <c r="K19" s="208" t="s">
        <v>10</v>
      </c>
      <c r="L19" s="64">
        <f>+Resumen!Z35/1000</f>
        <v>11343.657257677974</v>
      </c>
      <c r="M19" s="64">
        <f>+Resumen!O35/1000</f>
        <v>13215.937788404626</v>
      </c>
      <c r="N19" s="64">
        <f t="shared" ref="N19:N36" si="3">+M19-L19</f>
        <v>1872.2805307266517</v>
      </c>
      <c r="O19" s="89">
        <f>+N19*1000/Resumen!AD112</f>
        <v>5.7144006072183555E-2</v>
      </c>
      <c r="P19" s="64">
        <f>+Resumen!C167</f>
        <v>168.74250766277777</v>
      </c>
      <c r="Q19" s="64">
        <f t="shared" si="0"/>
        <v>2041.0230383894295</v>
      </c>
      <c r="R19" s="60">
        <f>+Q19*1000/Resumen!AD112</f>
        <v>6.2294208044734567E-2</v>
      </c>
      <c r="AB19" s="64"/>
      <c r="AC19" s="48"/>
      <c r="AD19" s="47"/>
    </row>
    <row r="20" spans="2:30">
      <c r="B20" s="208" t="s">
        <v>11</v>
      </c>
      <c r="C20" s="64">
        <f>+Resumen!Z36/1000</f>
        <v>8650.5873298349379</v>
      </c>
      <c r="D20" s="64">
        <f>+Resumen!O36/1000</f>
        <v>11571.074505711524</v>
      </c>
      <c r="E20" s="64">
        <f t="shared" si="1"/>
        <v>2920.4871758765858</v>
      </c>
      <c r="F20" s="89">
        <f>+E20*1000/Resumen!AD113</f>
        <v>0.1419271002748228</v>
      </c>
      <c r="G20" s="64">
        <f>+Resumen!D168</f>
        <v>655.24386479163866</v>
      </c>
      <c r="H20" s="64">
        <f t="shared" si="2"/>
        <v>3575.7310406682245</v>
      </c>
      <c r="I20" s="60">
        <f>+H20*1000/Resumen!AD113</f>
        <v>0.17377002787639059</v>
      </c>
      <c r="J20" s="60"/>
      <c r="K20" s="208" t="s">
        <v>11</v>
      </c>
      <c r="L20" s="64">
        <f>+Resumen!Z36/1000</f>
        <v>8650.5873298349379</v>
      </c>
      <c r="M20" s="64">
        <f>+Resumen!O36/1000</f>
        <v>11571.074505711524</v>
      </c>
      <c r="N20" s="64">
        <f t="shared" si="3"/>
        <v>2920.4871758765858</v>
      </c>
      <c r="O20" s="89">
        <f>+N20*1000/Resumen!AD113</f>
        <v>0.1419271002748228</v>
      </c>
      <c r="P20" s="64">
        <f>+Resumen!C168</f>
        <v>134.89182468804651</v>
      </c>
      <c r="Q20" s="64">
        <f t="shared" si="0"/>
        <v>3055.3790005646324</v>
      </c>
      <c r="R20" s="60">
        <f>+Q20*1000/Resumen!AD113</f>
        <v>0.14848244682347109</v>
      </c>
      <c r="AB20" s="64"/>
      <c r="AC20" s="48"/>
      <c r="AD20" s="47"/>
    </row>
    <row r="21" spans="2:30">
      <c r="B21" s="90" t="s">
        <v>31</v>
      </c>
      <c r="C21" s="69">
        <f>+Resumen!Z37/1000</f>
        <v>9600.4242447338784</v>
      </c>
      <c r="D21" s="69">
        <f>+Resumen!O37/1000</f>
        <v>8943.5145956709275</v>
      </c>
      <c r="E21" s="69">
        <f t="shared" si="1"/>
        <v>-656.90964906295085</v>
      </c>
      <c r="F21" s="89">
        <f>+E21*1000/Resumen!AD114</f>
        <v>-2.4992782513157074E-2</v>
      </c>
      <c r="G21" s="69">
        <f>+Resumen!D169</f>
        <v>684.6838426182012</v>
      </c>
      <c r="H21" s="69">
        <f t="shared" si="2"/>
        <v>27.774193555250349</v>
      </c>
      <c r="I21" s="413">
        <f>+H21*1000/Resumen!AD114</f>
        <v>1.0566968836504041E-3</v>
      </c>
      <c r="J21" s="413"/>
      <c r="K21" s="90" t="s">
        <v>31</v>
      </c>
      <c r="L21" s="69">
        <f>+Resumen!Z37/1000</f>
        <v>9600.4242447338784</v>
      </c>
      <c r="M21" s="69">
        <f>+Resumen!O37/1000</f>
        <v>8943.5145956709275</v>
      </c>
      <c r="N21" s="69">
        <f t="shared" si="3"/>
        <v>-656.90964906295085</v>
      </c>
      <c r="O21" s="89">
        <f>+N21*1000/Resumen!AD114</f>
        <v>-2.4992782513157074E-2</v>
      </c>
      <c r="P21" s="69">
        <f>+Resumen!C169</f>
        <v>1217.6990397605291</v>
      </c>
      <c r="Q21" s="69">
        <f t="shared" si="0"/>
        <v>560.78939069757826</v>
      </c>
      <c r="R21" s="413">
        <f>+Q21*1000/Resumen!AD114</f>
        <v>2.1335791455313724E-2</v>
      </c>
      <c r="AB21" s="69"/>
      <c r="AC21" s="414"/>
    </row>
    <row r="22" spans="2:30">
      <c r="B22" s="90" t="s">
        <v>12</v>
      </c>
      <c r="C22" s="69">
        <f>+Resumen!Z38/1000</f>
        <v>12242.108735011867</v>
      </c>
      <c r="D22" s="69">
        <f>+Resumen!O38/1000</f>
        <v>18171.554280202836</v>
      </c>
      <c r="E22" s="69">
        <f t="shared" si="1"/>
        <v>5929.4455451909689</v>
      </c>
      <c r="F22" s="89">
        <f>+E22*1000/Resumen!AD115</f>
        <v>0.1490906742525975</v>
      </c>
      <c r="G22" s="69">
        <f>+Resumen!D170</f>
        <v>1304.0223834795236</v>
      </c>
      <c r="H22" s="69">
        <f t="shared" si="2"/>
        <v>7233.4679286704923</v>
      </c>
      <c r="I22" s="413">
        <f>+H22*1000/Resumen!AD115</f>
        <v>0.18187916601151455</v>
      </c>
      <c r="J22" s="413"/>
      <c r="K22" s="90" t="s">
        <v>12</v>
      </c>
      <c r="L22" s="69">
        <f>+Resumen!Z38/1000</f>
        <v>12242.108735011867</v>
      </c>
      <c r="M22" s="69">
        <f>+Resumen!O38/1000</f>
        <v>18171.554280202836</v>
      </c>
      <c r="N22" s="69">
        <f t="shared" si="3"/>
        <v>5929.4455451909689</v>
      </c>
      <c r="O22" s="89">
        <f>+N22*1000/Resumen!AD115</f>
        <v>0.1490906742525975</v>
      </c>
      <c r="P22" s="69">
        <f>+Resumen!C170</f>
        <v>1077.5739331220213</v>
      </c>
      <c r="Q22" s="69">
        <f t="shared" si="0"/>
        <v>7007.01947831299</v>
      </c>
      <c r="R22" s="413">
        <f>+Q22*1000/Resumen!AD115</f>
        <v>0.17618531961560022</v>
      </c>
      <c r="AB22" s="69"/>
      <c r="AC22" s="414"/>
    </row>
    <row r="23" spans="2:30">
      <c r="B23" s="208" t="s">
        <v>13</v>
      </c>
      <c r="C23" s="64">
        <f>+Resumen!Z39/1000</f>
        <v>4824.5465600510915</v>
      </c>
      <c r="D23" s="64">
        <f>+Resumen!O39/1000</f>
        <v>5796.7885254017101</v>
      </c>
      <c r="E23" s="64">
        <f t="shared" si="1"/>
        <v>972.24196535061856</v>
      </c>
      <c r="F23" s="89">
        <f>+E23*1000/Resumen!AD116</f>
        <v>8.1383930474356478E-2</v>
      </c>
      <c r="G23" s="64">
        <f>+Resumen!D171</f>
        <v>364.01024239532853</v>
      </c>
      <c r="H23" s="64">
        <f t="shared" si="2"/>
        <v>1336.2522077459471</v>
      </c>
      <c r="I23" s="60">
        <f>+H23*1000/Resumen!AD116</f>
        <v>0.1118543126578406</v>
      </c>
      <c r="J23" s="60"/>
      <c r="K23" s="208" t="s">
        <v>13</v>
      </c>
      <c r="L23" s="64">
        <f>+Resumen!Z39/1000</f>
        <v>4824.5465600510915</v>
      </c>
      <c r="M23" s="64">
        <f>+Resumen!O39/1000</f>
        <v>5796.7885254017101</v>
      </c>
      <c r="N23" s="64">
        <f t="shared" si="3"/>
        <v>972.24196535061856</v>
      </c>
      <c r="O23" s="89">
        <f>+N23*1000/Resumen!AD116</f>
        <v>8.1383930474356478E-2</v>
      </c>
      <c r="P23" s="64">
        <f>+Resumen!C171</f>
        <v>416.34202258890912</v>
      </c>
      <c r="Q23" s="64">
        <f t="shared" si="0"/>
        <v>1388.5839879395276</v>
      </c>
      <c r="R23" s="60">
        <f>+Q23*1000/Resumen!AD116</f>
        <v>0.11623487440343212</v>
      </c>
      <c r="AB23" s="64"/>
      <c r="AC23" s="48"/>
      <c r="AD23" s="47"/>
    </row>
    <row r="24" spans="2:30">
      <c r="B24" s="208" t="s">
        <v>14</v>
      </c>
      <c r="C24" s="64">
        <f>+Resumen!Z40/1000</f>
        <v>19142.496617782494</v>
      </c>
      <c r="D24" s="64">
        <f>+Resumen!O40/1000</f>
        <v>25354.918063516885</v>
      </c>
      <c r="E24" s="64">
        <f t="shared" si="1"/>
        <v>6212.4214457343915</v>
      </c>
      <c r="F24" s="89">
        <f>+E24*1000/Resumen!AD117</f>
        <v>0.11963595097534918</v>
      </c>
      <c r="G24" s="64">
        <f>+Resumen!D172</f>
        <v>1540.2346670181912</v>
      </c>
      <c r="H24" s="64">
        <f t="shared" si="2"/>
        <v>7752.6561127525829</v>
      </c>
      <c r="I24" s="60">
        <f>+H24*1000/Resumen!AD117</f>
        <v>0.14929708081393159</v>
      </c>
      <c r="J24" s="60"/>
      <c r="K24" s="208" t="s">
        <v>14</v>
      </c>
      <c r="L24" s="64">
        <f>+Resumen!Z40/1000</f>
        <v>19142.496617782494</v>
      </c>
      <c r="M24" s="64">
        <f>+Resumen!O40/1000</f>
        <v>25354.918063516885</v>
      </c>
      <c r="N24" s="64">
        <f t="shared" si="3"/>
        <v>6212.4214457343915</v>
      </c>
      <c r="O24" s="89">
        <f>+N24*1000/Resumen!AD117</f>
        <v>0.11963595097534918</v>
      </c>
      <c r="P24" s="64">
        <f>+Resumen!C172</f>
        <v>317.08051894226708</v>
      </c>
      <c r="Q24" s="64">
        <f t="shared" si="0"/>
        <v>6529.5019646766586</v>
      </c>
      <c r="R24" s="60">
        <f>+Q24*1000/Resumen!AD117</f>
        <v>0.1257421415728113</v>
      </c>
      <c r="AB24" s="64"/>
      <c r="AC24" s="48"/>
      <c r="AD24" s="47"/>
    </row>
    <row r="25" spans="2:30">
      <c r="B25" s="208" t="s">
        <v>15</v>
      </c>
      <c r="C25" s="64">
        <f>+Resumen!Z41/1000</f>
        <v>13785.328700961019</v>
      </c>
      <c r="D25" s="64">
        <f>+Resumen!O41/1000</f>
        <v>17028.808725014293</v>
      </c>
      <c r="E25" s="64">
        <f t="shared" si="1"/>
        <v>3243.4800240532732</v>
      </c>
      <c r="F25" s="89">
        <f>+E25*1000/Resumen!AD118</f>
        <v>9.0784495549653482E-2</v>
      </c>
      <c r="G25" s="64">
        <f>+Resumen!D173</f>
        <v>1283.1465316708695</v>
      </c>
      <c r="H25" s="64">
        <f t="shared" si="2"/>
        <v>4526.6265557241422</v>
      </c>
      <c r="I25" s="60">
        <f>+H25*1000/Resumen!AD118</f>
        <v>0.12669956508304117</v>
      </c>
      <c r="J25" s="60"/>
      <c r="K25" s="208" t="s">
        <v>15</v>
      </c>
      <c r="L25" s="64">
        <f>+Resumen!Z41/1000</f>
        <v>13785.328700961019</v>
      </c>
      <c r="M25" s="64">
        <f>+Resumen!O41/1000</f>
        <v>17028.808725014293</v>
      </c>
      <c r="N25" s="64">
        <f t="shared" si="3"/>
        <v>3243.4800240532732</v>
      </c>
      <c r="O25" s="89">
        <f>+N25*1000/Resumen!AD118</f>
        <v>9.0784495549653482E-2</v>
      </c>
      <c r="P25" s="64">
        <f>+Resumen!C173</f>
        <v>1857.50585353611</v>
      </c>
      <c r="Q25" s="64">
        <f t="shared" si="0"/>
        <v>5100.9858775893827</v>
      </c>
      <c r="R25" s="60">
        <f>+Q25*1000/Resumen!AD118</f>
        <v>0.14277579213333622</v>
      </c>
      <c r="AB25" s="64"/>
      <c r="AC25" s="48"/>
      <c r="AD25" s="47"/>
    </row>
    <row r="26" spans="2:30">
      <c r="B26" s="208" t="s">
        <v>16</v>
      </c>
      <c r="C26" s="64">
        <f>+Resumen!Z42/1000</f>
        <v>70376.300765384512</v>
      </c>
      <c r="D26" s="64">
        <f>+Resumen!O42/1000</f>
        <v>66330.217576540279</v>
      </c>
      <c r="E26" s="64">
        <f t="shared" si="1"/>
        <v>-4046.0831888442335</v>
      </c>
      <c r="F26" s="89">
        <f>+E26*1000/Resumen!AD119</f>
        <v>-2.0551468807090967E-2</v>
      </c>
      <c r="G26" s="64">
        <f>+Resumen!D174</f>
        <v>4659.9268113208273</v>
      </c>
      <c r="H26" s="64">
        <f t="shared" si="2"/>
        <v>613.84362247659374</v>
      </c>
      <c r="I26" s="60">
        <f>+H26*1000/Resumen!AD119</f>
        <v>3.1179260215267678E-3</v>
      </c>
      <c r="J26" s="60"/>
      <c r="K26" s="208" t="s">
        <v>16</v>
      </c>
      <c r="L26" s="64">
        <f>+Resumen!Z42/1000</f>
        <v>70376.300765384512</v>
      </c>
      <c r="M26" s="64">
        <f>+Resumen!O42/1000</f>
        <v>66330.217576540279</v>
      </c>
      <c r="N26" s="64">
        <f t="shared" si="3"/>
        <v>-4046.0831888442335</v>
      </c>
      <c r="O26" s="89">
        <f>+N26*1000/Resumen!AD119</f>
        <v>-2.0551468807090967E-2</v>
      </c>
      <c r="P26" s="64">
        <f>+Resumen!C174</f>
        <v>8798.8278195575786</v>
      </c>
      <c r="Q26" s="64">
        <f t="shared" si="0"/>
        <v>4752.744630713345</v>
      </c>
      <c r="R26" s="60">
        <f>+Q26*1000/Resumen!AD119</f>
        <v>2.414084893150098E-2</v>
      </c>
      <c r="AB26" s="64"/>
      <c r="AC26" s="48"/>
      <c r="AD26" s="47"/>
    </row>
    <row r="27" spans="2:30">
      <c r="B27" s="208" t="s">
        <v>17</v>
      </c>
      <c r="C27" s="64">
        <f>+Resumen!Z43/1000</f>
        <v>36155.746003642882</v>
      </c>
      <c r="D27" s="64">
        <f>+Resumen!O43/1000</f>
        <v>38305.965296238901</v>
      </c>
      <c r="E27" s="64">
        <f t="shared" si="1"/>
        <v>2150.2192925960189</v>
      </c>
      <c r="F27" s="89">
        <f>+E27*1000/Resumen!AD120</f>
        <v>2.2093112348155558E-2</v>
      </c>
      <c r="G27" s="64">
        <f>+Resumen!D175</f>
        <v>3096.5478860117069</v>
      </c>
      <c r="H27" s="64">
        <f t="shared" si="2"/>
        <v>5246.7671786077262</v>
      </c>
      <c r="I27" s="60">
        <f>+H27*1000/Resumen!AD120</f>
        <v>5.3909578962825402E-2</v>
      </c>
      <c r="J27" s="60"/>
      <c r="K27" s="208" t="s">
        <v>17</v>
      </c>
      <c r="L27" s="64">
        <f>+Resumen!Z43/1000</f>
        <v>36155.746003642882</v>
      </c>
      <c r="M27" s="64">
        <f>+Resumen!O43/1000</f>
        <v>38305.965296238901</v>
      </c>
      <c r="N27" s="64">
        <f t="shared" si="3"/>
        <v>2150.2192925960189</v>
      </c>
      <c r="O27" s="89">
        <f>+N27*1000/Resumen!AD120</f>
        <v>2.2093112348155558E-2</v>
      </c>
      <c r="P27" s="64">
        <f>+Resumen!C175</f>
        <v>6638.7563628736971</v>
      </c>
      <c r="Q27" s="64">
        <f t="shared" si="0"/>
        <v>8788.975655469716</v>
      </c>
      <c r="R27" s="60">
        <f>+Q27*1000/Resumen!AD120</f>
        <v>9.0305127132899427E-2</v>
      </c>
      <c r="AB27" s="64"/>
      <c r="AC27" s="48"/>
      <c r="AD27" s="47"/>
    </row>
    <row r="28" spans="2:30">
      <c r="B28" s="208" t="s">
        <v>18</v>
      </c>
      <c r="C28" s="64">
        <f>+Resumen!Z44/1000</f>
        <v>6667.2146266518694</v>
      </c>
      <c r="D28" s="64">
        <f>+Resumen!O44/1000</f>
        <v>10346.979640812437</v>
      </c>
      <c r="E28" s="64">
        <f t="shared" si="1"/>
        <v>3679.7650141605673</v>
      </c>
      <c r="F28" s="89">
        <f>+E28*1000/Resumen!AD121</f>
        <v>0.22080080181860995</v>
      </c>
      <c r="G28" s="64">
        <f>+Resumen!D176</f>
        <v>679.94174119278</v>
      </c>
      <c r="H28" s="64">
        <f t="shared" si="2"/>
        <v>4359.706755353347</v>
      </c>
      <c r="I28" s="60">
        <f>+H28*1000/Resumen!AD121</f>
        <v>0.26160005967001265</v>
      </c>
      <c r="J28" s="60"/>
      <c r="K28" s="208" t="s">
        <v>18</v>
      </c>
      <c r="L28" s="64">
        <f>+Resumen!Z44/1000</f>
        <v>6667.2146266518694</v>
      </c>
      <c r="M28" s="64">
        <f>+Resumen!O44/1000</f>
        <v>10346.979640812437</v>
      </c>
      <c r="N28" s="64">
        <f t="shared" si="3"/>
        <v>3679.7650141605673</v>
      </c>
      <c r="O28" s="89">
        <f>+N28*1000/Resumen!AD121</f>
        <v>0.22080080181860995</v>
      </c>
      <c r="P28" s="64">
        <f>+Resumen!C176</f>
        <v>316.32446704596134</v>
      </c>
      <c r="Q28" s="64">
        <f t="shared" si="0"/>
        <v>3996.0894812065285</v>
      </c>
      <c r="R28" s="60">
        <f>+Q28*1000/Resumen!AD121</f>
        <v>0.23978155077671309</v>
      </c>
      <c r="AB28" s="64"/>
      <c r="AC28" s="48"/>
      <c r="AD28" s="47"/>
    </row>
    <row r="29" spans="2:30">
      <c r="B29" s="208" t="s">
        <v>19</v>
      </c>
      <c r="C29" s="64">
        <f>+Resumen!Z45/1000</f>
        <v>20250.534854134879</v>
      </c>
      <c r="D29" s="64">
        <f>+Resumen!O45/1000</f>
        <v>26074.725661452729</v>
      </c>
      <c r="E29" s="64">
        <f t="shared" si="1"/>
        <v>5824.1908073178492</v>
      </c>
      <c r="F29" s="89">
        <f>+E29*1000/Resumen!AD122</f>
        <v>0.10803800136949131</v>
      </c>
      <c r="G29" s="64">
        <f>+Resumen!D177</f>
        <v>1699.6898431201798</v>
      </c>
      <c r="H29" s="64">
        <f t="shared" si="2"/>
        <v>7523.8806504380291</v>
      </c>
      <c r="I29" s="60">
        <f>+H29*1000/Resumen!AD122</f>
        <v>0.13956703255576422</v>
      </c>
      <c r="J29" s="60"/>
      <c r="K29" s="208" t="s">
        <v>19</v>
      </c>
      <c r="L29" s="64">
        <f>+Resumen!Z45/1000</f>
        <v>20250.534854134879</v>
      </c>
      <c r="M29" s="64">
        <f>+Resumen!O45/1000</f>
        <v>26074.725661452729</v>
      </c>
      <c r="N29" s="64">
        <f t="shared" si="3"/>
        <v>5824.1908073178492</v>
      </c>
      <c r="O29" s="89">
        <f>+N29*1000/Resumen!AD122</f>
        <v>0.10803800136949131</v>
      </c>
      <c r="P29" s="64">
        <f>+Resumen!C177</f>
        <v>349.90677007731705</v>
      </c>
      <c r="Q29" s="64">
        <f t="shared" si="0"/>
        <v>6174.0975773951659</v>
      </c>
      <c r="R29" s="60">
        <f>+Q29*1000/Resumen!AD122</f>
        <v>0.11452872761034683</v>
      </c>
      <c r="AB29" s="64"/>
      <c r="AC29" s="48"/>
      <c r="AD29" s="47"/>
    </row>
    <row r="30" spans="2:30">
      <c r="B30" s="208" t="s">
        <v>20</v>
      </c>
      <c r="C30" s="64">
        <f>+Resumen!Z46/1000</f>
        <v>68126.895401334856</v>
      </c>
      <c r="D30" s="64">
        <f>+Resumen!O46/1000</f>
        <v>53937.586141753003</v>
      </c>
      <c r="E30" s="64">
        <f t="shared" si="1"/>
        <v>-14189.309259581853</v>
      </c>
      <c r="F30" s="89">
        <f>+E30*1000/Resumen!AD123</f>
        <v>-7.2569446116576036E-2</v>
      </c>
      <c r="G30" s="64">
        <f>+Resumen!D178</f>
        <v>3997.678330586381</v>
      </c>
      <c r="H30" s="64">
        <f t="shared" si="2"/>
        <v>-10191.630928995472</v>
      </c>
      <c r="I30" s="60">
        <f>+H30*1000/Resumen!AD123</f>
        <v>-5.2123820688616249E-2</v>
      </c>
      <c r="J30" s="60"/>
      <c r="K30" s="208" t="s">
        <v>20</v>
      </c>
      <c r="L30" s="64">
        <f>+Resumen!Z46/1000</f>
        <v>68126.895401334856</v>
      </c>
      <c r="M30" s="64">
        <f>+Resumen!O46/1000</f>
        <v>53937.586141753003</v>
      </c>
      <c r="N30" s="64">
        <f t="shared" si="3"/>
        <v>-14189.309259581853</v>
      </c>
      <c r="O30" s="89">
        <f>+N30*1000/Resumen!AD123</f>
        <v>-7.2569446116576036E-2</v>
      </c>
      <c r="P30" s="64">
        <f>+Resumen!C178</f>
        <v>822.98233299771232</v>
      </c>
      <c r="Q30" s="64">
        <f t="shared" si="0"/>
        <v>-13366.326926584141</v>
      </c>
      <c r="R30" s="60">
        <f>+Q30*1000/Resumen!AD123</f>
        <v>-6.8360405988069348E-2</v>
      </c>
      <c r="AB30" s="64"/>
      <c r="AC30" s="48"/>
      <c r="AD30" s="47"/>
    </row>
    <row r="31" spans="2:30">
      <c r="B31" s="208" t="s">
        <v>60</v>
      </c>
      <c r="C31" s="64">
        <f>+Resumen!Z47/1000</f>
        <v>9775.5397467906514</v>
      </c>
      <c r="D31" s="64">
        <f>+Resumen!O47/1000</f>
        <v>11024.682383169658</v>
      </c>
      <c r="E31" s="64">
        <f t="shared" si="1"/>
        <v>1249.1426363790069</v>
      </c>
      <c r="F31" s="89">
        <f>+E31*1000/Resumen!AD124</f>
        <v>4.6993568973498497E-2</v>
      </c>
      <c r="G31" s="64">
        <f>+Resumen!D179</f>
        <v>909.87629119389669</v>
      </c>
      <c r="H31" s="64">
        <f t="shared" si="2"/>
        <v>2159.0189275729035</v>
      </c>
      <c r="I31" s="60">
        <f>+H31*1000/Resumen!AD124</f>
        <v>8.1223714516779691E-2</v>
      </c>
      <c r="J31" s="60"/>
      <c r="K31" s="208" t="s">
        <v>60</v>
      </c>
      <c r="L31" s="64">
        <f>+Resumen!Z47/1000</f>
        <v>9775.5397467906514</v>
      </c>
      <c r="M31" s="64">
        <f>+Resumen!O47/1000</f>
        <v>11024.682383169658</v>
      </c>
      <c r="N31" s="64">
        <f t="shared" si="3"/>
        <v>1249.1426363790069</v>
      </c>
      <c r="O31" s="89">
        <f>+N31*1000/Resumen!AD124</f>
        <v>4.6993568973498497E-2</v>
      </c>
      <c r="P31" s="64">
        <f>+Resumen!C179</f>
        <v>1290.1938041286114</v>
      </c>
      <c r="Q31" s="64">
        <f t="shared" si="0"/>
        <v>2539.3364405076181</v>
      </c>
      <c r="R31" s="60">
        <f>+Q31*1000/Resumen!AD124</f>
        <v>9.5531509924144331E-2</v>
      </c>
      <c r="AB31" s="64"/>
      <c r="AC31" s="48"/>
      <c r="AD31" s="47"/>
    </row>
    <row r="32" spans="2:30">
      <c r="B32" s="208" t="s">
        <v>61</v>
      </c>
      <c r="C32" s="64">
        <f>+Resumen!Z48/1000</f>
        <v>5731.6566669363274</v>
      </c>
      <c r="D32" s="64">
        <f>+Resumen!O48/1000</f>
        <v>6344.9564739386287</v>
      </c>
      <c r="E32" s="64">
        <f t="shared" si="1"/>
        <v>613.29980700230135</v>
      </c>
      <c r="F32" s="89">
        <f>+E32*1000/Resumen!AD125</f>
        <v>3.4362836833332022E-2</v>
      </c>
      <c r="G32" s="64">
        <f>+Resumen!D180</f>
        <v>397.32496239496436</v>
      </c>
      <c r="H32" s="64">
        <f t="shared" si="2"/>
        <v>1010.6247693972657</v>
      </c>
      <c r="I32" s="60">
        <f>+H32*1000/Resumen!AD125</f>
        <v>5.6624726853031167E-2</v>
      </c>
      <c r="J32" s="60"/>
      <c r="K32" s="208" t="s">
        <v>61</v>
      </c>
      <c r="L32" s="64">
        <f>+Resumen!Z48/1000</f>
        <v>5731.6566669363274</v>
      </c>
      <c r="M32" s="64">
        <f>+Resumen!O48/1000</f>
        <v>6344.9564739386287</v>
      </c>
      <c r="N32" s="64">
        <f t="shared" si="3"/>
        <v>613.29980700230135</v>
      </c>
      <c r="O32" s="89">
        <f>+N32*1000/Resumen!AD125</f>
        <v>3.4362836833332022E-2</v>
      </c>
      <c r="P32" s="64">
        <f>+Resumen!C180</f>
        <v>81.795331557372421</v>
      </c>
      <c r="Q32" s="64">
        <f t="shared" si="0"/>
        <v>695.09513855967373</v>
      </c>
      <c r="R32" s="60">
        <f>+Q32*1000/Resumen!AD125</f>
        <v>3.8945782400806712E-2</v>
      </c>
      <c r="AB32" s="64"/>
      <c r="AC32" s="48"/>
      <c r="AD32" s="47"/>
    </row>
    <row r="33" spans="2:30">
      <c r="B33" s="208" t="s">
        <v>62</v>
      </c>
      <c r="C33" s="64">
        <f>+Resumen!Z49/1000</f>
        <v>21052.491523401448</v>
      </c>
      <c r="D33" s="64">
        <f>+Resumen!O49/1000</f>
        <v>26143.305328831666</v>
      </c>
      <c r="E33" s="64">
        <f t="shared" si="1"/>
        <v>5090.8138054302181</v>
      </c>
      <c r="F33" s="89">
        <f>+E33*1000/Resumen!AD126</f>
        <v>7.959398317369118E-2</v>
      </c>
      <c r="G33" s="64">
        <f>+Resumen!D181</f>
        <v>1357.7077968244328</v>
      </c>
      <c r="H33" s="64">
        <f t="shared" si="2"/>
        <v>6448.521602254651</v>
      </c>
      <c r="I33" s="60">
        <f>+H33*1000/Resumen!AD126</f>
        <v>0.10082150703637169</v>
      </c>
      <c r="J33" s="60"/>
      <c r="K33" s="208" t="s">
        <v>62</v>
      </c>
      <c r="L33" s="64">
        <f>+Resumen!Z49/1000</f>
        <v>21052.491523401448</v>
      </c>
      <c r="M33" s="64">
        <f>+Resumen!O49/1000</f>
        <v>26143.305328831666</v>
      </c>
      <c r="N33" s="64">
        <f t="shared" si="3"/>
        <v>5090.8138054302181</v>
      </c>
      <c r="O33" s="89">
        <f>+N33*1000/Resumen!AD126</f>
        <v>7.959398317369118E-2</v>
      </c>
      <c r="P33" s="64">
        <f>+Resumen!C181</f>
        <v>279.50461186702324</v>
      </c>
      <c r="Q33" s="64">
        <f t="shared" si="0"/>
        <v>5370.3184172972415</v>
      </c>
      <c r="R33" s="60">
        <f>+Q33*1000/Resumen!AD126</f>
        <v>8.3963988878905327E-2</v>
      </c>
      <c r="AB33" s="64"/>
      <c r="AC33" s="48"/>
      <c r="AD33" s="47"/>
    </row>
    <row r="34" spans="2:30">
      <c r="B34" s="208" t="s">
        <v>63</v>
      </c>
      <c r="C34" s="64">
        <f>+Resumen!Z50/1000</f>
        <v>2621.1037029394129</v>
      </c>
      <c r="D34" s="64">
        <f>+Resumen!O50/1000</f>
        <v>2910.3630399896142</v>
      </c>
      <c r="E34" s="64">
        <f t="shared" si="1"/>
        <v>289.25933705020134</v>
      </c>
      <c r="F34" s="89">
        <f>+E34*1000/Resumen!AD127</f>
        <v>3.7852615015772098E-2</v>
      </c>
      <c r="G34" s="64">
        <f>+Resumen!D182</f>
        <v>197.24282776264184</v>
      </c>
      <c r="H34" s="64">
        <f t="shared" si="2"/>
        <v>486.50216481284315</v>
      </c>
      <c r="I34" s="60">
        <f>+H34*1000/Resumen!AD127</f>
        <v>6.3663905673005977E-2</v>
      </c>
      <c r="J34" s="60"/>
      <c r="K34" s="208" t="s">
        <v>63</v>
      </c>
      <c r="L34" s="64">
        <f>+Resumen!Z50/1000</f>
        <v>2621.1037029394129</v>
      </c>
      <c r="M34" s="64">
        <f>+Resumen!O50/1000</f>
        <v>2910.3630399896142</v>
      </c>
      <c r="N34" s="64">
        <f t="shared" si="3"/>
        <v>289.25933705020134</v>
      </c>
      <c r="O34" s="89">
        <f>+N34*1000/Resumen!AD127</f>
        <v>3.7852615015772098E-2</v>
      </c>
      <c r="P34" s="64">
        <f>+Resumen!C182</f>
        <v>40.605408723656531</v>
      </c>
      <c r="Q34" s="64">
        <f t="shared" si="0"/>
        <v>329.86474577385786</v>
      </c>
      <c r="R34" s="60">
        <f>+Q34*1000/Resumen!AD127</f>
        <v>4.3166258197177489E-2</v>
      </c>
      <c r="AB34" s="64"/>
      <c r="AC34" s="48"/>
      <c r="AD34" s="47"/>
    </row>
    <row r="35" spans="2:30">
      <c r="B35" s="208" t="s">
        <v>64</v>
      </c>
      <c r="C35" s="64">
        <f>+Resumen!Z51/1000</f>
        <v>929.93553776605768</v>
      </c>
      <c r="D35" s="64">
        <f>+Resumen!O51/1000</f>
        <v>1884.8287630578839</v>
      </c>
      <c r="E35" s="64">
        <f t="shared" si="1"/>
        <v>954.89322529182618</v>
      </c>
      <c r="F35" s="89">
        <f>+E35*1000/Resumen!AD128</f>
        <v>0.32359479540004193</v>
      </c>
      <c r="G35" s="64">
        <f>+Resumen!D183</f>
        <v>105.22398074630631</v>
      </c>
      <c r="H35" s="64">
        <f t="shared" si="2"/>
        <v>1060.1172060381325</v>
      </c>
      <c r="I35" s="60">
        <f>+H35*1000/Resumen!AD128</f>
        <v>0.359253161821453</v>
      </c>
      <c r="J35" s="60"/>
      <c r="K35" s="208" t="s">
        <v>64</v>
      </c>
      <c r="L35" s="64">
        <f>+Resumen!Z51/1000</f>
        <v>929.93553776605768</v>
      </c>
      <c r="M35" s="64">
        <f>+Resumen!O51/1000</f>
        <v>1884.8287630578839</v>
      </c>
      <c r="N35" s="64">
        <f t="shared" si="3"/>
        <v>954.89322529182618</v>
      </c>
      <c r="O35" s="89">
        <f>+N35*1000/Resumen!AD128</f>
        <v>0.32359479540004193</v>
      </c>
      <c r="P35" s="64">
        <f>+Resumen!C183</f>
        <v>21.661942257670191</v>
      </c>
      <c r="Q35" s="64">
        <f t="shared" si="0"/>
        <v>976.55516754949633</v>
      </c>
      <c r="R35" s="60">
        <f>+Q35*1000/Resumen!AD128</f>
        <v>0.33093560753188639</v>
      </c>
      <c r="AB35" s="64"/>
      <c r="AC35" s="48"/>
      <c r="AD35" s="47"/>
    </row>
    <row r="36" spans="2:30" ht="13.5" thickBot="1">
      <c r="B36" s="54" t="s">
        <v>485</v>
      </c>
      <c r="C36" s="251">
        <f>+Resumen!Z52/1000</f>
        <v>374975.30000249128</v>
      </c>
      <c r="D36" s="251">
        <f>+Resumen!O52/1000</f>
        <v>411310.77291557821</v>
      </c>
      <c r="E36" s="251">
        <f t="shared" si="1"/>
        <v>36335.472913086938</v>
      </c>
      <c r="F36" s="252">
        <f>+E36*1000/Resumen!AD129</f>
        <v>3.5038184145114087E-2</v>
      </c>
      <c r="G36" s="253">
        <f>SUM(G18:G35)</f>
        <v>28962.332668490002</v>
      </c>
      <c r="H36" s="251">
        <f t="shared" si="2"/>
        <v>65297.80558157694</v>
      </c>
      <c r="I36" s="254">
        <f>+H36*1000/Resumen!AD129</f>
        <v>6.2966471957355843E-2</v>
      </c>
      <c r="J36" s="60"/>
      <c r="K36" s="54" t="s">
        <v>485</v>
      </c>
      <c r="L36" s="251">
        <f>+Resumen!Z52/1000</f>
        <v>374975.30000249128</v>
      </c>
      <c r="M36" s="251">
        <f>+Resumen!O52/1000</f>
        <v>411310.77291557821</v>
      </c>
      <c r="N36" s="251">
        <f t="shared" si="3"/>
        <v>36335.472913086938</v>
      </c>
      <c r="O36" s="252">
        <f>+N36*1000/Resumen!AD129</f>
        <v>3.5038184145114087E-2</v>
      </c>
      <c r="P36" s="253">
        <f>SUM(P18:P35)</f>
        <v>28962.332668489995</v>
      </c>
      <c r="Q36" s="251">
        <f>SUM(Q18:Q35)</f>
        <v>65297.805581576853</v>
      </c>
      <c r="R36" s="254">
        <f>+Q36*1000/Resumen!AD129</f>
        <v>6.296647195735576E-2</v>
      </c>
      <c r="AC36" s="48"/>
      <c r="AD36" s="47"/>
    </row>
    <row r="37" spans="2:30">
      <c r="B37" s="484" t="s">
        <v>1006</v>
      </c>
      <c r="C37" s="484"/>
      <c r="D37" s="484"/>
      <c r="E37" s="484"/>
      <c r="F37" s="484"/>
      <c r="G37" s="484"/>
      <c r="H37" s="484"/>
      <c r="I37" s="484"/>
      <c r="J37" s="362"/>
      <c r="K37" s="362"/>
      <c r="L37" s="362"/>
      <c r="M37" s="362"/>
      <c r="N37" s="362"/>
      <c r="O37" s="362"/>
      <c r="P37" s="362"/>
    </row>
    <row r="38" spans="2:30">
      <c r="B38" s="484"/>
      <c r="C38" s="484"/>
      <c r="D38" s="484"/>
      <c r="E38" s="484"/>
      <c r="F38" s="484"/>
      <c r="G38" s="484"/>
      <c r="H38" s="484"/>
      <c r="I38" s="484"/>
      <c r="J38" s="362"/>
      <c r="L38" s="362"/>
      <c r="M38" s="362"/>
      <c r="N38" s="362"/>
      <c r="O38" s="362"/>
      <c r="P38" s="362"/>
    </row>
    <row r="39" spans="2:30">
      <c r="B39" s="259"/>
      <c r="C39" s="259"/>
      <c r="D39" s="259"/>
      <c r="E39" s="259"/>
      <c r="F39" s="259"/>
      <c r="G39" s="259"/>
      <c r="H39" s="259"/>
      <c r="I39" s="259"/>
    </row>
    <row r="40" spans="2:30">
      <c r="B40" s="362"/>
      <c r="C40" s="362"/>
      <c r="D40" s="362"/>
      <c r="E40" s="362"/>
      <c r="F40" s="362"/>
      <c r="G40" s="362"/>
      <c r="H40" s="362"/>
      <c r="I40" s="362"/>
    </row>
    <row r="41" spans="2:30">
      <c r="B41" s="259"/>
      <c r="C41" s="259"/>
      <c r="D41" s="259"/>
      <c r="E41" s="259"/>
      <c r="F41" s="259"/>
      <c r="G41" s="259"/>
      <c r="H41" s="259"/>
      <c r="I41" s="259"/>
    </row>
    <row r="42" spans="2:30" ht="18.75">
      <c r="B42" s="258" t="str">
        <f>"Cuadro 5: Saldos fiscales relativos, "&amp;(Resumen!C2)</f>
        <v>Cuadro 5: Saldos fiscales relativos, 2014</v>
      </c>
      <c r="C42" s="14"/>
      <c r="D42" s="14"/>
      <c r="E42" s="14" t="s">
        <v>1237</v>
      </c>
      <c r="F42" s="14"/>
      <c r="G42" s="14"/>
      <c r="H42" s="14"/>
      <c r="I42" s="14"/>
      <c r="J42" s="14"/>
      <c r="K42" s="91" t="s">
        <v>1140</v>
      </c>
      <c r="L42" s="214"/>
      <c r="M42" s="214"/>
    </row>
    <row r="43" spans="2:30" ht="15.75">
      <c r="B43" s="276"/>
      <c r="C43" s="486" t="s">
        <v>486</v>
      </c>
      <c r="D43" s="486"/>
      <c r="E43" s="486"/>
      <c r="F43" s="277"/>
      <c r="G43" s="490" t="s">
        <v>487</v>
      </c>
      <c r="H43" s="490"/>
      <c r="I43" s="490"/>
      <c r="K43" s="369"/>
      <c r="L43" s="369" t="s">
        <v>1133</v>
      </c>
      <c r="M43" s="369" t="s">
        <v>1131</v>
      </c>
      <c r="O43" s="369" t="s">
        <v>1135</v>
      </c>
      <c r="P43" s="369" t="s">
        <v>1136</v>
      </c>
    </row>
    <row r="44" spans="2:30" s="25" customFormat="1" ht="27.75" thickBot="1">
      <c r="B44" s="309"/>
      <c r="C44" s="310" t="s">
        <v>488</v>
      </c>
      <c r="D44" s="310" t="s">
        <v>489</v>
      </c>
      <c r="E44" s="310" t="s">
        <v>485</v>
      </c>
      <c r="F44" s="310" t="s">
        <v>490</v>
      </c>
      <c r="G44" s="310" t="s">
        <v>488</v>
      </c>
      <c r="H44" s="310" t="s">
        <v>489</v>
      </c>
      <c r="I44" s="310" t="s">
        <v>485</v>
      </c>
      <c r="K44" s="310"/>
      <c r="L44" s="310" t="s">
        <v>1134</v>
      </c>
      <c r="M44" s="310" t="s">
        <v>1132</v>
      </c>
      <c r="N44" s="366"/>
      <c r="O44" s="310" t="s">
        <v>1130</v>
      </c>
      <c r="P44" s="310" t="s">
        <v>1129</v>
      </c>
    </row>
    <row r="45" spans="2:30" ht="13.5" thickBot="1">
      <c r="B45" s="208" t="s">
        <v>9</v>
      </c>
      <c r="C45" s="64">
        <f>+Resumen!Z111</f>
        <v>13757.146383218696</v>
      </c>
      <c r="D45" s="64">
        <f>+Resumen!O111</f>
        <v>-6067.8524766772798</v>
      </c>
      <c r="E45" s="64">
        <f>+C45+D45</f>
        <v>7689.2939065414166</v>
      </c>
      <c r="F45" s="60">
        <f>+E45*1000/Resumen!AD111</f>
        <v>5.5420927027826465E-2</v>
      </c>
      <c r="G45" s="64">
        <f>+Resumen!Z86</f>
        <v>1637.6241219714866</v>
      </c>
      <c r="H45" s="64">
        <f>+Resumen!O86</f>
        <v>-722.30543366845086</v>
      </c>
      <c r="I45" s="64">
        <f>+G45+H45</f>
        <v>915.31868830303574</v>
      </c>
      <c r="K45" s="208" t="s">
        <v>9</v>
      </c>
      <c r="L45" s="364">
        <f>Resumen!AC111</f>
        <v>7689.2939065414166</v>
      </c>
      <c r="M45" s="12">
        <f>Resumen!AD111</f>
        <v>138743509.33683723</v>
      </c>
      <c r="O45" s="370">
        <f>SUMIF(L45:L62,"&lt;0")*1000/SUMIF(L45:L62,"&lt;0",M45:M62)</f>
        <v>-6.2687582941698405E-2</v>
      </c>
      <c r="P45" s="370">
        <f>SUMIF(L45:L62,"&gt;0")*1000/SUMIF(L45:L62,"&gt;0",M45:M62)</f>
        <v>6.2085926232546072E-2</v>
      </c>
    </row>
    <row r="46" spans="2:30">
      <c r="B46" s="208" t="s">
        <v>10</v>
      </c>
      <c r="C46" s="64">
        <f>+Resumen!Z112</f>
        <v>-731.32212776860069</v>
      </c>
      <c r="D46" s="64">
        <f>+Resumen!O112</f>
        <v>1575.2570163826613</v>
      </c>
      <c r="E46" s="364">
        <f>+C46+D46</f>
        <v>843.93488861406058</v>
      </c>
      <c r="F46" s="60">
        <f>+E46*1000/Resumen!AD112</f>
        <v>2.5757796231942062E-2</v>
      </c>
      <c r="G46" s="64">
        <f>+Resumen!Z87</f>
        <v>-553.35447495233166</v>
      </c>
      <c r="H46" s="64">
        <f>+Resumen!O87</f>
        <v>1191.9173317988443</v>
      </c>
      <c r="I46" s="64">
        <f t="shared" ref="I46:I63" si="4">+G46+H46</f>
        <v>638.56285684651266</v>
      </c>
      <c r="K46" s="208" t="s">
        <v>10</v>
      </c>
      <c r="L46" s="364">
        <f>Resumen!AC112</f>
        <v>843.93488861406058</v>
      </c>
      <c r="M46" s="12">
        <f>Resumen!AD112</f>
        <v>32764250.521071475</v>
      </c>
      <c r="O46" s="89"/>
      <c r="P46" s="89"/>
    </row>
    <row r="47" spans="2:30">
      <c r="B47" s="208" t="s">
        <v>11</v>
      </c>
      <c r="C47" s="64">
        <f>+Resumen!Z113</f>
        <v>-167.14548875872558</v>
      </c>
      <c r="D47" s="64">
        <f>+Resumen!O113</f>
        <v>2265.5788620938488</v>
      </c>
      <c r="E47" s="364">
        <f t="shared" ref="E47:E63" si="5">+C47+D47</f>
        <v>2098.4333733351232</v>
      </c>
      <c r="F47" s="60">
        <f>+E47*1000/Resumen!AD113</f>
        <v>0.10197769956239457</v>
      </c>
      <c r="G47" s="64">
        <f>+Resumen!Z88</f>
        <v>-158.20792741900732</v>
      </c>
      <c r="H47" s="64">
        <f>+Resumen!O88</f>
        <v>2144.4344016581745</v>
      </c>
      <c r="I47" s="64">
        <f t="shared" si="4"/>
        <v>1986.2264742391671</v>
      </c>
      <c r="K47" s="208" t="s">
        <v>11</v>
      </c>
      <c r="L47" s="364">
        <f>Resumen!AC113</f>
        <v>2098.4333733351232</v>
      </c>
      <c r="M47" s="12">
        <f>Resumen!AD113</f>
        <v>20577375.076510787</v>
      </c>
    </row>
    <row r="48" spans="2:30">
      <c r="B48" s="208" t="s">
        <v>31</v>
      </c>
      <c r="C48" s="64">
        <f>+Resumen!Z114</f>
        <v>-735.82303214087119</v>
      </c>
      <c r="D48" s="64">
        <f>+Resumen!O114</f>
        <v>-780.07513494806938</v>
      </c>
      <c r="E48" s="364">
        <f t="shared" si="5"/>
        <v>-1515.8981670889407</v>
      </c>
      <c r="F48" s="60">
        <f>+E48*1000/Resumen!AD114</f>
        <v>-5.7673857061150767E-2</v>
      </c>
      <c r="G48" s="64">
        <f>+Resumen!Z89</f>
        <v>-666.53021746780905</v>
      </c>
      <c r="H48" s="64">
        <f>+Resumen!O89</f>
        <v>-706.61507811925276</v>
      </c>
      <c r="I48" s="64">
        <f t="shared" si="4"/>
        <v>-1373.1452955870618</v>
      </c>
      <c r="K48" s="208" t="s">
        <v>31</v>
      </c>
      <c r="L48" s="364">
        <f>Resumen!AC114</f>
        <v>-1515.8981670889407</v>
      </c>
      <c r="M48" s="12">
        <f>Resumen!AD114</f>
        <v>26283974.132017139</v>
      </c>
    </row>
    <row r="49" spans="2:13">
      <c r="B49" s="208" t="s">
        <v>12</v>
      </c>
      <c r="C49" s="64">
        <f>+Resumen!Z115</f>
        <v>4641.0681158357484</v>
      </c>
      <c r="D49" s="64">
        <f>+Resumen!O115</f>
        <v>-347.61890199448197</v>
      </c>
      <c r="E49" s="364">
        <f t="shared" si="5"/>
        <v>4293.4492138412661</v>
      </c>
      <c r="F49" s="60">
        <f>+E49*1000/Resumen!AD115</f>
        <v>0.10795499061122805</v>
      </c>
      <c r="G49" s="64">
        <f>+Resumen!Z90</f>
        <v>2207.3410566952762</v>
      </c>
      <c r="H49" s="64">
        <f>+Resumen!O90</f>
        <v>-165.33122447343703</v>
      </c>
      <c r="I49" s="64">
        <f t="shared" si="4"/>
        <v>2042.0098322218391</v>
      </c>
      <c r="K49" s="208" t="s">
        <v>12</v>
      </c>
      <c r="L49" s="364">
        <f>Resumen!AC115</f>
        <v>4293.4492138412661</v>
      </c>
      <c r="M49" s="12">
        <f>Resumen!AD115</f>
        <v>39770733.98397126</v>
      </c>
    </row>
    <row r="50" spans="2:13">
      <c r="B50" s="208" t="s">
        <v>13</v>
      </c>
      <c r="C50" s="64">
        <f>+Resumen!Z116</f>
        <v>-111.70621640468848</v>
      </c>
      <c r="D50" s="64">
        <f>+Resumen!O116</f>
        <v>627.26934811178501</v>
      </c>
      <c r="E50" s="364">
        <f t="shared" si="5"/>
        <v>515.56313170709655</v>
      </c>
      <c r="F50" s="60">
        <f>+E50*1000/Resumen!AD116</f>
        <v>4.3156493508136495E-2</v>
      </c>
      <c r="G50" s="64">
        <f>+Resumen!Z91</f>
        <v>-190.32694783285297</v>
      </c>
      <c r="H50" s="64">
        <f>+Resumen!O91</f>
        <v>1068.7521638250437</v>
      </c>
      <c r="I50" s="64">
        <f t="shared" si="4"/>
        <v>878.42521599219072</v>
      </c>
      <c r="K50" s="208" t="s">
        <v>13</v>
      </c>
      <c r="L50" s="364">
        <f>Resumen!AC116</f>
        <v>515.56313170709655</v>
      </c>
      <c r="M50" s="12">
        <f>Resumen!AD116</f>
        <v>11946362.871438919</v>
      </c>
    </row>
    <row r="51" spans="2:13">
      <c r="B51" s="208" t="s">
        <v>14</v>
      </c>
      <c r="C51" s="64">
        <f>+Resumen!Z117</f>
        <v>798.920496307127</v>
      </c>
      <c r="D51" s="64">
        <f>+Resumen!O117</f>
        <v>3481.1581487341023</v>
      </c>
      <c r="E51" s="364">
        <f t="shared" si="5"/>
        <v>4280.0786450412288</v>
      </c>
      <c r="F51" s="60">
        <f>+E51*1000/Resumen!AD117</f>
        <v>8.2423783289908487E-2</v>
      </c>
      <c r="G51" s="64">
        <f>+Resumen!Z92</f>
        <v>321.70159481905284</v>
      </c>
      <c r="H51" s="64">
        <f>+Resumen!O92</f>
        <v>1401.7591655760752</v>
      </c>
      <c r="I51" s="64">
        <f t="shared" si="4"/>
        <v>1723.4607603951281</v>
      </c>
      <c r="K51" s="208" t="s">
        <v>14</v>
      </c>
      <c r="L51" s="364">
        <f>Resumen!AC117</f>
        <v>4280.0786450412288</v>
      </c>
      <c r="M51" s="12">
        <f>Resumen!AD117</f>
        <v>51927713.994720966</v>
      </c>
    </row>
    <row r="52" spans="2:13">
      <c r="B52" s="208" t="s">
        <v>491</v>
      </c>
      <c r="C52" s="64">
        <f>+Resumen!Z118</f>
        <v>2827.5685116972986</v>
      </c>
      <c r="D52" s="64">
        <f>+Resumen!O118</f>
        <v>-1193.8944579957624</v>
      </c>
      <c r="E52" s="364">
        <f t="shared" si="5"/>
        <v>1633.6740537015362</v>
      </c>
      <c r="F52" s="60">
        <f>+E52*1000/Resumen!AD118</f>
        <v>4.5726279723625481E-2</v>
      </c>
      <c r="G52" s="64">
        <f>+Resumen!Z93</f>
        <v>1366.700732271529</v>
      </c>
      <c r="H52" s="64">
        <f>+Resumen!O93</f>
        <v>-577.06698290336863</v>
      </c>
      <c r="I52" s="64">
        <f t="shared" si="4"/>
        <v>789.63374936816035</v>
      </c>
      <c r="K52" s="208" t="s">
        <v>491</v>
      </c>
      <c r="L52" s="364">
        <f>Resumen!AC118</f>
        <v>1633.6740537015362</v>
      </c>
      <c r="M52" s="12">
        <f>Resumen!AD118</f>
        <v>35727246.204494148</v>
      </c>
    </row>
    <row r="53" spans="2:13">
      <c r="B53" s="208" t="s">
        <v>16</v>
      </c>
      <c r="C53" s="64">
        <f>+Resumen!Z119</f>
        <v>-10044.231727114558</v>
      </c>
      <c r="D53" s="64">
        <f>+Resumen!O119</f>
        <v>151.91210532132646</v>
      </c>
      <c r="E53" s="364">
        <f t="shared" si="5"/>
        <v>-9892.3196217932327</v>
      </c>
      <c r="F53" s="60">
        <f>+E53*1000/Resumen!AD119</f>
        <v>-5.0246544286977647E-2</v>
      </c>
      <c r="G53" s="64">
        <f>+Resumen!Z94</f>
        <v>-1336.8238119927337</v>
      </c>
      <c r="H53" s="64">
        <f>+Resumen!O94</f>
        <v>20.218541869686305</v>
      </c>
      <c r="I53" s="64">
        <f t="shared" si="4"/>
        <v>-1316.6052701230474</v>
      </c>
      <c r="K53" s="208" t="s">
        <v>16</v>
      </c>
      <c r="L53" s="364">
        <f>Resumen!AC119</f>
        <v>-9892.3196217932327</v>
      </c>
      <c r="M53" s="12">
        <f>Resumen!AD119</f>
        <v>196875621.24261382</v>
      </c>
    </row>
    <row r="54" spans="2:13">
      <c r="B54" s="208" t="s">
        <v>17</v>
      </c>
      <c r="C54" s="64">
        <f>+Resumen!Z120</f>
        <v>3935.2572252713271</v>
      </c>
      <c r="D54" s="64">
        <f>+Resumen!O120</f>
        <v>-5669.895313609507</v>
      </c>
      <c r="E54" s="364">
        <f t="shared" si="5"/>
        <v>-1734.6380883381798</v>
      </c>
      <c r="F54" s="60">
        <f>+E54*1000/Resumen!AD120</f>
        <v>-1.782309102192833E-2</v>
      </c>
      <c r="G54" s="64">
        <f>+Resumen!Z95</f>
        <v>788.19172201850961</v>
      </c>
      <c r="H54" s="64">
        <f>+Resumen!O95</f>
        <v>-1135.6219670215914</v>
      </c>
      <c r="I54" s="64">
        <f t="shared" si="4"/>
        <v>-347.43024500308184</v>
      </c>
      <c r="K54" s="208" t="s">
        <v>17</v>
      </c>
      <c r="L54" s="364">
        <f>Resumen!AC120</f>
        <v>-1734.6380883381798</v>
      </c>
      <c r="M54" s="12">
        <f>Resumen!AD120</f>
        <v>97325322.874915347</v>
      </c>
    </row>
    <row r="55" spans="2:13">
      <c r="B55" s="208" t="s">
        <v>18</v>
      </c>
      <c r="C55" s="64">
        <f>+Resumen!Z121</f>
        <v>2135.9906022338523</v>
      </c>
      <c r="D55" s="64">
        <f>+Resumen!O121</f>
        <v>690.73522470452508</v>
      </c>
      <c r="E55" s="364">
        <f t="shared" si="5"/>
        <v>2826.7258269383774</v>
      </c>
      <c r="F55" s="60">
        <f>+E55*1000/Resumen!AD121</f>
        <v>0.16961499625859869</v>
      </c>
      <c r="G55" s="64">
        <f>+Resumen!Z96</f>
        <v>1948.3374544748358</v>
      </c>
      <c r="H55" s="64">
        <f>+Resumen!O96</f>
        <v>630.05207420363877</v>
      </c>
      <c r="I55" s="64">
        <f t="shared" si="4"/>
        <v>2578.3895286784746</v>
      </c>
      <c r="K55" s="208" t="s">
        <v>18</v>
      </c>
      <c r="L55" s="364">
        <f>Resumen!AC121</f>
        <v>2826.7258269383774</v>
      </c>
      <c r="M55" s="12">
        <f>Resumen!AD121</f>
        <v>16665541.899542244</v>
      </c>
    </row>
    <row r="56" spans="2:13">
      <c r="B56" s="208" t="s">
        <v>19</v>
      </c>
      <c r="C56" s="64">
        <f>+Resumen!Z122</f>
        <v>1755.3483090186894</v>
      </c>
      <c r="D56" s="64">
        <f>+Resumen!O122</f>
        <v>1936.4509205125396</v>
      </c>
      <c r="E56" s="364">
        <f t="shared" si="5"/>
        <v>3691.7992295312288</v>
      </c>
      <c r="F56" s="60">
        <f>+E56*1000/Resumen!AD122</f>
        <v>6.8482407841933657E-2</v>
      </c>
      <c r="G56" s="64">
        <f>+Resumen!Z97</f>
        <v>640.51627738619391</v>
      </c>
      <c r="H56" s="64">
        <f>+Resumen!O97</f>
        <v>706.59955552704741</v>
      </c>
      <c r="I56" s="64">
        <f t="shared" si="4"/>
        <v>1347.1158329132413</v>
      </c>
      <c r="K56" s="208" t="s">
        <v>19</v>
      </c>
      <c r="L56" s="364">
        <f>Resumen!AC122</f>
        <v>3691.7992295312288</v>
      </c>
      <c r="M56" s="12">
        <f>Resumen!AD122</f>
        <v>53908724.092359357</v>
      </c>
    </row>
    <row r="57" spans="2:13">
      <c r="B57" s="208" t="s">
        <v>20</v>
      </c>
      <c r="C57" s="64">
        <f>+Resumen!Z123</f>
        <v>-16368.956961660098</v>
      </c>
      <c r="D57" s="64">
        <f>+Resumen!O123</f>
        <v>-2835.7470991247328</v>
      </c>
      <c r="E57" s="364">
        <f t="shared" si="5"/>
        <v>-19204.704060784832</v>
      </c>
      <c r="F57" s="60">
        <f>+E57*1000/Resumen!AD123</f>
        <v>-9.8220055044806617E-2</v>
      </c>
      <c r="G57" s="64">
        <f>+Resumen!Z98</f>
        <v>-2539.5087035548404</v>
      </c>
      <c r="H57" s="64">
        <f>+Resumen!O98</f>
        <v>-439.94278048228807</v>
      </c>
      <c r="I57" s="64">
        <f t="shared" si="4"/>
        <v>-2979.4514840371285</v>
      </c>
      <c r="K57" s="208" t="s">
        <v>20</v>
      </c>
      <c r="L57" s="364">
        <f>Resumen!AC123</f>
        <v>-19204.704060784832</v>
      </c>
      <c r="M57" s="12">
        <f>Resumen!AD123</f>
        <v>195527319.26309666</v>
      </c>
    </row>
    <row r="58" spans="2:13">
      <c r="B58" s="208" t="s">
        <v>60</v>
      </c>
      <c r="C58" s="64">
        <f>+Resumen!Z124</f>
        <v>2004.6279337904996</v>
      </c>
      <c r="D58" s="64">
        <f>+Resumen!O124</f>
        <v>-1896.9950546315947</v>
      </c>
      <c r="E58" s="364">
        <f t="shared" si="5"/>
        <v>107.63287915890487</v>
      </c>
      <c r="F58" s="60">
        <f>+E58*1000/Resumen!AD124</f>
        <v>4.0492198274749642E-3</v>
      </c>
      <c r="G58" s="64">
        <f>+Resumen!Z99</f>
        <v>1366.431842469563</v>
      </c>
      <c r="H58" s="64">
        <f>+Resumen!O99</f>
        <v>-1293.0651139608417</v>
      </c>
      <c r="I58" s="64">
        <f t="shared" si="4"/>
        <v>73.36672850872128</v>
      </c>
      <c r="K58" s="208" t="s">
        <v>60</v>
      </c>
      <c r="L58" s="364">
        <f>Resumen!AC124</f>
        <v>107.63287915890487</v>
      </c>
      <c r="M58" s="12">
        <f>Resumen!AD124</f>
        <v>26581140.008400876</v>
      </c>
    </row>
    <row r="59" spans="2:13">
      <c r="B59" s="208" t="s">
        <v>61</v>
      </c>
      <c r="C59" s="64">
        <f>+Resumen!Z125</f>
        <v>-587.49066767539898</v>
      </c>
      <c r="D59" s="64">
        <f>+Resumen!O125</f>
        <v>702.31576360919371</v>
      </c>
      <c r="E59" s="364">
        <f t="shared" si="5"/>
        <v>114.82509593379473</v>
      </c>
      <c r="F59" s="60">
        <f>+E59*1000/Resumen!AD125</f>
        <v>6.4335843430811295E-3</v>
      </c>
      <c r="G59" s="64">
        <f>+Resumen!Z100</f>
        <v>-917.04715129473334</v>
      </c>
      <c r="H59" s="64">
        <f>+Resumen!O100</f>
        <v>1096.284087159409</v>
      </c>
      <c r="I59" s="64">
        <f t="shared" si="4"/>
        <v>179.23693586467562</v>
      </c>
      <c r="K59" s="208" t="s">
        <v>61</v>
      </c>
      <c r="L59" s="364">
        <f>Resumen!AC125</f>
        <v>114.82509593379473</v>
      </c>
      <c r="M59" s="12">
        <f>Resumen!AD125</f>
        <v>17847764.140572913</v>
      </c>
    </row>
    <row r="60" spans="2:13">
      <c r="B60" s="208" t="s">
        <v>62</v>
      </c>
      <c r="C60" s="64">
        <f>+Resumen!Z126</f>
        <v>-3474.2496650081312</v>
      </c>
      <c r="D60" s="64">
        <f>+Resumen!O126</f>
        <v>6861.714660793823</v>
      </c>
      <c r="E60" s="364">
        <f t="shared" si="5"/>
        <v>3387.4649957856918</v>
      </c>
      <c r="F60" s="60">
        <f>+E60*1000/Resumen!AD126</f>
        <v>5.2962422547930696E-2</v>
      </c>
      <c r="G60" s="64">
        <f>+Resumen!Z101</f>
        <v>-1587.0523671410265</v>
      </c>
      <c r="H60" s="64">
        <f>+Resumen!O101</f>
        <v>3134.461119688598</v>
      </c>
      <c r="I60" s="64">
        <f t="shared" si="4"/>
        <v>1547.4087525475716</v>
      </c>
      <c r="K60" s="208" t="s">
        <v>62</v>
      </c>
      <c r="L60" s="364">
        <f>Resumen!AC126</f>
        <v>3387.4649957856918</v>
      </c>
      <c r="M60" s="12">
        <f>Resumen!AD126</f>
        <v>63959781.913677663</v>
      </c>
    </row>
    <row r="61" spans="2:13">
      <c r="B61" s="208" t="s">
        <v>63</v>
      </c>
      <c r="C61" s="64">
        <f>+Resumen!Z127</f>
        <v>-67.40095529769718</v>
      </c>
      <c r="D61" s="64">
        <f>+Resumen!O127</f>
        <v>109.20400118846815</v>
      </c>
      <c r="E61" s="364">
        <f t="shared" si="5"/>
        <v>41.803045890770974</v>
      </c>
      <c r="F61" s="60">
        <f>+E61*1000/Resumen!AD127</f>
        <v>5.4703665531646711E-3</v>
      </c>
      <c r="G61" s="64">
        <f>+Resumen!Z102</f>
        <v>-211.93436195831237</v>
      </c>
      <c r="H61" s="64">
        <f>+Resumen!O102</f>
        <v>343.3791140340636</v>
      </c>
      <c r="I61" s="64">
        <f t="shared" si="4"/>
        <v>131.44475207575124</v>
      </c>
      <c r="K61" s="208" t="s">
        <v>63</v>
      </c>
      <c r="L61" s="364">
        <f>Resumen!AC127</f>
        <v>41.803045890770974</v>
      </c>
      <c r="M61" s="12">
        <f>Resumen!AD127</f>
        <v>7641726.6529584611</v>
      </c>
    </row>
    <row r="62" spans="2:13">
      <c r="B62" s="208" t="s">
        <v>64</v>
      </c>
      <c r="C62" s="64">
        <f>+Resumen!Z128</f>
        <v>432.39926445551021</v>
      </c>
      <c r="D62" s="64">
        <f>+Resumen!O128</f>
        <v>390.48238752909106</v>
      </c>
      <c r="E62" s="364">
        <f t="shared" si="5"/>
        <v>822.88165198460126</v>
      </c>
      <c r="F62" s="60">
        <f>+E62*1000/Resumen!AD128</f>
        <v>0.27885863336293681</v>
      </c>
      <c r="G62" s="64">
        <f>+Resumen!Z103</f>
        <v>2548.6298406839005</v>
      </c>
      <c r="H62" s="64">
        <f>+Resumen!O103</f>
        <v>2301.5651203091547</v>
      </c>
      <c r="I62" s="64">
        <f t="shared" si="4"/>
        <v>4850.1949609930552</v>
      </c>
      <c r="K62" s="208" t="s">
        <v>64</v>
      </c>
      <c r="L62" s="364">
        <f>Resumen!AC128</f>
        <v>822.88165198460126</v>
      </c>
      <c r="M62" s="12">
        <f>Resumen!AD128</f>
        <v>2950891.7908007316</v>
      </c>
    </row>
    <row r="63" spans="2:13" ht="13.5" thickBot="1">
      <c r="B63" s="90" t="s">
        <v>492</v>
      </c>
      <c r="C63" s="64">
        <f>+Resumen!Z129</f>
        <v>0</v>
      </c>
      <c r="D63" s="64">
        <f>+Resumen!O129</f>
        <v>0</v>
      </c>
      <c r="E63" s="64">
        <f t="shared" si="5"/>
        <v>0</v>
      </c>
      <c r="F63" s="60"/>
      <c r="G63" s="64">
        <f>+Resumen!AD104</f>
        <v>0</v>
      </c>
      <c r="H63" s="64">
        <f>+Resumen!O104</f>
        <v>0</v>
      </c>
      <c r="I63" s="64">
        <f t="shared" si="4"/>
        <v>0</v>
      </c>
      <c r="K63" s="279" t="s">
        <v>485</v>
      </c>
      <c r="L63" s="368">
        <f>Resumen!AC129</f>
        <v>-8.7993612396530807E-11</v>
      </c>
      <c r="M63" s="289">
        <f>Resumen!AD129</f>
        <v>1037025000</v>
      </c>
    </row>
    <row r="64" spans="2:13" ht="13.5" thickBot="1">
      <c r="B64" s="52" t="s">
        <v>493</v>
      </c>
      <c r="C64" s="54"/>
      <c r="D64" s="54"/>
      <c r="E64" s="278">
        <f>+SUMIF(E45:E63,"&gt;0")</f>
        <v>32347.559938005099</v>
      </c>
      <c r="F64" s="367">
        <f>+E64*1000/Resumen!AD129</f>
        <v>3.1192651997787032E-2</v>
      </c>
      <c r="G64" s="279"/>
      <c r="H64" s="54"/>
      <c r="I64" s="54"/>
    </row>
    <row r="66" spans="1:14">
      <c r="H66" s="12">
        <f>+C36+D36</f>
        <v>786286.07291806955</v>
      </c>
      <c r="I66" s="9">
        <f>+D36/H66</f>
        <v>0.52310575893722655</v>
      </c>
    </row>
    <row r="68" spans="1:14" ht="19.5" thickBot="1">
      <c r="B68" s="258" t="str">
        <f>"Cuadro 6: Desglose aproximado por administraciones de los saldos relativos regionales, "&amp;(Resumen!C2)</f>
        <v>Cuadro 6: Desglose aproximado por administraciones de los saldos relativos regionales, 2014</v>
      </c>
      <c r="C68" s="260"/>
      <c r="D68" s="260"/>
      <c r="E68" s="260"/>
      <c r="F68" s="260"/>
      <c r="G68" s="260"/>
      <c r="H68" s="260"/>
      <c r="I68" s="14"/>
      <c r="N68" s="12"/>
    </row>
    <row r="69" spans="1:14" ht="13.5">
      <c r="B69" s="262"/>
      <c r="C69" s="485" t="s">
        <v>495</v>
      </c>
      <c r="D69" s="485"/>
      <c r="E69" s="485"/>
      <c r="F69" s="485" t="s">
        <v>496</v>
      </c>
      <c r="G69" s="485"/>
      <c r="H69" s="485"/>
    </row>
    <row r="70" spans="1:14" ht="14.25" thickBot="1">
      <c r="B70" s="263"/>
      <c r="C70" s="264" t="s">
        <v>485</v>
      </c>
      <c r="D70" s="264" t="s">
        <v>497</v>
      </c>
      <c r="E70" s="264" t="s">
        <v>498</v>
      </c>
      <c r="F70" s="264" t="s">
        <v>485</v>
      </c>
      <c r="G70" s="264" t="s">
        <v>497</v>
      </c>
      <c r="H70" s="264" t="s">
        <v>498</v>
      </c>
      <c r="J70" s="210"/>
      <c r="K70" s="210"/>
    </row>
    <row r="71" spans="1:14">
      <c r="B71" s="49" t="s">
        <v>9</v>
      </c>
      <c r="C71" s="50">
        <f t="shared" ref="C71:C89" si="6">+E45</f>
        <v>7689.2939065414166</v>
      </c>
      <c r="D71" s="50">
        <f>+Resumen!H138</f>
        <v>1266.916062829692</v>
      </c>
      <c r="E71" s="50">
        <f>+C71-D71</f>
        <v>6422.3778437117244</v>
      </c>
      <c r="F71" s="51">
        <f t="shared" ref="F71:F89" si="7">+F45</f>
        <v>5.5420927027826465E-2</v>
      </c>
      <c r="G71" s="51">
        <f>+D71*1000/Resumen!AD111</f>
        <v>9.1313537396110686E-3</v>
      </c>
      <c r="H71" s="51">
        <f>+E71*1000/Resumen!AD111</f>
        <v>4.6289573288215397E-2</v>
      </c>
      <c r="K71" s="12"/>
    </row>
    <row r="72" spans="1:14">
      <c r="B72" s="49" t="s">
        <v>10</v>
      </c>
      <c r="C72" s="50">
        <f t="shared" si="6"/>
        <v>843.93488861406058</v>
      </c>
      <c r="D72" s="50">
        <f>+Resumen!H139</f>
        <v>205.66117902784421</v>
      </c>
      <c r="E72" s="50">
        <f t="shared" ref="E72:E89" si="8">+C72-D72</f>
        <v>638.27370958621634</v>
      </c>
      <c r="F72" s="51">
        <f t="shared" si="7"/>
        <v>2.5757796231942062E-2</v>
      </c>
      <c r="G72" s="51">
        <f>+D72*1000/Resumen!AD112</f>
        <v>6.27699934401303E-3</v>
      </c>
      <c r="H72" s="51">
        <f>+E72*1000/Resumen!AD112</f>
        <v>1.9480796887929034E-2</v>
      </c>
      <c r="K72" s="12"/>
    </row>
    <row r="73" spans="1:14">
      <c r="B73" s="49" t="s">
        <v>11</v>
      </c>
      <c r="C73" s="50">
        <f t="shared" si="6"/>
        <v>2098.4333733351232</v>
      </c>
      <c r="D73" s="50">
        <f>+Resumen!H140</f>
        <v>-92.593770032927125</v>
      </c>
      <c r="E73" s="50">
        <f t="shared" si="8"/>
        <v>2191.0271433680505</v>
      </c>
      <c r="F73" s="51">
        <f t="shared" si="7"/>
        <v>0.10197769956239457</v>
      </c>
      <c r="G73" s="51">
        <f>+D73*1000/Resumen!AD113</f>
        <v>-4.4997853073409514E-3</v>
      </c>
      <c r="H73" s="51">
        <f>+E73*1000/Resumen!AD113</f>
        <v>0.10647748486973553</v>
      </c>
      <c r="K73" s="12"/>
    </row>
    <row r="74" spans="1:14">
      <c r="B74" s="49" t="s">
        <v>31</v>
      </c>
      <c r="C74" s="50">
        <f t="shared" si="6"/>
        <v>-1515.8981670889407</v>
      </c>
      <c r="D74" s="50">
        <f>+Resumen!H141</f>
        <v>-184.23411756246958</v>
      </c>
      <c r="E74" s="50">
        <f t="shared" si="8"/>
        <v>-1331.664049526471</v>
      </c>
      <c r="F74" s="51">
        <f t="shared" si="7"/>
        <v>-5.7673857061150767E-2</v>
      </c>
      <c r="G74" s="51">
        <f>+D74*1000/Resumen!AD114</f>
        <v>-7.009370677246619E-3</v>
      </c>
      <c r="H74" s="51">
        <f>+E74*1000/Resumen!AD114</f>
        <v>-5.0664486383904139E-2</v>
      </c>
      <c r="K74" s="12"/>
    </row>
    <row r="75" spans="1:14">
      <c r="B75" s="49" t="s">
        <v>12</v>
      </c>
      <c r="C75" s="50">
        <f t="shared" si="6"/>
        <v>4293.4492138412661</v>
      </c>
      <c r="D75" s="50">
        <f>+Resumen!H142</f>
        <v>276.82424955473584</v>
      </c>
      <c r="E75" s="50">
        <f t="shared" si="8"/>
        <v>4016.6249642865305</v>
      </c>
      <c r="F75" s="51">
        <f t="shared" si="7"/>
        <v>0.10795499061122805</v>
      </c>
      <c r="G75" s="51">
        <f>+D75*1000/Resumen!AD115</f>
        <v>6.9605013995040653E-3</v>
      </c>
      <c r="H75" s="51">
        <f>+E75*1000/Resumen!AD115</f>
        <v>0.10099448921172399</v>
      </c>
      <c r="K75" s="12"/>
    </row>
    <row r="76" spans="1:14">
      <c r="B76" s="49" t="s">
        <v>13</v>
      </c>
      <c r="C76" s="50">
        <f t="shared" si="6"/>
        <v>515.56313170709655</v>
      </c>
      <c r="D76" s="50">
        <f>+Resumen!H143</f>
        <v>-39.707305820906697</v>
      </c>
      <c r="E76" s="50">
        <f t="shared" si="8"/>
        <v>555.27043752800319</v>
      </c>
      <c r="F76" s="51">
        <f t="shared" si="7"/>
        <v>4.3156493508136495E-2</v>
      </c>
      <c r="G76" s="51">
        <f>+D76*1000/Resumen!AD116</f>
        <v>-3.323798736755099E-3</v>
      </c>
      <c r="H76" s="51">
        <f>+E76*1000/Resumen!AD116</f>
        <v>4.6480292244891593E-2</v>
      </c>
      <c r="K76" s="12"/>
    </row>
    <row r="77" spans="1:14">
      <c r="A77" s="210"/>
      <c r="B77" s="49" t="s">
        <v>14</v>
      </c>
      <c r="C77" s="50">
        <f t="shared" si="6"/>
        <v>4280.0786450412288</v>
      </c>
      <c r="D77" s="50">
        <f>+Resumen!H144</f>
        <v>589.4667357133676</v>
      </c>
      <c r="E77" s="50">
        <f t="shared" si="8"/>
        <v>3690.6119093278612</v>
      </c>
      <c r="F77" s="51">
        <f t="shared" si="7"/>
        <v>8.2423783289908487E-2</v>
      </c>
      <c r="G77" s="51">
        <f>+D77*1000/Resumen!AD117</f>
        <v>1.1351678908362757E-2</v>
      </c>
      <c r="H77" s="51">
        <f>+E77*1000/Resumen!AD117</f>
        <v>7.1072104381545723E-2</v>
      </c>
      <c r="I77" s="210"/>
      <c r="J77" s="210"/>
      <c r="K77" s="12"/>
      <c r="L77" s="210"/>
      <c r="M77" s="210"/>
      <c r="N77" s="210"/>
    </row>
    <row r="78" spans="1:14">
      <c r="A78" s="210"/>
      <c r="B78" s="49" t="s">
        <v>491</v>
      </c>
      <c r="C78" s="50">
        <f t="shared" si="6"/>
        <v>1633.6740537015362</v>
      </c>
      <c r="D78" s="50">
        <f>+Resumen!H145</f>
        <v>920.8069481087955</v>
      </c>
      <c r="E78" s="50">
        <f t="shared" si="8"/>
        <v>712.8671055927407</v>
      </c>
      <c r="F78" s="51">
        <f t="shared" si="7"/>
        <v>4.5726279723625481E-2</v>
      </c>
      <c r="G78" s="51">
        <f>+D78*1000/Resumen!AD118</f>
        <v>2.5773241599375399E-2</v>
      </c>
      <c r="H78" s="51">
        <f>+E78*1000/Resumen!AD118</f>
        <v>1.9953038124250078E-2</v>
      </c>
      <c r="I78" s="210"/>
      <c r="J78" s="210"/>
      <c r="K78" s="12"/>
      <c r="L78" s="210"/>
      <c r="M78" s="210"/>
      <c r="N78" s="210"/>
    </row>
    <row r="79" spans="1:14">
      <c r="A79" s="210"/>
      <c r="B79" s="49" t="s">
        <v>16</v>
      </c>
      <c r="C79" s="50">
        <f t="shared" si="6"/>
        <v>-9892.3196217932327</v>
      </c>
      <c r="D79" s="50">
        <f>+Resumen!H146</f>
        <v>-1448.9538661333495</v>
      </c>
      <c r="E79" s="50">
        <f t="shared" si="8"/>
        <v>-8443.3657556598828</v>
      </c>
      <c r="F79" s="51">
        <f t="shared" si="7"/>
        <v>-5.0246544286977647E-2</v>
      </c>
      <c r="G79" s="51">
        <f>+D79*1000/Resumen!AD119</f>
        <v>-7.3597424454487142E-3</v>
      </c>
      <c r="H79" s="51">
        <f>+E79*1000/Resumen!AD119</f>
        <v>-4.2886801841528925E-2</v>
      </c>
      <c r="I79" s="210"/>
      <c r="J79" s="210"/>
      <c r="K79" s="12"/>
      <c r="L79" s="210"/>
      <c r="M79" s="210"/>
      <c r="N79" s="210"/>
    </row>
    <row r="80" spans="1:14">
      <c r="A80" s="210"/>
      <c r="B80" s="49" t="s">
        <v>17</v>
      </c>
      <c r="C80" s="50">
        <f t="shared" si="6"/>
        <v>-1734.6380883381798</v>
      </c>
      <c r="D80" s="50">
        <f>+Resumen!H147</f>
        <v>-495.9740632418912</v>
      </c>
      <c r="E80" s="50">
        <f t="shared" si="8"/>
        <v>-1238.6640250962887</v>
      </c>
      <c r="F80" s="51">
        <f t="shared" si="7"/>
        <v>-1.782309102192833E-2</v>
      </c>
      <c r="G80" s="51">
        <f>+D80*1000/Resumen!AD120</f>
        <v>-5.0960433378610826E-3</v>
      </c>
      <c r="H80" s="51">
        <f>+E80*1000/Resumen!AD120</f>
        <v>-1.2727047684067249E-2</v>
      </c>
      <c r="I80" s="210"/>
      <c r="J80" s="210"/>
      <c r="K80" s="12"/>
      <c r="L80" s="210"/>
      <c r="M80" s="210"/>
      <c r="N80" s="210"/>
    </row>
    <row r="81" spans="1:16">
      <c r="A81" s="210"/>
      <c r="B81" s="49" t="s">
        <v>18</v>
      </c>
      <c r="C81" s="50">
        <f t="shared" si="6"/>
        <v>2826.7258269383774</v>
      </c>
      <c r="D81" s="50">
        <f>+Resumen!H148</f>
        <v>732.28874731054862</v>
      </c>
      <c r="E81" s="50">
        <f t="shared" si="8"/>
        <v>2094.437079627829</v>
      </c>
      <c r="F81" s="51">
        <f t="shared" si="7"/>
        <v>0.16961499625859869</v>
      </c>
      <c r="G81" s="51">
        <f>+D81*1000/Resumen!AD121</f>
        <v>4.3940290194263806E-2</v>
      </c>
      <c r="H81" s="51">
        <f>+E81*1000/Resumen!AD121</f>
        <v>0.1256747060643349</v>
      </c>
      <c r="I81" s="210"/>
      <c r="J81" s="210"/>
      <c r="K81" s="12"/>
      <c r="L81" s="210"/>
      <c r="M81" s="210"/>
      <c r="N81" s="210"/>
    </row>
    <row r="82" spans="1:16">
      <c r="A82" s="210"/>
      <c r="B82" s="49" t="s">
        <v>19</v>
      </c>
      <c r="C82" s="50">
        <f t="shared" si="6"/>
        <v>3691.7992295312288</v>
      </c>
      <c r="D82" s="50">
        <f>+Resumen!H149</f>
        <v>132.3576743841993</v>
      </c>
      <c r="E82" s="50">
        <f t="shared" si="8"/>
        <v>3559.4415551470292</v>
      </c>
      <c r="F82" s="51">
        <f t="shared" si="7"/>
        <v>6.8482407841933657E-2</v>
      </c>
      <c r="G82" s="51">
        <f>+D82*1000/Resumen!AD122</f>
        <v>2.4552180859898839E-3</v>
      </c>
      <c r="H82" s="51">
        <f>+E82*1000/Resumen!AD122</f>
        <v>6.602718975594378E-2</v>
      </c>
      <c r="I82" s="210"/>
      <c r="J82" s="210"/>
      <c r="K82" s="12"/>
      <c r="L82" s="210"/>
      <c r="M82" s="210"/>
      <c r="N82" s="210"/>
    </row>
    <row r="83" spans="1:16">
      <c r="A83" s="210"/>
      <c r="B83" s="49" t="s">
        <v>20</v>
      </c>
      <c r="C83" s="50">
        <f t="shared" si="6"/>
        <v>-19204.704060784832</v>
      </c>
      <c r="D83" s="50">
        <f>+Resumen!H150</f>
        <v>-1876.6866088772279</v>
      </c>
      <c r="E83" s="50">
        <f t="shared" si="8"/>
        <v>-17328.017451907603</v>
      </c>
      <c r="F83" s="51">
        <f t="shared" si="7"/>
        <v>-9.8220055044806617E-2</v>
      </c>
      <c r="G83" s="51">
        <f>+D83*1000/Resumen!AD123</f>
        <v>-9.5980787541612295E-3</v>
      </c>
      <c r="H83" s="51">
        <f>+E83*1000/Resumen!AD123</f>
        <v>-8.8621976290645374E-2</v>
      </c>
      <c r="I83" s="210"/>
      <c r="J83" s="210"/>
      <c r="K83" s="12"/>
      <c r="L83" s="210"/>
      <c r="M83" s="210"/>
      <c r="N83" s="210"/>
    </row>
    <row r="84" spans="1:16">
      <c r="A84" s="210"/>
      <c r="B84" s="49" t="s">
        <v>60</v>
      </c>
      <c r="C84" s="50">
        <f t="shared" si="6"/>
        <v>107.63287915890487</v>
      </c>
      <c r="D84" s="50">
        <f>+Resumen!H151</f>
        <v>10.380754503675151</v>
      </c>
      <c r="E84" s="50">
        <f t="shared" si="8"/>
        <v>97.252124655229721</v>
      </c>
      <c r="F84" s="51">
        <f t="shared" si="7"/>
        <v>4.0492198274749642E-3</v>
      </c>
      <c r="G84" s="51">
        <f>+D84*1000/Resumen!AD124</f>
        <v>3.9053082374925792E-4</v>
      </c>
      <c r="H84" s="51">
        <f>+E84*1000/Resumen!AD124</f>
        <v>3.6586890037257065E-3</v>
      </c>
      <c r="I84" s="210"/>
      <c r="J84" s="210"/>
      <c r="K84" s="12"/>
      <c r="L84" s="210"/>
      <c r="M84" s="210"/>
      <c r="N84" s="210"/>
    </row>
    <row r="85" spans="1:16">
      <c r="A85" s="210"/>
      <c r="B85" s="49" t="s">
        <v>61</v>
      </c>
      <c r="C85" s="50">
        <f t="shared" si="6"/>
        <v>114.82509593379473</v>
      </c>
      <c r="D85" s="50">
        <f>+Resumen!H152</f>
        <v>31.126181045660733</v>
      </c>
      <c r="E85" s="50">
        <f t="shared" si="8"/>
        <v>83.698914888133999</v>
      </c>
      <c r="F85" s="51">
        <f t="shared" si="7"/>
        <v>6.4335843430811295E-3</v>
      </c>
      <c r="G85" s="51">
        <f>+D85*1000/Resumen!AD125</f>
        <v>1.7439820921267275E-3</v>
      </c>
      <c r="H85" s="51">
        <f>+E85*1000/Resumen!AD125</f>
        <v>4.6896022509544024E-3</v>
      </c>
      <c r="I85" s="210"/>
      <c r="J85" s="210"/>
      <c r="K85" s="12"/>
      <c r="L85" s="210"/>
      <c r="M85" s="210"/>
      <c r="N85" s="210"/>
    </row>
    <row r="86" spans="1:16">
      <c r="A86" s="210"/>
      <c r="B86" s="208" t="s">
        <v>62</v>
      </c>
      <c r="C86" s="64">
        <f t="shared" si="6"/>
        <v>3387.4649957856918</v>
      </c>
      <c r="D86" s="64">
        <f>+Resumen!H153</f>
        <v>-34.76601245415381</v>
      </c>
      <c r="E86" s="64">
        <f t="shared" si="8"/>
        <v>3422.2310082398458</v>
      </c>
      <c r="F86" s="60">
        <f t="shared" si="7"/>
        <v>5.2962422547930696E-2</v>
      </c>
      <c r="G86" s="51">
        <f>+D86*1000/Resumen!AD126</f>
        <v>-5.4356052215867817E-4</v>
      </c>
      <c r="H86" s="51">
        <f>+E86*1000/Resumen!AD126</f>
        <v>5.3505983070089379E-2</v>
      </c>
      <c r="I86" s="210"/>
      <c r="J86" s="210"/>
      <c r="K86" s="12"/>
      <c r="L86" s="210"/>
      <c r="M86" s="210"/>
      <c r="N86" s="210"/>
    </row>
    <row r="87" spans="1:16">
      <c r="A87" s="210"/>
      <c r="B87" s="208" t="s">
        <v>63</v>
      </c>
      <c r="C87" s="64">
        <f t="shared" si="6"/>
        <v>41.803045890770974</v>
      </c>
      <c r="D87" s="64">
        <f>+Resumen!H154</f>
        <v>-11.313079900688182</v>
      </c>
      <c r="E87" s="64">
        <f t="shared" si="8"/>
        <v>53.116125791459154</v>
      </c>
      <c r="F87" s="60">
        <f t="shared" si="7"/>
        <v>5.4703665531646711E-3</v>
      </c>
      <c r="G87" s="51">
        <f>+D87*1000/Resumen!AD127</f>
        <v>-1.4804350396789413E-3</v>
      </c>
      <c r="H87" s="51">
        <f>+E87*1000/Resumen!AD127</f>
        <v>6.9508015928436123E-3</v>
      </c>
      <c r="I87" s="210"/>
      <c r="J87" s="210"/>
      <c r="K87" s="61"/>
      <c r="L87" s="210"/>
      <c r="M87" s="210"/>
      <c r="N87" s="210"/>
    </row>
    <row r="88" spans="1:16">
      <c r="A88" s="210"/>
      <c r="B88" s="208" t="s">
        <v>64</v>
      </c>
      <c r="C88" s="64">
        <f t="shared" si="6"/>
        <v>822.88165198460126</v>
      </c>
      <c r="D88" s="64">
        <f>+Resumen!H155</f>
        <v>18.400291545094895</v>
      </c>
      <c r="E88" s="64">
        <f t="shared" si="8"/>
        <v>804.48136043950637</v>
      </c>
      <c r="F88" s="60">
        <f t="shared" si="7"/>
        <v>0.27885863336293681</v>
      </c>
      <c r="G88" s="51">
        <f>+D88*1000/Resumen!AD128</f>
        <v>6.2355019599352806E-3</v>
      </c>
      <c r="H88" s="51">
        <f>+E88*1000/Resumen!AD128</f>
        <v>0.27262313140300154</v>
      </c>
      <c r="I88" s="210"/>
      <c r="J88" s="210"/>
      <c r="K88" s="61"/>
      <c r="L88" s="210"/>
      <c r="M88" s="210"/>
      <c r="N88" s="210"/>
    </row>
    <row r="89" spans="1:16" ht="13.5" thickBot="1">
      <c r="A89" s="210"/>
      <c r="B89" s="52" t="s">
        <v>492</v>
      </c>
      <c r="C89" s="251">
        <f t="shared" si="6"/>
        <v>0</v>
      </c>
      <c r="D89" s="251">
        <f>+Resumen!H156</f>
        <v>-1.1368683772161603E-13</v>
      </c>
      <c r="E89" s="251">
        <f t="shared" si="8"/>
        <v>1.1368683772161603E-13</v>
      </c>
      <c r="F89" s="251">
        <f t="shared" si="7"/>
        <v>0</v>
      </c>
      <c r="G89" s="254">
        <f>+D89*1000/Resumen!AD129</f>
        <v>-1.0962786598357419E-19</v>
      </c>
      <c r="H89" s="254">
        <f>+E89*1000/Resumen!AD129</f>
        <v>1.0962786598357419E-19</v>
      </c>
      <c r="I89" s="210"/>
      <c r="J89" s="210"/>
      <c r="K89" s="61"/>
      <c r="L89" s="210"/>
      <c r="M89" s="210"/>
      <c r="N89" s="210"/>
    </row>
    <row r="90" spans="1:16">
      <c r="A90" s="210"/>
      <c r="B90" s="90"/>
      <c r="C90" s="64"/>
      <c r="D90" s="64"/>
      <c r="E90" s="64"/>
      <c r="F90" s="64"/>
      <c r="G90" s="64"/>
      <c r="H90" s="64"/>
      <c r="I90" s="210"/>
      <c r="J90" s="210"/>
      <c r="K90" s="61"/>
      <c r="L90" s="210"/>
      <c r="M90" s="210"/>
      <c r="N90" s="210"/>
    </row>
    <row r="91" spans="1:16">
      <c r="A91" s="210"/>
      <c r="B91" s="90"/>
      <c r="C91" s="64"/>
      <c r="D91" s="64"/>
      <c r="E91" s="64"/>
      <c r="F91" s="64"/>
      <c r="G91" s="64"/>
      <c r="H91" s="64"/>
      <c r="I91" s="210"/>
      <c r="J91" s="210"/>
      <c r="K91" s="61"/>
      <c r="L91" s="210"/>
      <c r="M91" s="210"/>
      <c r="N91" s="210"/>
    </row>
    <row r="92" spans="1:16">
      <c r="A92" s="210"/>
      <c r="B92" s="210"/>
      <c r="C92" s="210"/>
      <c r="D92" s="210"/>
      <c r="E92" s="210"/>
      <c r="F92" s="210"/>
      <c r="G92" s="210"/>
      <c r="H92" s="210"/>
      <c r="I92" s="210"/>
      <c r="J92" s="210"/>
      <c r="K92" s="210"/>
      <c r="L92" s="210"/>
      <c r="M92" s="210"/>
      <c r="N92" s="210"/>
    </row>
    <row r="93" spans="1:16" ht="19.5" thickBot="1">
      <c r="A93" s="210"/>
      <c r="B93" s="258" t="str">
        <f>"Cuadro 7: Saldos relativos regionales, "&amp;(Resumen!C2)&amp;" vs "&amp;(Resumen!C2-1)</f>
        <v>Cuadro 7: Saldos relativos regionales, 2014 vs 2013</v>
      </c>
      <c r="C93" s="210"/>
      <c r="D93" s="210"/>
      <c r="E93" s="210"/>
      <c r="F93" s="210"/>
      <c r="G93" s="210"/>
      <c r="H93" s="210"/>
      <c r="I93" s="210"/>
      <c r="J93" s="210"/>
      <c r="K93" s="210"/>
      <c r="L93" s="210"/>
      <c r="M93" s="210"/>
      <c r="N93" s="210"/>
    </row>
    <row r="94" spans="1:16" ht="13.5">
      <c r="A94" s="210"/>
      <c r="B94" s="262"/>
      <c r="C94" s="485" t="s">
        <v>495</v>
      </c>
      <c r="D94" s="485"/>
      <c r="E94" s="485"/>
      <c r="F94" s="485" t="s">
        <v>499</v>
      </c>
      <c r="G94" s="485"/>
      <c r="H94" s="485"/>
      <c r="I94" s="210"/>
      <c r="J94" s="210"/>
      <c r="K94" s="210"/>
      <c r="L94" s="210"/>
      <c r="M94" s="210"/>
      <c r="N94" s="210"/>
    </row>
    <row r="95" spans="1:16" ht="14.25" thickBot="1">
      <c r="A95" s="210"/>
      <c r="B95" s="263"/>
      <c r="C95" s="261">
        <f>D95-1</f>
        <v>2013</v>
      </c>
      <c r="D95" s="264">
        <f>Resumen!C2</f>
        <v>2014</v>
      </c>
      <c r="E95" s="264" t="s">
        <v>500</v>
      </c>
      <c r="F95" s="261">
        <f>G95-1</f>
        <v>2013</v>
      </c>
      <c r="G95" s="264">
        <f>Resumen!C2</f>
        <v>2014</v>
      </c>
      <c r="H95" s="264" t="s">
        <v>500</v>
      </c>
      <c r="I95" s="210"/>
      <c r="J95" s="210"/>
      <c r="K95" s="210"/>
      <c r="L95" s="210"/>
      <c r="M95" s="210"/>
      <c r="N95" s="210"/>
    </row>
    <row r="96" spans="1:16">
      <c r="A96" s="210"/>
      <c r="B96" s="49" t="s">
        <v>9</v>
      </c>
      <c r="C96" s="468">
        <v>6544.2584419092345</v>
      </c>
      <c r="D96" s="50">
        <f t="shared" ref="D96:D114" si="9">+C71</f>
        <v>7689.2939065414166</v>
      </c>
      <c r="E96" s="50">
        <f>+D96-C96</f>
        <v>1145.0354646321821</v>
      </c>
      <c r="F96" s="466">
        <v>4.7181520511219252E-2</v>
      </c>
      <c r="G96" s="60">
        <f t="shared" ref="G96:G113" si="10">+F71</f>
        <v>5.5420927027826465E-2</v>
      </c>
      <c r="H96" s="415">
        <f>+G96-F96</f>
        <v>8.2394065166072131E-3</v>
      </c>
      <c r="I96" s="65"/>
      <c r="J96" s="62"/>
      <c r="K96" s="63"/>
      <c r="L96" s="210"/>
      <c r="M96" s="210"/>
      <c r="N96" s="210"/>
      <c r="O96" s="60"/>
      <c r="P96" s="60"/>
    </row>
    <row r="97" spans="1:14">
      <c r="A97" s="210"/>
      <c r="B97" s="49" t="s">
        <v>10</v>
      </c>
      <c r="C97" s="468">
        <v>811.04510638391241</v>
      </c>
      <c r="D97" s="50">
        <f t="shared" si="9"/>
        <v>843.93488861406058</v>
      </c>
      <c r="E97" s="50">
        <f t="shared" ref="E97:E114" si="11">+D97-C97</f>
        <v>32.889782230148171</v>
      </c>
      <c r="F97" s="466">
        <v>2.4812831567717703E-2</v>
      </c>
      <c r="G97" s="60">
        <f t="shared" si="10"/>
        <v>2.5757796231942062E-2</v>
      </c>
      <c r="H97" s="51">
        <f t="shared" ref="H97:H113" si="12">+G97-F97</f>
        <v>9.4496466422435907E-4</v>
      </c>
      <c r="I97" s="91"/>
      <c r="J97" s="62"/>
      <c r="K97" s="60"/>
      <c r="L97" s="210"/>
      <c r="M97" s="92"/>
      <c r="N97" s="210"/>
    </row>
    <row r="98" spans="1:14">
      <c r="A98" s="210"/>
      <c r="B98" s="49" t="s">
        <v>11</v>
      </c>
      <c r="C98" s="468">
        <v>2058.2698804114179</v>
      </c>
      <c r="D98" s="50">
        <f t="shared" si="9"/>
        <v>2098.4333733351232</v>
      </c>
      <c r="E98" s="50">
        <f t="shared" si="11"/>
        <v>40.163492923705235</v>
      </c>
      <c r="F98" s="466">
        <v>9.9255783484287277E-2</v>
      </c>
      <c r="G98" s="60">
        <f t="shared" si="10"/>
        <v>0.10197769956239457</v>
      </c>
      <c r="H98" s="51">
        <f t="shared" si="12"/>
        <v>2.7219160781072893E-3</v>
      </c>
      <c r="I98" s="91"/>
      <c r="J98" s="62"/>
      <c r="K98" s="60"/>
      <c r="L98" s="210"/>
      <c r="M98" s="210"/>
      <c r="N98" s="210"/>
    </row>
    <row r="99" spans="1:14">
      <c r="A99" s="210"/>
      <c r="B99" s="49" t="s">
        <v>31</v>
      </c>
      <c r="C99" s="468">
        <v>-1529.6227742103229</v>
      </c>
      <c r="D99" s="50">
        <f t="shared" si="9"/>
        <v>-1515.8981670889407</v>
      </c>
      <c r="E99" s="50">
        <f t="shared" si="11"/>
        <v>13.724607121382178</v>
      </c>
      <c r="F99" s="466">
        <v>-5.9149729212438107E-2</v>
      </c>
      <c r="G99" s="60">
        <f t="shared" si="10"/>
        <v>-5.7673857061150767E-2</v>
      </c>
      <c r="H99" s="51">
        <f t="shared" si="12"/>
        <v>1.4758721512873399E-3</v>
      </c>
      <c r="I99" s="91"/>
      <c r="J99" s="62"/>
      <c r="K99" s="60"/>
      <c r="L99" s="210"/>
      <c r="M99" s="210"/>
      <c r="N99" s="210"/>
    </row>
    <row r="100" spans="1:14">
      <c r="A100" s="210"/>
      <c r="B100" s="49" t="s">
        <v>12</v>
      </c>
      <c r="C100" s="468">
        <v>3617.3543771653431</v>
      </c>
      <c r="D100" s="50">
        <f t="shared" si="9"/>
        <v>4293.4492138412661</v>
      </c>
      <c r="E100" s="50">
        <f t="shared" si="11"/>
        <v>676.09483667592303</v>
      </c>
      <c r="F100" s="466">
        <v>9.038745767194109E-2</v>
      </c>
      <c r="G100" s="60">
        <f t="shared" si="10"/>
        <v>0.10795499061122805</v>
      </c>
      <c r="H100" s="53">
        <f t="shared" si="12"/>
        <v>1.7567532939286964E-2</v>
      </c>
      <c r="I100" s="91"/>
      <c r="J100" s="62"/>
      <c r="K100" s="60"/>
      <c r="L100" s="210"/>
      <c r="M100" s="210"/>
      <c r="N100" s="210"/>
    </row>
    <row r="101" spans="1:14">
      <c r="A101" s="210"/>
      <c r="B101" s="49" t="s">
        <v>13</v>
      </c>
      <c r="C101" s="468">
        <v>471.0621836039802</v>
      </c>
      <c r="D101" s="50">
        <f t="shared" si="9"/>
        <v>515.56313170709655</v>
      </c>
      <c r="E101" s="50">
        <f t="shared" si="11"/>
        <v>44.500948103116343</v>
      </c>
      <c r="F101" s="466">
        <v>4.0032102870445119E-2</v>
      </c>
      <c r="G101" s="60">
        <f t="shared" si="10"/>
        <v>4.3156493508136495E-2</v>
      </c>
      <c r="H101" s="51">
        <f t="shared" si="12"/>
        <v>3.1243906376913766E-3</v>
      </c>
      <c r="I101" s="91"/>
      <c r="J101" s="62"/>
      <c r="K101" s="60"/>
      <c r="L101" s="210"/>
      <c r="M101" s="210"/>
      <c r="N101" s="210"/>
    </row>
    <row r="102" spans="1:14">
      <c r="A102" s="210"/>
      <c r="B102" s="49" t="s">
        <v>14</v>
      </c>
      <c r="C102" s="468">
        <v>4740.6973471676574</v>
      </c>
      <c r="D102" s="50">
        <f t="shared" si="9"/>
        <v>4280.0786450412288</v>
      </c>
      <c r="E102" s="50">
        <f t="shared" si="11"/>
        <v>-460.61870212642862</v>
      </c>
      <c r="F102" s="466">
        <v>9.0897829648425493E-2</v>
      </c>
      <c r="G102" s="60">
        <f t="shared" si="10"/>
        <v>8.2423783289908487E-2</v>
      </c>
      <c r="H102" s="53">
        <f t="shared" si="12"/>
        <v>-8.4740463585170067E-3</v>
      </c>
      <c r="I102" s="91"/>
      <c r="J102" s="62"/>
      <c r="K102" s="60"/>
      <c r="L102" s="210"/>
      <c r="M102" s="210"/>
      <c r="N102" s="210"/>
    </row>
    <row r="103" spans="1:14">
      <c r="A103" s="210"/>
      <c r="B103" s="49" t="s">
        <v>15</v>
      </c>
      <c r="C103" s="468">
        <v>2560.8106013076354</v>
      </c>
      <c r="D103" s="50">
        <f t="shared" si="9"/>
        <v>1633.6740537015362</v>
      </c>
      <c r="E103" s="50">
        <f t="shared" si="11"/>
        <v>-927.13654760609916</v>
      </c>
      <c r="F103" s="466">
        <v>6.9457797390905407E-2</v>
      </c>
      <c r="G103" s="60">
        <f t="shared" si="10"/>
        <v>4.5726279723625481E-2</v>
      </c>
      <c r="H103" s="51">
        <f t="shared" si="12"/>
        <v>-2.3731517667279926E-2</v>
      </c>
      <c r="I103" s="91"/>
      <c r="J103" s="62"/>
      <c r="K103" s="60"/>
      <c r="L103" s="210"/>
      <c r="M103" s="210"/>
      <c r="N103" s="210"/>
    </row>
    <row r="104" spans="1:14">
      <c r="A104" s="210"/>
      <c r="B104" s="49" t="s">
        <v>16</v>
      </c>
      <c r="C104" s="468">
        <v>-9327.5228894042612</v>
      </c>
      <c r="D104" s="50">
        <f t="shared" si="9"/>
        <v>-9892.3196217932327</v>
      </c>
      <c r="E104" s="50">
        <f t="shared" si="11"/>
        <v>-564.79673238897158</v>
      </c>
      <c r="F104" s="466">
        <v>-4.7972420199166713E-2</v>
      </c>
      <c r="G104" s="60">
        <f t="shared" si="10"/>
        <v>-5.0246544286977647E-2</v>
      </c>
      <c r="H104" s="416">
        <f t="shared" si="12"/>
        <v>-2.2741240878109345E-3</v>
      </c>
      <c r="I104" s="91"/>
      <c r="J104" s="62"/>
      <c r="K104" s="60"/>
      <c r="L104" s="210"/>
      <c r="M104" s="210"/>
      <c r="N104" s="210"/>
    </row>
    <row r="105" spans="1:14">
      <c r="B105" s="49" t="s">
        <v>17</v>
      </c>
      <c r="C105" s="468">
        <v>-1532.7240632182602</v>
      </c>
      <c r="D105" s="50">
        <f t="shared" si="9"/>
        <v>-1734.6380883381798</v>
      </c>
      <c r="E105" s="50">
        <f t="shared" si="11"/>
        <v>-201.91402511991964</v>
      </c>
      <c r="F105" s="466">
        <v>-1.5971431162224128E-2</v>
      </c>
      <c r="G105" s="60">
        <f t="shared" si="10"/>
        <v>-1.782309102192833E-2</v>
      </c>
      <c r="H105" s="416">
        <f t="shared" si="12"/>
        <v>-1.8516598597042022E-3</v>
      </c>
      <c r="I105" s="14"/>
      <c r="J105" s="62"/>
      <c r="K105" s="60"/>
    </row>
    <row r="106" spans="1:14">
      <c r="B106" s="49" t="s">
        <v>18</v>
      </c>
      <c r="C106" s="468">
        <v>2832.0108154270329</v>
      </c>
      <c r="D106" s="50">
        <f t="shared" si="9"/>
        <v>2826.7258269383774</v>
      </c>
      <c r="E106" s="50">
        <f t="shared" si="11"/>
        <v>-5.2849884886554719</v>
      </c>
      <c r="F106" s="466">
        <v>0.16801797632577073</v>
      </c>
      <c r="G106" s="60">
        <f t="shared" si="10"/>
        <v>0.16961499625859869</v>
      </c>
      <c r="H106" s="416">
        <f t="shared" si="12"/>
        <v>1.5970199328279588E-3</v>
      </c>
      <c r="I106" s="14"/>
      <c r="J106" s="62"/>
      <c r="K106" s="60"/>
    </row>
    <row r="107" spans="1:14">
      <c r="B107" s="49" t="s">
        <v>19</v>
      </c>
      <c r="C107" s="468">
        <v>3700.6758869301075</v>
      </c>
      <c r="D107" s="50">
        <f t="shared" si="9"/>
        <v>3691.7992295312288</v>
      </c>
      <c r="E107" s="50">
        <f t="shared" si="11"/>
        <v>-8.8766573988787059</v>
      </c>
      <c r="F107" s="466">
        <v>6.860085763697743E-2</v>
      </c>
      <c r="G107" s="60">
        <f t="shared" si="10"/>
        <v>6.8482407841933657E-2</v>
      </c>
      <c r="H107" s="416">
        <f t="shared" si="12"/>
        <v>-1.1844979504377351E-4</v>
      </c>
      <c r="I107" s="14"/>
      <c r="J107" s="62"/>
      <c r="K107" s="60"/>
    </row>
    <row r="108" spans="1:14">
      <c r="B108" s="49" t="s">
        <v>20</v>
      </c>
      <c r="C108" s="468">
        <v>-18021.378422818711</v>
      </c>
      <c r="D108" s="50">
        <f t="shared" si="9"/>
        <v>-19204.704060784832</v>
      </c>
      <c r="E108" s="50">
        <f t="shared" si="11"/>
        <v>-1183.3256379661216</v>
      </c>
      <c r="F108" s="466">
        <v>-9.2893444525035493E-2</v>
      </c>
      <c r="G108" s="60">
        <f t="shared" si="10"/>
        <v>-9.8220055044806617E-2</v>
      </c>
      <c r="H108" s="416">
        <f t="shared" si="12"/>
        <v>-5.3266105197711244E-3</v>
      </c>
      <c r="I108" s="14"/>
      <c r="J108" s="62"/>
      <c r="K108" s="60"/>
    </row>
    <row r="109" spans="1:14">
      <c r="B109" s="49" t="s">
        <v>60</v>
      </c>
      <c r="C109" s="468">
        <v>203.9191570864873</v>
      </c>
      <c r="D109" s="50">
        <f t="shared" si="9"/>
        <v>107.63287915890487</v>
      </c>
      <c r="E109" s="50">
        <f t="shared" si="11"/>
        <v>-96.286277927582432</v>
      </c>
      <c r="F109" s="466">
        <v>7.6441048464361725E-3</v>
      </c>
      <c r="G109" s="60">
        <f t="shared" si="10"/>
        <v>4.0492198274749642E-3</v>
      </c>
      <c r="H109" s="51">
        <f t="shared" si="12"/>
        <v>-3.5948850189612084E-3</v>
      </c>
      <c r="I109" s="14"/>
      <c r="J109" s="62"/>
      <c r="K109" s="60"/>
    </row>
    <row r="110" spans="1:14">
      <c r="B110" s="49" t="s">
        <v>61</v>
      </c>
      <c r="C110" s="468">
        <v>-121.27268448590405</v>
      </c>
      <c r="D110" s="50">
        <f t="shared" si="9"/>
        <v>114.82509593379473</v>
      </c>
      <c r="E110" s="50">
        <f t="shared" si="11"/>
        <v>236.09778041969878</v>
      </c>
      <c r="F110" s="466">
        <v>-6.9423242320585995E-3</v>
      </c>
      <c r="G110" s="60">
        <f t="shared" si="10"/>
        <v>6.4335843430811295E-3</v>
      </c>
      <c r="H110" s="53">
        <f t="shared" si="12"/>
        <v>1.337590857513973E-2</v>
      </c>
      <c r="I110" s="14"/>
      <c r="J110" s="62"/>
      <c r="K110" s="60"/>
    </row>
    <row r="111" spans="1:14">
      <c r="B111" s="49" t="s">
        <v>62</v>
      </c>
      <c r="C111" s="468">
        <v>2213.8092672304324</v>
      </c>
      <c r="D111" s="50">
        <f t="shared" si="9"/>
        <v>3387.4649957856918</v>
      </c>
      <c r="E111" s="50">
        <f t="shared" si="11"/>
        <v>1173.6557285552594</v>
      </c>
      <c r="F111" s="466">
        <v>3.5380919846875643E-2</v>
      </c>
      <c r="G111" s="60">
        <f t="shared" si="10"/>
        <v>5.2962422547930696E-2</v>
      </c>
      <c r="H111" s="416">
        <f t="shared" si="12"/>
        <v>1.7581502701055053E-2</v>
      </c>
      <c r="I111" s="14"/>
      <c r="J111" s="62"/>
      <c r="K111" s="60"/>
    </row>
    <row r="112" spans="1:14">
      <c r="B112" s="49" t="s">
        <v>63</v>
      </c>
      <c r="C112" s="468">
        <v>81.41612634964963</v>
      </c>
      <c r="D112" s="50">
        <f t="shared" si="9"/>
        <v>41.803045890770974</v>
      </c>
      <c r="E112" s="50">
        <f t="shared" si="11"/>
        <v>-39.613080458878656</v>
      </c>
      <c r="F112" s="466">
        <v>1.0736363949211521E-2</v>
      </c>
      <c r="G112" s="60">
        <f t="shared" si="10"/>
        <v>5.4703665531646711E-3</v>
      </c>
      <c r="H112" s="51">
        <f t="shared" si="12"/>
        <v>-5.2659973960468495E-3</v>
      </c>
      <c r="J112" s="62"/>
      <c r="K112" s="60"/>
    </row>
    <row r="113" spans="2:11">
      <c r="B113" s="49" t="s">
        <v>64</v>
      </c>
      <c r="C113" s="468">
        <v>697.19164316465435</v>
      </c>
      <c r="D113" s="50">
        <f t="shared" si="9"/>
        <v>822.88165198460126</v>
      </c>
      <c r="E113" s="50">
        <f t="shared" si="11"/>
        <v>125.69000881994691</v>
      </c>
      <c r="F113" s="466">
        <v>0.23457220276027346</v>
      </c>
      <c r="G113" s="60">
        <f t="shared" si="10"/>
        <v>0.27885863336293681</v>
      </c>
      <c r="H113" s="51">
        <f t="shared" si="12"/>
        <v>4.4286430602663351E-2</v>
      </c>
      <c r="J113" s="62"/>
      <c r="K113" s="60"/>
    </row>
    <row r="114" spans="2:11">
      <c r="B114" s="209" t="s">
        <v>84</v>
      </c>
      <c r="C114" s="469">
        <v>0</v>
      </c>
      <c r="D114" s="59">
        <f t="shared" si="9"/>
        <v>0</v>
      </c>
      <c r="E114" s="59">
        <f t="shared" si="11"/>
        <v>0</v>
      </c>
      <c r="F114" s="467">
        <v>0</v>
      </c>
      <c r="G114" s="66">
        <v>0</v>
      </c>
      <c r="H114" s="66">
        <v>0</v>
      </c>
      <c r="J114" s="64"/>
      <c r="K114" s="210"/>
    </row>
    <row r="115" spans="2:11">
      <c r="B115" s="208"/>
      <c r="C115" s="208"/>
      <c r="D115" s="208"/>
      <c r="E115" s="208"/>
      <c r="F115" s="208"/>
      <c r="G115" s="208"/>
      <c r="H115" s="265"/>
      <c r="J115" s="64"/>
      <c r="K115" s="210"/>
    </row>
    <row r="116" spans="2:11">
      <c r="B116" s="208"/>
      <c r="C116" s="208"/>
      <c r="D116" s="208"/>
      <c r="E116" s="208"/>
      <c r="F116" s="208"/>
      <c r="G116" s="208"/>
      <c r="H116" s="265"/>
      <c r="J116" s="64"/>
      <c r="K116" s="210"/>
    </row>
    <row r="117" spans="2:11">
      <c r="B117" s="208"/>
      <c r="C117" s="208"/>
      <c r="D117" s="208"/>
      <c r="E117" s="208"/>
      <c r="F117" s="208"/>
      <c r="G117" s="208"/>
      <c r="H117" s="265"/>
      <c r="J117" s="64"/>
      <c r="K117" s="210"/>
    </row>
    <row r="118" spans="2:11">
      <c r="J118" s="50"/>
    </row>
    <row r="119" spans="2:11" ht="19.5" thickBot="1">
      <c r="B119" s="258" t="str">
        <f>"Cuadro 8a: Componentes del saldo relativo total ligado a los ingresos tributarios, millones de euros, ejercicio "&amp;(Resumen!C2)</f>
        <v>Cuadro 8a: Componentes del saldo relativo total ligado a los ingresos tributarios, millones de euros, ejercicio 2014</v>
      </c>
    </row>
    <row r="120" spans="2:11" ht="27.75" thickBot="1">
      <c r="B120" s="266"/>
      <c r="C120" s="267" t="s">
        <v>501</v>
      </c>
      <c r="D120" s="267" t="s">
        <v>502</v>
      </c>
      <c r="E120" s="267" t="s">
        <v>503</v>
      </c>
      <c r="F120" s="267" t="s">
        <v>504</v>
      </c>
      <c r="G120" s="267" t="s">
        <v>505</v>
      </c>
      <c r="H120" s="267" t="s">
        <v>506</v>
      </c>
      <c r="I120" s="267" t="s">
        <v>507</v>
      </c>
      <c r="J120" s="269" t="str">
        <f>"Total ingresos tributarios, "&amp; (Resumen!C2-1)</f>
        <v>Total ingresos tributarios, 2013</v>
      </c>
    </row>
    <row r="121" spans="2:11">
      <c r="B121" s="49" t="s">
        <v>9</v>
      </c>
      <c r="C121" s="50">
        <f>+Resumen!T111</f>
        <v>8328.3580699292033</v>
      </c>
      <c r="D121" s="50">
        <f>+Resumen!U111</f>
        <v>5188.1327292647238</v>
      </c>
      <c r="E121" s="67">
        <f>+Resumen!W111</f>
        <v>0.92432353631255748</v>
      </c>
      <c r="F121" s="50">
        <f>+Resumen!AF111</f>
        <v>13517.415122730239</v>
      </c>
      <c r="G121" s="50">
        <f>+Resumen!V111</f>
        <v>782.30989450454001</v>
      </c>
      <c r="H121" s="50">
        <f>+Resumen!Y111</f>
        <v>-542.57863401607062</v>
      </c>
      <c r="I121" s="50">
        <f>+Resumen!Z111</f>
        <v>13757.146383218696</v>
      </c>
      <c r="J121" s="470">
        <v>13228.606403733627</v>
      </c>
    </row>
    <row r="122" spans="2:11">
      <c r="B122" s="49" t="s">
        <v>10</v>
      </c>
      <c r="C122" s="50">
        <f>+Resumen!T112</f>
        <v>-251.90881711880979</v>
      </c>
      <c r="D122" s="50">
        <f>+Resumen!U112</f>
        <v>-306.07249479994164</v>
      </c>
      <c r="E122" s="67">
        <f>+Resumen!W112</f>
        <v>-1.5666626780329186E-2</v>
      </c>
      <c r="F122" s="50">
        <f>+Resumen!AF112</f>
        <v>-557.99697854553176</v>
      </c>
      <c r="G122" s="50">
        <f>+Resumen!V112</f>
        <v>-32.163843984483286</v>
      </c>
      <c r="H122" s="50">
        <f>+Resumen!Y112</f>
        <v>-141.16130523858149</v>
      </c>
      <c r="I122" s="50">
        <f>+Resumen!Z112</f>
        <v>-731.32212776860069</v>
      </c>
      <c r="J122" s="470">
        <v>-706.04905627846813</v>
      </c>
    </row>
    <row r="123" spans="2:11">
      <c r="B123" s="49" t="s">
        <v>11</v>
      </c>
      <c r="C123" s="50">
        <f>+Resumen!T113</f>
        <v>-85.626764257946917</v>
      </c>
      <c r="D123" s="50">
        <f>+Resumen!U113</f>
        <v>-22.717857586992402</v>
      </c>
      <c r="E123" s="67">
        <f>+Resumen!W113</f>
        <v>-1.5475965593675435E-2</v>
      </c>
      <c r="F123" s="50">
        <f>+Resumen!AF113</f>
        <v>-108.36009781053301</v>
      </c>
      <c r="G123" s="50">
        <f>+Resumen!V113</f>
        <v>41.187173995979222</v>
      </c>
      <c r="H123" s="50">
        <f>+Resumen!Y113</f>
        <v>-99.972564944168781</v>
      </c>
      <c r="I123" s="50">
        <f>+Resumen!Z113</f>
        <v>-167.14548875872558</v>
      </c>
      <c r="J123" s="470">
        <v>-327.97722254077257</v>
      </c>
    </row>
    <row r="124" spans="2:11">
      <c r="B124" s="49" t="s">
        <v>31</v>
      </c>
      <c r="C124" s="50">
        <f>+Resumen!T114</f>
        <v>-125.34734241959151</v>
      </c>
      <c r="D124" s="50">
        <f>+Resumen!U114</f>
        <v>-227.46002151947985</v>
      </c>
      <c r="E124" s="67">
        <f>+Resumen!W114</f>
        <v>-4.6878168579605493E-2</v>
      </c>
      <c r="F124" s="50">
        <f>+Resumen!AF114</f>
        <v>-352.85424210765098</v>
      </c>
      <c r="G124" s="50">
        <f>+Resumen!V114</f>
        <v>-182.71830023704058</v>
      </c>
      <c r="H124" s="50">
        <f>+Resumen!Y114</f>
        <v>-200.25048979618029</v>
      </c>
      <c r="I124" s="50">
        <f>+Resumen!Z114</f>
        <v>-735.82303214087119</v>
      </c>
      <c r="J124" s="470">
        <v>-523.44735212080923</v>
      </c>
    </row>
    <row r="125" spans="2:11">
      <c r="B125" s="49" t="s">
        <v>12</v>
      </c>
      <c r="C125" s="50">
        <f>+Resumen!T115</f>
        <v>2091.9857254089825</v>
      </c>
      <c r="D125" s="50">
        <f>+Resumen!U115</f>
        <v>724.6681036392921</v>
      </c>
      <c r="E125" s="67">
        <f>+Resumen!W115</f>
        <v>0.22027852612931711</v>
      </c>
      <c r="F125" s="50">
        <f>+Resumen!AF115</f>
        <v>2816.8741075744038</v>
      </c>
      <c r="G125" s="50">
        <f>+Resumen!V115</f>
        <v>236.24836573333624</v>
      </c>
      <c r="H125" s="50">
        <f>+Resumen!Y115</f>
        <v>1587.9456425280082</v>
      </c>
      <c r="I125" s="50">
        <f>+Resumen!Z115</f>
        <v>4641.0681158357484</v>
      </c>
      <c r="J125" s="470">
        <v>4509.1819757199955</v>
      </c>
    </row>
    <row r="126" spans="2:11">
      <c r="B126" s="49" t="s">
        <v>13</v>
      </c>
      <c r="C126" s="50">
        <f>+Resumen!T116</f>
        <v>-15.806330836104323</v>
      </c>
      <c r="D126" s="50">
        <f>+Resumen!U116</f>
        <v>-33.113264842476333</v>
      </c>
      <c r="E126" s="67">
        <f>+Resumen!W116</f>
        <v>-1.3550062464851376E-2</v>
      </c>
      <c r="F126" s="50">
        <f>+Resumen!AF116</f>
        <v>-48.933145741045507</v>
      </c>
      <c r="G126" s="50">
        <f>+Resumen!V116</f>
        <v>-23.089713670033934</v>
      </c>
      <c r="H126" s="50">
        <f>+Resumen!Y116</f>
        <v>-39.683356993607632</v>
      </c>
      <c r="I126" s="50">
        <f>+Resumen!Z116</f>
        <v>-111.70621640468848</v>
      </c>
      <c r="J126" s="470">
        <v>-211.8188994723364</v>
      </c>
    </row>
    <row r="127" spans="2:11">
      <c r="B127" s="49" t="s">
        <v>14</v>
      </c>
      <c r="C127" s="50">
        <f>+Resumen!T117</f>
        <v>679.40315877937905</v>
      </c>
      <c r="D127" s="50">
        <f>+Resumen!U117</f>
        <v>196.34911037098382</v>
      </c>
      <c r="E127" s="67">
        <f>+Resumen!W117</f>
        <v>7.5039387662166432E-2</v>
      </c>
      <c r="F127" s="50">
        <f>+Resumen!AF117</f>
        <v>875.82730853802502</v>
      </c>
      <c r="G127" s="50">
        <f>+Resumen!V117</f>
        <v>91.777289145104731</v>
      </c>
      <c r="H127" s="50">
        <f>+Resumen!Y117</f>
        <v>-168.6841013759971</v>
      </c>
      <c r="I127" s="50">
        <f>+Resumen!Z117</f>
        <v>798.920496307127</v>
      </c>
      <c r="J127" s="470">
        <v>616.95608520367705</v>
      </c>
    </row>
    <row r="128" spans="2:11">
      <c r="B128" s="49" t="s">
        <v>491</v>
      </c>
      <c r="C128" s="50">
        <f>+Resumen!T118</f>
        <v>1912.8546545614674</v>
      </c>
      <c r="D128" s="50">
        <f>+Resumen!U118</f>
        <v>834.25136698291658</v>
      </c>
      <c r="E128" s="67">
        <f>+Resumen!W118</f>
        <v>0.23799840543323475</v>
      </c>
      <c r="F128" s="50">
        <f>+Resumen!AF118</f>
        <v>2747.3440199498173</v>
      </c>
      <c r="G128" s="50">
        <f>+Resumen!V118</f>
        <v>108.60569292264086</v>
      </c>
      <c r="H128" s="50">
        <f>+Resumen!Y118</f>
        <v>-28.381201175157717</v>
      </c>
      <c r="I128" s="50">
        <f>+Resumen!Z118</f>
        <v>2827.5685116972986</v>
      </c>
      <c r="J128" s="470">
        <v>2798.3889156054333</v>
      </c>
    </row>
    <row r="129" spans="2:10">
      <c r="B129" s="49" t="s">
        <v>16</v>
      </c>
      <c r="C129" s="50">
        <f>+Resumen!T119</f>
        <v>-4982.1731011172451</v>
      </c>
      <c r="D129" s="50">
        <f>+Resumen!U119</f>
        <v>-3236.6788096816608</v>
      </c>
      <c r="E129" s="67">
        <f>+Resumen!W119</f>
        <v>-0.77585972798356517</v>
      </c>
      <c r="F129" s="50">
        <f>+Resumen!AF119</f>
        <v>-8219.6277705268894</v>
      </c>
      <c r="G129" s="50">
        <f>+Resumen!V119</f>
        <v>-947.74255243217374</v>
      </c>
      <c r="H129" s="50">
        <f>+Resumen!Y119</f>
        <v>-876.86140415548766</v>
      </c>
      <c r="I129" s="50">
        <f>+Resumen!Z119</f>
        <v>-10044.231727114558</v>
      </c>
      <c r="J129" s="470">
        <v>-10257.647478794766</v>
      </c>
    </row>
    <row r="130" spans="2:10">
      <c r="B130" s="49" t="s">
        <v>17</v>
      </c>
      <c r="C130" s="50">
        <f>+Resumen!T120</f>
        <v>2568.7108873591501</v>
      </c>
      <c r="D130" s="50">
        <f>+Resumen!U120</f>
        <v>1755.1074924866855</v>
      </c>
      <c r="E130" s="67">
        <f>+Resumen!W120</f>
        <v>0.15642989393135673</v>
      </c>
      <c r="F130" s="50">
        <f>+Resumen!AF120</f>
        <v>4323.9748097397669</v>
      </c>
      <c r="G130" s="50">
        <f>+Resumen!V120</f>
        <v>124.40439663916681</v>
      </c>
      <c r="H130" s="50">
        <f>+Resumen!Y120</f>
        <v>-513.12198110760573</v>
      </c>
      <c r="I130" s="50">
        <f>+Resumen!Z120</f>
        <v>3935.2572252713271</v>
      </c>
      <c r="J130" s="470">
        <v>4423.1319152853284</v>
      </c>
    </row>
    <row r="131" spans="2:10">
      <c r="B131" s="49" t="s">
        <v>18</v>
      </c>
      <c r="C131" s="50">
        <f>+Resumen!T121</f>
        <v>1374.5366236258894</v>
      </c>
      <c r="D131" s="50">
        <f>+Resumen!U121</f>
        <v>747.86409268033572</v>
      </c>
      <c r="E131" s="67">
        <f>+Resumen!W121</f>
        <v>0.15842267825773126</v>
      </c>
      <c r="F131" s="50">
        <f>+Resumen!AF121</f>
        <v>2122.5591389844831</v>
      </c>
      <c r="G131" s="50">
        <f>+Resumen!V121</f>
        <v>180.53539437223546</v>
      </c>
      <c r="H131" s="50">
        <f>+Resumen!Y121</f>
        <v>-167.10393112286519</v>
      </c>
      <c r="I131" s="50">
        <f>+Resumen!Z121</f>
        <v>2135.9906022338523</v>
      </c>
      <c r="J131" s="470">
        <v>1890.5084833179001</v>
      </c>
    </row>
    <row r="132" spans="2:10">
      <c r="B132" s="49" t="s">
        <v>19</v>
      </c>
      <c r="C132" s="50">
        <f>+Resumen!T122</f>
        <v>1072.8403748619826</v>
      </c>
      <c r="D132" s="50">
        <f>+Resumen!U122</f>
        <v>580.79524022291446</v>
      </c>
      <c r="E132" s="67">
        <f>+Resumen!W122</f>
        <v>0.10856059164819563</v>
      </c>
      <c r="F132" s="50">
        <f>+Resumen!AF122</f>
        <v>1653.7441756765452</v>
      </c>
      <c r="G132" s="50">
        <f>+Resumen!V122</f>
        <v>372.02075672427964</v>
      </c>
      <c r="H132" s="50">
        <f>+Resumen!Y122</f>
        <v>-270.41662338213564</v>
      </c>
      <c r="I132" s="50">
        <f>+Resumen!Z122</f>
        <v>1755.3483090186894</v>
      </c>
      <c r="J132" s="470">
        <v>1770.7277696587835</v>
      </c>
    </row>
    <row r="133" spans="2:10">
      <c r="B133" s="49" t="s">
        <v>20</v>
      </c>
      <c r="C133" s="50">
        <f>+Resumen!T123</f>
        <v>-11294.374140809965</v>
      </c>
      <c r="D133" s="50">
        <f>+Resumen!U123</f>
        <v>-4565.9772597475476</v>
      </c>
      <c r="E133" s="67">
        <f>+Resumen!W123</f>
        <v>-0.88083535430440463</v>
      </c>
      <c r="F133" s="50">
        <f>+Resumen!AF123</f>
        <v>-15861.232235911817</v>
      </c>
      <c r="G133" s="50">
        <f>+Resumen!V123</f>
        <v>-883.26518254089638</v>
      </c>
      <c r="H133" s="50">
        <f>+Resumen!Y123</f>
        <v>375.5404567926206</v>
      </c>
      <c r="I133" s="50">
        <f>+Resumen!Z123</f>
        <v>-16368.956961660098</v>
      </c>
      <c r="J133" s="470">
        <v>-15019.143395237123</v>
      </c>
    </row>
    <row r="134" spans="2:10">
      <c r="B134" s="49" t="s">
        <v>60</v>
      </c>
      <c r="C134" s="50">
        <f>+Resumen!T124</f>
        <v>1333.7776556936205</v>
      </c>
      <c r="D134" s="50">
        <f>+Resumen!U124</f>
        <v>756.48162347142522</v>
      </c>
      <c r="E134" s="67">
        <f>+Resumen!W124</f>
        <v>0.17069957114431955</v>
      </c>
      <c r="F134" s="50">
        <f>+Resumen!AF124</f>
        <v>2090.4299787361902</v>
      </c>
      <c r="G134" s="50">
        <f>+Resumen!V124</f>
        <v>90.532354597874047</v>
      </c>
      <c r="H134" s="50">
        <f>+Resumen!Y124</f>
        <v>-176.33439954356274</v>
      </c>
      <c r="I134" s="50">
        <f>+Resumen!Z124</f>
        <v>2004.6279337904996</v>
      </c>
      <c r="J134" s="470">
        <v>2087.3852459252685</v>
      </c>
    </row>
    <row r="135" spans="2:10">
      <c r="B135" s="49" t="s">
        <v>61</v>
      </c>
      <c r="C135" s="50">
        <f>+Resumen!T125</f>
        <v>-479.29707054002944</v>
      </c>
      <c r="D135" s="50">
        <f>+Resumen!U125</f>
        <v>-417.61107302187645</v>
      </c>
      <c r="E135" s="67">
        <f>+Resumen!W125</f>
        <v>-5.0887920113060578E-2</v>
      </c>
      <c r="F135" s="50">
        <f>+Resumen!AF125</f>
        <v>-896.95903148201899</v>
      </c>
      <c r="G135" s="50">
        <f>+Resumen!V125</f>
        <v>-42.206400143837996</v>
      </c>
      <c r="H135" s="50">
        <f>+Resumen!Y125</f>
        <v>351.67476395045935</v>
      </c>
      <c r="I135" s="50">
        <f>+Resumen!Z125</f>
        <v>-587.49066767539898</v>
      </c>
      <c r="J135" s="470">
        <v>-673.25380865467457</v>
      </c>
    </row>
    <row r="136" spans="2:10">
      <c r="B136" s="49" t="s">
        <v>62</v>
      </c>
      <c r="C136" s="50">
        <f>+Resumen!T126</f>
        <v>-2317.6739664168094</v>
      </c>
      <c r="D136" s="50">
        <f>+Resumen!U126</f>
        <v>-2012.8798930603803</v>
      </c>
      <c r="E136" s="67">
        <f>+Resumen!W126</f>
        <v>-0.27087910852901886</v>
      </c>
      <c r="F136" s="50">
        <f>+Resumen!AF126</f>
        <v>-4330.8247385857185</v>
      </c>
      <c r="G136" s="50">
        <f>+Resumen!V126</f>
        <v>32.023498061125473</v>
      </c>
      <c r="H136" s="50">
        <f>+Resumen!Y126</f>
        <v>824.55157551646448</v>
      </c>
      <c r="I136" s="50">
        <f>+Resumen!Z126</f>
        <v>-3474.2496650081312</v>
      </c>
      <c r="J136" s="470">
        <v>-3919.5467438061037</v>
      </c>
    </row>
    <row r="137" spans="2:10">
      <c r="B137" s="49" t="s">
        <v>63</v>
      </c>
      <c r="C137" s="50">
        <f>+Resumen!T127</f>
        <v>5.7369721988265292</v>
      </c>
      <c r="D137" s="50">
        <f>+Resumen!U127</f>
        <v>-46.108865183807303</v>
      </c>
      <c r="E137" s="67">
        <f>+Resumen!W127</f>
        <v>-1.8768814908199597E-3</v>
      </c>
      <c r="F137" s="50">
        <f>+Resumen!AF127</f>
        <v>-40.373769866471598</v>
      </c>
      <c r="G137" s="50">
        <f>+Resumen!V127</f>
        <v>-4.2732364346830565</v>
      </c>
      <c r="H137" s="50">
        <f>+Resumen!Y127</f>
        <v>-22.753948996542508</v>
      </c>
      <c r="I137" s="50">
        <f>+Resumen!Z127</f>
        <v>-67.40095529769718</v>
      </c>
      <c r="J137" s="470">
        <v>-76.461198689518085</v>
      </c>
    </row>
    <row r="138" spans="2:10">
      <c r="B138" s="209" t="s">
        <v>64</v>
      </c>
      <c r="C138" s="59">
        <f>+Resumen!T128</f>
        <v>184.00341109800928</v>
      </c>
      <c r="D138" s="59">
        <f>+Resumen!U128</f>
        <v>84.969780324906253</v>
      </c>
      <c r="E138" s="68">
        <f>+Resumen!W128</f>
        <v>2.0157225321333138E-2</v>
      </c>
      <c r="F138" s="59">
        <f>+Resumen!AF128</f>
        <v>268.99334864823686</v>
      </c>
      <c r="G138" s="59">
        <f>+Resumen!V128</f>
        <v>55.814412746863439</v>
      </c>
      <c r="H138" s="59">
        <f>+Resumen!Y128</f>
        <v>107.59150306040992</v>
      </c>
      <c r="I138" s="59">
        <f>+Resumen!Z128</f>
        <v>432.39926445551021</v>
      </c>
      <c r="J138" s="471">
        <v>390.45836114457899</v>
      </c>
    </row>
    <row r="139" spans="2:10">
      <c r="B139" s="208"/>
      <c r="C139" s="64"/>
      <c r="D139" s="64"/>
      <c r="E139" s="268"/>
      <c r="F139" s="64"/>
      <c r="G139" s="64"/>
      <c r="H139" s="64"/>
      <c r="I139" s="64"/>
    </row>
    <row r="140" spans="2:10">
      <c r="B140" s="208"/>
      <c r="C140" s="64"/>
      <c r="D140" s="64"/>
      <c r="E140" s="268"/>
      <c r="F140" s="64"/>
      <c r="G140" s="64"/>
      <c r="H140" s="64"/>
      <c r="I140" s="64"/>
    </row>
    <row r="142" spans="2:10" ht="19.5" thickBot="1">
      <c r="B142" s="258" t="str">
        <f>"Cuadro 8b: Componentes del saldo relativo per cápita ligado a los ingresos tributarios, euros, ejercicio "&amp;(Resumen!C2)</f>
        <v>Cuadro 8b: Componentes del saldo relativo per cápita ligado a los ingresos tributarios, euros, ejercicio 2014</v>
      </c>
    </row>
    <row r="143" spans="2:10" s="273" customFormat="1" ht="27.75" thickBot="1">
      <c r="B143" s="272"/>
      <c r="C143" s="267" t="s">
        <v>501</v>
      </c>
      <c r="D143" s="267" t="s">
        <v>502</v>
      </c>
      <c r="E143" s="267" t="s">
        <v>503</v>
      </c>
      <c r="F143" s="267" t="s">
        <v>504</v>
      </c>
      <c r="G143" s="267" t="s">
        <v>505</v>
      </c>
      <c r="H143" s="267" t="s">
        <v>506</v>
      </c>
      <c r="I143" s="267" t="s">
        <v>507</v>
      </c>
      <c r="J143" s="269" t="str">
        <f>"Total ingresos tributarios, "&amp;(Resumen!C2-1)</f>
        <v>Total ingresos tributarios, 2013</v>
      </c>
    </row>
    <row r="144" spans="2:10">
      <c r="B144" s="49" t="s">
        <v>9</v>
      </c>
      <c r="C144" s="50">
        <f>+Resumen!T86</f>
        <v>991.39165142335059</v>
      </c>
      <c r="D144" s="50">
        <f>+Resumen!U86</f>
        <v>617.58529485428471</v>
      </c>
      <c r="E144" s="376">
        <f>+Resumen!W86</f>
        <v>0.11002968765512833</v>
      </c>
      <c r="F144" s="50">
        <f>+Resumen!AD86</f>
        <v>1609.0869759652905</v>
      </c>
      <c r="G144" s="50">
        <f>+Resumen!V86</f>
        <v>93.12465815296963</v>
      </c>
      <c r="H144" s="50">
        <f>+Resumen!Y86</f>
        <v>-64.587512146771871</v>
      </c>
      <c r="I144" s="50">
        <f>+Resumen!Z86</f>
        <v>1637.6241219714866</v>
      </c>
      <c r="J144" s="470">
        <v>1570.8504003666449</v>
      </c>
    </row>
    <row r="145" spans="2:10">
      <c r="B145" s="49" t="s">
        <v>10</v>
      </c>
      <c r="C145" s="50">
        <f>+Resumen!T87</f>
        <v>-190.60666420413327</v>
      </c>
      <c r="D145" s="50">
        <f>+Resumen!U87</f>
        <v>-231.58958033191311</v>
      </c>
      <c r="E145" s="376">
        <f>+Resumen!W87</f>
        <v>-1.185414430540277E-2</v>
      </c>
      <c r="F145" s="50">
        <f>+Resumen!AD87</f>
        <v>-422.20809868035178</v>
      </c>
      <c r="G145" s="50">
        <f>+Resumen!V87</f>
        <v>-24.336754385905806</v>
      </c>
      <c r="H145" s="50">
        <f>+Resumen!Y87</f>
        <v>-106.8096218860709</v>
      </c>
      <c r="I145" s="50">
        <f>+Resumen!Z87</f>
        <v>-553.35447495233166</v>
      </c>
      <c r="J145" s="470">
        <v>-528.37403908908072</v>
      </c>
    </row>
    <row r="146" spans="2:10">
      <c r="B146" s="49" t="s">
        <v>11</v>
      </c>
      <c r="C146" s="50">
        <f>+Resumen!T88</f>
        <v>-81.048151556160519</v>
      </c>
      <c r="D146" s="50">
        <f>+Resumen!U88</f>
        <v>-21.50309404656673</v>
      </c>
      <c r="E146" s="376">
        <f>+Resumen!W88</f>
        <v>-1.464843867199761E-2</v>
      </c>
      <c r="F146" s="50">
        <f>+Resumen!AD88</f>
        <v>-102.56589404139925</v>
      </c>
      <c r="G146" s="50">
        <f>+Resumen!V88</f>
        <v>38.98482383545479</v>
      </c>
      <c r="H146" s="50">
        <f>+Resumen!Y88</f>
        <v>-94.626857213059992</v>
      </c>
      <c r="I146" s="50">
        <f>+Resumen!Z88</f>
        <v>-158.20792741900732</v>
      </c>
      <c r="J146" s="470">
        <v>-307.97125577969564</v>
      </c>
    </row>
    <row r="147" spans="2:10">
      <c r="B147" s="49" t="s">
        <v>31</v>
      </c>
      <c r="C147" s="50">
        <f>+Resumen!T89</f>
        <v>-113.54332190290461</v>
      </c>
      <c r="D147" s="50">
        <f>+Resumen!U89</f>
        <v>-206.04000009011179</v>
      </c>
      <c r="E147" s="376">
        <f>+Resumen!W89</f>
        <v>-4.2463628526206776E-2</v>
      </c>
      <c r="F147" s="50">
        <f>+Resumen!AD89</f>
        <v>-319.6257856215426</v>
      </c>
      <c r="G147" s="50">
        <f>+Resumen!V89</f>
        <v>-165.51162857460986</v>
      </c>
      <c r="H147" s="50">
        <f>+Resumen!Y89</f>
        <v>-181.39280327165716</v>
      </c>
      <c r="I147" s="50">
        <f>+Resumen!Z89</f>
        <v>-666.53021746780905</v>
      </c>
      <c r="J147" s="470">
        <v>-472.61394177172588</v>
      </c>
    </row>
    <row r="148" spans="2:10">
      <c r="B148" s="49" t="s">
        <v>12</v>
      </c>
      <c r="C148" s="50">
        <f>+Resumen!T90</f>
        <v>994.97052541840412</v>
      </c>
      <c r="D148" s="50">
        <f>+Resumen!U90</f>
        <v>344.65981056872897</v>
      </c>
      <c r="E148" s="376">
        <f>+Resumen!W90</f>
        <v>0.10476679559485547</v>
      </c>
      <c r="F148" s="50">
        <f>+Resumen!AD90</f>
        <v>1339.7351027827281</v>
      </c>
      <c r="G148" s="50">
        <f>+Resumen!V90</f>
        <v>112.36222012795173</v>
      </c>
      <c r="H148" s="50">
        <f>+Resumen!Y90</f>
        <v>755.24373378459654</v>
      </c>
      <c r="I148" s="50">
        <f>+Resumen!Z90</f>
        <v>2207.3410566952762</v>
      </c>
      <c r="J148" s="470">
        <v>2135.2851339293939</v>
      </c>
    </row>
    <row r="149" spans="2:10">
      <c r="B149" s="49" t="s">
        <v>13</v>
      </c>
      <c r="C149" s="50">
        <f>+Resumen!T91</f>
        <v>-26.931094806517649</v>
      </c>
      <c r="D149" s="50">
        <f>+Resumen!U91</f>
        <v>-56.418942768747456</v>
      </c>
      <c r="E149" s="376">
        <f>+Resumen!W91</f>
        <v>-2.3086826453209142E-2</v>
      </c>
      <c r="F149" s="50">
        <f>+Resumen!AD91</f>
        <v>-83.373124401718314</v>
      </c>
      <c r="G149" s="50">
        <f>+Resumen!V91</f>
        <v>-39.340646121531449</v>
      </c>
      <c r="H149" s="50">
        <f>+Resumen!Y91</f>
        <v>-67.613177309600815</v>
      </c>
      <c r="I149" s="50">
        <f>+Resumen!Z91</f>
        <v>-190.32694783285297</v>
      </c>
      <c r="J149" s="470">
        <v>-358.84964808145469</v>
      </c>
    </row>
    <row r="150" spans="2:10">
      <c r="B150" s="49" t="s">
        <v>14</v>
      </c>
      <c r="C150" s="50">
        <f>+Resumen!T92</f>
        <v>273.57550684293119</v>
      </c>
      <c r="D150" s="50">
        <f>+Resumen!U92</f>
        <v>79.063964736943035</v>
      </c>
      <c r="E150" s="376">
        <f>+Resumen!W92</f>
        <v>3.021613639498355E-2</v>
      </c>
      <c r="F150" s="50">
        <f>+Resumen!AD92</f>
        <v>352.66968771626921</v>
      </c>
      <c r="G150" s="50">
        <f>+Resumen!V92</f>
        <v>36.95599302136236</v>
      </c>
      <c r="H150" s="50">
        <f>+Resumen!Y92</f>
        <v>-67.924085918576466</v>
      </c>
      <c r="I150" s="50">
        <f>+Resumen!Z92</f>
        <v>321.70159481905284</v>
      </c>
      <c r="J150" s="470">
        <v>246.06073793710129</v>
      </c>
    </row>
    <row r="151" spans="2:10">
      <c r="B151" s="49" t="s">
        <v>491</v>
      </c>
      <c r="C151" s="50">
        <f>+Resumen!T93</f>
        <v>924.57524770951704</v>
      </c>
      <c r="D151" s="50">
        <f>+Resumen!U93</f>
        <v>403.23406822410379</v>
      </c>
      <c r="E151" s="376">
        <f>+Resumen!W93</f>
        <v>0.11503614983666921</v>
      </c>
      <c r="F151" s="50">
        <f>+Resumen!AD93</f>
        <v>1327.9243520834575</v>
      </c>
      <c r="G151" s="50">
        <f>+Resumen!V93</f>
        <v>52.494388529292053</v>
      </c>
      <c r="H151" s="50">
        <f>+Resumen!Y93</f>
        <v>-13.71800834121967</v>
      </c>
      <c r="I151" s="50">
        <f>+Resumen!Z93</f>
        <v>1366.700732271529</v>
      </c>
      <c r="J151" s="470">
        <v>1339.0673221372781</v>
      </c>
    </row>
    <row r="152" spans="2:10">
      <c r="B152" s="49" t="s">
        <v>16</v>
      </c>
      <c r="C152" s="50">
        <f>+Resumen!T94</f>
        <v>-663.09577656035799</v>
      </c>
      <c r="D152" s="50">
        <f>+Resumen!U94</f>
        <v>-430.78150943832679</v>
      </c>
      <c r="E152" s="376">
        <f>+Resumen!W94</f>
        <v>-0.10326203011970847</v>
      </c>
      <c r="F152" s="50">
        <f>+Resumen!AD94</f>
        <v>-1093.9805480288046</v>
      </c>
      <c r="G152" s="50">
        <f>+Resumen!V94</f>
        <v>-126.13854858703735</v>
      </c>
      <c r="H152" s="50">
        <f>+Resumen!Y94</f>
        <v>-116.70471537689073</v>
      </c>
      <c r="I152" s="50">
        <f>+Resumen!Z94</f>
        <v>-1336.8238119927337</v>
      </c>
      <c r="J152" s="470">
        <v>-1361.1028574647926</v>
      </c>
    </row>
    <row r="153" spans="2:10">
      <c r="B153" s="49" t="s">
        <v>17</v>
      </c>
      <c r="C153" s="50">
        <f>+Resumen!T95</f>
        <v>514.48648506978043</v>
      </c>
      <c r="D153" s="50">
        <f>+Resumen!U95</f>
        <v>351.53005703084364</v>
      </c>
      <c r="E153" s="376">
        <f>+Resumen!W95</f>
        <v>3.1331305786352459E-2</v>
      </c>
      <c r="F153" s="50">
        <f>+Resumen!AD95</f>
        <v>866.04787340641042</v>
      </c>
      <c r="G153" s="50">
        <f>+Resumen!V95</f>
        <v>24.916926645611568</v>
      </c>
      <c r="H153" s="50">
        <f>+Resumen!Y95</f>
        <v>-102.77307803351222</v>
      </c>
      <c r="I153" s="50">
        <f>+Resumen!Z95</f>
        <v>788.19172201850961</v>
      </c>
      <c r="J153" s="470">
        <v>874.25258925818707</v>
      </c>
    </row>
    <row r="154" spans="2:10">
      <c r="B154" s="49" t="s">
        <v>18</v>
      </c>
      <c r="C154" s="50">
        <f>+Resumen!T96</f>
        <v>1253.7794799082649</v>
      </c>
      <c r="D154" s="50">
        <f>+Resumen!U96</f>
        <v>682.16200066708575</v>
      </c>
      <c r="E154" s="376">
        <f>+Resumen!W96</f>
        <v>0.14450477327238787</v>
      </c>
      <c r="F154" s="50">
        <f>+Resumen!AD96</f>
        <v>1936.0859853486231</v>
      </c>
      <c r="G154" s="50">
        <f>+Resumen!V96</f>
        <v>164.67482129647601</v>
      </c>
      <c r="H154" s="50">
        <f>+Resumen!Y96</f>
        <v>-152.42335217026246</v>
      </c>
      <c r="I154" s="50">
        <f>+Resumen!Z96</f>
        <v>1948.3374544748358</v>
      </c>
      <c r="J154" s="470">
        <v>1715.8083125506209</v>
      </c>
    </row>
    <row r="155" spans="2:10">
      <c r="B155" s="49" t="s">
        <v>19</v>
      </c>
      <c r="C155" s="50">
        <f>+Resumen!T97</f>
        <v>391.47314501949904</v>
      </c>
      <c r="D155" s="50">
        <f>+Resumen!U97</f>
        <v>211.92876837028962</v>
      </c>
      <c r="E155" s="376">
        <f>+Resumen!W97</f>
        <v>3.9613121610159396E-2</v>
      </c>
      <c r="F155" s="50">
        <f>+Resumen!AD97</f>
        <v>603.44152651139882</v>
      </c>
      <c r="G155" s="50">
        <f>+Resumen!V97</f>
        <v>135.74818683173004</v>
      </c>
      <c r="H155" s="50">
        <f>+Resumen!Y97</f>
        <v>-98.673435956935052</v>
      </c>
      <c r="I155" s="50">
        <f>+Resumen!Z97</f>
        <v>640.51627738619391</v>
      </c>
      <c r="J155" s="470">
        <v>642.19219210656138</v>
      </c>
    </row>
    <row r="156" spans="2:10">
      <c r="B156" s="49" t="s">
        <v>20</v>
      </c>
      <c r="C156" s="50">
        <f>+Resumen!T98</f>
        <v>-1752.2290210043266</v>
      </c>
      <c r="D156" s="50">
        <f>+Resumen!U98</f>
        <v>-708.37372341569198</v>
      </c>
      <c r="E156" s="376">
        <f>+Resumen!W98</f>
        <v>-0.13665434235633711</v>
      </c>
      <c r="F156" s="50">
        <f>+Resumen!AD98</f>
        <v>-2460.739398762375</v>
      </c>
      <c r="G156" s="50">
        <f>+Resumen!V98</f>
        <v>-137.03131017225644</v>
      </c>
      <c r="H156" s="50">
        <f>+Resumen!Y98</f>
        <v>58.262005379791759</v>
      </c>
      <c r="I156" s="50">
        <f>+Resumen!Z98</f>
        <v>-2539.5087035548404</v>
      </c>
      <c r="J156" s="470">
        <v>-2319.5604375689718</v>
      </c>
    </row>
    <row r="157" spans="2:10">
      <c r="B157" s="49" t="s">
        <v>60</v>
      </c>
      <c r="C157" s="50">
        <f>+Resumen!T99</f>
        <v>909.15437662689783</v>
      </c>
      <c r="D157" s="50">
        <f>+Resumen!U99</f>
        <v>515.64709896058639</v>
      </c>
      <c r="E157" s="376">
        <f>+Resumen!W99</f>
        <v>0.11635542215879013</v>
      </c>
      <c r="F157" s="50">
        <f>+Resumen!AD99</f>
        <v>1424.9178310096431</v>
      </c>
      <c r="G157" s="50">
        <f>+Resumen!V99</f>
        <v>61.710350340358559</v>
      </c>
      <c r="H157" s="50">
        <f>+Resumen!Y99</f>
        <v>-120.19633888043768</v>
      </c>
      <c r="I157" s="50">
        <f>+Resumen!Z99</f>
        <v>1366.431842469563</v>
      </c>
      <c r="J157" s="470">
        <v>1420.537401607673</v>
      </c>
    </row>
    <row r="158" spans="2:10">
      <c r="B158" s="49" t="s">
        <v>61</v>
      </c>
      <c r="C158" s="50">
        <f>+Resumen!T100</f>
        <v>-748.16169404328139</v>
      </c>
      <c r="D158" s="50">
        <f>+Resumen!U100</f>
        <v>-651.87255889390099</v>
      </c>
      <c r="E158" s="376">
        <f>+Resumen!W100</f>
        <v>-7.9433810173782149E-2</v>
      </c>
      <c r="F158" s="50">
        <f>+Resumen!AD100</f>
        <v>-1400.113686747356</v>
      </c>
      <c r="G158" s="50">
        <f>+Resumen!V100</f>
        <v>-65.882338474349581</v>
      </c>
      <c r="H158" s="50">
        <f>+Resumen!Y100</f>
        <v>548.94887392697433</v>
      </c>
      <c r="I158" s="50">
        <f>+Resumen!Z100</f>
        <v>-917.04715129473334</v>
      </c>
      <c r="J158" s="470">
        <v>-1047.648167508657</v>
      </c>
    </row>
    <row r="159" spans="2:10">
      <c r="B159" s="49" t="s">
        <v>62</v>
      </c>
      <c r="C159" s="50">
        <f>+Resumen!T101</f>
        <v>-1058.7235545302474</v>
      </c>
      <c r="D159" s="50">
        <f>+Resumen!U101</f>
        <v>-919.4922953369778</v>
      </c>
      <c r="E159" s="376">
        <f>+Resumen!W101</f>
        <v>-0.12373875565992876</v>
      </c>
      <c r="F159" s="50">
        <f>+Resumen!AD101</f>
        <v>-1978.339588622885</v>
      </c>
      <c r="G159" s="50">
        <f>+Resumen!V101</f>
        <v>14.628473282712775</v>
      </c>
      <c r="H159" s="50">
        <f>+Resumen!Y101</f>
        <v>376.65874819914683</v>
      </c>
      <c r="I159" s="50">
        <f>+Resumen!Z101</f>
        <v>-1587.0523671410265</v>
      </c>
      <c r="J159" s="470">
        <v>-1789.4748648121868</v>
      </c>
    </row>
    <row r="160" spans="2:10">
      <c r="B160" s="208" t="s">
        <v>63</v>
      </c>
      <c r="C160" s="64">
        <f>+Resumen!T102</f>
        <v>18.039233081499333</v>
      </c>
      <c r="D160" s="64">
        <f>+Resumen!U102</f>
        <v>-144.98389348030378</v>
      </c>
      <c r="E160" s="377">
        <f>+Resumen!W102</f>
        <v>-5.901632691575287E-3</v>
      </c>
      <c r="F160" s="64">
        <f>+Resumen!AD102</f>
        <v>-126.95056203149602</v>
      </c>
      <c r="G160" s="64">
        <f>+Resumen!V102</f>
        <v>-13.436688445757227</v>
      </c>
      <c r="H160" s="64">
        <f>+Resumen!Y102</f>
        <v>-71.547111481059062</v>
      </c>
      <c r="I160" s="64">
        <f>+Resumen!Z102</f>
        <v>-211.93436195831237</v>
      </c>
      <c r="J160" s="472">
        <v>-238.55768986900148</v>
      </c>
    </row>
    <row r="161" spans="2:10" ht="13.5" thickBot="1">
      <c r="B161" s="54" t="s">
        <v>64</v>
      </c>
      <c r="C161" s="251">
        <f>+Resumen!T103</f>
        <v>1084.5452868717007</v>
      </c>
      <c r="D161" s="251">
        <f>+Resumen!U103</f>
        <v>500.82536094298439</v>
      </c>
      <c r="E161" s="378">
        <f>+Resumen!W103</f>
        <v>0.11880988286145566</v>
      </c>
      <c r="F161" s="251">
        <f>+Resumen!AD103</f>
        <v>1585.4894576975466</v>
      </c>
      <c r="G161" s="251">
        <f>+Resumen!V103</f>
        <v>328.97900056798142</v>
      </c>
      <c r="H161" s="251">
        <f>+Resumen!Y103</f>
        <v>634.1613824183728</v>
      </c>
      <c r="I161" s="251">
        <f>+Resumen!Z103</f>
        <v>2548.6298406839005</v>
      </c>
      <c r="J161" s="473">
        <v>2314.9865333727348</v>
      </c>
    </row>
    <row r="162" spans="2:10">
      <c r="B162" s="208"/>
      <c r="C162" s="64"/>
      <c r="D162" s="64"/>
      <c r="E162" s="64"/>
      <c r="F162" s="64"/>
      <c r="G162" s="64"/>
      <c r="H162" s="64"/>
      <c r="I162" s="64"/>
    </row>
    <row r="163" spans="2:10">
      <c r="B163" s="208"/>
      <c r="C163" s="64"/>
      <c r="D163" s="64"/>
      <c r="E163" s="64"/>
      <c r="F163" s="64"/>
      <c r="G163" s="64"/>
      <c r="H163" s="64"/>
      <c r="I163" s="64"/>
    </row>
    <row r="165" spans="2:10" ht="18.75">
      <c r="B165" s="258" t="str">
        <f>"Cuadro 9a: Componentes del saldo relativo total ligado al gasto público, millones de euros, ejercicio "&amp; (Resumen!C2)</f>
        <v>Cuadro 9a: Componentes del saldo relativo total ligado al gasto público, millones de euros, ejercicio 2014</v>
      </c>
    </row>
    <row r="166" spans="2:10" ht="43.5" customHeight="1" thickBot="1">
      <c r="B166" s="270"/>
      <c r="C166" s="274" t="s">
        <v>1010</v>
      </c>
      <c r="D166" s="257" t="s">
        <v>508</v>
      </c>
      <c r="E166" s="257" t="s">
        <v>509</v>
      </c>
      <c r="F166" s="257" t="s">
        <v>510</v>
      </c>
      <c r="G166" s="257" t="s">
        <v>511</v>
      </c>
      <c r="H166" s="257" t="s">
        <v>512</v>
      </c>
      <c r="I166" s="257" t="s">
        <v>513</v>
      </c>
      <c r="J166" s="255" t="str">
        <f>"Total gasto "&amp;(Resumen!C2-1)</f>
        <v>Total gasto 2013</v>
      </c>
    </row>
    <row r="167" spans="2:10">
      <c r="B167" s="82" t="s">
        <v>9</v>
      </c>
      <c r="C167" s="69">
        <f>+Resumen!I111</f>
        <v>-3237.5802482847821</v>
      </c>
      <c r="D167" s="69">
        <f>+Resumen!J111</f>
        <v>-4294.9079162094513</v>
      </c>
      <c r="E167" s="69">
        <f>+Resumen!K111</f>
        <v>1277.6523238241946</v>
      </c>
      <c r="F167" s="69">
        <f>+Resumen!L111</f>
        <v>-132.30201016598403</v>
      </c>
      <c r="G167" s="69">
        <f>+Resumen!M111</f>
        <v>-6387.1378508360049</v>
      </c>
      <c r="H167" s="69">
        <f>+Resumen!N111</f>
        <v>319.28537415874746</v>
      </c>
      <c r="I167" s="69">
        <f>+Resumen!O111</f>
        <v>-6067.8524766772798</v>
      </c>
      <c r="J167" s="474">
        <v>-6684.3479618243928</v>
      </c>
    </row>
    <row r="168" spans="2:10">
      <c r="B168" s="208" t="s">
        <v>10</v>
      </c>
      <c r="C168" s="69">
        <f>+Resumen!I112</f>
        <v>420.41607647263089</v>
      </c>
      <c r="D168" s="69">
        <f>+Resumen!J112</f>
        <v>588.59324553550061</v>
      </c>
      <c r="E168" s="69">
        <f>+Resumen!K112</f>
        <v>340.44262976557474</v>
      </c>
      <c r="F168" s="69">
        <f>+Resumen!L112</f>
        <v>142.56415982125412</v>
      </c>
      <c r="G168" s="69">
        <f>+Resumen!M112</f>
        <v>1492.0161115949625</v>
      </c>
      <c r="H168" s="69">
        <f>+Resumen!N112</f>
        <v>83.240904787700529</v>
      </c>
      <c r="I168" s="69">
        <f>+Resumen!O112</f>
        <v>1575.2570163826613</v>
      </c>
      <c r="J168" s="474">
        <v>1517.0941626623805</v>
      </c>
    </row>
    <row r="169" spans="2:10">
      <c r="B169" s="208" t="s">
        <v>11</v>
      </c>
      <c r="C169" s="69">
        <f>+Resumen!I113</f>
        <v>126.14143000743054</v>
      </c>
      <c r="D169" s="69">
        <f>+Resumen!J113</f>
        <v>1844.7120607201707</v>
      </c>
      <c r="E169" s="69">
        <f>+Resumen!K113</f>
        <v>-41.647067699934013</v>
      </c>
      <c r="F169" s="69">
        <f>+Resumen!L113</f>
        <v>275.04547352259237</v>
      </c>
      <c r="G169" s="69">
        <f>+Resumen!M113</f>
        <v>2204.2518965502577</v>
      </c>
      <c r="H169" s="69">
        <f>+Resumen!N113</f>
        <v>61.326965543592678</v>
      </c>
      <c r="I169" s="69">
        <f>+Resumen!O113</f>
        <v>2265.5788620938488</v>
      </c>
      <c r="J169" s="474">
        <v>2386.2471029521903</v>
      </c>
    </row>
    <row r="170" spans="2:10">
      <c r="B170" s="208" t="s">
        <v>31</v>
      </c>
      <c r="C170" s="69">
        <f>+Resumen!I114</f>
        <v>123.54960777351407</v>
      </c>
      <c r="D170" s="69">
        <f>+Resumen!J114</f>
        <v>-750.11195110969697</v>
      </c>
      <c r="E170" s="69">
        <f>+Resumen!K114</f>
        <v>-160.27214170285515</v>
      </c>
      <c r="F170" s="69">
        <f>+Resumen!L114</f>
        <v>-154.15477694155908</v>
      </c>
      <c r="G170" s="69">
        <f>+Resumen!M114</f>
        <v>-940.98926198059746</v>
      </c>
      <c r="H170" s="69">
        <f>+Resumen!N114</f>
        <v>160.91412703252965</v>
      </c>
      <c r="I170" s="69">
        <f>+Resumen!O114</f>
        <v>-780.07513494806938</v>
      </c>
      <c r="J170" s="474">
        <v>-1006.1754220895135</v>
      </c>
    </row>
    <row r="171" spans="2:10">
      <c r="B171" s="208" t="s">
        <v>12</v>
      </c>
      <c r="C171" s="69">
        <f>+Resumen!I115</f>
        <v>1412.6482618294115</v>
      </c>
      <c r="D171" s="69">
        <f>+Resumen!J115</f>
        <v>-1797.9653951252255</v>
      </c>
      <c r="E171" s="69">
        <f>+Resumen!K115</f>
        <v>-140.48316445426315</v>
      </c>
      <c r="F171" s="69">
        <f>+Resumen!L115</f>
        <v>147.87311605688652</v>
      </c>
      <c r="G171" s="69">
        <f>+Resumen!M115</f>
        <v>-377.92718169318738</v>
      </c>
      <c r="H171" s="69">
        <f>+Resumen!N115</f>
        <v>30.308279698710503</v>
      </c>
      <c r="I171" s="69">
        <f>+Resumen!O115</f>
        <v>-347.61890199448197</v>
      </c>
      <c r="J171" s="474">
        <v>-891.82759855465235</v>
      </c>
    </row>
    <row r="172" spans="2:10">
      <c r="B172" s="208" t="s">
        <v>13</v>
      </c>
      <c r="C172" s="69">
        <f>+Resumen!I116</f>
        <v>212.8853739578951</v>
      </c>
      <c r="D172" s="69">
        <f>+Resumen!J116</f>
        <v>319.6924435405594</v>
      </c>
      <c r="E172" s="69">
        <f>+Resumen!K116</f>
        <v>-2.3194711351696706</v>
      </c>
      <c r="F172" s="69">
        <f>+Resumen!L116</f>
        <v>77.934816815192391</v>
      </c>
      <c r="G172" s="69">
        <f>+Resumen!M116</f>
        <v>608.19316317847858</v>
      </c>
      <c r="H172" s="69">
        <f>+Resumen!N116</f>
        <v>19.076184933307466</v>
      </c>
      <c r="I172" s="69">
        <f>+Resumen!O116</f>
        <v>627.26934811178501</v>
      </c>
      <c r="J172" s="474">
        <v>682.8810830763166</v>
      </c>
    </row>
    <row r="173" spans="2:10">
      <c r="B173" s="208" t="s">
        <v>14</v>
      </c>
      <c r="C173" s="69">
        <f>+Resumen!I117</f>
        <v>952.06682900542671</v>
      </c>
      <c r="D173" s="69">
        <f>+Resumen!J117</f>
        <v>1430.3810321316971</v>
      </c>
      <c r="E173" s="69">
        <f>+Resumen!K117</f>
        <v>627.06689069459253</v>
      </c>
      <c r="F173" s="69">
        <f>+Resumen!L117</f>
        <v>395.41273003255321</v>
      </c>
      <c r="G173" s="69">
        <f>+Resumen!M117</f>
        <v>3404.9274818642743</v>
      </c>
      <c r="H173" s="69">
        <f>+Resumen!N117</f>
        <v>76.230666869832802</v>
      </c>
      <c r="I173" s="69">
        <f>+Resumen!O117</f>
        <v>3481.1581487341023</v>
      </c>
      <c r="J173" s="474">
        <v>4123.7412619639799</v>
      </c>
    </row>
    <row r="174" spans="2:10">
      <c r="B174" s="208" t="s">
        <v>514</v>
      </c>
      <c r="C174" s="69">
        <f>+Resumen!I118</f>
        <v>-356.25117584217168</v>
      </c>
      <c r="D174" s="69">
        <f>+Resumen!J118</f>
        <v>-1050.3608285208313</v>
      </c>
      <c r="E174" s="69">
        <f>+Resumen!K118</f>
        <v>294.92552440396219</v>
      </c>
      <c r="F174" s="69">
        <f>+Resumen!L118</f>
        <v>-33.191191070635192</v>
      </c>
      <c r="G174" s="69">
        <f>+Resumen!M118</f>
        <v>-1144.8776710296736</v>
      </c>
      <c r="H174" s="69">
        <f>+Resumen!N118</f>
        <v>-49.016786966088198</v>
      </c>
      <c r="I174" s="69">
        <f>+Resumen!O118</f>
        <v>-1193.8944579957624</v>
      </c>
      <c r="J174" s="474">
        <v>-237.57831429779796</v>
      </c>
    </row>
    <row r="175" spans="2:10">
      <c r="B175" s="208" t="s">
        <v>16</v>
      </c>
      <c r="C175" s="69">
        <f>+Resumen!I119</f>
        <v>-1567.8044359057485</v>
      </c>
      <c r="D175" s="69">
        <f>+Resumen!J119</f>
        <v>2043.5738779484286</v>
      </c>
      <c r="E175" s="69">
        <f>+Resumen!K119</f>
        <v>-803.80368716347812</v>
      </c>
      <c r="F175" s="69">
        <f>+Resumen!L119</f>
        <v>-143.10706957098694</v>
      </c>
      <c r="G175" s="69">
        <f>+Resumen!M119</f>
        <v>-471.14131469177465</v>
      </c>
      <c r="H175" s="69">
        <f>+Resumen!N119</f>
        <v>623.05342001311794</v>
      </c>
      <c r="I175" s="69">
        <f>+Resumen!O119</f>
        <v>151.91210532132646</v>
      </c>
      <c r="J175" s="474">
        <v>930.12458939050566</v>
      </c>
    </row>
    <row r="176" spans="2:10">
      <c r="B176" s="208" t="s">
        <v>17</v>
      </c>
      <c r="C176" s="69">
        <f>+Resumen!I120</f>
        <v>-3231.5815726157807</v>
      </c>
      <c r="D176" s="69">
        <f>+Resumen!J120</f>
        <v>-1811.021630845406</v>
      </c>
      <c r="E176" s="69">
        <f>+Resumen!K120</f>
        <v>-628.82478989928086</v>
      </c>
      <c r="F176" s="69">
        <f>+Resumen!L120</f>
        <v>-369.70164895640289</v>
      </c>
      <c r="G176" s="69">
        <f>+Resumen!M120</f>
        <v>-6041.1296423168642</v>
      </c>
      <c r="H176" s="69">
        <f>+Resumen!N120</f>
        <v>371.23432870736491</v>
      </c>
      <c r="I176" s="69">
        <f>+Resumen!O120</f>
        <v>-5669.895313609507</v>
      </c>
      <c r="J176" s="474">
        <v>-5955.8559785035886</v>
      </c>
    </row>
    <row r="177" spans="2:10">
      <c r="B177" s="208" t="s">
        <v>18</v>
      </c>
      <c r="C177" s="69">
        <f>+Resumen!I121</f>
        <v>268.91014500945352</v>
      </c>
      <c r="D177" s="69">
        <f>+Resumen!J121</f>
        <v>-346.51353976200716</v>
      </c>
      <c r="E177" s="69">
        <f>+Resumen!K121</f>
        <v>516.80683043740009</v>
      </c>
      <c r="F177" s="69">
        <f>+Resumen!L121</f>
        <v>123.98458986163492</v>
      </c>
      <c r="G177" s="69">
        <f>+Resumen!M121</f>
        <v>563.18802554648369</v>
      </c>
      <c r="H177" s="69">
        <f>+Resumen!N121</f>
        <v>127.5471991580427</v>
      </c>
      <c r="I177" s="69">
        <f>+Resumen!O121</f>
        <v>690.73522470452508</v>
      </c>
      <c r="J177" s="474">
        <v>941.50233210913291</v>
      </c>
    </row>
    <row r="178" spans="2:10">
      <c r="B178" s="208" t="s">
        <v>19</v>
      </c>
      <c r="C178" s="69">
        <f>+Resumen!I122</f>
        <v>175.14919227844493</v>
      </c>
      <c r="D178" s="69">
        <f>+Resumen!J122</f>
        <v>1311.4033445597404</v>
      </c>
      <c r="E178" s="69">
        <f>+Resumen!K122</f>
        <v>-69.326377804078732</v>
      </c>
      <c r="F178" s="69">
        <f>+Resumen!L122</f>
        <v>352.61078746327144</v>
      </c>
      <c r="G178" s="69">
        <f>+Resumen!M122</f>
        <v>1769.8369464973812</v>
      </c>
      <c r="H178" s="69">
        <f>+Resumen!N122</f>
        <v>166.61397401516467</v>
      </c>
      <c r="I178" s="69">
        <f>+Resumen!O122</f>
        <v>1936.4509205125396</v>
      </c>
      <c r="J178" s="474">
        <v>1929.948117271324</v>
      </c>
    </row>
    <row r="179" spans="2:10">
      <c r="B179" s="208" t="s">
        <v>20</v>
      </c>
      <c r="C179" s="69">
        <f>+Resumen!I123</f>
        <v>-1548.5369624046064</v>
      </c>
      <c r="D179" s="69">
        <f>+Resumen!J123</f>
        <v>993.40591247180373</v>
      </c>
      <c r="E179" s="69">
        <f>+Resumen!K123</f>
        <v>-1028.6076892715432</v>
      </c>
      <c r="F179" s="69">
        <f>+Resumen!L123</f>
        <v>-556.3579890215226</v>
      </c>
      <c r="G179" s="69">
        <f>+Resumen!M123</f>
        <v>-2140.096728225853</v>
      </c>
      <c r="H179" s="69">
        <f>+Resumen!N123</f>
        <v>-695.65037089887358</v>
      </c>
      <c r="I179" s="69">
        <f>+Resumen!O123</f>
        <v>-2835.7470991247328</v>
      </c>
      <c r="J179" s="474">
        <v>-3002.2350275815884</v>
      </c>
    </row>
    <row r="180" spans="2:10">
      <c r="B180" s="208" t="s">
        <v>60</v>
      </c>
      <c r="C180" s="69">
        <f>+Resumen!I124</f>
        <v>-868.13215591528581</v>
      </c>
      <c r="D180" s="69">
        <f>+Resumen!J124</f>
        <v>-926.68103949853662</v>
      </c>
      <c r="E180" s="69">
        <f>+Resumen!K124</f>
        <v>-113.30719890626206</v>
      </c>
      <c r="F180" s="69">
        <f>+Resumen!L124</f>
        <v>-111.58123336972187</v>
      </c>
      <c r="G180" s="69">
        <f>+Resumen!M124</f>
        <v>-2019.7016276898059</v>
      </c>
      <c r="H180" s="69">
        <f>+Resumen!N124</f>
        <v>122.70657305821402</v>
      </c>
      <c r="I180" s="69">
        <f>+Resumen!O124</f>
        <v>-1896.9950546315947</v>
      </c>
      <c r="J180" s="474">
        <v>-1883.4660888387812</v>
      </c>
    </row>
    <row r="181" spans="2:10">
      <c r="B181" s="208" t="s">
        <v>61</v>
      </c>
      <c r="C181" s="69">
        <f>+Resumen!I125</f>
        <v>1017.4930740576774</v>
      </c>
      <c r="D181" s="69">
        <f>+Resumen!J125</f>
        <v>192.34057820051601</v>
      </c>
      <c r="E181" s="69">
        <f>+Resumen!K125</f>
        <v>48.026217217204412</v>
      </c>
      <c r="F181" s="69">
        <f>+Resumen!L125</f>
        <v>-98.942201441594989</v>
      </c>
      <c r="G181" s="69">
        <f>+Resumen!M125</f>
        <v>1158.9176680338048</v>
      </c>
      <c r="H181" s="69">
        <f>+Resumen!N125</f>
        <v>-456.60190442461015</v>
      </c>
      <c r="I181" s="69">
        <f>+Resumen!O125</f>
        <v>702.31576360919371</v>
      </c>
      <c r="J181" s="474">
        <v>551.98112416877052</v>
      </c>
    </row>
    <row r="182" spans="2:10">
      <c r="B182" s="208" t="s">
        <v>62</v>
      </c>
      <c r="C182" s="69">
        <f>+Resumen!I126</f>
        <v>5564.4202784795807</v>
      </c>
      <c r="D182" s="69">
        <f>+Resumen!J126</f>
        <v>2438.536168680344</v>
      </c>
      <c r="E182" s="69">
        <f>+Resumen!K126</f>
        <v>-149.19892525456669</v>
      </c>
      <c r="F182" s="69">
        <f>+Resumen!L126</f>
        <v>-28.584014175376023</v>
      </c>
      <c r="G182" s="69">
        <f>+Resumen!M126</f>
        <v>7825.1735077299854</v>
      </c>
      <c r="H182" s="69">
        <f>+Resumen!N126</f>
        <v>-963.45884693615233</v>
      </c>
      <c r="I182" s="69">
        <f>+Resumen!O126</f>
        <v>6861.714660793823</v>
      </c>
      <c r="J182" s="474">
        <v>6133.3560110365361</v>
      </c>
    </row>
    <row r="183" spans="2:10">
      <c r="B183" s="208" t="s">
        <v>63</v>
      </c>
      <c r="C183" s="69">
        <f>+Resumen!I127</f>
        <v>82.73416558154905</v>
      </c>
      <c r="D183" s="69">
        <f>+Resumen!J127</f>
        <v>0.15477700459218138</v>
      </c>
      <c r="E183" s="69">
        <f>+Resumen!K127</f>
        <v>-4.6328632685957025</v>
      </c>
      <c r="F183" s="69">
        <f>+Resumen!L127</f>
        <v>21.997088288268163</v>
      </c>
      <c r="G183" s="69">
        <f>+Resumen!M127</f>
        <v>100.25316760581411</v>
      </c>
      <c r="H183" s="69">
        <f>+Resumen!N127</f>
        <v>8.9508335826545942</v>
      </c>
      <c r="I183" s="69">
        <f>+Resumen!O127</f>
        <v>109.20400118846815</v>
      </c>
      <c r="J183" s="474">
        <v>157.87732503916772</v>
      </c>
    </row>
    <row r="184" spans="2:10" ht="13.5" thickBot="1">
      <c r="B184" s="54" t="s">
        <v>64</v>
      </c>
      <c r="C184" s="271">
        <f>+Resumen!I128</f>
        <v>453.47211651533667</v>
      </c>
      <c r="D184" s="271">
        <f>+Resumen!J128</f>
        <v>-185.23113972221381</v>
      </c>
      <c r="E184" s="271">
        <f>+Resumen!K128</f>
        <v>37.502960217096614</v>
      </c>
      <c r="F184" s="271">
        <f>+Resumen!L128</f>
        <v>90.499372852127323</v>
      </c>
      <c r="G184" s="271">
        <f>+Resumen!M128</f>
        <v>396.2433098623473</v>
      </c>
      <c r="H184" s="271">
        <f>+Resumen!N128</f>
        <v>-5.7609223332559241</v>
      </c>
      <c r="I184" s="271">
        <f>+Resumen!O128</f>
        <v>390.48238752909106</v>
      </c>
      <c r="J184" s="475">
        <v>306.73328202007542</v>
      </c>
    </row>
    <row r="185" spans="2:10">
      <c r="B185" s="208"/>
      <c r="C185" s="69"/>
      <c r="D185" s="69"/>
      <c r="E185" s="69"/>
      <c r="F185" s="69"/>
      <c r="G185" s="69"/>
      <c r="H185" s="69"/>
      <c r="I185" s="69"/>
    </row>
    <row r="186" spans="2:10">
      <c r="B186" s="208"/>
      <c r="C186" s="69"/>
      <c r="D186" s="69"/>
      <c r="E186" s="69"/>
      <c r="F186" s="69"/>
      <c r="G186" s="69"/>
      <c r="H186" s="69"/>
      <c r="I186" s="69"/>
    </row>
    <row r="188" spans="2:10" ht="18.75">
      <c r="B188" s="258" t="str">
        <f>"Cuadro 9b: Componentes del saldo relativo per cápita ligado al gasto público, euros, ejercicio "&amp; (Resumen!C2)</f>
        <v>Cuadro 9b: Componentes del saldo relativo per cápita ligado al gasto público, euros, ejercicio 2014</v>
      </c>
    </row>
    <row r="189" spans="2:10" s="273" customFormat="1" ht="27.75" thickBot="1">
      <c r="B189" s="275"/>
      <c r="C189" s="274" t="s">
        <v>1010</v>
      </c>
      <c r="D189" s="257" t="s">
        <v>508</v>
      </c>
      <c r="E189" s="257" t="s">
        <v>509</v>
      </c>
      <c r="F189" s="257" t="s">
        <v>510</v>
      </c>
      <c r="G189" s="257" t="s">
        <v>511</v>
      </c>
      <c r="H189" s="257" t="s">
        <v>512</v>
      </c>
      <c r="I189" s="257" t="s">
        <v>513</v>
      </c>
      <c r="J189" s="255" t="str">
        <f>"Total gasto "&amp;(Resumen!C2-1)</f>
        <v>Total gasto 2013</v>
      </c>
    </row>
    <row r="190" spans="2:10">
      <c r="B190" s="82" t="s">
        <v>9</v>
      </c>
      <c r="C190" s="69">
        <f>+Resumen!I86</f>
        <v>-385.39529664938573</v>
      </c>
      <c r="D190" s="69">
        <f>+Resumen!J86</f>
        <v>-511.25753912239088</v>
      </c>
      <c r="E190" s="69">
        <f>+Resumen!K86</f>
        <v>152.08926376909693</v>
      </c>
      <c r="F190" s="69">
        <f>+Resumen!L86</f>
        <v>-15.748975637667172</v>
      </c>
      <c r="G190" s="69">
        <f>+Resumen!M86</f>
        <v>-760.31254764034475</v>
      </c>
      <c r="H190" s="69">
        <f>+Resumen!N86</f>
        <v>38.007113971896473</v>
      </c>
      <c r="I190" s="69">
        <f>+Resumen!O86</f>
        <v>-722.30543366845086</v>
      </c>
      <c r="J190" s="474">
        <v>-793.7427686304336</v>
      </c>
    </row>
    <row r="191" spans="2:10">
      <c r="B191" s="208" t="s">
        <v>10</v>
      </c>
      <c r="C191" s="69">
        <f>+Resumen!I87</f>
        <v>318.10758682751339</v>
      </c>
      <c r="D191" s="69">
        <f>+Resumen!J87</f>
        <v>445.3587468186679</v>
      </c>
      <c r="E191" s="69">
        <f>+Resumen!K87</f>
        <v>257.59572354267408</v>
      </c>
      <c r="F191" s="69">
        <f>+Resumen!L87</f>
        <v>107.87109101376961</v>
      </c>
      <c r="G191" s="69">
        <f>+Resumen!M87</f>
        <v>1128.9331482026264</v>
      </c>
      <c r="H191" s="69">
        <f>+Resumen!N87</f>
        <v>62.984183596218969</v>
      </c>
      <c r="I191" s="69">
        <f>+Resumen!O87</f>
        <v>1191.9173317988443</v>
      </c>
      <c r="J191" s="474">
        <v>1135.3222035725485</v>
      </c>
    </row>
    <row r="192" spans="2:10">
      <c r="B192" s="208" t="s">
        <v>11</v>
      </c>
      <c r="C192" s="69">
        <f>+Resumen!I88</f>
        <v>119.39642733614346</v>
      </c>
      <c r="D192" s="69">
        <f>+Resumen!J88</f>
        <v>1746.0720835407451</v>
      </c>
      <c r="E192" s="69">
        <f>+Resumen!K88</f>
        <v>-39.420126219480039</v>
      </c>
      <c r="F192" s="69">
        <f>+Resumen!L88</f>
        <v>260.33831146230796</v>
      </c>
      <c r="G192" s="69">
        <f>+Resumen!M88</f>
        <v>2086.3866961197145</v>
      </c>
      <c r="H192" s="69">
        <f>+Resumen!N88</f>
        <v>58.047705538461159</v>
      </c>
      <c r="I192" s="69">
        <f>+Resumen!O88</f>
        <v>2144.4344016581745</v>
      </c>
      <c r="J192" s="474">
        <v>2240.6907138360439</v>
      </c>
    </row>
    <row r="193" spans="2:10">
      <c r="B193" s="208" t="s">
        <v>31</v>
      </c>
      <c r="C193" s="69">
        <f>+Resumen!I89</f>
        <v>111.91488080734234</v>
      </c>
      <c r="D193" s="69">
        <f>+Resumen!J89</f>
        <v>-679.47354195163416</v>
      </c>
      <c r="E193" s="69">
        <f>+Resumen!K89</f>
        <v>-145.17923576328604</v>
      </c>
      <c r="F193" s="69">
        <f>+Resumen!L89</f>
        <v>-139.6379462322783</v>
      </c>
      <c r="G193" s="69">
        <f>+Resumen!M89</f>
        <v>-852.37584313985644</v>
      </c>
      <c r="H193" s="69">
        <f>+Resumen!N89</f>
        <v>145.76076502060505</v>
      </c>
      <c r="I193" s="69">
        <f>+Resumen!O89</f>
        <v>-706.61507811925276</v>
      </c>
      <c r="J193" s="474">
        <v>-908.46296274282122</v>
      </c>
    </row>
    <row r="194" spans="2:10">
      <c r="B194" s="208" t="s">
        <v>12</v>
      </c>
      <c r="C194" s="69">
        <f>+Resumen!I90</f>
        <v>671.87044645298511</v>
      </c>
      <c r="D194" s="69">
        <f>+Resumen!J90</f>
        <v>-855.13134824192957</v>
      </c>
      <c r="E194" s="69">
        <f>+Resumen!K90</f>
        <v>-66.815278064180859</v>
      </c>
      <c r="F194" s="69">
        <f>+Resumen!L90</f>
        <v>70.330017165682762</v>
      </c>
      <c r="G194" s="69">
        <f>+Resumen!M90</f>
        <v>-179.74616268744103</v>
      </c>
      <c r="H194" s="69">
        <f>+Resumen!N90</f>
        <v>14.414938214006447</v>
      </c>
      <c r="I194" s="69">
        <f>+Resumen!O90</f>
        <v>-165.33122447343703</v>
      </c>
      <c r="J194" s="474">
        <v>-422.31744548691313</v>
      </c>
    </row>
    <row r="195" spans="2:10">
      <c r="B195" s="208" t="s">
        <v>13</v>
      </c>
      <c r="C195" s="69">
        <f>+Resumen!I91</f>
        <v>362.71771408740597</v>
      </c>
      <c r="D195" s="69">
        <f>+Resumen!J91</f>
        <v>544.69741239707355</v>
      </c>
      <c r="E195" s="69">
        <f>+Resumen!K91</f>
        <v>-3.951954295398707</v>
      </c>
      <c r="F195" s="69">
        <f>+Resumen!L91</f>
        <v>132.78666390965066</v>
      </c>
      <c r="G195" s="69">
        <f>+Resumen!M91</f>
        <v>1036.2498360987338</v>
      </c>
      <c r="H195" s="69">
        <f>+Resumen!N91</f>
        <v>32.502327726311563</v>
      </c>
      <c r="I195" s="69">
        <f>+Resumen!O91</f>
        <v>1068.7521638250437</v>
      </c>
      <c r="J195" s="474">
        <v>1156.8922176154665</v>
      </c>
    </row>
    <row r="196" spans="2:10">
      <c r="B196" s="208" t="s">
        <v>14</v>
      </c>
      <c r="C196" s="69">
        <f>+Resumen!I92</f>
        <v>383.36908200640437</v>
      </c>
      <c r="D196" s="69">
        <f>+Resumen!J92</f>
        <v>575.9720289599295</v>
      </c>
      <c r="E196" s="69">
        <f>+Resumen!K92</f>
        <v>252.50124352439337</v>
      </c>
      <c r="F196" s="69">
        <f>+Resumen!L92</f>
        <v>159.22098187643303</v>
      </c>
      <c r="G196" s="69">
        <f>+Resumen!M92</f>
        <v>1371.0633363671623</v>
      </c>
      <c r="H196" s="69">
        <f>+Resumen!N92</f>
        <v>30.695829208914958</v>
      </c>
      <c r="I196" s="69">
        <f>+Resumen!O92</f>
        <v>1401.7591655760752</v>
      </c>
      <c r="J196" s="474">
        <v>1644.6726798156924</v>
      </c>
    </row>
    <row r="197" spans="2:10">
      <c r="B197" s="208" t="s">
        <v>514</v>
      </c>
      <c r="C197" s="69">
        <f>+Resumen!I93</f>
        <v>-172.19343788908782</v>
      </c>
      <c r="D197" s="69">
        <f>+Resumen!J93</f>
        <v>-507.69023192546729</v>
      </c>
      <c r="E197" s="69">
        <f>+Resumen!K93</f>
        <v>142.55178203498485</v>
      </c>
      <c r="F197" s="69">
        <f>+Resumen!L93</f>
        <v>-16.042909288861665</v>
      </c>
      <c r="G197" s="69">
        <f>+Resumen!M93</f>
        <v>-553.37479706843078</v>
      </c>
      <c r="H197" s="69">
        <f>+Resumen!N93</f>
        <v>-23.692185834937582</v>
      </c>
      <c r="I197" s="69">
        <f>+Resumen!O93</f>
        <v>-577.06698290336863</v>
      </c>
      <c r="J197" s="474">
        <v>-113.68446871360356</v>
      </c>
    </row>
    <row r="198" spans="2:10">
      <c r="B198" s="208" t="s">
        <v>16</v>
      </c>
      <c r="C198" s="71">
        <f>+Resumen!I94</f>
        <v>-208.66486949009595</v>
      </c>
      <c r="D198" s="71">
        <f>+Resumen!J94</f>
        <v>271.98677766792161</v>
      </c>
      <c r="E198" s="71">
        <f>+Resumen!K94</f>
        <v>-106.98119461610466</v>
      </c>
      <c r="F198" s="71">
        <f>+Resumen!L94</f>
        <v>-19.046647216486917</v>
      </c>
      <c r="G198" s="71">
        <f>+Resumen!M94</f>
        <v>-62.705933654764522</v>
      </c>
      <c r="H198" s="71">
        <f>+Resumen!N94</f>
        <v>82.924475524453058</v>
      </c>
      <c r="I198" s="71">
        <f>+Resumen!O94</f>
        <v>20.218541869686305</v>
      </c>
      <c r="J198" s="474">
        <v>123.41964753953835</v>
      </c>
    </row>
    <row r="199" spans="2:10">
      <c r="B199" s="208" t="s">
        <v>17</v>
      </c>
      <c r="C199" s="69">
        <f>+Resumen!I95</f>
        <v>-647.25269499700835</v>
      </c>
      <c r="D199" s="69">
        <f>+Resumen!J95</f>
        <v>-362.72908633828683</v>
      </c>
      <c r="E199" s="69">
        <f>+Resumen!K95</f>
        <v>-125.94716574453881</v>
      </c>
      <c r="F199" s="69">
        <f>+Resumen!L95</f>
        <v>-74.047454243334414</v>
      </c>
      <c r="G199" s="69">
        <f>+Resumen!M95</f>
        <v>-1209.976401323167</v>
      </c>
      <c r="H199" s="69">
        <f>+Resumen!N95</f>
        <v>74.354434301577072</v>
      </c>
      <c r="I199" s="69">
        <f>+Resumen!O95</f>
        <v>-1135.6219670215914</v>
      </c>
      <c r="J199" s="474">
        <v>-1177.2026270484239</v>
      </c>
    </row>
    <row r="200" spans="2:10">
      <c r="B200" s="208" t="s">
        <v>18</v>
      </c>
      <c r="C200" s="69">
        <f>+Resumen!I96</f>
        <v>245.28558639829498</v>
      </c>
      <c r="D200" s="69">
        <f>+Resumen!J96</f>
        <v>-316.0712913694083</v>
      </c>
      <c r="E200" s="69">
        <f>+Resumen!K96</f>
        <v>471.40380833912178</v>
      </c>
      <c r="F200" s="69">
        <f>+Resumen!L96</f>
        <v>113.09217369799899</v>
      </c>
      <c r="G200" s="69">
        <f>+Resumen!M96</f>
        <v>513.71027706600944</v>
      </c>
      <c r="H200" s="69">
        <f>+Resumen!N96</f>
        <v>116.34179713763039</v>
      </c>
      <c r="I200" s="69">
        <f>+Resumen!O96</f>
        <v>630.05207420363877</v>
      </c>
      <c r="J200" s="474">
        <v>854.49895727709372</v>
      </c>
    </row>
    <row r="201" spans="2:10">
      <c r="B201" s="208" t="s">
        <v>19</v>
      </c>
      <c r="C201" s="69">
        <f>+Resumen!I97</f>
        <v>63.9109104722952</v>
      </c>
      <c r="D201" s="69">
        <f>+Resumen!J97</f>
        <v>478.52337003064031</v>
      </c>
      <c r="E201" s="69">
        <f>+Resumen!K97</f>
        <v>-25.296787656098502</v>
      </c>
      <c r="F201" s="69">
        <f>+Resumen!L97</f>
        <v>128.66560316935045</v>
      </c>
      <c r="G201" s="69">
        <f>+Resumen!M97</f>
        <v>645.80309601618865</v>
      </c>
      <c r="H201" s="69">
        <f>+Resumen!N97</f>
        <v>60.796459510861141</v>
      </c>
      <c r="I201" s="69">
        <f>+Resumen!O97</f>
        <v>706.59955552704741</v>
      </c>
      <c r="J201" s="474">
        <v>699.93684705200758</v>
      </c>
    </row>
    <row r="202" spans="2:10">
      <c r="B202" s="208" t="s">
        <v>20</v>
      </c>
      <c r="C202" s="71">
        <f>+Resumen!I98</f>
        <v>-240.24274136792928</v>
      </c>
      <c r="D202" s="71">
        <f>+Resumen!J98</f>
        <v>154.11873626364104</v>
      </c>
      <c r="E202" s="71">
        <f>+Resumen!K98</f>
        <v>-159.5800016804246</v>
      </c>
      <c r="F202" s="71">
        <f>+Resumen!L98</f>
        <v>-86.314354587265939</v>
      </c>
      <c r="G202" s="71">
        <f>+Resumen!M98</f>
        <v>-332.01836137197643</v>
      </c>
      <c r="H202" s="71">
        <f>+Resumen!N98</f>
        <v>-107.92441911031068</v>
      </c>
      <c r="I202" s="71">
        <f>+Resumen!O98</f>
        <v>-439.94278048228807</v>
      </c>
      <c r="J202" s="474">
        <v>-463.66596356423543</v>
      </c>
    </row>
    <row r="203" spans="2:10">
      <c r="B203" s="208" t="s">
        <v>60</v>
      </c>
      <c r="C203" s="69">
        <f>+Resumen!I99</f>
        <v>-591.75241515833841</v>
      </c>
      <c r="D203" s="69">
        <f>+Resumen!J99</f>
        <v>-631.66159606949213</v>
      </c>
      <c r="E203" s="69">
        <f>+Resumen!K99</f>
        <v>-77.234564058873161</v>
      </c>
      <c r="F203" s="69">
        <f>+Resumen!L99</f>
        <v>-76.058079271656766</v>
      </c>
      <c r="G203" s="69">
        <f>+Resumen!M99</f>
        <v>-1376.7066545583602</v>
      </c>
      <c r="H203" s="69">
        <f>+Resumen!N99</f>
        <v>83.641540597520347</v>
      </c>
      <c r="I203" s="69">
        <f>+Resumen!O99</f>
        <v>-1293.0651139608417</v>
      </c>
      <c r="J203" s="474">
        <v>-1281.7634066725586</v>
      </c>
    </row>
    <row r="204" spans="2:10">
      <c r="B204" s="208" t="s">
        <v>61</v>
      </c>
      <c r="C204" s="69">
        <f>+Resumen!I100</f>
        <v>1588.2620377933658</v>
      </c>
      <c r="D204" s="69">
        <f>+Resumen!J100</f>
        <v>300.23520205877003</v>
      </c>
      <c r="E204" s="69">
        <f>+Resumen!K100</f>
        <v>74.966817533914764</v>
      </c>
      <c r="F204" s="69">
        <f>+Resumen!L100</f>
        <v>-154.44443455394116</v>
      </c>
      <c r="G204" s="69">
        <f>+Resumen!M100</f>
        <v>1809.0196228321129</v>
      </c>
      <c r="H204" s="69">
        <f>+Resumen!N100</f>
        <v>-712.7355356727021</v>
      </c>
      <c r="I204" s="69">
        <f>+Resumen!O100</f>
        <v>1096.284087159409</v>
      </c>
      <c r="J204" s="474">
        <v>858.93611859445627</v>
      </c>
    </row>
    <row r="205" spans="2:10">
      <c r="B205" s="208" t="s">
        <v>62</v>
      </c>
      <c r="C205" s="69">
        <f>+Resumen!I101</f>
        <v>2541.8513999361298</v>
      </c>
      <c r="D205" s="69">
        <f>+Resumen!J101</f>
        <v>1113.9339345245621</v>
      </c>
      <c r="E205" s="69">
        <f>+Resumen!K101</f>
        <v>-68.154718379919018</v>
      </c>
      <c r="F205" s="69">
        <f>+Resumen!L101</f>
        <v>-13.057302074840095</v>
      </c>
      <c r="G205" s="69">
        <f>+Resumen!M101</f>
        <v>3574.5733140059347</v>
      </c>
      <c r="H205" s="69">
        <f>+Resumen!N101</f>
        <v>-440.11219431733207</v>
      </c>
      <c r="I205" s="69">
        <f>+Resumen!O101</f>
        <v>3134.461119688598</v>
      </c>
      <c r="J205" s="474">
        <v>2800.1927610733874</v>
      </c>
    </row>
    <row r="206" spans="2:10">
      <c r="B206" s="208" t="s">
        <v>63</v>
      </c>
      <c r="C206" s="69">
        <f>+Resumen!I102</f>
        <v>260.14783495625079</v>
      </c>
      <c r="D206" s="69">
        <f>+Resumen!J102</f>
        <v>0.48667805328841496</v>
      </c>
      <c r="E206" s="69">
        <f>+Resumen!K102</f>
        <v>-14.567492649521512</v>
      </c>
      <c r="F206" s="69">
        <f>+Resumen!L102</f>
        <v>69.167252166143385</v>
      </c>
      <c r="G206" s="69">
        <f>+Resumen!M102</f>
        <v>315.23427252616239</v>
      </c>
      <c r="H206" s="69">
        <f>+Resumen!N102</f>
        <v>28.14484150790291</v>
      </c>
      <c r="I206" s="69">
        <f>+Resumen!O102</f>
        <v>343.3791140340636</v>
      </c>
      <c r="J206" s="474">
        <v>492.57467303091653</v>
      </c>
    </row>
    <row r="207" spans="2:10" ht="13.5" thickBot="1">
      <c r="B207" s="209" t="s">
        <v>64</v>
      </c>
      <c r="C207" s="70">
        <f>+Resumen!I103</f>
        <v>2672.8365727550577</v>
      </c>
      <c r="D207" s="70">
        <f>+Resumen!J103</f>
        <v>-1091.7817140933093</v>
      </c>
      <c r="E207" s="70">
        <f>+Resumen!K103</f>
        <v>221.04839526873894</v>
      </c>
      <c r="F207" s="70">
        <f>+Resumen!L103</f>
        <v>533.41765625931544</v>
      </c>
      <c r="G207" s="70">
        <f>+Resumen!M103</f>
        <v>2335.5209101898054</v>
      </c>
      <c r="H207" s="70">
        <f>+Resumen!N103</f>
        <v>-33.955789880648737</v>
      </c>
      <c r="I207" s="70">
        <f>+Resumen!O103</f>
        <v>2301.5651203091547</v>
      </c>
      <c r="J207" s="475">
        <v>1818.5893500453585</v>
      </c>
    </row>
    <row r="208" spans="2:10">
      <c r="B208" s="208"/>
      <c r="C208" s="69"/>
      <c r="D208" s="69"/>
      <c r="E208" s="69"/>
      <c r="F208" s="69"/>
      <c r="G208" s="69"/>
      <c r="H208" s="69"/>
      <c r="I208" s="69"/>
      <c r="J208" s="69"/>
    </row>
    <row r="209" spans="2:10">
      <c r="B209" s="208"/>
      <c r="C209" s="69"/>
      <c r="D209" s="69"/>
      <c r="E209" s="69"/>
      <c r="F209" s="69"/>
      <c r="G209" s="69"/>
      <c r="H209" s="69"/>
      <c r="I209" s="69"/>
      <c r="J209" s="69"/>
    </row>
    <row r="211" spans="2:10" ht="18.75">
      <c r="B211" s="258" t="str">
        <f>"Cuadro 10a: Componentes del saldo relativo total ligado al gasto territorializable, millones de euros, ejercicio "&amp;(Resumen!C2)</f>
        <v>Cuadro 10a: Componentes del saldo relativo total ligado al gasto territorializable, millones de euros, ejercicio 2014</v>
      </c>
    </row>
    <row r="212" spans="2:10" ht="27.75" thickBot="1">
      <c r="B212" s="275"/>
      <c r="C212" s="257" t="s">
        <v>515</v>
      </c>
      <c r="D212" s="257" t="s">
        <v>1143</v>
      </c>
      <c r="E212" s="257" t="s">
        <v>516</v>
      </c>
      <c r="F212" s="257" t="s">
        <v>517</v>
      </c>
      <c r="G212" s="257" t="s">
        <v>518</v>
      </c>
      <c r="H212" s="257" t="s">
        <v>519</v>
      </c>
      <c r="I212" s="255" t="str">
        <f>"Total, gasto territ. a igual esf fiscal, "&amp;(Resumen!C2-1)</f>
        <v>Total, gasto territ. a igual esf fiscal, 2013</v>
      </c>
    </row>
    <row r="213" spans="2:10">
      <c r="B213" s="208" t="s">
        <v>9</v>
      </c>
      <c r="C213" s="69">
        <f>+Resumen!D111</f>
        <v>-2146.1025084117123</v>
      </c>
      <c r="D213" s="69">
        <f>+Resumen!E111</f>
        <v>-1020.1305297362965</v>
      </c>
      <c r="E213" s="69">
        <f>+Resumen!F111</f>
        <v>-188.39566391599189</v>
      </c>
      <c r="F213" s="69">
        <f>+Resumen!G111</f>
        <v>347.09158212519003</v>
      </c>
      <c r="G213" s="69">
        <f>+Resumen!H111</f>
        <v>-230.04312834596402</v>
      </c>
      <c r="H213" s="69">
        <f>+Resumen!I111</f>
        <v>-3237.5802482847821</v>
      </c>
      <c r="I213" s="472">
        <v>-2822.6563246323276</v>
      </c>
    </row>
    <row r="214" spans="2:10">
      <c r="B214" s="208" t="s">
        <v>10</v>
      </c>
      <c r="C214" s="69">
        <f>+Resumen!D112</f>
        <v>141.52016182261539</v>
      </c>
      <c r="D214" s="69">
        <f>+Resumen!E112</f>
        <v>97.993414216411779</v>
      </c>
      <c r="E214" s="69">
        <f>+Resumen!F112</f>
        <v>172.39816206651656</v>
      </c>
      <c r="F214" s="69">
        <f>+Resumen!G112</f>
        <v>-53.94496179906988</v>
      </c>
      <c r="G214" s="69">
        <f>+Resumen!H112</f>
        <v>62.449300166158274</v>
      </c>
      <c r="H214" s="69">
        <f>+Resumen!I112</f>
        <v>420.41607647263089</v>
      </c>
      <c r="I214" s="472">
        <v>437.17147888928662</v>
      </c>
    </row>
    <row r="215" spans="2:10">
      <c r="B215" s="208" t="s">
        <v>11</v>
      </c>
      <c r="C215" s="69">
        <f>+Resumen!D113</f>
        <v>82.531624517552302</v>
      </c>
      <c r="D215" s="69">
        <f>+Resumen!E113</f>
        <v>-56.770741345299697</v>
      </c>
      <c r="E215" s="69">
        <f>+Resumen!F113</f>
        <v>113.6211222005292</v>
      </c>
      <c r="F215" s="69">
        <f>+Resumen!G113</f>
        <v>-0.19687559327023901</v>
      </c>
      <c r="G215" s="69">
        <f>+Resumen!H113</f>
        <v>-13.043699772080387</v>
      </c>
      <c r="H215" s="69">
        <f>+Resumen!I113</f>
        <v>126.14143000743054</v>
      </c>
      <c r="I215" s="472">
        <v>198.26338961486468</v>
      </c>
    </row>
    <row r="216" spans="2:10">
      <c r="B216" s="208" t="s">
        <v>31</v>
      </c>
      <c r="C216" s="69">
        <f>+Resumen!D114</f>
        <v>-105.8136651504978</v>
      </c>
      <c r="D216" s="69">
        <f>+Resumen!E114</f>
        <v>84.434963915024554</v>
      </c>
      <c r="E216" s="69">
        <f>+Resumen!F114</f>
        <v>-61.200580532503572</v>
      </c>
      <c r="F216" s="69">
        <f>+Resumen!G114</f>
        <v>224.99200842801949</v>
      </c>
      <c r="G216" s="69">
        <f>+Resumen!H114</f>
        <v>-18.863118886528568</v>
      </c>
      <c r="H216" s="69">
        <f>+Resumen!I114</f>
        <v>123.54960777351407</v>
      </c>
      <c r="I216" s="472">
        <v>-61.72954462194626</v>
      </c>
    </row>
    <row r="217" spans="2:10">
      <c r="B217" s="208" t="s">
        <v>12</v>
      </c>
      <c r="C217" s="69">
        <f>+Resumen!D115</f>
        <v>155.39862915289572</v>
      </c>
      <c r="D217" s="69">
        <f>+Resumen!E115</f>
        <v>383.2140705479772</v>
      </c>
      <c r="E217" s="69">
        <f>+Resumen!F115</f>
        <v>-60.333013186771012</v>
      </c>
      <c r="F217" s="69">
        <f>+Resumen!G115</f>
        <v>1002.5357180336644</v>
      </c>
      <c r="G217" s="69">
        <f>+Resumen!H115</f>
        <v>-68.167142718352935</v>
      </c>
      <c r="H217" s="69">
        <f>+Resumen!I115</f>
        <v>1412.6482618294115</v>
      </c>
      <c r="I217" s="472">
        <v>872.26311236479012</v>
      </c>
    </row>
    <row r="218" spans="2:10">
      <c r="B218" s="208" t="s">
        <v>13</v>
      </c>
      <c r="C218" s="69">
        <f>+Resumen!D116</f>
        <v>203.81972352828782</v>
      </c>
      <c r="D218" s="69">
        <f>+Resumen!E116</f>
        <v>-2.1490468728944285</v>
      </c>
      <c r="E218" s="69">
        <f>+Resumen!F116</f>
        <v>30.207455275611089</v>
      </c>
      <c r="F218" s="69">
        <f>+Resumen!G116</f>
        <v>-11.587630196876772</v>
      </c>
      <c r="G218" s="69">
        <f>+Resumen!H116</f>
        <v>-7.4051277762321446</v>
      </c>
      <c r="H218" s="69">
        <f>+Resumen!I116</f>
        <v>212.8853739578951</v>
      </c>
      <c r="I218" s="472">
        <v>236.19557593507463</v>
      </c>
    </row>
    <row r="219" spans="2:10">
      <c r="B219" s="208" t="s">
        <v>14</v>
      </c>
      <c r="C219" s="69">
        <f>+Resumen!D117</f>
        <v>421.08087897693969</v>
      </c>
      <c r="D219" s="69">
        <f>+Resumen!E117</f>
        <v>-53.296048695838088</v>
      </c>
      <c r="E219" s="69">
        <f>+Resumen!F117</f>
        <v>470.73673933368855</v>
      </c>
      <c r="F219" s="69">
        <f>+Resumen!G117</f>
        <v>14.867578728984427</v>
      </c>
      <c r="G219" s="69">
        <f>+Resumen!H117</f>
        <v>98.677680661654009</v>
      </c>
      <c r="H219" s="69">
        <f>+Resumen!I117</f>
        <v>952.06682900542671</v>
      </c>
      <c r="I219" s="472">
        <v>1199.5749843433032</v>
      </c>
    </row>
    <row r="220" spans="2:10">
      <c r="B220" s="208" t="s">
        <v>491</v>
      </c>
      <c r="C220" s="69">
        <f>+Resumen!D118</f>
        <v>-86.499706117965658</v>
      </c>
      <c r="D220" s="69">
        <f>+Resumen!E118</f>
        <v>-187.72619261408394</v>
      </c>
      <c r="E220" s="69">
        <f>+Resumen!F118</f>
        <v>15.716026436684828</v>
      </c>
      <c r="F220" s="69">
        <f>+Resumen!G118</f>
        <v>-0.28563974369077805</v>
      </c>
      <c r="G220" s="69">
        <f>+Resumen!H118</f>
        <v>-97.455663803115627</v>
      </c>
      <c r="H220" s="69">
        <f>+Resumen!I118</f>
        <v>-356.25117584217168</v>
      </c>
      <c r="I220" s="472">
        <v>-127.16083279447247</v>
      </c>
    </row>
    <row r="221" spans="2:10">
      <c r="B221" s="208" t="s">
        <v>16</v>
      </c>
      <c r="C221" s="69">
        <f>+Resumen!D119</f>
        <v>-1864.9932103675608</v>
      </c>
      <c r="D221" s="69">
        <f>+Resumen!E119</f>
        <v>1026.8361089592634</v>
      </c>
      <c r="E221" s="69">
        <f>+Resumen!F119</f>
        <v>-302.45878499000366</v>
      </c>
      <c r="F221" s="69">
        <f>+Resumen!G119</f>
        <v>-640.10070761162422</v>
      </c>
      <c r="G221" s="69">
        <f>+Resumen!H119</f>
        <v>212.91215810417967</v>
      </c>
      <c r="H221" s="69">
        <f>+Resumen!I119</f>
        <v>-1567.8044359057485</v>
      </c>
      <c r="I221" s="472">
        <v>-1213.6739585529235</v>
      </c>
    </row>
    <row r="222" spans="2:10">
      <c r="B222" s="208" t="s">
        <v>17</v>
      </c>
      <c r="C222" s="69">
        <f>+Resumen!D120</f>
        <v>-1860.9946747446379</v>
      </c>
      <c r="D222" s="69">
        <f>+Resumen!E120</f>
        <v>-363.99477314179751</v>
      </c>
      <c r="E222" s="69">
        <f>+Resumen!F120</f>
        <v>-364.12697664369568</v>
      </c>
      <c r="F222" s="69">
        <f>+Resumen!G120</f>
        <v>-338.76108595991957</v>
      </c>
      <c r="G222" s="69">
        <f>+Resumen!H120</f>
        <v>-303.70406212572675</v>
      </c>
      <c r="H222" s="69">
        <f>+Resumen!I120</f>
        <v>-3231.5815726157807</v>
      </c>
      <c r="I222" s="472">
        <v>-3071.7606607416969</v>
      </c>
    </row>
    <row r="223" spans="2:10">
      <c r="B223" s="208" t="s">
        <v>18</v>
      </c>
      <c r="C223" s="69">
        <f>+Resumen!D121</f>
        <v>255.64137105160805</v>
      </c>
      <c r="D223" s="69">
        <f>+Resumen!E121</f>
        <v>-179.95353000894775</v>
      </c>
      <c r="E223" s="69">
        <f>+Resumen!F121</f>
        <v>47.971537115868486</v>
      </c>
      <c r="F223" s="69">
        <f>+Resumen!G121</f>
        <v>163.59711055294269</v>
      </c>
      <c r="G223" s="69">
        <f>+Resumen!H121</f>
        <v>-18.34634370201746</v>
      </c>
      <c r="H223" s="69">
        <f>+Resumen!I121</f>
        <v>268.91014500945352</v>
      </c>
      <c r="I223" s="472">
        <v>404.38523291408353</v>
      </c>
    </row>
    <row r="224" spans="2:10">
      <c r="B224" s="208" t="s">
        <v>19</v>
      </c>
      <c r="C224" s="69">
        <f>+Resumen!D122</f>
        <v>305.52396975743403</v>
      </c>
      <c r="D224" s="69">
        <f>+Resumen!E122</f>
        <v>-480.30037121771289</v>
      </c>
      <c r="E224" s="69">
        <f>+Resumen!F122</f>
        <v>295.66021319897646</v>
      </c>
      <c r="F224" s="69">
        <f>+Resumen!G122</f>
        <v>79.266288869648093</v>
      </c>
      <c r="G224" s="69">
        <f>+Resumen!H122</f>
        <v>-25.000908329899733</v>
      </c>
      <c r="H224" s="69">
        <f>+Resumen!I122</f>
        <v>175.14919227844493</v>
      </c>
      <c r="I224" s="472">
        <v>178.64711600338393</v>
      </c>
    </row>
    <row r="225" spans="2:9">
      <c r="B225" s="208" t="s">
        <v>20</v>
      </c>
      <c r="C225" s="69">
        <f>+Resumen!D123</f>
        <v>-1854.2335011278931</v>
      </c>
      <c r="D225" s="69">
        <f>+Resumen!E123</f>
        <v>1088.9399047833297</v>
      </c>
      <c r="E225" s="69">
        <f>+Resumen!F123</f>
        <v>-274.32641597817985</v>
      </c>
      <c r="F225" s="69">
        <f>+Resumen!G123</f>
        <v>-624.21026026887671</v>
      </c>
      <c r="G225" s="69">
        <f>+Resumen!H123</f>
        <v>115.29331018701619</v>
      </c>
      <c r="H225" s="69">
        <f>+Resumen!I123</f>
        <v>-1548.5369624046064</v>
      </c>
      <c r="I225" s="472">
        <v>-1488.5262996233873</v>
      </c>
    </row>
    <row r="226" spans="2:9">
      <c r="B226" s="208" t="s">
        <v>60</v>
      </c>
      <c r="C226" s="69">
        <f>+Resumen!D124</f>
        <v>-485.43291761826214</v>
      </c>
      <c r="D226" s="69">
        <f>+Resumen!E124</f>
        <v>-207.32269743689108</v>
      </c>
      <c r="E226" s="69">
        <f>+Resumen!F124</f>
        <v>-56.215019716000931</v>
      </c>
      <c r="F226" s="69">
        <f>+Resumen!G124</f>
        <v>-50.908926204013348</v>
      </c>
      <c r="G226" s="69">
        <f>+Resumen!H124</f>
        <v>-68.25259494011793</v>
      </c>
      <c r="H226" s="69">
        <f>+Resumen!I124</f>
        <v>-868.13215591528581</v>
      </c>
      <c r="I226" s="472">
        <v>-855.05777141325586</v>
      </c>
    </row>
    <row r="227" spans="2:9">
      <c r="B227" s="208" t="s">
        <v>61</v>
      </c>
      <c r="C227" s="69">
        <f>+Resumen!D125</f>
        <v>1001.4489318474839</v>
      </c>
      <c r="D227" s="69">
        <f>+Resumen!E125</f>
        <v>32.37172380997162</v>
      </c>
      <c r="E227" s="69">
        <f>+Resumen!F125</f>
        <v>6.9876727763972468</v>
      </c>
      <c r="F227" s="69">
        <f>+Resumen!G125</f>
        <v>-60.400656078419104</v>
      </c>
      <c r="G227" s="69">
        <f>+Resumen!H125</f>
        <v>37.085401702244098</v>
      </c>
      <c r="H227" s="69">
        <f>+Resumen!I125</f>
        <v>1017.4930740576774</v>
      </c>
      <c r="I227" s="472">
        <v>785.68023693041505</v>
      </c>
    </row>
    <row r="228" spans="2:9">
      <c r="B228" s="208" t="s">
        <v>62</v>
      </c>
      <c r="C228" s="69">
        <f>+Resumen!D126</f>
        <v>5437.1321553211246</v>
      </c>
      <c r="D228" s="69">
        <f>+Resumen!E126</f>
        <v>-65.53787729235755</v>
      </c>
      <c r="E228" s="69">
        <f>+Resumen!F126</f>
        <v>122.73468188415319</v>
      </c>
      <c r="F228" s="69">
        <f>+Resumen!G126</f>
        <v>-142.72791173277383</v>
      </c>
      <c r="G228" s="69">
        <f>+Resumen!H126</f>
        <v>212.81923029943434</v>
      </c>
      <c r="H228" s="69">
        <f>+Resumen!I126</f>
        <v>5564.4202784795807</v>
      </c>
      <c r="I228" s="472">
        <v>4850.5741172101953</v>
      </c>
    </row>
    <row r="229" spans="2:9">
      <c r="B229" s="208" t="s">
        <v>63</v>
      </c>
      <c r="C229" s="69">
        <f>+Resumen!D127</f>
        <v>79.057438539436177</v>
      </c>
      <c r="D229" s="69">
        <f>+Resumen!E127</f>
        <v>-14.353697380416316</v>
      </c>
      <c r="E229" s="69">
        <f>+Resumen!F127</f>
        <v>14.304453174574164</v>
      </c>
      <c r="F229" s="69">
        <f>+Resumen!G127</f>
        <v>-29.599236745953281</v>
      </c>
      <c r="G229" s="69">
        <f>+Resumen!H127</f>
        <v>33.325207993908585</v>
      </c>
      <c r="H229" s="69">
        <f>+Resumen!I127</f>
        <v>82.73416558154905</v>
      </c>
      <c r="I229" s="472">
        <v>101.08007955330405</v>
      </c>
    </row>
    <row r="230" spans="2:9" ht="13.5" thickBot="1">
      <c r="B230" s="54" t="s">
        <v>64</v>
      </c>
      <c r="C230" s="271">
        <f>+Resumen!D128</f>
        <v>320.91529902316324</v>
      </c>
      <c r="D230" s="271">
        <f>+Resumen!E128</f>
        <v>-82.254680489450749</v>
      </c>
      <c r="E230" s="271">
        <f>+Resumen!F128</f>
        <v>16.718391500147167</v>
      </c>
      <c r="F230" s="271">
        <f>+Resumen!G128</f>
        <v>120.37360519603827</v>
      </c>
      <c r="G230" s="271">
        <f>+Resumen!H128</f>
        <v>77.719501285438895</v>
      </c>
      <c r="H230" s="271">
        <f>+Resumen!I128</f>
        <v>453.47211651533667</v>
      </c>
      <c r="I230" s="473">
        <v>376.73006862128454</v>
      </c>
    </row>
    <row r="231" spans="2:9">
      <c r="B231" s="208"/>
      <c r="C231" s="69"/>
      <c r="D231" s="69"/>
      <c r="E231" s="69"/>
      <c r="F231" s="69"/>
      <c r="G231" s="69"/>
      <c r="H231" s="69"/>
    </row>
    <row r="232" spans="2:9">
      <c r="B232" s="208"/>
      <c r="C232" s="69"/>
      <c r="D232" s="69"/>
      <c r="E232" s="69"/>
      <c r="F232" s="69"/>
      <c r="G232" s="69"/>
      <c r="H232" s="69"/>
    </row>
    <row r="234" spans="2:9" ht="18.75">
      <c r="B234" s="258" t="str">
        <f>"Cuadro 10b: Componentes del saldo relativo per cápita ligado al gasto territorializable, euros, ejercicio "&amp;(Resumen!C2)</f>
        <v>Cuadro 10b: Componentes del saldo relativo per cápita ligado al gasto territorializable, euros, ejercicio 2014</v>
      </c>
    </row>
    <row r="235" spans="2:9" ht="27.75" thickBot="1">
      <c r="B235" s="270"/>
      <c r="C235" s="257" t="s">
        <v>515</v>
      </c>
      <c r="D235" s="257" t="s">
        <v>1143</v>
      </c>
      <c r="E235" s="257" t="s">
        <v>516</v>
      </c>
      <c r="F235" s="257" t="s">
        <v>517</v>
      </c>
      <c r="G235" s="257" t="s">
        <v>518</v>
      </c>
      <c r="H235" s="257" t="s">
        <v>519</v>
      </c>
      <c r="I235" s="255" t="str">
        <f>"Total, gasto territ. a igual esf fiscal "&amp;(Resumen!C2-1)</f>
        <v>Total, gasto territ. a igual esf fiscal 2013</v>
      </c>
    </row>
    <row r="236" spans="2:9">
      <c r="B236" s="208" t="s">
        <v>9</v>
      </c>
      <c r="C236" s="405">
        <f>+Resumen!D86</f>
        <v>-255.46789560119964</v>
      </c>
      <c r="D236" s="405">
        <f>+Resumen!E86</f>
        <v>-121.43436702058625</v>
      </c>
      <c r="E236" s="405">
        <f>+Resumen!F86</f>
        <v>-22.426255788046518</v>
      </c>
      <c r="F236" s="405">
        <f>+Resumen!G86</f>
        <v>41.317111237168589</v>
      </c>
      <c r="G236" s="405">
        <f>+Resumen!H86</f>
        <v>-27.383889476721038</v>
      </c>
      <c r="H236" s="405">
        <f>SUM(C236:G236)</f>
        <v>-385.39529664938487</v>
      </c>
      <c r="I236" s="476">
        <v>-335.18049311639379</v>
      </c>
    </row>
    <row r="237" spans="2:9">
      <c r="B237" s="208" t="s">
        <v>10</v>
      </c>
      <c r="C237" s="69">
        <f>+Resumen!D87</f>
        <v>107.08115051771119</v>
      </c>
      <c r="D237" s="69">
        <f>+Resumen!E87</f>
        <v>74.146661523779812</v>
      </c>
      <c r="E237" s="69">
        <f>+Resumen!F87</f>
        <v>130.44497196350267</v>
      </c>
      <c r="F237" s="69">
        <f>+Resumen!G87</f>
        <v>-40.817424879140297</v>
      </c>
      <c r="G237" s="69">
        <f>+Resumen!H87</f>
        <v>47.2522277016609</v>
      </c>
      <c r="H237" s="69">
        <f t="shared" ref="H237:H253" si="13">SUM(C237:G237)</f>
        <v>318.1075868275143</v>
      </c>
      <c r="I237" s="472">
        <v>327.15865565037507</v>
      </c>
    </row>
    <row r="238" spans="2:9">
      <c r="B238" s="208" t="s">
        <v>11</v>
      </c>
      <c r="C238" s="69">
        <f>+Resumen!D88</f>
        <v>78.118514345868334</v>
      </c>
      <c r="D238" s="69">
        <f>+Resumen!E88</f>
        <v>-53.735110609208959</v>
      </c>
      <c r="E238" s="69">
        <f>+Resumen!F88</f>
        <v>107.54560226459648</v>
      </c>
      <c r="F238" s="69">
        <f>+Resumen!G88</f>
        <v>-0.18634831129443796</v>
      </c>
      <c r="G238" s="69">
        <f>+Resumen!H88</f>
        <v>-12.346230353817361</v>
      </c>
      <c r="H238" s="69">
        <f t="shared" si="13"/>
        <v>119.39642733614406</v>
      </c>
      <c r="I238" s="472">
        <v>186.16971203614128</v>
      </c>
    </row>
    <row r="239" spans="2:9">
      <c r="B239" s="208" t="s">
        <v>31</v>
      </c>
      <c r="C239" s="69">
        <f>+Resumen!D89</f>
        <v>-95.849140572056513</v>
      </c>
      <c r="D239" s="69">
        <f>+Resumen!E89</f>
        <v>76.483682083756207</v>
      </c>
      <c r="E239" s="69">
        <f>+Resumen!F89</f>
        <v>-55.437291943419694</v>
      </c>
      <c r="F239" s="69">
        <f>+Resumen!G89</f>
        <v>203.8044009980606</v>
      </c>
      <c r="G239" s="69">
        <f>+Resumen!H89</f>
        <v>-17.08676975899823</v>
      </c>
      <c r="H239" s="69">
        <f t="shared" si="13"/>
        <v>111.91488080734237</v>
      </c>
      <c r="I239" s="472">
        <v>-55.734818963832979</v>
      </c>
    </row>
    <row r="240" spans="2:9">
      <c r="B240" s="208" t="s">
        <v>12</v>
      </c>
      <c r="C240" s="69">
        <f>+Resumen!D90</f>
        <v>73.909230746461617</v>
      </c>
      <c r="D240" s="69">
        <f>+Resumen!E90</f>
        <v>182.26066291456402</v>
      </c>
      <c r="E240" s="69">
        <f>+Resumen!F90</f>
        <v>-28.695018852856322</v>
      </c>
      <c r="F240" s="69">
        <f>+Resumen!G90</f>
        <v>476.81658531759933</v>
      </c>
      <c r="G240" s="69">
        <f>+Resumen!H90</f>
        <v>-32.421013672782749</v>
      </c>
      <c r="H240" s="69">
        <f t="shared" si="13"/>
        <v>671.87044645298602</v>
      </c>
      <c r="I240" s="472">
        <v>413.05284788603524</v>
      </c>
    </row>
    <row r="241" spans="2:9">
      <c r="B241" s="208" t="s">
        <v>13</v>
      </c>
      <c r="C241" s="69">
        <f>+Resumen!D91</f>
        <v>347.27150498713672</v>
      </c>
      <c r="D241" s="69">
        <f>+Resumen!E91</f>
        <v>-3.6615825442152072</v>
      </c>
      <c r="E241" s="69">
        <f>+Resumen!F91</f>
        <v>51.467975099756075</v>
      </c>
      <c r="F241" s="69">
        <f>+Resumen!G91</f>
        <v>-19.743201040822214</v>
      </c>
      <c r="G241" s="69">
        <f>+Resumen!H91</f>
        <v>-12.616982414448614</v>
      </c>
      <c r="H241" s="69">
        <f t="shared" si="13"/>
        <v>362.71771408740676</v>
      </c>
      <c r="I241" s="472">
        <v>400.14701008192043</v>
      </c>
    </row>
    <row r="242" spans="2:9">
      <c r="B242" s="208" t="s">
        <v>14</v>
      </c>
      <c r="C242" s="69">
        <f>+Resumen!D92</f>
        <v>169.55678436195058</v>
      </c>
      <c r="D242" s="69">
        <f>+Resumen!E92</f>
        <v>-21.460738511850423</v>
      </c>
      <c r="E242" s="69">
        <f>+Resumen!F92</f>
        <v>189.5517269660233</v>
      </c>
      <c r="F242" s="69">
        <f>+Resumen!G92</f>
        <v>5.9867331108919615</v>
      </c>
      <c r="G242" s="69">
        <f>+Resumen!H92</f>
        <v>39.734576079389683</v>
      </c>
      <c r="H242" s="69">
        <f t="shared" si="13"/>
        <v>383.36908200640511</v>
      </c>
      <c r="I242" s="472">
        <v>478.42676802669956</v>
      </c>
    </row>
    <row r="243" spans="2:9">
      <c r="B243" s="208" t="s">
        <v>491</v>
      </c>
      <c r="C243" s="69">
        <f>+Resumen!D93</f>
        <v>-41.809495049770703</v>
      </c>
      <c r="D243" s="69">
        <f>+Resumen!E93</f>
        <v>-90.737155917119253</v>
      </c>
      <c r="E243" s="69">
        <f>+Resumen!F93</f>
        <v>7.5963163228616679</v>
      </c>
      <c r="F243" s="69">
        <f>+Resumen!G93</f>
        <v>-0.13806351473114375</v>
      </c>
      <c r="G243" s="69">
        <f>+Resumen!H93</f>
        <v>-47.105039730328144</v>
      </c>
      <c r="H243" s="69">
        <f t="shared" si="13"/>
        <v>-172.19343788908759</v>
      </c>
      <c r="I243" s="472">
        <v>-60.848195510379369</v>
      </c>
    </row>
    <row r="244" spans="2:9">
      <c r="B244" s="208" t="s">
        <v>16</v>
      </c>
      <c r="C244" s="69">
        <f>+Resumen!D94</f>
        <v>-248.21881857761059</v>
      </c>
      <c r="D244" s="69">
        <f>+Resumen!E94</f>
        <v>136.66540147267676</v>
      </c>
      <c r="E244" s="69">
        <f>+Resumen!F94</f>
        <v>-40.255354207880444</v>
      </c>
      <c r="F244" s="69">
        <f>+Resumen!G94</f>
        <v>-85.193361847540558</v>
      </c>
      <c r="G244" s="69">
        <f>+Resumen!H94</f>
        <v>28.33726367025929</v>
      </c>
      <c r="H244" s="69">
        <f t="shared" si="13"/>
        <v>-208.66486949009553</v>
      </c>
      <c r="I244" s="472">
        <v>-161.0442449335452</v>
      </c>
    </row>
    <row r="245" spans="2:9">
      <c r="B245" s="208" t="s">
        <v>17</v>
      </c>
      <c r="C245" s="69">
        <f>+Resumen!D95</f>
        <v>-372.73817526708649</v>
      </c>
      <c r="D245" s="69">
        <f>+Resumen!E95</f>
        <v>-72.904425460673451</v>
      </c>
      <c r="E245" s="69">
        <f>+Resumen!F95</f>
        <v>-72.930904468233337</v>
      </c>
      <c r="F245" s="69">
        <f>+Resumen!G95</f>
        <v>-67.850376331422581</v>
      </c>
      <c r="G245" s="69">
        <f>+Resumen!H95</f>
        <v>-60.828813469591807</v>
      </c>
      <c r="H245" s="69">
        <f t="shared" si="13"/>
        <v>-647.25269499700767</v>
      </c>
      <c r="I245" s="472">
        <v>-607.14777733723236</v>
      </c>
    </row>
    <row r="246" spans="2:9">
      <c r="B246" s="208" t="s">
        <v>18</v>
      </c>
      <c r="C246" s="69">
        <f>+Resumen!D96</f>
        <v>233.18251382391463</v>
      </c>
      <c r="D246" s="69">
        <f>+Resumen!E96</f>
        <v>-164.14407545366566</v>
      </c>
      <c r="E246" s="69">
        <f>+Resumen!F96</f>
        <v>43.757094443126022</v>
      </c>
      <c r="F246" s="69">
        <f>+Resumen!G96</f>
        <v>149.22461625103261</v>
      </c>
      <c r="G246" s="69">
        <f>+Resumen!H96</f>
        <v>-16.734562666112197</v>
      </c>
      <c r="H246" s="69">
        <f t="shared" si="13"/>
        <v>245.28558639829544</v>
      </c>
      <c r="I246" s="472">
        <v>367.01636106333797</v>
      </c>
    </row>
    <row r="247" spans="2:9">
      <c r="B247" s="208" t="s">
        <v>19</v>
      </c>
      <c r="C247" s="69">
        <f>+Resumen!D97</f>
        <v>111.48390023555157</v>
      </c>
      <c r="D247" s="69">
        <f>+Resumen!E97</f>
        <v>-175.25878153012252</v>
      </c>
      <c r="E247" s="69">
        <f>+Resumen!F97</f>
        <v>107.8846734613515</v>
      </c>
      <c r="F247" s="69">
        <f>+Resumen!G97</f>
        <v>28.923802762193063</v>
      </c>
      <c r="G247" s="69">
        <f>+Resumen!H97</f>
        <v>-9.1226844566780301</v>
      </c>
      <c r="H247" s="69">
        <f t="shared" si="13"/>
        <v>63.910910472295583</v>
      </c>
      <c r="I247" s="472">
        <v>64.790186840430081</v>
      </c>
    </row>
    <row r="248" spans="2:9">
      <c r="B248" s="208" t="s">
        <v>20</v>
      </c>
      <c r="C248" s="69">
        <f>+Resumen!D98</f>
        <v>-287.6690387522217</v>
      </c>
      <c r="D248" s="69">
        <f>+Resumen!E98</f>
        <v>168.94004745217364</v>
      </c>
      <c r="E248" s="69">
        <f>+Resumen!F98</f>
        <v>-42.559481500459668</v>
      </c>
      <c r="F248" s="69">
        <f>+Resumen!G98</f>
        <v>-96.841075000314419</v>
      </c>
      <c r="G248" s="69">
        <f>+Resumen!H98</f>
        <v>17.886806432893309</v>
      </c>
      <c r="H248" s="69">
        <f t="shared" si="13"/>
        <v>-240.24274136792883</v>
      </c>
      <c r="I248" s="472">
        <v>-229.88839137005988</v>
      </c>
    </row>
    <row r="249" spans="2:9">
      <c r="B249" s="208" t="s">
        <v>60</v>
      </c>
      <c r="C249" s="69">
        <f>+Resumen!D99</f>
        <v>-330.88982989589476</v>
      </c>
      <c r="D249" s="69">
        <f>+Resumen!E99</f>
        <v>-141.31915986463412</v>
      </c>
      <c r="E249" s="69">
        <f>+Resumen!F99</f>
        <v>-38.318329137393761</v>
      </c>
      <c r="F249" s="69">
        <f>+Resumen!G99</f>
        <v>-34.701490814587714</v>
      </c>
      <c r="G249" s="69">
        <f>+Resumen!H99</f>
        <v>-46.523605445827741</v>
      </c>
      <c r="H249" s="69">
        <f t="shared" si="13"/>
        <v>-591.75241515833818</v>
      </c>
      <c r="I249" s="472">
        <v>-581.89620109603788</v>
      </c>
    </row>
    <row r="250" spans="2:9">
      <c r="B250" s="208" t="s">
        <v>61</v>
      </c>
      <c r="C250" s="69">
        <f>+Resumen!D100</f>
        <v>1563.2178358709025</v>
      </c>
      <c r="D250" s="69">
        <f>+Resumen!E100</f>
        <v>50.530840293852521</v>
      </c>
      <c r="E250" s="69">
        <f>+Resumen!F100</f>
        <v>10.907450562798431</v>
      </c>
      <c r="F250" s="69">
        <f>+Resumen!G100</f>
        <v>-94.282773566798937</v>
      </c>
      <c r="G250" s="69">
        <f>+Resumen!H100</f>
        <v>57.888684632611955</v>
      </c>
      <c r="H250" s="69">
        <f t="shared" si="13"/>
        <v>1588.2620377933665</v>
      </c>
      <c r="I250" s="472">
        <v>1222.594584518883</v>
      </c>
    </row>
    <row r="251" spans="2:9">
      <c r="B251" s="208" t="s">
        <v>62</v>
      </c>
      <c r="C251" s="69">
        <f>+Resumen!D101</f>
        <v>2483.7056313109806</v>
      </c>
      <c r="D251" s="69">
        <f>+Resumen!E101</f>
        <v>-29.937987572344127</v>
      </c>
      <c r="E251" s="69">
        <f>+Resumen!F101</f>
        <v>56.065736834169144</v>
      </c>
      <c r="F251" s="69">
        <f>+Resumen!G101</f>
        <v>-65.198731240883362</v>
      </c>
      <c r="G251" s="69">
        <f>+Resumen!H101</f>
        <v>97.216750604207959</v>
      </c>
      <c r="H251" s="69">
        <f t="shared" si="13"/>
        <v>2541.8513999361298</v>
      </c>
      <c r="I251" s="472">
        <v>2214.5367895848717</v>
      </c>
    </row>
    <row r="252" spans="2:9">
      <c r="B252" s="208" t="s">
        <v>63</v>
      </c>
      <c r="C252" s="69">
        <f>+Resumen!D102</f>
        <v>248.58680000766026</v>
      </c>
      <c r="D252" s="69">
        <f>+Resumen!E102</f>
        <v>-45.133510090845334</v>
      </c>
      <c r="E252" s="69">
        <f>+Resumen!F102</f>
        <v>44.978667488107675</v>
      </c>
      <c r="F252" s="69">
        <f>+Resumen!G102</f>
        <v>-93.071312216563911</v>
      </c>
      <c r="G252" s="69">
        <f>+Resumen!H102</f>
        <v>104.78718976789298</v>
      </c>
      <c r="H252" s="69">
        <f t="shared" si="13"/>
        <v>260.1478349562517</v>
      </c>
      <c r="I252" s="472">
        <v>315.36819567696364</v>
      </c>
    </row>
    <row r="253" spans="2:9">
      <c r="B253" s="209" t="s">
        <v>64</v>
      </c>
      <c r="C253" s="70">
        <f>+Resumen!D103</f>
        <v>1891.5256677236657</v>
      </c>
      <c r="D253" s="70">
        <f>+Resumen!E103</f>
        <v>-484.82213191392617</v>
      </c>
      <c r="E253" s="70">
        <f>+Resumen!F103</f>
        <v>98.540850940543663</v>
      </c>
      <c r="F253" s="70">
        <f>+Resumen!G103</f>
        <v>709.50111957207389</v>
      </c>
      <c r="G253" s="70">
        <f>+Resumen!H103</f>
        <v>458.09106643270138</v>
      </c>
      <c r="H253" s="70">
        <f t="shared" si="13"/>
        <v>2672.8365727550581</v>
      </c>
      <c r="I253" s="471">
        <v>2233.5929316978545</v>
      </c>
    </row>
    <row r="254" spans="2:9">
      <c r="B254" s="208"/>
      <c r="C254" s="69"/>
      <c r="D254" s="69"/>
      <c r="E254" s="69"/>
      <c r="F254" s="69"/>
      <c r="G254" s="69"/>
      <c r="H254" s="69"/>
    </row>
    <row r="255" spans="2:9">
      <c r="B255" s="208"/>
      <c r="C255" s="69"/>
      <c r="D255" s="69"/>
      <c r="E255" s="69"/>
      <c r="F255" s="69"/>
      <c r="G255" s="69"/>
      <c r="H255" s="69"/>
    </row>
    <row r="257" spans="2:9" ht="18.75">
      <c r="B257" s="258" t="str">
        <f>"Cuadro 11a: Componentes del saldo relativo total ligado a otro gasto territorializable, millones de euros, ejercicio "&amp;(Resumen!C2)</f>
        <v>Cuadro 11a: Componentes del saldo relativo total ligado a otro gasto territorializable, millones de euros, ejercicio 2014</v>
      </c>
    </row>
    <row r="258" spans="2:9" ht="27.75" thickBot="1">
      <c r="B258" s="275"/>
      <c r="C258" s="257" t="s">
        <v>520</v>
      </c>
      <c r="D258" s="257" t="s">
        <v>521</v>
      </c>
      <c r="E258" s="257" t="s">
        <v>522</v>
      </c>
      <c r="F258" s="257" t="s">
        <v>523</v>
      </c>
      <c r="G258" s="257" t="s">
        <v>524</v>
      </c>
      <c r="H258" s="257" t="s">
        <v>525</v>
      </c>
      <c r="I258" s="255" t="str">
        <f>"Total otro gasto territoria-lizable, "&amp;(Resumen!C2-1)</f>
        <v>Total otro gasto territoria-lizable, 2013</v>
      </c>
    </row>
    <row r="259" spans="2:9">
      <c r="B259" s="208" t="s">
        <v>9</v>
      </c>
      <c r="C259" s="72">
        <f t="array" ref="C259:C276">TRANSPOSE(Saldo_relativo_total!E295:V295)</f>
        <v>39.990620877341932</v>
      </c>
      <c r="D259" s="73">
        <f t="array" ref="D259:D276">TRANSPOSE(Saldo_relativo_total!E321:V321)</f>
        <v>19.07840443266015</v>
      </c>
      <c r="E259" s="73">
        <f t="array" ref="E259:E276">TRANSPOSE(Saldo_relativo_total!E335:V335)</f>
        <v>-219.45829297404472</v>
      </c>
      <c r="F259" s="73">
        <f t="array" ref="F259:F276">TRANSPOSE(Saldo_relativo_total!E355:V355)</f>
        <v>25.131753569786973</v>
      </c>
      <c r="G259" s="73">
        <f t="array" ref="G259:G276">TRANSPOSE(Saldo_relativo_total!E360:V360)</f>
        <v>-94.785614251707713</v>
      </c>
      <c r="H259" s="72">
        <f>+SUM(C259:G259)</f>
        <v>-230.0431283459634</v>
      </c>
      <c r="I259" s="477">
        <v>-290.14459525088097</v>
      </c>
    </row>
    <row r="260" spans="2:9">
      <c r="B260" s="208" t="s">
        <v>10</v>
      </c>
      <c r="C260" s="72">
        <v>26.014808460998129</v>
      </c>
      <c r="D260" s="73">
        <v>1.0770335577538099</v>
      </c>
      <c r="E260" s="73">
        <v>8.377900745741174</v>
      </c>
      <c r="F260" s="73">
        <v>38.006821029452915</v>
      </c>
      <c r="G260" s="73">
        <v>-11.027263627787637</v>
      </c>
      <c r="H260" s="72">
        <f t="shared" ref="H260:H276" si="14">+SUM(C260:G260)</f>
        <v>62.449300166158395</v>
      </c>
      <c r="I260" s="477">
        <v>53.614014956466377</v>
      </c>
    </row>
    <row r="261" spans="2:9">
      <c r="B261" s="208" t="s">
        <v>11</v>
      </c>
      <c r="C261" s="72">
        <v>-5.7515263446620324</v>
      </c>
      <c r="D261" s="73">
        <v>0.85672577705174768</v>
      </c>
      <c r="E261" s="73">
        <v>-8.3668060767389143</v>
      </c>
      <c r="F261" s="73">
        <v>10.728898142236854</v>
      </c>
      <c r="G261" s="73">
        <v>-10.510991269967874</v>
      </c>
      <c r="H261" s="72">
        <f t="shared" si="14"/>
        <v>-13.04369977208022</v>
      </c>
      <c r="I261" s="477">
        <v>-15.797312823349593</v>
      </c>
    </row>
    <row r="262" spans="2:9">
      <c r="B262" s="208" t="s">
        <v>31</v>
      </c>
      <c r="C262" s="72">
        <v>-14.20772019927179</v>
      </c>
      <c r="D262" s="73">
        <v>-2.9891495442657616</v>
      </c>
      <c r="E262" s="73">
        <v>6.4578260306424051E-2</v>
      </c>
      <c r="F262" s="73">
        <v>-11.141142102691544</v>
      </c>
      <c r="G262" s="73">
        <v>9.4103146993942062</v>
      </c>
      <c r="H262" s="72">
        <f t="shared" si="14"/>
        <v>-18.863118886528468</v>
      </c>
      <c r="I262" s="477">
        <v>-8.7038680760773897</v>
      </c>
    </row>
    <row r="263" spans="2:9">
      <c r="B263" s="208" t="s">
        <v>12</v>
      </c>
      <c r="C263" s="72">
        <v>-10.361760816355559</v>
      </c>
      <c r="D263" s="73">
        <v>6.85821221118323</v>
      </c>
      <c r="E263" s="73">
        <v>-27.77614219936418</v>
      </c>
      <c r="F263" s="73">
        <v>-11.218591892238866</v>
      </c>
      <c r="G263" s="73">
        <v>-25.668860021577309</v>
      </c>
      <c r="H263" s="72">
        <f t="shared" si="14"/>
        <v>-68.167142718352693</v>
      </c>
      <c r="I263" s="477">
        <v>-62.260923233081357</v>
      </c>
    </row>
    <row r="264" spans="2:9">
      <c r="B264" s="208" t="s">
        <v>13</v>
      </c>
      <c r="C264" s="72">
        <v>5.3324382473551575</v>
      </c>
      <c r="D264" s="73">
        <v>0.38773990181567741</v>
      </c>
      <c r="E264" s="73">
        <v>-13.602336646439051</v>
      </c>
      <c r="F264" s="73">
        <v>-0.77466655543440832</v>
      </c>
      <c r="G264" s="73">
        <v>1.2516972764705745</v>
      </c>
      <c r="H264" s="72">
        <f t="shared" si="14"/>
        <v>-7.4051277762320495</v>
      </c>
      <c r="I264" s="477">
        <v>-8.9332839151931083</v>
      </c>
    </row>
    <row r="265" spans="2:9">
      <c r="B265" s="208" t="s">
        <v>14</v>
      </c>
      <c r="C265" s="72">
        <v>26.291481273382626</v>
      </c>
      <c r="D265" s="73">
        <v>-0.77564918042868969</v>
      </c>
      <c r="E265" s="73">
        <v>81.015712956036808</v>
      </c>
      <c r="F265" s="73">
        <v>-2.3825077744357679</v>
      </c>
      <c r="G265" s="73">
        <v>-5.4713566129008919</v>
      </c>
      <c r="H265" s="72">
        <f t="shared" si="14"/>
        <v>98.677680661654094</v>
      </c>
      <c r="I265" s="477">
        <v>109.54649238836267</v>
      </c>
    </row>
    <row r="266" spans="2:9">
      <c r="B266" s="208" t="s">
        <v>491</v>
      </c>
      <c r="C266" s="72">
        <v>-11.326290868409131</v>
      </c>
      <c r="D266" s="73">
        <v>0.9589480970797295</v>
      </c>
      <c r="E266" s="73">
        <v>-69.50121027458141</v>
      </c>
      <c r="F266" s="73">
        <v>-3.7820544232947206</v>
      </c>
      <c r="G266" s="73">
        <v>-13.805056333909697</v>
      </c>
      <c r="H266" s="72">
        <f t="shared" si="14"/>
        <v>-97.455663803115243</v>
      </c>
      <c r="I266" s="477">
        <v>-46.118416765322536</v>
      </c>
    </row>
    <row r="267" spans="2:9">
      <c r="B267" s="208" t="s">
        <v>16</v>
      </c>
      <c r="C267" s="72">
        <v>-130.50926836312556</v>
      </c>
      <c r="D267" s="73">
        <v>-36.342469134691939</v>
      </c>
      <c r="E267" s="73">
        <v>343.29649210356695</v>
      </c>
      <c r="F267" s="73">
        <v>44.232464736994672</v>
      </c>
      <c r="G267" s="73">
        <v>-7.7650612385639421</v>
      </c>
      <c r="H267" s="72">
        <f t="shared" si="14"/>
        <v>212.91215810418018</v>
      </c>
      <c r="I267" s="477">
        <v>184.53714739192165</v>
      </c>
    </row>
    <row r="268" spans="2:9">
      <c r="B268" s="208" t="s">
        <v>17</v>
      </c>
      <c r="C268" s="72">
        <v>-39.339653617340282</v>
      </c>
      <c r="D268" s="73">
        <v>-0.8722124317999328</v>
      </c>
      <c r="E268" s="73">
        <v>-247.70508083324751</v>
      </c>
      <c r="F268" s="73">
        <v>-6.1604915487300849</v>
      </c>
      <c r="G268" s="73">
        <v>-9.6266236946086767</v>
      </c>
      <c r="H268" s="72">
        <f t="shared" si="14"/>
        <v>-303.70406212572647</v>
      </c>
      <c r="I268" s="477">
        <v>-326.11215579314978</v>
      </c>
    </row>
    <row r="269" spans="2:9">
      <c r="B269" s="208" t="s">
        <v>18</v>
      </c>
      <c r="C269" s="72">
        <v>10.081695578995054</v>
      </c>
      <c r="D269" s="73">
        <v>1.7216984702159079</v>
      </c>
      <c r="E269" s="73">
        <v>-18.965902760281342</v>
      </c>
      <c r="F269" s="73">
        <v>-3.3742384785951094</v>
      </c>
      <c r="G269" s="73">
        <v>-7.8095965123519173</v>
      </c>
      <c r="H269" s="72">
        <f t="shared" si="14"/>
        <v>-18.346343702017407</v>
      </c>
      <c r="I269" s="477">
        <v>-17.073865861306714</v>
      </c>
    </row>
    <row r="270" spans="2:9">
      <c r="B270" s="208" t="s">
        <v>19</v>
      </c>
      <c r="C270" s="72">
        <v>72.67416755882472</v>
      </c>
      <c r="D270" s="73">
        <v>-0.86914707324921714</v>
      </c>
      <c r="E270" s="73">
        <v>-89.39963818350158</v>
      </c>
      <c r="F270" s="73">
        <v>-19.792619638613374</v>
      </c>
      <c r="G270" s="73">
        <v>12.386329006639714</v>
      </c>
      <c r="H270" s="72">
        <f t="shared" si="14"/>
        <v>-25.000908329899744</v>
      </c>
      <c r="I270" s="477">
        <v>-40.502305128401979</v>
      </c>
    </row>
    <row r="271" spans="2:9">
      <c r="B271" s="208" t="s">
        <v>20</v>
      </c>
      <c r="C271" s="72">
        <v>53.817553963275671</v>
      </c>
      <c r="D271" s="73">
        <v>7.4525742371714356</v>
      </c>
      <c r="E271" s="73">
        <v>-65.311420839980343</v>
      </c>
      <c r="F271" s="73">
        <v>-58.474600316356302</v>
      </c>
      <c r="G271" s="73">
        <v>177.80920314290663</v>
      </c>
      <c r="H271" s="72">
        <f t="shared" si="14"/>
        <v>115.29331018701708</v>
      </c>
      <c r="I271" s="477">
        <v>160.98478984823552</v>
      </c>
    </row>
    <row r="272" spans="2:9">
      <c r="B272" s="208" t="s">
        <v>60</v>
      </c>
      <c r="C272" s="72">
        <v>17.237129938865781</v>
      </c>
      <c r="D272" s="73">
        <v>7.0285308699618767</v>
      </c>
      <c r="E272" s="73">
        <v>-76.912066489612741</v>
      </c>
      <c r="F272" s="73">
        <v>-3.081397692611946</v>
      </c>
      <c r="G272" s="73">
        <v>-12.524791566720637</v>
      </c>
      <c r="H272" s="72">
        <f t="shared" si="14"/>
        <v>-68.25259494011766</v>
      </c>
      <c r="I272" s="477">
        <v>-79.371188675215322</v>
      </c>
    </row>
    <row r="273" spans="2:9">
      <c r="B273" s="208" t="s">
        <v>61</v>
      </c>
      <c r="C273" s="72">
        <v>-11.213429354672588</v>
      </c>
      <c r="D273" s="73">
        <v>0.20680235050806237</v>
      </c>
      <c r="E273" s="73">
        <v>46.955104557158784</v>
      </c>
      <c r="F273" s="73">
        <v>1.710926844348527E-2</v>
      </c>
      <c r="G273" s="73">
        <v>1.1198148808063899</v>
      </c>
      <c r="H273" s="72">
        <f t="shared" si="14"/>
        <v>37.085401702244134</v>
      </c>
      <c r="I273" s="477">
        <v>37.893736374557278</v>
      </c>
    </row>
    <row r="274" spans="2:9">
      <c r="B274" s="208" t="s">
        <v>62</v>
      </c>
      <c r="C274" s="72">
        <v>-45.779571150705969</v>
      </c>
      <c r="D274" s="73">
        <v>-2.7758404091050601</v>
      </c>
      <c r="E274" s="73">
        <v>258.75695541065153</v>
      </c>
      <c r="F274" s="73">
        <v>6.3262384647073178E-2</v>
      </c>
      <c r="G274" s="73">
        <v>2.5544240639469606</v>
      </c>
      <c r="H274" s="72">
        <f t="shared" si="14"/>
        <v>212.81923029943451</v>
      </c>
      <c r="I274" s="477">
        <v>228.51844225243295</v>
      </c>
    </row>
    <row r="275" spans="2:9">
      <c r="B275" s="208" t="s">
        <v>63</v>
      </c>
      <c r="C275" s="72">
        <v>1.0567945017858869</v>
      </c>
      <c r="D275" s="73">
        <v>-0.1719056228785453</v>
      </c>
      <c r="E275" s="73">
        <v>30.909740370068494</v>
      </c>
      <c r="F275" s="73">
        <v>4.6699353623815707</v>
      </c>
      <c r="G275" s="73">
        <v>-3.1393566174488159</v>
      </c>
      <c r="H275" s="72">
        <f t="shared" si="14"/>
        <v>33.325207993908585</v>
      </c>
      <c r="I275" s="477">
        <v>37.246902120399596</v>
      </c>
    </row>
    <row r="276" spans="2:9">
      <c r="B276" s="209" t="s">
        <v>64</v>
      </c>
      <c r="C276" s="74">
        <v>15.992530313718861</v>
      </c>
      <c r="D276" s="75">
        <v>-0.83029650898250562</v>
      </c>
      <c r="E276" s="75">
        <v>67.622412874263858</v>
      </c>
      <c r="F276" s="75">
        <v>-2.667934070941552</v>
      </c>
      <c r="G276" s="75">
        <v>-2.3972113226197176</v>
      </c>
      <c r="H276" s="74">
        <f t="shared" si="14"/>
        <v>77.719501285438952</v>
      </c>
      <c r="I276" s="478">
        <v>82.676390189604859</v>
      </c>
    </row>
    <row r="277" spans="2:9">
      <c r="B277" s="208"/>
      <c r="C277" s="72"/>
      <c r="D277" s="73"/>
      <c r="E277" s="73"/>
      <c r="F277" s="73"/>
      <c r="G277" s="73"/>
      <c r="H277" s="72"/>
    </row>
    <row r="278" spans="2:9">
      <c r="B278" s="208"/>
      <c r="C278" s="72"/>
      <c r="D278" s="73"/>
      <c r="E278" s="73"/>
      <c r="F278" s="73"/>
      <c r="G278" s="73"/>
      <c r="H278" s="72"/>
    </row>
    <row r="280" spans="2:9" ht="18.75">
      <c r="B280" s="258" t="str">
        <f>"Cuadro 11b: Componentes del saldo relativo per cápita ligado a otro gasto territorializable, euros, ejercicio "&amp; (Resumen!C2)</f>
        <v>Cuadro 11b: Componentes del saldo relativo per cápita ligado a otro gasto territorializable, euros, ejercicio 2014</v>
      </c>
    </row>
    <row r="281" spans="2:9" s="25" customFormat="1" ht="27.75" thickBot="1">
      <c r="B281" s="280"/>
      <c r="C281" s="281" t="s">
        <v>520</v>
      </c>
      <c r="D281" s="281" t="s">
        <v>521</v>
      </c>
      <c r="E281" s="281" t="s">
        <v>522</v>
      </c>
      <c r="F281" s="281" t="s">
        <v>523</v>
      </c>
      <c r="G281" s="281" t="s">
        <v>524</v>
      </c>
      <c r="H281" s="281" t="s">
        <v>525</v>
      </c>
      <c r="I281" s="257" t="str">
        <f>"Total otro gasto territorializable "&amp; (Resumen!C2-1)</f>
        <v>Total otro gasto territorializable 2013</v>
      </c>
    </row>
    <row r="282" spans="2:9">
      <c r="B282" s="208" t="s">
        <v>9</v>
      </c>
      <c r="C282" s="73">
        <f t="array" ref="C282:C299">TRANSPOSE(Saldo_relativo_per_capita!E295:V295)</f>
        <v>4.7604062337548072</v>
      </c>
      <c r="D282" s="73">
        <f t="array" ref="D282:D299">TRANSPOSE(Saldo_relativo_per_capita!E321:V321)</f>
        <v>2.2710563976962028</v>
      </c>
      <c r="E282" s="73">
        <f t="array" ref="E282:E299">TRANSPOSE(Saldo_relativo_per_capita!E335:V335)</f>
        <v>-26.123891127550564</v>
      </c>
      <c r="F282" s="73">
        <f t="array" ref="F282:F299">+TRANSPOSE(Saldo_relativo_per_capita!E355:V355)</f>
        <v>2.991635381849953</v>
      </c>
      <c r="G282" s="73">
        <f t="array" ref="G282:G299">+TRANSPOSE(Saldo_relativo_per_capita!E360:V360)</f>
        <v>-11.283096362471358</v>
      </c>
      <c r="H282" s="72">
        <f>+SUM(C282:G282)</f>
        <v>-27.38388947672096</v>
      </c>
      <c r="I282" s="477">
        <v>-34.453648381694038</v>
      </c>
    </row>
    <row r="283" spans="2:9">
      <c r="B283" s="208" t="s">
        <v>10</v>
      </c>
      <c r="C283" s="73">
        <v>19.684090129809363</v>
      </c>
      <c r="D283" s="73">
        <v>0.81493683320556798</v>
      </c>
      <c r="E283" s="73">
        <v>6.3391338677355407</v>
      </c>
      <c r="F283" s="73">
        <v>28.757839667084017</v>
      </c>
      <c r="G283" s="73">
        <v>-8.3437727961735</v>
      </c>
      <c r="H283" s="72">
        <f t="shared" ref="H283:H299" si="15">+SUM(C283:G283)</f>
        <v>47.252227701660985</v>
      </c>
      <c r="I283" s="477">
        <v>40.122217262985416</v>
      </c>
    </row>
    <row r="284" spans="2:9">
      <c r="B284" s="208" t="s">
        <v>11</v>
      </c>
      <c r="C284" s="73">
        <v>-5.4439821812857474</v>
      </c>
      <c r="D284" s="73">
        <v>0.81091515278314574</v>
      </c>
      <c r="E284" s="73">
        <v>-7.9194183363714501</v>
      </c>
      <c r="F284" s="73">
        <v>10.155205211808749</v>
      </c>
      <c r="G284" s="73">
        <v>-9.9489502007518986</v>
      </c>
      <c r="H284" s="72">
        <f t="shared" si="15"/>
        <v>-12.346230353817202</v>
      </c>
      <c r="I284" s="477">
        <v>-14.833707750991321</v>
      </c>
    </row>
    <row r="285" spans="2:9">
      <c r="B285" s="208" t="s">
        <v>31</v>
      </c>
      <c r="C285" s="73">
        <v>-12.869772242097241</v>
      </c>
      <c r="D285" s="73">
        <v>-2.7076598703176078</v>
      </c>
      <c r="E285" s="73">
        <v>5.8496893961716978E-2</v>
      </c>
      <c r="F285" s="73">
        <v>-10.09197530409063</v>
      </c>
      <c r="G285" s="73">
        <v>8.5241407635456206</v>
      </c>
      <c r="H285" s="72">
        <f t="shared" si="15"/>
        <v>-17.086769758998141</v>
      </c>
      <c r="I285" s="477">
        <v>-7.8586115364408791</v>
      </c>
    </row>
    <row r="286" spans="2:9">
      <c r="B286" s="208" t="s">
        <v>12</v>
      </c>
      <c r="C286" s="73">
        <v>-4.928162978594699</v>
      </c>
      <c r="D286" s="73">
        <v>3.2618382259075211</v>
      </c>
      <c r="E286" s="73">
        <v>-13.210626852052144</v>
      </c>
      <c r="F286" s="73">
        <v>-5.3356808958595323</v>
      </c>
      <c r="G286" s="73">
        <v>-12.208381172183778</v>
      </c>
      <c r="H286" s="72">
        <f t="shared" si="15"/>
        <v>-32.421013672782635</v>
      </c>
      <c r="I286" s="477">
        <v>-29.483135637498883</v>
      </c>
    </row>
    <row r="287" spans="2:9">
      <c r="B287" s="208" t="s">
        <v>13</v>
      </c>
      <c r="C287" s="73">
        <v>9.0854988092111029</v>
      </c>
      <c r="D287" s="73">
        <v>0.66063782697854023</v>
      </c>
      <c r="E287" s="73">
        <v>-23.175892091203707</v>
      </c>
      <c r="F287" s="73">
        <v>-1.3198900278734378</v>
      </c>
      <c r="G287" s="73">
        <v>2.1326630684390473</v>
      </c>
      <c r="H287" s="72">
        <f t="shared" si="15"/>
        <v>-12.616982414448454</v>
      </c>
      <c r="I287" s="477">
        <v>-15.13418206385041</v>
      </c>
    </row>
    <row r="288" spans="2:9">
      <c r="B288" s="208" t="s">
        <v>14</v>
      </c>
      <c r="C288" s="73">
        <v>10.586799931780646</v>
      </c>
      <c r="D288" s="73">
        <v>-0.31233092593993916</v>
      </c>
      <c r="E288" s="73">
        <v>32.622625384917342</v>
      </c>
      <c r="F288" s="73">
        <v>-0.95936523627518966</v>
      </c>
      <c r="G288" s="73">
        <v>-2.2031530750931445</v>
      </c>
      <c r="H288" s="72">
        <f t="shared" si="15"/>
        <v>39.734576079389711</v>
      </c>
      <c r="I288" s="477">
        <v>43.690452857115147</v>
      </c>
    </row>
    <row r="289" spans="2:10">
      <c r="B289" s="208" t="s">
        <v>491</v>
      </c>
      <c r="C289" s="73">
        <v>-5.4745446342812585</v>
      </c>
      <c r="D289" s="73">
        <v>0.46350603391836032</v>
      </c>
      <c r="E289" s="73">
        <v>-33.593299183760564</v>
      </c>
      <c r="F289" s="73">
        <v>-1.828049975950865</v>
      </c>
      <c r="G289" s="73">
        <v>-6.6726519702536251</v>
      </c>
      <c r="H289" s="72">
        <f t="shared" si="15"/>
        <v>-47.105039730327945</v>
      </c>
      <c r="I289" s="477">
        <v>-22.06829240023291</v>
      </c>
    </row>
    <row r="290" spans="2:10">
      <c r="B290" s="208" t="s">
        <v>16</v>
      </c>
      <c r="C290" s="73">
        <v>-17.369959432795383</v>
      </c>
      <c r="D290" s="73">
        <v>-4.8369531334801144</v>
      </c>
      <c r="E290" s="73">
        <v>45.690595128221048</v>
      </c>
      <c r="F290" s="73">
        <v>5.8870617215967158</v>
      </c>
      <c r="G290" s="73">
        <v>-1.0334806132829151</v>
      </c>
      <c r="H290" s="72">
        <f t="shared" si="15"/>
        <v>28.33726367025935</v>
      </c>
      <c r="I290" s="477">
        <v>24.486514977511987</v>
      </c>
    </row>
    <row r="291" spans="2:10">
      <c r="B291" s="208" t="s">
        <v>17</v>
      </c>
      <c r="C291" s="73">
        <v>-7.8793297498171171</v>
      </c>
      <c r="D291" s="73">
        <v>-0.17469521793176845</v>
      </c>
      <c r="E291" s="73">
        <v>-49.612790991376727</v>
      </c>
      <c r="F291" s="73">
        <v>-1.2338833688156825</v>
      </c>
      <c r="G291" s="73">
        <v>-1.928114141650461</v>
      </c>
      <c r="H291" s="72">
        <f t="shared" si="15"/>
        <v>-60.828813469591758</v>
      </c>
      <c r="I291" s="477">
        <v>-64.457583913668756</v>
      </c>
    </row>
    <row r="292" spans="2:10">
      <c r="B292" s="208" t="s">
        <v>18</v>
      </c>
      <c r="C292" s="73">
        <v>9.1959885406925252</v>
      </c>
      <c r="D292" s="73">
        <v>1.5704421224164307</v>
      </c>
      <c r="E292" s="73">
        <v>-17.299691612471918</v>
      </c>
      <c r="F292" s="73">
        <v>-3.0778015602230102</v>
      </c>
      <c r="G292" s="73">
        <v>-7.1235001565261769</v>
      </c>
      <c r="H292" s="72">
        <f t="shared" si="15"/>
        <v>-16.734562666112147</v>
      </c>
      <c r="I292" s="477">
        <v>-15.496085434533393</v>
      </c>
    </row>
    <row r="293" spans="2:10">
      <c r="B293" s="208" t="s">
        <v>19</v>
      </c>
      <c r="C293" s="73">
        <v>26.51837645426717</v>
      </c>
      <c r="D293" s="73">
        <v>-0.31714665687627175</v>
      </c>
      <c r="E293" s="73">
        <v>-32.621402347765837</v>
      </c>
      <c r="F293" s="73">
        <v>-7.2222105353738844</v>
      </c>
      <c r="G293" s="73">
        <v>4.5196986290707919</v>
      </c>
      <c r="H293" s="72">
        <f t="shared" si="15"/>
        <v>-9.1226844566780319</v>
      </c>
      <c r="I293" s="477">
        <v>-14.689024796165832</v>
      </c>
    </row>
    <row r="294" spans="2:10">
      <c r="B294" s="208" t="s">
        <v>20</v>
      </c>
      <c r="C294" s="73">
        <v>8.3493497486665831</v>
      </c>
      <c r="D294" s="73">
        <v>1.1562054432371127</v>
      </c>
      <c r="E294" s="73">
        <v>-10.132528422742098</v>
      </c>
      <c r="F294" s="73">
        <v>-9.071852091009303</v>
      </c>
      <c r="G294" s="73">
        <v>27.585631754741154</v>
      </c>
      <c r="H294" s="72">
        <f t="shared" si="15"/>
        <v>17.886806432893451</v>
      </c>
      <c r="I294" s="477">
        <v>24.862533085657823</v>
      </c>
    </row>
    <row r="295" spans="2:10">
      <c r="B295" s="208" t="s">
        <v>60</v>
      </c>
      <c r="C295" s="73">
        <v>11.749493671234632</v>
      </c>
      <c r="D295" s="73">
        <v>4.7909181672113252</v>
      </c>
      <c r="E295" s="73">
        <v>-52.426235786718507</v>
      </c>
      <c r="F295" s="73">
        <v>-2.1003997078578251</v>
      </c>
      <c r="G295" s="73">
        <v>-8.5373817896971929</v>
      </c>
      <c r="H295" s="72">
        <f t="shared" si="15"/>
        <v>-46.52360544582757</v>
      </c>
      <c r="I295" s="477">
        <v>-54.014821817533971</v>
      </c>
    </row>
    <row r="296" spans="2:10">
      <c r="B296" s="208" t="s">
        <v>61</v>
      </c>
      <c r="C296" s="73">
        <v>-17.503671141937097</v>
      </c>
      <c r="D296" s="73">
        <v>0.32280939400259179</v>
      </c>
      <c r="E296" s="73">
        <v>73.294857675391029</v>
      </c>
      <c r="F296" s="73">
        <v>2.670681723152768E-2</v>
      </c>
      <c r="G296" s="73">
        <v>1.7479818879239595</v>
      </c>
      <c r="H296" s="72">
        <f t="shared" si="15"/>
        <v>57.888684632612012</v>
      </c>
      <c r="I296" s="477">
        <v>58.966325867788214</v>
      </c>
    </row>
    <row r="297" spans="2:10">
      <c r="B297" s="208" t="s">
        <v>62</v>
      </c>
      <c r="C297" s="73">
        <v>-20.912307337376951</v>
      </c>
      <c r="D297" s="73">
        <v>-1.2680159795210315</v>
      </c>
      <c r="E297" s="73">
        <v>118.20130335904298</v>
      </c>
      <c r="F297" s="73">
        <v>2.8898532628883089E-2</v>
      </c>
      <c r="G297" s="73">
        <v>1.1668720294341703</v>
      </c>
      <c r="H297" s="72">
        <f t="shared" si="15"/>
        <v>97.216750604208059</v>
      </c>
      <c r="I297" s="477">
        <v>104.33043290094086</v>
      </c>
    </row>
    <row r="298" spans="2:10">
      <c r="B298" s="208" t="s">
        <v>63</v>
      </c>
      <c r="C298" s="73">
        <v>3.3229657868765656</v>
      </c>
      <c r="D298" s="73">
        <v>-0.54053697519411159</v>
      </c>
      <c r="E298" s="73">
        <v>97.192036443604707</v>
      </c>
      <c r="F298" s="73">
        <v>14.684061480159958</v>
      </c>
      <c r="G298" s="73">
        <v>-9.8713369675541145</v>
      </c>
      <c r="H298" s="72">
        <f t="shared" si="15"/>
        <v>104.787189767893</v>
      </c>
      <c r="I298" s="477">
        <v>116.2097256766842</v>
      </c>
    </row>
    <row r="299" spans="2:10">
      <c r="B299" s="209" t="s">
        <v>64</v>
      </c>
      <c r="C299" s="75">
        <v>94.262509990415282</v>
      </c>
      <c r="D299" s="75">
        <v>-4.8938993040914633</v>
      </c>
      <c r="E299" s="75">
        <v>398.57722599833107</v>
      </c>
      <c r="F299" s="75">
        <v>-15.725226532799825</v>
      </c>
      <c r="G299" s="75">
        <v>-14.129543719153467</v>
      </c>
      <c r="H299" s="74">
        <f t="shared" si="15"/>
        <v>458.09106643270161</v>
      </c>
      <c r="I299" s="478">
        <v>490.17961699105552</v>
      </c>
    </row>
    <row r="300" spans="2:10">
      <c r="B300" s="214"/>
      <c r="C300" s="214"/>
      <c r="D300" s="214"/>
      <c r="E300" s="214"/>
      <c r="F300" s="214"/>
      <c r="G300" s="214"/>
      <c r="H300" s="214"/>
      <c r="I300" s="214"/>
    </row>
    <row r="301" spans="2:10">
      <c r="B301" s="210"/>
      <c r="C301" s="210"/>
      <c r="D301" s="210"/>
      <c r="E301" s="210"/>
      <c r="F301" s="210"/>
      <c r="G301" s="210"/>
      <c r="H301" s="210"/>
      <c r="I301" s="210"/>
    </row>
    <row r="302" spans="2:10" ht="18.75">
      <c r="B302" s="258" t="str">
        <f>"Cuadro 12: Pesos de distintas partidas en los saldos fiscales relativos agregados, "&amp;(Resumen!C2)</f>
        <v>Cuadro 12: Pesos de distintas partidas en los saldos fiscales relativos agregados, 2014</v>
      </c>
    </row>
    <row r="303" spans="2:10" ht="19.5" thickBot="1">
      <c r="B303" s="258" t="s">
        <v>533</v>
      </c>
    </row>
    <row r="304" spans="2:10" ht="13.5">
      <c r="B304" s="421"/>
      <c r="C304" s="419" t="s">
        <v>526</v>
      </c>
      <c r="D304" s="419" t="s">
        <v>526</v>
      </c>
      <c r="E304" s="419" t="s">
        <v>20</v>
      </c>
      <c r="F304" s="419" t="s">
        <v>31</v>
      </c>
      <c r="G304" s="419" t="s">
        <v>16</v>
      </c>
      <c r="H304" s="419" t="s">
        <v>18</v>
      </c>
      <c r="I304" s="419" t="s">
        <v>11</v>
      </c>
      <c r="J304" s="419" t="s">
        <v>12</v>
      </c>
    </row>
    <row r="305" spans="2:10" ht="14.25" thickBot="1">
      <c r="B305" s="422"/>
      <c r="C305" s="420">
        <f>Resumen!C2</f>
        <v>2014</v>
      </c>
      <c r="D305" s="261">
        <f>C305-1</f>
        <v>2013</v>
      </c>
      <c r="E305" s="420"/>
      <c r="F305" s="420"/>
      <c r="G305" s="420"/>
      <c r="H305" s="420"/>
      <c r="I305" s="420"/>
      <c r="J305" s="420"/>
    </row>
    <row r="306" spans="2:10">
      <c r="B306" s="214" t="s">
        <v>1164</v>
      </c>
      <c r="C306" s="61"/>
      <c r="D306" s="214"/>
      <c r="E306" s="61">
        <f t="shared" ref="E306:J306" si="16">VLOOKUP(E304,$B$45:$E$64,4,FALSE)</f>
        <v>-19204.704060784832</v>
      </c>
      <c r="F306" s="61">
        <f t="shared" si="16"/>
        <v>-1515.8981670889407</v>
      </c>
      <c r="G306" s="61">
        <f t="shared" si="16"/>
        <v>-9892.3196217932327</v>
      </c>
      <c r="H306" s="61">
        <f t="shared" si="16"/>
        <v>2826.7258269383774</v>
      </c>
      <c r="I306" s="61">
        <f t="shared" si="16"/>
        <v>2098.4333733351232</v>
      </c>
      <c r="J306" s="61">
        <f t="shared" si="16"/>
        <v>4293.4492138412661</v>
      </c>
    </row>
    <row r="307" spans="2:10">
      <c r="B307" s="56" t="s">
        <v>527</v>
      </c>
      <c r="C307" s="76">
        <f>+D345</f>
        <v>0.71763541176317081</v>
      </c>
      <c r="D307" s="479">
        <v>0.72219258407475562</v>
      </c>
      <c r="E307" s="76">
        <f>+D363</f>
        <v>0.85234101550592467</v>
      </c>
      <c r="F307" s="77">
        <f>+$D354</f>
        <v>0.48540399884110358</v>
      </c>
      <c r="G307" s="77">
        <f>+$D359</f>
        <v>1.0153565706658585</v>
      </c>
      <c r="H307" s="77">
        <f>+$D361</f>
        <v>0.75564123760362734</v>
      </c>
      <c r="I307" s="77">
        <f>+$D353</f>
        <v>-7.9652511670205969E-2</v>
      </c>
      <c r="J307" s="77">
        <f>+$D355</f>
        <v>1.0809649502488174</v>
      </c>
    </row>
    <row r="308" spans="2:10">
      <c r="B308" s="56" t="s">
        <v>489</v>
      </c>
      <c r="C308" s="76">
        <f>+E345</f>
        <v>0.28236458823682908</v>
      </c>
      <c r="D308" s="479">
        <v>0.27780741592524433</v>
      </c>
      <c r="E308" s="76">
        <f>+E363</f>
        <v>0.14765898449407533</v>
      </c>
      <c r="F308" s="77">
        <f>+$E354</f>
        <v>0.51459600115889637</v>
      </c>
      <c r="G308" s="77">
        <f>+$E359</f>
        <v>-1.5356570665858505E-2</v>
      </c>
      <c r="H308" s="77">
        <f>+$E361</f>
        <v>0.24435876239637269</v>
      </c>
      <c r="I308" s="77">
        <f>+$E353</f>
        <v>1.079652511670206</v>
      </c>
      <c r="J308" s="77">
        <f>+$E355</f>
        <v>-8.0964950248817322E-2</v>
      </c>
    </row>
    <row r="309" spans="2:10">
      <c r="B309" s="49" t="s">
        <v>528</v>
      </c>
      <c r="C309" s="78">
        <f>+F346</f>
        <v>0.19242172748367328</v>
      </c>
      <c r="D309" s="480">
        <v>0.16539774930615228</v>
      </c>
      <c r="E309" s="78">
        <f>+F363</f>
        <v>8.0633211399838811E-2</v>
      </c>
      <c r="F309" s="79">
        <f>+$F354</f>
        <v>-8.1502577452661554E-2</v>
      </c>
      <c r="G309" s="79">
        <f>+$F359</f>
        <v>0.15848703800995306</v>
      </c>
      <c r="H309" s="79">
        <f>+$F361</f>
        <v>9.5131314981725584E-2</v>
      </c>
      <c r="I309" s="79">
        <f>+$F353</f>
        <v>6.0112192081156708E-2</v>
      </c>
      <c r="J309" s="79">
        <f>+$F355</f>
        <v>0.32902409961559609</v>
      </c>
    </row>
    <row r="310" spans="2:10">
      <c r="B310" s="57" t="s">
        <v>529</v>
      </c>
      <c r="C310" s="80">
        <f>+J345</f>
        <v>0.17577941156266505</v>
      </c>
      <c r="D310" s="481">
        <v>0.14102716660768264</v>
      </c>
      <c r="E310" s="80">
        <f>+J363</f>
        <v>9.6551006214886534E-2</v>
      </c>
      <c r="F310" s="79">
        <f>+$J354</f>
        <v>6.9802620946298369E-2</v>
      </c>
      <c r="G310" s="79">
        <f>+$J359</f>
        <v>0.18852941288501188</v>
      </c>
      <c r="H310" s="79">
        <f>+$J361</f>
        <v>9.0437271494594448E-2</v>
      </c>
      <c r="I310" s="79">
        <f>+$J353</f>
        <v>3.9330114344484295E-2</v>
      </c>
      <c r="J310" s="79">
        <f>+$J355</f>
        <v>3.6194355962548712E-2</v>
      </c>
    </row>
    <row r="311" spans="2:10">
      <c r="B311" s="57" t="s">
        <v>530</v>
      </c>
      <c r="C311" s="80">
        <f>+K345</f>
        <v>3.0979547145594723E-2</v>
      </c>
      <c r="D311" s="481">
        <v>2.9289551501043159E-2</v>
      </c>
      <c r="E311" s="80">
        <f>+K363</f>
        <v>1.4284334458365459E-2</v>
      </c>
      <c r="F311" s="79">
        <f>+$K354</f>
        <v>4.0372487981847935E-2</v>
      </c>
      <c r="G311" s="79">
        <f>+$K359</f>
        <v>3.0575112466410113E-2</v>
      </c>
      <c r="H311" s="79">
        <f>+$K361</f>
        <v>1.6970707473185111E-2</v>
      </c>
      <c r="I311" s="79">
        <f>+$K353</f>
        <v>5.4145689657969294E-2</v>
      </c>
      <c r="J311" s="79">
        <f>+$K355</f>
        <v>-1.4052341178805335E-2</v>
      </c>
    </row>
    <row r="312" spans="2:10">
      <c r="B312" s="57" t="s">
        <v>517</v>
      </c>
      <c r="C312" s="80">
        <f>+L345</f>
        <v>4.2602287407567122E-2</v>
      </c>
      <c r="D312" s="481">
        <v>5.4559499669422737E-2</v>
      </c>
      <c r="E312" s="80">
        <f>+L363</f>
        <v>3.2502987720778621E-2</v>
      </c>
      <c r="F312" s="79">
        <f>+$L354</f>
        <v>-0.14842158484833023</v>
      </c>
      <c r="G312" s="79">
        <f>+$L359</f>
        <v>6.4706836423021857E-2</v>
      </c>
      <c r="H312" s="79">
        <f>+$L361</f>
        <v>5.7875124992272237E-2</v>
      </c>
      <c r="I312" s="79">
        <f>+$L353</f>
        <v>-9.3820273625050507E-5</v>
      </c>
      <c r="J312" s="79">
        <f>+$L355</f>
        <v>0.23350356976430031</v>
      </c>
    </row>
    <row r="313" spans="2:10">
      <c r="B313" s="57" t="s">
        <v>531</v>
      </c>
      <c r="C313" s="80">
        <f>+M345</f>
        <v>-1.7430332580715377E-4</v>
      </c>
      <c r="D313" s="481">
        <v>-1.5917339419661196E-3</v>
      </c>
      <c r="E313" s="80">
        <f>+M363</f>
        <v>-6.0033890562489894E-3</v>
      </c>
      <c r="F313" s="79">
        <f>+M$354</f>
        <v>1.2443526416258165E-2</v>
      </c>
      <c r="G313" s="79">
        <f>+N$359</f>
        <v>0</v>
      </c>
      <c r="H313" s="79">
        <f>+O$361</f>
        <v>0</v>
      </c>
      <c r="I313" s="79">
        <f>+P$353</f>
        <v>0</v>
      </c>
      <c r="J313" s="79">
        <f>+Q$355</f>
        <v>0</v>
      </c>
    </row>
    <row r="314" spans="2:10">
      <c r="B314" s="49" t="s">
        <v>508</v>
      </c>
      <c r="C314" s="78">
        <f>+G345</f>
        <v>-1.471042048850359E-2</v>
      </c>
      <c r="D314" s="480">
        <v>-3.3179704410890142E-3</v>
      </c>
      <c r="E314" s="78">
        <f>+G363</f>
        <v>-5.1727217942415228E-2</v>
      </c>
      <c r="F314" s="81">
        <f>+$G354</f>
        <v>0.49483004029893152</v>
      </c>
      <c r="G314" s="81">
        <f>+$G359</f>
        <v>-0.20658186917518737</v>
      </c>
      <c r="H314" s="81">
        <f>+$G361</f>
        <v>-0.12258477156142004</v>
      </c>
      <c r="I314" s="81">
        <f>+$G353</f>
        <v>0.87909012702571387</v>
      </c>
      <c r="J314" s="81">
        <f>+$G355</f>
        <v>-0.41876945681083777</v>
      </c>
    </row>
    <row r="315" spans="2:10">
      <c r="B315" s="208" t="s">
        <v>509</v>
      </c>
      <c r="C315" s="384">
        <f>+H345</f>
        <v>8.1041918248589265E-2</v>
      </c>
      <c r="D315" s="482">
        <v>9.0610728358639286E-2</v>
      </c>
      <c r="E315" s="384">
        <f>+H363</f>
        <v>5.3560194732285162E-2</v>
      </c>
      <c r="F315" s="385">
        <f>+$H354</f>
        <v>0.10572751203376293</v>
      </c>
      <c r="G315" s="385">
        <f>+$H359</f>
        <v>8.1255329174025254E-2</v>
      </c>
      <c r="H315" s="385">
        <f>+$H361</f>
        <v>0.18282877862164398</v>
      </c>
      <c r="I315" s="385">
        <f>+$H353</f>
        <v>-1.9846742922193752E-2</v>
      </c>
      <c r="J315" s="385">
        <f>+$H355</f>
        <v>-3.2720350808243419E-2</v>
      </c>
    </row>
    <row r="316" spans="2:10">
      <c r="B316" s="209" t="s">
        <v>532</v>
      </c>
      <c r="C316" s="386">
        <f>+I345</f>
        <v>3.7818045219948401E-2</v>
      </c>
      <c r="D316" s="483">
        <v>3.698113562029634E-2</v>
      </c>
      <c r="E316" s="386">
        <f>+I363</f>
        <v>2.8969880882339726E-2</v>
      </c>
      <c r="F316" s="387">
        <f>+$I354</f>
        <v>0.10169203993272888</v>
      </c>
      <c r="G316" s="387">
        <f>+$I359</f>
        <v>1.4466482588746478E-2</v>
      </c>
      <c r="H316" s="387">
        <f>+$I361</f>
        <v>4.3861554834952791E-2</v>
      </c>
      <c r="I316" s="387">
        <f>+$I353</f>
        <v>0.13107181624997305</v>
      </c>
      <c r="J316" s="387">
        <f>+$I355</f>
        <v>3.4441566370500352E-2</v>
      </c>
    </row>
    <row r="317" spans="2:10">
      <c r="B317" s="491" t="s">
        <v>1165</v>
      </c>
      <c r="C317" s="484"/>
      <c r="D317" s="484"/>
      <c r="E317" s="484"/>
      <c r="F317" s="484"/>
      <c r="G317" s="484"/>
      <c r="H317" s="484"/>
      <c r="I317" s="484"/>
      <c r="J317" s="484"/>
    </row>
    <row r="318" spans="2:10">
      <c r="B318" s="492" t="s">
        <v>1007</v>
      </c>
      <c r="C318" s="492"/>
      <c r="D318" s="492"/>
      <c r="E318" s="492"/>
      <c r="F318" s="492"/>
      <c r="G318" s="492"/>
      <c r="H318" s="492"/>
      <c r="I318" s="492"/>
      <c r="J318" s="492"/>
    </row>
    <row r="319" spans="2:10">
      <c r="B319" s="244"/>
      <c r="C319" s="244"/>
      <c r="D319" s="244"/>
      <c r="E319" s="244"/>
      <c r="F319" s="244"/>
      <c r="G319" s="244"/>
      <c r="H319" s="244"/>
      <c r="I319" s="244"/>
      <c r="J319" s="244"/>
    </row>
    <row r="321" spans="2:13" ht="25.5">
      <c r="B321" s="311" t="s">
        <v>561</v>
      </c>
      <c r="F321" s="9" t="s">
        <v>539</v>
      </c>
      <c r="J321" s="93" t="s">
        <v>540</v>
      </c>
      <c r="K321" s="94" t="s">
        <v>541</v>
      </c>
      <c r="L321" s="94" t="s">
        <v>542</v>
      </c>
      <c r="M321" s="94" t="s">
        <v>543</v>
      </c>
    </row>
    <row r="322" spans="2:13" ht="39.75" thickBot="1">
      <c r="B322" s="283"/>
      <c r="C322" s="284" t="s">
        <v>485</v>
      </c>
      <c r="D322" s="284" t="s">
        <v>544</v>
      </c>
      <c r="E322" s="284" t="s">
        <v>1245</v>
      </c>
      <c r="F322" s="285" t="s">
        <v>559</v>
      </c>
      <c r="G322" s="286" t="s">
        <v>68</v>
      </c>
      <c r="H322" s="287" t="s">
        <v>65</v>
      </c>
      <c r="I322" s="287" t="s">
        <v>560</v>
      </c>
      <c r="J322" s="288" t="s">
        <v>99</v>
      </c>
      <c r="K322" s="288" t="s">
        <v>1</v>
      </c>
      <c r="L322" s="288" t="s">
        <v>55</v>
      </c>
      <c r="M322" s="288" t="s">
        <v>22</v>
      </c>
    </row>
    <row r="323" spans="2:13">
      <c r="B323" s="9" t="s">
        <v>9</v>
      </c>
      <c r="C323" s="12">
        <f t="shared" ref="C323:C340" si="17">+E45</f>
        <v>7689.2939065414166</v>
      </c>
      <c r="D323" s="12">
        <f t="shared" ref="D323:E340" si="18">+C45</f>
        <v>13757.146383218696</v>
      </c>
      <c r="E323" s="12">
        <f t="shared" si="18"/>
        <v>-6067.8524766772798</v>
      </c>
      <c r="F323" s="12">
        <f t="shared" ref="F323:F340" si="19">+H213</f>
        <v>-3237.5802482847821</v>
      </c>
      <c r="G323" s="12">
        <f>+Resumen!J111</f>
        <v>-4294.9079162094513</v>
      </c>
      <c r="H323" s="12">
        <f>+Resumen!K111</f>
        <v>1277.6523238241946</v>
      </c>
      <c r="I323" s="12">
        <f>+Resumen!L111</f>
        <v>-132.30201016598403</v>
      </c>
      <c r="J323" s="12">
        <f>+Resumen!D111</f>
        <v>-2146.1025084117123</v>
      </c>
      <c r="K323" s="12">
        <f>+Resumen!F111</f>
        <v>-188.39566391599189</v>
      </c>
      <c r="L323" s="12">
        <f>+Resumen!G111</f>
        <v>347.09158212519003</v>
      </c>
      <c r="M323" s="12">
        <f>+Resumen!H111</f>
        <v>-230.04312834596402</v>
      </c>
    </row>
    <row r="324" spans="2:13">
      <c r="B324" s="9" t="s">
        <v>10</v>
      </c>
      <c r="C324" s="12">
        <f t="shared" si="17"/>
        <v>843.93488861406058</v>
      </c>
      <c r="D324" s="12">
        <f t="shared" si="18"/>
        <v>-731.32212776860069</v>
      </c>
      <c r="E324" s="12">
        <f t="shared" si="18"/>
        <v>1575.2570163826613</v>
      </c>
      <c r="F324" s="12">
        <f t="shared" si="19"/>
        <v>420.41607647263089</v>
      </c>
      <c r="G324" s="12">
        <f>+Resumen!J112</f>
        <v>588.59324553550061</v>
      </c>
      <c r="H324" s="12">
        <f>+Resumen!K112</f>
        <v>340.44262976557474</v>
      </c>
      <c r="I324" s="12">
        <f>+Resumen!L112</f>
        <v>142.56415982125412</v>
      </c>
      <c r="J324" s="12">
        <f>+Resumen!D112</f>
        <v>141.52016182261539</v>
      </c>
      <c r="K324" s="12">
        <f>+Resumen!F112</f>
        <v>172.39816206651656</v>
      </c>
      <c r="L324" s="12">
        <f>+Resumen!G112</f>
        <v>-53.94496179906988</v>
      </c>
      <c r="M324" s="12">
        <f>+Resumen!H112</f>
        <v>62.449300166158274</v>
      </c>
    </row>
    <row r="325" spans="2:13">
      <c r="B325" s="9" t="s">
        <v>11</v>
      </c>
      <c r="C325" s="12">
        <f t="shared" si="17"/>
        <v>2098.4333733351232</v>
      </c>
      <c r="D325" s="12">
        <f t="shared" si="18"/>
        <v>-167.14548875872558</v>
      </c>
      <c r="E325" s="12">
        <f t="shared" si="18"/>
        <v>2265.5788620938488</v>
      </c>
      <c r="F325" s="12">
        <f t="shared" si="19"/>
        <v>126.14143000743054</v>
      </c>
      <c r="G325" s="12">
        <f>+Resumen!J113</f>
        <v>1844.7120607201707</v>
      </c>
      <c r="H325" s="12">
        <f>+Resumen!K113</f>
        <v>-41.647067699934013</v>
      </c>
      <c r="I325" s="12">
        <f>+Resumen!L113</f>
        <v>275.04547352259237</v>
      </c>
      <c r="J325" s="12">
        <f>+Resumen!D113</f>
        <v>82.531624517552302</v>
      </c>
      <c r="K325" s="12">
        <f>+Resumen!F113</f>
        <v>113.6211222005292</v>
      </c>
      <c r="L325" s="12">
        <f>+Resumen!G113</f>
        <v>-0.19687559327023901</v>
      </c>
      <c r="M325" s="12">
        <f>+Resumen!H113</f>
        <v>-13.043699772080387</v>
      </c>
    </row>
    <row r="326" spans="2:13" s="14" customFormat="1">
      <c r="B326" s="14" t="s">
        <v>31</v>
      </c>
      <c r="C326" s="157">
        <f t="shared" si="17"/>
        <v>-1515.8981670889407</v>
      </c>
      <c r="D326" s="157">
        <f t="shared" si="18"/>
        <v>-735.82303214087119</v>
      </c>
      <c r="E326" s="157">
        <f t="shared" si="18"/>
        <v>-780.07513494806938</v>
      </c>
      <c r="F326" s="157">
        <f t="shared" si="19"/>
        <v>123.54960777351407</v>
      </c>
      <c r="G326" s="157">
        <f>+Resumen!J114</f>
        <v>-750.11195110969697</v>
      </c>
      <c r="H326" s="157">
        <f>+Resumen!K114</f>
        <v>-160.27214170285515</v>
      </c>
      <c r="I326" s="157">
        <f>+Resumen!L114</f>
        <v>-154.15477694155908</v>
      </c>
      <c r="J326" s="157">
        <f>+Resumen!D114</f>
        <v>-105.8136651504978</v>
      </c>
      <c r="K326" s="157">
        <f>+Resumen!F114</f>
        <v>-61.200580532503572</v>
      </c>
      <c r="L326" s="157">
        <f>+Resumen!G114</f>
        <v>224.99200842801949</v>
      </c>
      <c r="M326" s="157">
        <f>+Resumen!H114</f>
        <v>-18.863118886528568</v>
      </c>
    </row>
    <row r="327" spans="2:13">
      <c r="B327" s="9" t="s">
        <v>12</v>
      </c>
      <c r="C327" s="12">
        <f t="shared" si="17"/>
        <v>4293.4492138412661</v>
      </c>
      <c r="D327" s="12">
        <f t="shared" si="18"/>
        <v>4641.0681158357484</v>
      </c>
      <c r="E327" s="12">
        <f t="shared" si="18"/>
        <v>-347.61890199448197</v>
      </c>
      <c r="F327" s="12">
        <f t="shared" si="19"/>
        <v>1412.6482618294115</v>
      </c>
      <c r="G327" s="12">
        <f>+Resumen!J115</f>
        <v>-1797.9653951252255</v>
      </c>
      <c r="H327" s="12">
        <f>+Resumen!K115</f>
        <v>-140.48316445426315</v>
      </c>
      <c r="I327" s="12">
        <f>+Resumen!L115</f>
        <v>147.87311605688652</v>
      </c>
      <c r="J327" s="12">
        <f>+Resumen!D115</f>
        <v>155.39862915289572</v>
      </c>
      <c r="K327" s="12">
        <f>+Resumen!F115</f>
        <v>-60.333013186771012</v>
      </c>
      <c r="L327" s="12">
        <f>+Resumen!G115</f>
        <v>1002.5357180336644</v>
      </c>
      <c r="M327" s="12">
        <f>+Resumen!H115</f>
        <v>-68.167142718352935</v>
      </c>
    </row>
    <row r="328" spans="2:13">
      <c r="B328" s="9" t="s">
        <v>13</v>
      </c>
      <c r="C328" s="12">
        <f t="shared" si="17"/>
        <v>515.56313170709655</v>
      </c>
      <c r="D328" s="12">
        <f t="shared" si="18"/>
        <v>-111.70621640468848</v>
      </c>
      <c r="E328" s="12">
        <f t="shared" si="18"/>
        <v>627.26934811178501</v>
      </c>
      <c r="F328" s="12">
        <f t="shared" si="19"/>
        <v>212.8853739578951</v>
      </c>
      <c r="G328" s="12">
        <f>+Resumen!J116</f>
        <v>319.6924435405594</v>
      </c>
      <c r="H328" s="12">
        <f>+Resumen!K116</f>
        <v>-2.3194711351696706</v>
      </c>
      <c r="I328" s="12">
        <f>+Resumen!L116</f>
        <v>77.934816815192391</v>
      </c>
      <c r="J328" s="12">
        <f>+Resumen!D116</f>
        <v>203.81972352828782</v>
      </c>
      <c r="K328" s="12">
        <f>+Resumen!F116</f>
        <v>30.207455275611089</v>
      </c>
      <c r="L328" s="12">
        <f>+Resumen!G116</f>
        <v>-11.587630196876772</v>
      </c>
      <c r="M328" s="12">
        <f>+Resumen!H116</f>
        <v>-7.4051277762321446</v>
      </c>
    </row>
    <row r="329" spans="2:13">
      <c r="B329" s="9" t="s">
        <v>14</v>
      </c>
      <c r="C329" s="12">
        <f t="shared" si="17"/>
        <v>4280.0786450412288</v>
      </c>
      <c r="D329" s="12">
        <f t="shared" si="18"/>
        <v>798.920496307127</v>
      </c>
      <c r="E329" s="12">
        <f t="shared" si="18"/>
        <v>3481.1581487341023</v>
      </c>
      <c r="F329" s="12">
        <f t="shared" si="19"/>
        <v>952.06682900542671</v>
      </c>
      <c r="G329" s="12">
        <f>+Resumen!J117</f>
        <v>1430.3810321316971</v>
      </c>
      <c r="H329" s="12">
        <f>+Resumen!K117</f>
        <v>627.06689069459253</v>
      </c>
      <c r="I329" s="12">
        <f>+Resumen!L117</f>
        <v>395.41273003255321</v>
      </c>
      <c r="J329" s="12">
        <f>+Resumen!D117</f>
        <v>421.08087897693969</v>
      </c>
      <c r="K329" s="12">
        <f>+Resumen!F117</f>
        <v>470.73673933368855</v>
      </c>
      <c r="L329" s="12">
        <f>+Resumen!G117</f>
        <v>14.867578728984427</v>
      </c>
      <c r="M329" s="12">
        <f>+Resumen!H117</f>
        <v>98.677680661654009</v>
      </c>
    </row>
    <row r="330" spans="2:13">
      <c r="B330" s="9" t="s">
        <v>15</v>
      </c>
      <c r="C330" s="12">
        <f t="shared" si="17"/>
        <v>1633.6740537015362</v>
      </c>
      <c r="D330" s="12">
        <f t="shared" si="18"/>
        <v>2827.5685116972986</v>
      </c>
      <c r="E330" s="12">
        <f t="shared" si="18"/>
        <v>-1193.8944579957624</v>
      </c>
      <c r="F330" s="12">
        <f t="shared" si="19"/>
        <v>-356.25117584217168</v>
      </c>
      <c r="G330" s="12">
        <f>+Resumen!J118</f>
        <v>-1050.3608285208313</v>
      </c>
      <c r="H330" s="12">
        <f>+Resumen!K118</f>
        <v>294.92552440396219</v>
      </c>
      <c r="I330" s="12">
        <f>+Resumen!L118</f>
        <v>-33.191191070635192</v>
      </c>
      <c r="J330" s="12">
        <f>+Resumen!D118</f>
        <v>-86.499706117965658</v>
      </c>
      <c r="K330" s="12">
        <f>+Resumen!F118</f>
        <v>15.716026436684828</v>
      </c>
      <c r="L330" s="12">
        <f>+Resumen!G118</f>
        <v>-0.28563974369077805</v>
      </c>
      <c r="M330" s="12">
        <f>+Resumen!H118</f>
        <v>-97.455663803115627</v>
      </c>
    </row>
    <row r="331" spans="2:13">
      <c r="B331" s="9" t="s">
        <v>16</v>
      </c>
      <c r="C331" s="12">
        <f t="shared" si="17"/>
        <v>-9892.3196217932327</v>
      </c>
      <c r="D331" s="12">
        <f t="shared" si="18"/>
        <v>-10044.231727114558</v>
      </c>
      <c r="E331" s="12">
        <f t="shared" si="18"/>
        <v>151.91210532132646</v>
      </c>
      <c r="F331" s="12">
        <f t="shared" si="19"/>
        <v>-1567.8044359057485</v>
      </c>
      <c r="G331" s="12">
        <f>+Resumen!J119</f>
        <v>2043.5738779484286</v>
      </c>
      <c r="H331" s="12">
        <f>+Resumen!K119</f>
        <v>-803.80368716347812</v>
      </c>
      <c r="I331" s="12">
        <f>+Resumen!L119</f>
        <v>-143.10706957098694</v>
      </c>
      <c r="J331" s="12">
        <f>+Resumen!D119</f>
        <v>-1864.9932103675608</v>
      </c>
      <c r="K331" s="12">
        <f>+Resumen!F119</f>
        <v>-302.45878499000366</v>
      </c>
      <c r="L331" s="12">
        <f>+Resumen!G119</f>
        <v>-640.10070761162422</v>
      </c>
      <c r="M331" s="12">
        <f>+Resumen!H119</f>
        <v>212.91215810417967</v>
      </c>
    </row>
    <row r="332" spans="2:13">
      <c r="B332" s="9" t="s">
        <v>17</v>
      </c>
      <c r="C332" s="12">
        <f t="shared" si="17"/>
        <v>-1734.6380883381798</v>
      </c>
      <c r="D332" s="12">
        <f t="shared" si="18"/>
        <v>3935.2572252713271</v>
      </c>
      <c r="E332" s="12">
        <f t="shared" si="18"/>
        <v>-5669.895313609507</v>
      </c>
      <c r="F332" s="12">
        <f t="shared" si="19"/>
        <v>-3231.5815726157807</v>
      </c>
      <c r="G332" s="12">
        <f>+Resumen!J120</f>
        <v>-1811.021630845406</v>
      </c>
      <c r="H332" s="12">
        <f>+Resumen!K120</f>
        <v>-628.82478989928086</v>
      </c>
      <c r="I332" s="12">
        <f>+Resumen!L120</f>
        <v>-369.70164895640289</v>
      </c>
      <c r="J332" s="12">
        <f>+Resumen!D120</f>
        <v>-1860.9946747446379</v>
      </c>
      <c r="K332" s="12">
        <f>+Resumen!F120</f>
        <v>-364.12697664369568</v>
      </c>
      <c r="L332" s="12">
        <f>+Resumen!G120</f>
        <v>-338.76108595991957</v>
      </c>
      <c r="M332" s="12">
        <f>+Resumen!H120</f>
        <v>-303.70406212572675</v>
      </c>
    </row>
    <row r="333" spans="2:13">
      <c r="B333" s="9" t="s">
        <v>18</v>
      </c>
      <c r="C333" s="12">
        <f t="shared" si="17"/>
        <v>2826.7258269383774</v>
      </c>
      <c r="D333" s="12">
        <f t="shared" si="18"/>
        <v>2135.9906022338523</v>
      </c>
      <c r="E333" s="12">
        <f t="shared" si="18"/>
        <v>690.73522470452508</v>
      </c>
      <c r="F333" s="12">
        <f t="shared" si="19"/>
        <v>268.91014500945352</v>
      </c>
      <c r="G333" s="12">
        <f>+Resumen!J121</f>
        <v>-346.51353976200716</v>
      </c>
      <c r="H333" s="12">
        <f>+Resumen!K121</f>
        <v>516.80683043740009</v>
      </c>
      <c r="I333" s="12">
        <f>+Resumen!L121</f>
        <v>123.98458986163492</v>
      </c>
      <c r="J333" s="12">
        <f>+Resumen!D121</f>
        <v>255.64137105160805</v>
      </c>
      <c r="K333" s="12">
        <f>+Resumen!F121</f>
        <v>47.971537115868486</v>
      </c>
      <c r="L333" s="12">
        <f>+Resumen!G121</f>
        <v>163.59711055294269</v>
      </c>
      <c r="M333" s="12">
        <f>+Resumen!H121</f>
        <v>-18.34634370201746</v>
      </c>
    </row>
    <row r="334" spans="2:13">
      <c r="B334" s="9" t="s">
        <v>19</v>
      </c>
      <c r="C334" s="12">
        <f t="shared" si="17"/>
        <v>3691.7992295312288</v>
      </c>
      <c r="D334" s="12">
        <f t="shared" si="18"/>
        <v>1755.3483090186894</v>
      </c>
      <c r="E334" s="12">
        <f t="shared" si="18"/>
        <v>1936.4509205125396</v>
      </c>
      <c r="F334" s="12">
        <f t="shared" si="19"/>
        <v>175.14919227844493</v>
      </c>
      <c r="G334" s="12">
        <f>+Resumen!J122</f>
        <v>1311.4033445597404</v>
      </c>
      <c r="H334" s="12">
        <f>+Resumen!K122</f>
        <v>-69.326377804078732</v>
      </c>
      <c r="I334" s="12">
        <f>+Resumen!L122</f>
        <v>352.61078746327144</v>
      </c>
      <c r="J334" s="12">
        <f>+Resumen!D122</f>
        <v>305.52396975743403</v>
      </c>
      <c r="K334" s="12">
        <f>+Resumen!F122</f>
        <v>295.66021319897646</v>
      </c>
      <c r="L334" s="12">
        <f>+Resumen!G122</f>
        <v>79.266288869648093</v>
      </c>
      <c r="M334" s="12">
        <f>+Resumen!H122</f>
        <v>-25.000908329899733</v>
      </c>
    </row>
    <row r="335" spans="2:13">
      <c r="B335" s="9" t="s">
        <v>20</v>
      </c>
      <c r="C335" s="12">
        <f t="shared" si="17"/>
        <v>-19204.704060784832</v>
      </c>
      <c r="D335" s="12">
        <f t="shared" si="18"/>
        <v>-16368.956961660098</v>
      </c>
      <c r="E335" s="12">
        <f t="shared" si="18"/>
        <v>-2835.7470991247328</v>
      </c>
      <c r="F335" s="12">
        <f t="shared" si="19"/>
        <v>-1548.5369624046064</v>
      </c>
      <c r="G335" s="12">
        <f>+Resumen!J123</f>
        <v>993.40591247180373</v>
      </c>
      <c r="H335" s="12">
        <f>+Resumen!K123</f>
        <v>-1028.6076892715432</v>
      </c>
      <c r="I335" s="12">
        <f>+Resumen!L123</f>
        <v>-556.3579890215226</v>
      </c>
      <c r="J335" s="12">
        <f>+Resumen!D123</f>
        <v>-1854.2335011278931</v>
      </c>
      <c r="K335" s="12">
        <f>+Resumen!F123</f>
        <v>-274.32641597817985</v>
      </c>
      <c r="L335" s="12">
        <f>+Resumen!G123</f>
        <v>-624.21026026887671</v>
      </c>
      <c r="M335" s="12">
        <f>+Resumen!H123</f>
        <v>115.29331018701619</v>
      </c>
    </row>
    <row r="336" spans="2:13">
      <c r="B336" s="9" t="s">
        <v>60</v>
      </c>
      <c r="C336" s="12">
        <f t="shared" si="17"/>
        <v>107.63287915890487</v>
      </c>
      <c r="D336" s="12">
        <f t="shared" si="18"/>
        <v>2004.6279337904996</v>
      </c>
      <c r="E336" s="12">
        <f t="shared" si="18"/>
        <v>-1896.9950546315947</v>
      </c>
      <c r="F336" s="12">
        <f t="shared" si="19"/>
        <v>-868.13215591528581</v>
      </c>
      <c r="G336" s="12">
        <f>+Resumen!J124</f>
        <v>-926.68103949853662</v>
      </c>
      <c r="H336" s="12">
        <f>+Resumen!K124</f>
        <v>-113.30719890626206</v>
      </c>
      <c r="I336" s="12">
        <f>+Resumen!L124</f>
        <v>-111.58123336972187</v>
      </c>
      <c r="J336" s="12">
        <f>+Resumen!D124</f>
        <v>-485.43291761826214</v>
      </c>
      <c r="K336" s="12">
        <f>+Resumen!F124</f>
        <v>-56.215019716000931</v>
      </c>
      <c r="L336" s="12">
        <f>+Resumen!G124</f>
        <v>-50.908926204013348</v>
      </c>
      <c r="M336" s="12">
        <f>+Resumen!H124</f>
        <v>-68.25259494011793</v>
      </c>
    </row>
    <row r="337" spans="1:13">
      <c r="B337" s="9" t="s">
        <v>61</v>
      </c>
      <c r="C337" s="12">
        <f t="shared" si="17"/>
        <v>114.82509593379473</v>
      </c>
      <c r="D337" s="12">
        <f t="shared" si="18"/>
        <v>-587.49066767539898</v>
      </c>
      <c r="E337" s="12">
        <f t="shared" si="18"/>
        <v>702.31576360919371</v>
      </c>
      <c r="F337" s="12">
        <f t="shared" si="19"/>
        <v>1017.4930740576774</v>
      </c>
      <c r="G337" s="12">
        <f>+Resumen!J125</f>
        <v>192.34057820051601</v>
      </c>
      <c r="H337" s="12">
        <f>+Resumen!K125</f>
        <v>48.026217217204412</v>
      </c>
      <c r="I337" s="12">
        <f>+Resumen!L125</f>
        <v>-98.942201441594989</v>
      </c>
      <c r="J337" s="12">
        <f>+Resumen!D125</f>
        <v>1001.4489318474839</v>
      </c>
      <c r="K337" s="12">
        <f>+Resumen!F125</f>
        <v>6.9876727763972468</v>
      </c>
      <c r="L337" s="12">
        <f>+Resumen!G125</f>
        <v>-60.400656078419104</v>
      </c>
      <c r="M337" s="12">
        <f>+Resumen!H125</f>
        <v>37.085401702244098</v>
      </c>
    </row>
    <row r="338" spans="1:13">
      <c r="B338" s="9" t="s">
        <v>62</v>
      </c>
      <c r="C338" s="12">
        <f t="shared" si="17"/>
        <v>3387.4649957856918</v>
      </c>
      <c r="D338" s="12">
        <f t="shared" si="18"/>
        <v>-3474.2496650081312</v>
      </c>
      <c r="E338" s="12">
        <f t="shared" si="18"/>
        <v>6861.714660793823</v>
      </c>
      <c r="F338" s="12">
        <f t="shared" si="19"/>
        <v>5564.4202784795807</v>
      </c>
      <c r="G338" s="12">
        <f>+Resumen!J126</f>
        <v>2438.536168680344</v>
      </c>
      <c r="H338" s="12">
        <f>+Resumen!K126</f>
        <v>-149.19892525456669</v>
      </c>
      <c r="I338" s="12">
        <f>+Resumen!L126</f>
        <v>-28.584014175376023</v>
      </c>
      <c r="J338" s="12">
        <f>+Resumen!D126</f>
        <v>5437.1321553211246</v>
      </c>
      <c r="K338" s="12">
        <f>+Resumen!F126</f>
        <v>122.73468188415319</v>
      </c>
      <c r="L338" s="12">
        <f>+Resumen!G126</f>
        <v>-142.72791173277383</v>
      </c>
      <c r="M338" s="12">
        <f>+Resumen!H126</f>
        <v>212.81923029943434</v>
      </c>
    </row>
    <row r="339" spans="1:13">
      <c r="B339" s="9" t="s">
        <v>63</v>
      </c>
      <c r="C339" s="12">
        <f t="shared" si="17"/>
        <v>41.803045890770974</v>
      </c>
      <c r="D339" s="12">
        <f t="shared" si="18"/>
        <v>-67.40095529769718</v>
      </c>
      <c r="E339" s="12">
        <f t="shared" si="18"/>
        <v>109.20400118846815</v>
      </c>
      <c r="F339" s="12">
        <f t="shared" si="19"/>
        <v>82.73416558154905</v>
      </c>
      <c r="G339" s="12">
        <f>+Resumen!J127</f>
        <v>0.15477700459218138</v>
      </c>
      <c r="H339" s="12">
        <f>+Resumen!K127</f>
        <v>-4.6328632685957025</v>
      </c>
      <c r="I339" s="12">
        <f>+Resumen!L127</f>
        <v>21.997088288268163</v>
      </c>
      <c r="J339" s="12">
        <f>+Resumen!D127</f>
        <v>79.057438539436177</v>
      </c>
      <c r="K339" s="12">
        <f>+Resumen!F127</f>
        <v>14.304453174574164</v>
      </c>
      <c r="L339" s="12">
        <f>+Resumen!G127</f>
        <v>-29.599236745953281</v>
      </c>
      <c r="M339" s="12">
        <f>+Resumen!H127</f>
        <v>33.325207993908585</v>
      </c>
    </row>
    <row r="340" spans="1:13" ht="13.5" thickBot="1">
      <c r="B340" s="279" t="s">
        <v>64</v>
      </c>
      <c r="C340" s="289">
        <f t="shared" si="17"/>
        <v>822.88165198460126</v>
      </c>
      <c r="D340" s="289">
        <f t="shared" si="18"/>
        <v>432.39926445551021</v>
      </c>
      <c r="E340" s="289">
        <f t="shared" si="18"/>
        <v>390.48238752909106</v>
      </c>
      <c r="F340" s="289">
        <f t="shared" si="19"/>
        <v>453.47211651533667</v>
      </c>
      <c r="G340" s="289">
        <f>+Resumen!J128</f>
        <v>-185.23113972221381</v>
      </c>
      <c r="H340" s="289">
        <f>+Resumen!K128</f>
        <v>37.502960217096614</v>
      </c>
      <c r="I340" s="289">
        <f>+Resumen!L128</f>
        <v>90.499372852127323</v>
      </c>
      <c r="J340" s="289">
        <f>+Resumen!D128</f>
        <v>320.91529902316324</v>
      </c>
      <c r="K340" s="289">
        <f>+Resumen!F128</f>
        <v>16.718391500147167</v>
      </c>
      <c r="L340" s="289">
        <f>+Resumen!G128</f>
        <v>120.37360519603827</v>
      </c>
      <c r="M340" s="289">
        <f>+Resumen!H128</f>
        <v>77.719501285438895</v>
      </c>
    </row>
    <row r="341" spans="1:13">
      <c r="C341" s="12">
        <f>SUM(C323:C340)</f>
        <v>-8.7993612396530807E-11</v>
      </c>
      <c r="D341" s="12"/>
      <c r="E341" s="12"/>
      <c r="F341" s="12"/>
      <c r="G341" s="12"/>
      <c r="H341" s="12"/>
      <c r="I341" s="12"/>
      <c r="J341" s="12"/>
    </row>
    <row r="342" spans="1:13">
      <c r="B342" s="88" t="s">
        <v>546</v>
      </c>
      <c r="C342" s="290">
        <f>C343</f>
        <v>32347.559938005186</v>
      </c>
      <c r="D342" s="290">
        <f>+D343</f>
        <v>23213.7544956442</v>
      </c>
      <c r="E342" s="290">
        <f>E343</f>
        <v>9133.8054423609829</v>
      </c>
      <c r="F342" s="290">
        <f t="shared" ref="F342:J342" si="20">F343</f>
        <v>6224.3733631526211</v>
      </c>
      <c r="G342" s="290">
        <f t="shared" si="20"/>
        <v>-475.84620846512939</v>
      </c>
      <c r="H342" s="290">
        <f t="shared" si="20"/>
        <v>2621.5083080371573</v>
      </c>
      <c r="I342" s="290">
        <f t="shared" si="20"/>
        <v>1223.3214844904714</v>
      </c>
      <c r="J342" s="290">
        <f t="shared" si="20"/>
        <v>5686.0350513905896</v>
      </c>
      <c r="K342" s="290">
        <f>K343</f>
        <v>1002.1127581443828</v>
      </c>
      <c r="L342" s="290">
        <f>L343</f>
        <v>1378.080045412401</v>
      </c>
      <c r="M342" s="290">
        <f>M343</f>
        <v>-5.6382872789405525</v>
      </c>
    </row>
    <row r="343" spans="1:13" ht="13.5" thickBot="1">
      <c r="B343" s="279" t="s">
        <v>547</v>
      </c>
      <c r="C343" s="289">
        <f>+SUMIF(C323:C340,"&lt;0")*(-1)</f>
        <v>32347.559938005186</v>
      </c>
      <c r="D343" s="289">
        <f>+SUMIF(C323:C340,"&lt;0",D323:D340)*(-1)</f>
        <v>23213.7544956442</v>
      </c>
      <c r="E343" s="289">
        <f>+SUMIF($C323:$C340,"&lt;0",E323:E340)*(-1)</f>
        <v>9133.8054423609829</v>
      </c>
      <c r="F343" s="289">
        <f t="shared" ref="F343:M343" si="21">+SUMIF($C323:$C340,"&lt;0",F323:F340)*(-1)</f>
        <v>6224.3733631526211</v>
      </c>
      <c r="G343" s="289">
        <f t="shared" si="21"/>
        <v>-475.84620846512939</v>
      </c>
      <c r="H343" s="289">
        <f t="shared" si="21"/>
        <v>2621.5083080371573</v>
      </c>
      <c r="I343" s="289">
        <f t="shared" si="21"/>
        <v>1223.3214844904714</v>
      </c>
      <c r="J343" s="289">
        <f t="shared" si="21"/>
        <v>5686.0350513905896</v>
      </c>
      <c r="K343" s="289">
        <f t="shared" si="21"/>
        <v>1002.1127581443828</v>
      </c>
      <c r="L343" s="289">
        <f t="shared" si="21"/>
        <v>1378.080045412401</v>
      </c>
      <c r="M343" s="289">
        <f t="shared" si="21"/>
        <v>-5.6382872789405525</v>
      </c>
    </row>
    <row r="345" spans="1:13">
      <c r="B345" s="88" t="s">
        <v>548</v>
      </c>
      <c r="C345" s="291">
        <f>C342/$C342</f>
        <v>1</v>
      </c>
      <c r="D345" s="291">
        <f>D342/$C342</f>
        <v>0.71763541176317081</v>
      </c>
      <c r="E345" s="291">
        <f>E342/$C342</f>
        <v>0.28236458823682908</v>
      </c>
      <c r="F345" s="291">
        <f t="shared" ref="D345:M346" si="22">F342/$C342</f>
        <v>0.19242172748367328</v>
      </c>
      <c r="G345" s="291">
        <f t="shared" si="22"/>
        <v>-1.471042048850359E-2</v>
      </c>
      <c r="H345" s="291">
        <f t="shared" si="22"/>
        <v>8.1041918248589265E-2</v>
      </c>
      <c r="I345" s="291">
        <f t="shared" si="22"/>
        <v>3.7818045219948401E-2</v>
      </c>
      <c r="J345" s="291">
        <f t="shared" si="22"/>
        <v>0.17577941156266505</v>
      </c>
      <c r="K345" s="291">
        <f t="shared" si="22"/>
        <v>3.0979547145594723E-2</v>
      </c>
      <c r="L345" s="291">
        <f t="shared" si="22"/>
        <v>4.2602287407567122E-2</v>
      </c>
      <c r="M345" s="291">
        <f t="shared" si="22"/>
        <v>-1.7430332580715377E-4</v>
      </c>
    </row>
    <row r="346" spans="1:13" ht="13.5" thickBot="1">
      <c r="B346" s="279" t="s">
        <v>549</v>
      </c>
      <c r="C346" s="293">
        <f>C343/$C343</f>
        <v>1</v>
      </c>
      <c r="D346" s="293">
        <f t="shared" si="22"/>
        <v>0.71763541176317081</v>
      </c>
      <c r="E346" s="293">
        <f>E343/$C343</f>
        <v>0.28236458823682908</v>
      </c>
      <c r="F346" s="293">
        <f>F343/$C343</f>
        <v>0.19242172748367328</v>
      </c>
      <c r="G346" s="293">
        <f t="shared" si="22"/>
        <v>-1.471042048850359E-2</v>
      </c>
      <c r="H346" s="293">
        <f t="shared" si="22"/>
        <v>8.1041918248589265E-2</v>
      </c>
      <c r="I346" s="293">
        <f t="shared" si="22"/>
        <v>3.7818045219948401E-2</v>
      </c>
      <c r="J346" s="293">
        <f t="shared" si="22"/>
        <v>0.17577941156266505</v>
      </c>
      <c r="K346" s="293">
        <f t="shared" si="22"/>
        <v>3.0979547145594723E-2</v>
      </c>
      <c r="L346" s="293">
        <f t="shared" si="22"/>
        <v>4.2602287407567122E-2</v>
      </c>
      <c r="M346" s="293">
        <f t="shared" si="22"/>
        <v>-1.7430332580715377E-4</v>
      </c>
    </row>
    <row r="348" spans="1:13">
      <c r="D348" s="28"/>
      <c r="E348" s="28"/>
      <c r="F348" s="28"/>
      <c r="G348" s="28"/>
      <c r="H348" s="28"/>
      <c r="I348" s="28"/>
      <c r="K348" s="28"/>
    </row>
    <row r="349" spans="1:13" ht="14.25">
      <c r="B349" s="294" t="str">
        <f>"Pesos de distintas partidas en los saldos fiscales relativos agregados, "&amp;(Resumen!C2)</f>
        <v>Pesos de distintas partidas en los saldos fiscales relativos agregados, 2014</v>
      </c>
    </row>
    <row r="350" spans="1:13" s="25" customFormat="1" ht="27.75" thickBot="1">
      <c r="A350" s="346"/>
      <c r="B350" s="347"/>
      <c r="C350" s="348" t="s">
        <v>84</v>
      </c>
      <c r="D350" s="348" t="s">
        <v>544</v>
      </c>
      <c r="E350" s="348" t="s">
        <v>545</v>
      </c>
      <c r="F350" s="348" t="s">
        <v>550</v>
      </c>
      <c r="G350" s="348" t="s">
        <v>551</v>
      </c>
      <c r="H350" s="348" t="s">
        <v>552</v>
      </c>
      <c r="I350" s="348" t="s">
        <v>553</v>
      </c>
      <c r="J350" s="348" t="s">
        <v>554</v>
      </c>
      <c r="K350" s="348" t="s">
        <v>555</v>
      </c>
      <c r="L350" s="348" t="s">
        <v>556</v>
      </c>
      <c r="M350" s="348" t="s">
        <v>557</v>
      </c>
    </row>
    <row r="351" spans="1:13">
      <c r="B351" s="9" t="s">
        <v>9</v>
      </c>
      <c r="C351" s="95">
        <f t="shared" ref="C351:M351" si="23">C323/$C323</f>
        <v>1</v>
      </c>
      <c r="D351" s="95">
        <f t="shared" si="23"/>
        <v>1.7891299969058605</v>
      </c>
      <c r="E351" s="95">
        <f t="shared" si="23"/>
        <v>-0.7891299969058605</v>
      </c>
      <c r="F351" s="95">
        <f t="shared" si="23"/>
        <v>-0.42105039651696968</v>
      </c>
      <c r="G351" s="95">
        <f t="shared" si="23"/>
        <v>-0.55855686730295195</v>
      </c>
      <c r="H351" s="95">
        <f t="shared" si="23"/>
        <v>0.1661599022424248</v>
      </c>
      <c r="I351" s="95">
        <f t="shared" si="23"/>
        <v>-1.7206002498283021E-2</v>
      </c>
      <c r="J351" s="95">
        <f t="shared" si="23"/>
        <v>-0.27910267633104585</v>
      </c>
      <c r="K351" s="95">
        <f t="shared" si="23"/>
        <v>-2.4501035622493297E-2</v>
      </c>
      <c r="L351" s="95">
        <f t="shared" si="23"/>
        <v>4.5139591013670731E-2</v>
      </c>
      <c r="M351" s="95">
        <f t="shared" si="23"/>
        <v>-2.9917328059246417E-2</v>
      </c>
    </row>
    <row r="352" spans="1:13">
      <c r="B352" s="9" t="s">
        <v>10</v>
      </c>
      <c r="C352" s="95">
        <f t="shared" ref="C352:M352" si="24">C324/$C324</f>
        <v>1</v>
      </c>
      <c r="D352" s="95">
        <f t="shared" si="24"/>
        <v>-0.86656226402679415</v>
      </c>
      <c r="E352" s="95">
        <f t="shared" si="24"/>
        <v>1.8665622640267943</v>
      </c>
      <c r="F352" s="95">
        <f t="shared" si="24"/>
        <v>0.49816174463773255</v>
      </c>
      <c r="G352" s="95">
        <f t="shared" si="24"/>
        <v>0.69743916678466633</v>
      </c>
      <c r="H352" s="95">
        <f t="shared" si="24"/>
        <v>0.40339916545536059</v>
      </c>
      <c r="I352" s="95">
        <f t="shared" si="24"/>
        <v>0.16892791345002692</v>
      </c>
      <c r="J352" s="95">
        <f t="shared" si="24"/>
        <v>0.16769085356220401</v>
      </c>
      <c r="K352" s="95">
        <f t="shared" si="24"/>
        <v>0.20427898454303134</v>
      </c>
      <c r="L352" s="95">
        <f t="shared" si="24"/>
        <v>-6.3920762758914007E-2</v>
      </c>
      <c r="M352" s="95">
        <f t="shared" si="24"/>
        <v>7.3997770454441933E-2</v>
      </c>
    </row>
    <row r="353" spans="2:13">
      <c r="B353" s="3" t="s">
        <v>11</v>
      </c>
      <c r="C353" s="95">
        <f t="shared" ref="C353:M353" si="25">C325/$C325</f>
        <v>1</v>
      </c>
      <c r="D353" s="95">
        <f t="shared" si="25"/>
        <v>-7.9652511670205969E-2</v>
      </c>
      <c r="E353" s="95">
        <f t="shared" si="25"/>
        <v>1.079652511670206</v>
      </c>
      <c r="F353" s="95">
        <f t="shared" si="25"/>
        <v>6.0112192081156708E-2</v>
      </c>
      <c r="G353" s="95">
        <f t="shared" si="25"/>
        <v>0.87909012702571387</v>
      </c>
      <c r="H353" s="95">
        <f t="shared" si="25"/>
        <v>-1.9846742922193752E-2</v>
      </c>
      <c r="I353" s="95">
        <f t="shared" si="25"/>
        <v>0.13107181624997305</v>
      </c>
      <c r="J353" s="95">
        <f t="shared" si="25"/>
        <v>3.9330114344484295E-2</v>
      </c>
      <c r="K353" s="95">
        <f t="shared" si="25"/>
        <v>5.4145689657969294E-2</v>
      </c>
      <c r="L353" s="95">
        <f t="shared" si="25"/>
        <v>-9.3820273625050507E-5</v>
      </c>
      <c r="M353" s="95">
        <f t="shared" si="25"/>
        <v>-6.2159227630608632E-3</v>
      </c>
    </row>
    <row r="354" spans="2:13" s="14" customFormat="1">
      <c r="B354" s="246" t="s">
        <v>31</v>
      </c>
      <c r="C354" s="96">
        <f t="shared" ref="C354:M354" si="26">C326/$C326</f>
        <v>1</v>
      </c>
      <c r="D354" s="96">
        <f t="shared" si="26"/>
        <v>0.48540399884110358</v>
      </c>
      <c r="E354" s="96">
        <f t="shared" si="26"/>
        <v>0.51459600115889637</v>
      </c>
      <c r="F354" s="96">
        <f t="shared" si="26"/>
        <v>-8.1502577452661554E-2</v>
      </c>
      <c r="G354" s="96">
        <f t="shared" si="26"/>
        <v>0.49483004029893152</v>
      </c>
      <c r="H354" s="96">
        <f t="shared" si="26"/>
        <v>0.10572751203376293</v>
      </c>
      <c r="I354" s="96">
        <f t="shared" si="26"/>
        <v>0.10169203993272888</v>
      </c>
      <c r="J354" s="96">
        <f t="shared" si="26"/>
        <v>6.9802620946298369E-2</v>
      </c>
      <c r="K354" s="96">
        <f t="shared" si="26"/>
        <v>4.0372487981847935E-2</v>
      </c>
      <c r="L354" s="96">
        <f t="shared" si="26"/>
        <v>-0.14842158484833023</v>
      </c>
      <c r="M354" s="96">
        <f t="shared" si="26"/>
        <v>1.2443526416258165E-2</v>
      </c>
    </row>
    <row r="355" spans="2:13">
      <c r="B355" s="3" t="s">
        <v>12</v>
      </c>
      <c r="C355" s="95">
        <f t="shared" ref="C355:M355" si="27">C327/$C327</f>
        <v>1</v>
      </c>
      <c r="D355" s="95">
        <f t="shared" si="27"/>
        <v>1.0809649502488174</v>
      </c>
      <c r="E355" s="95">
        <f t="shared" si="27"/>
        <v>-8.0964950248817322E-2</v>
      </c>
      <c r="F355" s="95">
        <f t="shared" si="27"/>
        <v>0.32902409961559609</v>
      </c>
      <c r="G355" s="95">
        <f t="shared" si="27"/>
        <v>-0.41876945681083777</v>
      </c>
      <c r="H355" s="95">
        <f t="shared" si="27"/>
        <v>-3.2720350808243419E-2</v>
      </c>
      <c r="I355" s="95">
        <f t="shared" si="27"/>
        <v>3.4441566370500352E-2</v>
      </c>
      <c r="J355" s="95">
        <f t="shared" si="27"/>
        <v>3.6194355962548712E-2</v>
      </c>
      <c r="K355" s="95">
        <f t="shared" si="27"/>
        <v>-1.4052341178805335E-2</v>
      </c>
      <c r="L355" s="95">
        <f t="shared" si="27"/>
        <v>0.23350356976430031</v>
      </c>
      <c r="M355" s="95">
        <f t="shared" si="27"/>
        <v>-1.5877011540883026E-2</v>
      </c>
    </row>
    <row r="356" spans="2:13">
      <c r="B356" s="9" t="s">
        <v>13</v>
      </c>
      <c r="C356" s="95">
        <f t="shared" ref="C356:M356" si="28">C328/$C328</f>
        <v>1</v>
      </c>
      <c r="D356" s="95">
        <f t="shared" si="28"/>
        <v>-0.21666835647229984</v>
      </c>
      <c r="E356" s="95">
        <f t="shared" si="28"/>
        <v>1.2166683564722998</v>
      </c>
      <c r="F356" s="95">
        <f t="shared" si="28"/>
        <v>0.41291814884629929</v>
      </c>
      <c r="G356" s="95">
        <f t="shared" si="28"/>
        <v>0.62008398948547028</v>
      </c>
      <c r="H356" s="95">
        <f t="shared" si="28"/>
        <v>-4.4989080725954941E-3</v>
      </c>
      <c r="I356" s="95">
        <f t="shared" si="28"/>
        <v>0.15116444916675884</v>
      </c>
      <c r="J356" s="95">
        <f t="shared" si="28"/>
        <v>0.39533417149790023</v>
      </c>
      <c r="K356" s="95">
        <f t="shared" si="28"/>
        <v>5.8591185866200865E-2</v>
      </c>
      <c r="L356" s="95">
        <f t="shared" si="28"/>
        <v>-2.2475676564591852E-2</v>
      </c>
      <c r="M356" s="95">
        <f t="shared" si="28"/>
        <v>-1.4363183324829306E-2</v>
      </c>
    </row>
    <row r="357" spans="2:13">
      <c r="B357" s="9" t="s">
        <v>14</v>
      </c>
      <c r="C357" s="95">
        <f t="shared" ref="C357:M357" si="29">C329/$C329</f>
        <v>1</v>
      </c>
      <c r="D357" s="95">
        <f t="shared" si="29"/>
        <v>0.18666023747781654</v>
      </c>
      <c r="E357" s="95">
        <f t="shared" si="29"/>
        <v>0.81333976252218354</v>
      </c>
      <c r="F357" s="95">
        <f t="shared" si="29"/>
        <v>0.22244143343217837</v>
      </c>
      <c r="G357" s="95">
        <f t="shared" si="29"/>
        <v>0.33419503489471947</v>
      </c>
      <c r="H357" s="95">
        <f t="shared" si="29"/>
        <v>0.14650826367900821</v>
      </c>
      <c r="I357" s="95">
        <f t="shared" si="29"/>
        <v>9.2384454311526865E-2</v>
      </c>
      <c r="J357" s="95">
        <f t="shared" si="29"/>
        <v>9.838157517614575E-2</v>
      </c>
      <c r="K357" s="95">
        <f t="shared" si="29"/>
        <v>0.10998319852815557</v>
      </c>
      <c r="L357" s="95">
        <f t="shared" si="29"/>
        <v>3.4736695191826812E-3</v>
      </c>
      <c r="M357" s="95">
        <f t="shared" si="29"/>
        <v>2.3055109227018297E-2</v>
      </c>
    </row>
    <row r="358" spans="2:13">
      <c r="B358" s="3" t="s">
        <v>15</v>
      </c>
      <c r="C358" s="95">
        <f t="shared" ref="C358:M358" si="30">C330/$C330</f>
        <v>1</v>
      </c>
      <c r="D358" s="95">
        <f t="shared" si="30"/>
        <v>1.7308033418849174</v>
      </c>
      <c r="E358" s="95">
        <f t="shared" si="30"/>
        <v>-0.73080334188491725</v>
      </c>
      <c r="F358" s="95">
        <f t="shared" si="30"/>
        <v>-0.218067474986817</v>
      </c>
      <c r="G358" s="95">
        <f t="shared" si="30"/>
        <v>-0.64294393740351763</v>
      </c>
      <c r="H358" s="95">
        <f t="shared" si="30"/>
        <v>0.18052898846971804</v>
      </c>
      <c r="I358" s="95">
        <f t="shared" si="30"/>
        <v>-2.0316899197506046E-2</v>
      </c>
      <c r="J358" s="95">
        <f t="shared" si="30"/>
        <v>-5.2947958573484638E-2</v>
      </c>
      <c r="K358" s="95">
        <f t="shared" si="30"/>
        <v>9.6200502181422697E-3</v>
      </c>
      <c r="L358" s="95">
        <f t="shared" si="30"/>
        <v>-1.7484500230849779E-4</v>
      </c>
      <c r="M358" s="95">
        <f t="shared" si="30"/>
        <v>-5.9654288799104768E-2</v>
      </c>
    </row>
    <row r="359" spans="2:13">
      <c r="B359" s="3" t="s">
        <v>16</v>
      </c>
      <c r="C359" s="95">
        <f t="shared" ref="C359:M359" si="31">C331/$C331</f>
        <v>1</v>
      </c>
      <c r="D359" s="247">
        <f t="shared" si="31"/>
        <v>1.0153565706658585</v>
      </c>
      <c r="E359" s="95">
        <f>E331/$C331</f>
        <v>-1.5356570665858505E-2</v>
      </c>
      <c r="F359" s="95">
        <f t="shared" si="31"/>
        <v>0.15848703800995306</v>
      </c>
      <c r="G359" s="95">
        <f t="shared" si="31"/>
        <v>-0.20658186917518737</v>
      </c>
      <c r="H359" s="95">
        <f t="shared" si="31"/>
        <v>8.1255329174025254E-2</v>
      </c>
      <c r="I359" s="95">
        <f t="shared" si="31"/>
        <v>1.4466482588746478E-2</v>
      </c>
      <c r="J359" s="95">
        <f t="shared" si="31"/>
        <v>0.18852941288501188</v>
      </c>
      <c r="K359" s="95">
        <f t="shared" si="31"/>
        <v>3.0575112466410113E-2</v>
      </c>
      <c r="L359" s="95">
        <f t="shared" si="31"/>
        <v>6.4706836423021857E-2</v>
      </c>
      <c r="M359" s="95">
        <f t="shared" si="31"/>
        <v>-2.1522976030326036E-2</v>
      </c>
    </row>
    <row r="360" spans="2:13">
      <c r="B360" s="9" t="s">
        <v>17</v>
      </c>
      <c r="C360" s="95">
        <f t="shared" ref="C360:M360" si="32">C332/$C332</f>
        <v>1</v>
      </c>
      <c r="D360" s="95">
        <f t="shared" si="32"/>
        <v>-2.2686330086533424</v>
      </c>
      <c r="E360" s="95">
        <f t="shared" si="32"/>
        <v>3.2686330086533424</v>
      </c>
      <c r="F360" s="95">
        <f t="shared" si="32"/>
        <v>1.8629716448297895</v>
      </c>
      <c r="G360" s="95">
        <f t="shared" si="32"/>
        <v>1.0440342818601447</v>
      </c>
      <c r="H360" s="95">
        <f t="shared" si="32"/>
        <v>0.3625106551774776</v>
      </c>
      <c r="I360" s="95">
        <f t="shared" si="32"/>
        <v>0.21312898145260084</v>
      </c>
      <c r="J360" s="95">
        <f t="shared" si="32"/>
        <v>1.0728431983916082</v>
      </c>
      <c r="K360" s="95">
        <f t="shared" si="32"/>
        <v>0.20991524346876131</v>
      </c>
      <c r="L360" s="95">
        <f t="shared" si="32"/>
        <v>0.19529208325205166</v>
      </c>
      <c r="M360" s="95">
        <f t="shared" si="32"/>
        <v>0.17508209013021367</v>
      </c>
    </row>
    <row r="361" spans="2:13">
      <c r="B361" s="3" t="s">
        <v>18</v>
      </c>
      <c r="C361" s="95">
        <f t="shared" ref="C361:M361" si="33">C333/$C333</f>
        <v>1</v>
      </c>
      <c r="D361" s="95">
        <f t="shared" si="33"/>
        <v>0.75564123760362734</v>
      </c>
      <c r="E361" s="95">
        <f t="shared" si="33"/>
        <v>0.24435876239637269</v>
      </c>
      <c r="F361" s="95">
        <f t="shared" si="33"/>
        <v>9.5131314981725584E-2</v>
      </c>
      <c r="G361" s="95">
        <f t="shared" si="33"/>
        <v>-0.12258477156142004</v>
      </c>
      <c r="H361" s="95">
        <f t="shared" si="33"/>
        <v>0.18282877862164398</v>
      </c>
      <c r="I361" s="95">
        <f t="shared" si="33"/>
        <v>4.3861554834952791E-2</v>
      </c>
      <c r="J361" s="95">
        <f t="shared" si="33"/>
        <v>9.0437271494594448E-2</v>
      </c>
      <c r="K361" s="95">
        <f t="shared" si="33"/>
        <v>1.6970707473185111E-2</v>
      </c>
      <c r="L361" s="95">
        <f t="shared" si="33"/>
        <v>5.7875124992272237E-2</v>
      </c>
      <c r="M361" s="95">
        <f t="shared" si="33"/>
        <v>-6.4903159433358833E-3</v>
      </c>
    </row>
    <row r="362" spans="2:13">
      <c r="B362" s="9" t="s">
        <v>19</v>
      </c>
      <c r="C362" s="95">
        <f t="shared" ref="C362:M362" si="34">C334/$C334</f>
        <v>1</v>
      </c>
      <c r="D362" s="95">
        <f t="shared" si="34"/>
        <v>0.47547231035138854</v>
      </c>
      <c r="E362" s="95">
        <f t="shared" si="34"/>
        <v>0.52452768964861152</v>
      </c>
      <c r="F362" s="95">
        <f t="shared" si="34"/>
        <v>4.7442772856498137E-2</v>
      </c>
      <c r="G362" s="95">
        <f t="shared" si="34"/>
        <v>0.35522065611521825</v>
      </c>
      <c r="H362" s="95">
        <f t="shared" si="34"/>
        <v>-1.8778479948077118E-2</v>
      </c>
      <c r="I362" s="95">
        <f t="shared" si="34"/>
        <v>9.5511907755624265E-2</v>
      </c>
      <c r="J362" s="95">
        <f t="shared" si="34"/>
        <v>8.2757471563866258E-2</v>
      </c>
      <c r="K362" s="95">
        <f t="shared" si="34"/>
        <v>8.008566956565466E-2</v>
      </c>
      <c r="L362" s="95">
        <f t="shared" si="34"/>
        <v>2.1470909965955281E-2</v>
      </c>
      <c r="M362" s="95">
        <f t="shared" si="34"/>
        <v>-6.7720119040910734E-3</v>
      </c>
    </row>
    <row r="363" spans="2:13">
      <c r="B363" s="3" t="s">
        <v>20</v>
      </c>
      <c r="C363" s="95">
        <f t="shared" ref="C363:M363" si="35">C335/$C335</f>
        <v>1</v>
      </c>
      <c r="D363" s="247">
        <f t="shared" si="35"/>
        <v>0.85234101550592467</v>
      </c>
      <c r="E363" s="95">
        <f t="shared" si="35"/>
        <v>0.14765898449407533</v>
      </c>
      <c r="F363" s="95">
        <f t="shared" si="35"/>
        <v>8.0633211399838811E-2</v>
      </c>
      <c r="G363" s="95">
        <f t="shared" si="35"/>
        <v>-5.1727217942415228E-2</v>
      </c>
      <c r="H363" s="95">
        <f t="shared" si="35"/>
        <v>5.3560194732285162E-2</v>
      </c>
      <c r="I363" s="95">
        <f t="shared" si="35"/>
        <v>2.8969880882339726E-2</v>
      </c>
      <c r="J363" s="95">
        <f t="shared" si="35"/>
        <v>9.6551006214886534E-2</v>
      </c>
      <c r="K363" s="95">
        <f t="shared" si="35"/>
        <v>1.4284334458365459E-2</v>
      </c>
      <c r="L363" s="95">
        <f t="shared" si="35"/>
        <v>3.2502987720778621E-2</v>
      </c>
      <c r="M363" s="95">
        <f t="shared" si="35"/>
        <v>-6.0033890562489894E-3</v>
      </c>
    </row>
    <row r="364" spans="2:13">
      <c r="B364" s="9" t="s">
        <v>60</v>
      </c>
      <c r="C364" s="95">
        <f t="shared" ref="C364:M364" si="36">C336/$C336</f>
        <v>1</v>
      </c>
      <c r="D364" s="95">
        <f t="shared" si="36"/>
        <v>18.624680018370103</v>
      </c>
      <c r="E364" s="95">
        <f t="shared" si="36"/>
        <v>-17.624680018370103</v>
      </c>
      <c r="F364" s="95">
        <f t="shared" si="36"/>
        <v>-8.0656780966865185</v>
      </c>
      <c r="G364" s="95">
        <f t="shared" si="36"/>
        <v>-8.6096464829341031</v>
      </c>
      <c r="H364" s="95">
        <f t="shared" si="36"/>
        <v>-1.0527192043146951</v>
      </c>
      <c r="I364" s="95">
        <f t="shared" si="36"/>
        <v>-1.036683532408232</v>
      </c>
      <c r="J364" s="95">
        <f t="shared" si="36"/>
        <v>-4.5100802042244768</v>
      </c>
      <c r="K364" s="95">
        <f t="shared" si="36"/>
        <v>-0.52228482741790572</v>
      </c>
      <c r="L364" s="95">
        <f t="shared" si="36"/>
        <v>-0.47298675462219542</v>
      </c>
      <c r="M364" s="95">
        <f t="shared" si="36"/>
        <v>-0.63412402858194039</v>
      </c>
    </row>
    <row r="365" spans="2:13">
      <c r="B365" s="9" t="s">
        <v>61</v>
      </c>
      <c r="C365" s="95">
        <f t="shared" ref="C365:M365" si="37">C337/$C337</f>
        <v>1</v>
      </c>
      <c r="D365" s="95">
        <f t="shared" si="37"/>
        <v>-5.1163960534736361</v>
      </c>
      <c r="E365" s="95">
        <f t="shared" si="37"/>
        <v>6.1163960534736361</v>
      </c>
      <c r="F365" s="95">
        <f t="shared" si="37"/>
        <v>8.86124296943186</v>
      </c>
      <c r="G365" s="95">
        <f t="shared" si="37"/>
        <v>1.6750743958569367</v>
      </c>
      <c r="H365" s="95">
        <f t="shared" si="37"/>
        <v>0.41825540685718327</v>
      </c>
      <c r="I365" s="95">
        <f t="shared" si="37"/>
        <v>-0.86167749860746978</v>
      </c>
      <c r="J365" s="95">
        <f t="shared" si="37"/>
        <v>8.7215161781784545</v>
      </c>
      <c r="K365" s="95">
        <f t="shared" si="37"/>
        <v>6.085492652604587E-2</v>
      </c>
      <c r="L365" s="95">
        <f t="shared" si="37"/>
        <v>-0.52602312749857927</v>
      </c>
      <c r="M365" s="95">
        <f t="shared" si="37"/>
        <v>0.32297296510535128</v>
      </c>
    </row>
    <row r="366" spans="2:13">
      <c r="B366" s="9" t="s">
        <v>62</v>
      </c>
      <c r="C366" s="95">
        <f t="shared" ref="C366:M366" si="38">C338/$C338</f>
        <v>1</v>
      </c>
      <c r="D366" s="95">
        <f t="shared" si="38"/>
        <v>-1.0256193552790678</v>
      </c>
      <c r="E366" s="95">
        <f t="shared" si="38"/>
        <v>2.0256193552790678</v>
      </c>
      <c r="F366" s="95">
        <f t="shared" si="38"/>
        <v>1.6426502666159548</v>
      </c>
      <c r="G366" s="95">
        <f t="shared" si="38"/>
        <v>0.71987051429729909</v>
      </c>
      <c r="H366" s="95">
        <f t="shared" si="38"/>
        <v>-4.4044418301055051E-2</v>
      </c>
      <c r="I366" s="95">
        <f t="shared" si="38"/>
        <v>-8.4381725599931168E-3</v>
      </c>
      <c r="J366" s="95">
        <f t="shared" si="38"/>
        <v>1.6050740486131669</v>
      </c>
      <c r="K366" s="95">
        <f t="shared" si="38"/>
        <v>3.6232014806602007E-2</v>
      </c>
      <c r="L366" s="95">
        <f t="shared" si="38"/>
        <v>-4.2134136267190973E-2</v>
      </c>
      <c r="M366" s="95">
        <f t="shared" si="38"/>
        <v>6.2825514230907306E-2</v>
      </c>
    </row>
    <row r="367" spans="2:13">
      <c r="B367" s="9" t="s">
        <v>63</v>
      </c>
      <c r="C367" s="95">
        <f t="shared" ref="C367:M367" si="39">C339/$C339</f>
        <v>1</v>
      </c>
      <c r="D367" s="95">
        <f t="shared" si="39"/>
        <v>-1.6123455566805374</v>
      </c>
      <c r="E367" s="95">
        <f t="shared" si="39"/>
        <v>2.6123455566805376</v>
      </c>
      <c r="F367" s="95">
        <f t="shared" si="39"/>
        <v>1.9791420414131737</v>
      </c>
      <c r="G367" s="95">
        <f t="shared" si="39"/>
        <v>3.7025293562723887E-3</v>
      </c>
      <c r="H367" s="95">
        <f t="shared" si="39"/>
        <v>-0.11082597379868242</v>
      </c>
      <c r="I367" s="95">
        <f t="shared" si="39"/>
        <v>0.52620778748384334</v>
      </c>
      <c r="J367" s="95">
        <f t="shared" si="39"/>
        <v>1.8911884733473454</v>
      </c>
      <c r="K367" s="95">
        <f t="shared" si="39"/>
        <v>0.34218686389386316</v>
      </c>
      <c r="L367" s="95">
        <f t="shared" si="39"/>
        <v>-0.70806411626785359</v>
      </c>
      <c r="M367" s="95">
        <f t="shared" si="39"/>
        <v>0.79719568954342446</v>
      </c>
    </row>
    <row r="368" spans="2:13">
      <c r="B368" s="295" t="s">
        <v>64</v>
      </c>
      <c r="C368" s="292">
        <f t="shared" ref="C368:M368" si="40">C340/$C340</f>
        <v>1</v>
      </c>
      <c r="D368" s="292">
        <f t="shared" si="40"/>
        <v>0.52546956590010563</v>
      </c>
      <c r="E368" s="292">
        <f t="shared" si="40"/>
        <v>0.47453043409989437</v>
      </c>
      <c r="F368" s="292">
        <f t="shared" si="40"/>
        <v>0.55107817196028885</v>
      </c>
      <c r="G368" s="292">
        <f t="shared" si="40"/>
        <v>-0.2251005831464086</v>
      </c>
      <c r="H368" s="292">
        <f t="shared" si="40"/>
        <v>4.5575156678543144E-2</v>
      </c>
      <c r="I368" s="292">
        <f t="shared" si="40"/>
        <v>0.10997860097361954</v>
      </c>
      <c r="J368" s="292">
        <f t="shared" si="40"/>
        <v>0.38998961545586702</v>
      </c>
      <c r="K368" s="292">
        <f t="shared" si="40"/>
        <v>2.0316884523827031E-2</v>
      </c>
      <c r="L368" s="292">
        <f t="shared" si="40"/>
        <v>0.14628301032806457</v>
      </c>
      <c r="M368" s="292">
        <f t="shared" si="40"/>
        <v>9.44479696418037E-2</v>
      </c>
    </row>
    <row r="369" spans="1:20" s="296" customFormat="1" thickBot="1">
      <c r="B369" s="297" t="s">
        <v>558</v>
      </c>
      <c r="C369" s="298">
        <v>1</v>
      </c>
      <c r="D369" s="298">
        <f t="shared" ref="D369:M369" si="41">+D345</f>
        <v>0.71763541176317081</v>
      </c>
      <c r="E369" s="298">
        <f t="shared" si="41"/>
        <v>0.28236458823682908</v>
      </c>
      <c r="F369" s="298">
        <f t="shared" si="41"/>
        <v>0.19242172748367328</v>
      </c>
      <c r="G369" s="298">
        <f t="shared" si="41"/>
        <v>-1.471042048850359E-2</v>
      </c>
      <c r="H369" s="298">
        <f t="shared" si="41"/>
        <v>8.1041918248589265E-2</v>
      </c>
      <c r="I369" s="298">
        <f t="shared" si="41"/>
        <v>3.7818045219948401E-2</v>
      </c>
      <c r="J369" s="298">
        <f t="shared" si="41"/>
        <v>0.17577941156266505</v>
      </c>
      <c r="K369" s="298">
        <f t="shared" si="41"/>
        <v>3.0979547145594723E-2</v>
      </c>
      <c r="L369" s="298">
        <f t="shared" si="41"/>
        <v>4.2602287407567122E-2</v>
      </c>
      <c r="M369" s="298">
        <f t="shared" si="41"/>
        <v>-1.7430332580715377E-4</v>
      </c>
    </row>
    <row r="370" spans="1:20">
      <c r="B370" s="248"/>
      <c r="C370" s="249"/>
      <c r="D370" s="249"/>
      <c r="E370" s="249"/>
      <c r="F370" s="249"/>
      <c r="G370" s="249"/>
      <c r="H370" s="249"/>
      <c r="I370" s="249"/>
      <c r="J370" s="249"/>
      <c r="K370" s="249"/>
      <c r="L370" s="249"/>
      <c r="M370" s="249"/>
    </row>
    <row r="371" spans="1:20">
      <c r="B371" s="248"/>
      <c r="C371" s="339"/>
      <c r="D371" s="339"/>
      <c r="E371" s="339"/>
      <c r="F371" s="339"/>
      <c r="G371" s="339"/>
      <c r="H371" s="339"/>
      <c r="I371" s="339"/>
      <c r="J371" s="339"/>
      <c r="K371" s="339"/>
      <c r="L371" s="339"/>
      <c r="M371" s="339"/>
      <c r="N371" s="339"/>
      <c r="O371" s="339"/>
      <c r="P371" s="339"/>
      <c r="Q371" s="339"/>
      <c r="R371" s="339"/>
      <c r="S371" s="339"/>
      <c r="T371" s="339"/>
    </row>
    <row r="373" spans="1:20" ht="18.75">
      <c r="B373" s="258" t="str">
        <f>"Cuadro 13: Financiación regional a competencias homogéneas, euros per cápita, "&amp;(Resumen!C2)</f>
        <v>Cuadro 13: Financiación regional a competencias homogéneas, euros per cápita, 2014</v>
      </c>
      <c r="C373" s="214"/>
      <c r="D373" s="214"/>
      <c r="E373" s="214"/>
      <c r="F373" s="214"/>
      <c r="G373" s="214"/>
      <c r="H373" s="214"/>
    </row>
    <row r="374" spans="1:20" ht="13.5">
      <c r="B374" s="208"/>
      <c r="C374" s="299" t="s">
        <v>562</v>
      </c>
      <c r="D374" s="299" t="s">
        <v>563</v>
      </c>
      <c r="E374" s="299" t="s">
        <v>564</v>
      </c>
      <c r="F374" s="299" t="s">
        <v>565</v>
      </c>
      <c r="G374" s="299" t="s">
        <v>566</v>
      </c>
      <c r="H374" s="299" t="s">
        <v>567</v>
      </c>
    </row>
    <row r="375" spans="1:20" ht="12.75" customHeight="1">
      <c r="B375" s="49"/>
      <c r="C375" s="83"/>
      <c r="D375" s="84" t="s">
        <v>568</v>
      </c>
      <c r="E375" s="84" t="s">
        <v>570</v>
      </c>
      <c r="F375" s="84" t="s">
        <v>576</v>
      </c>
      <c r="G375" s="84" t="s">
        <v>570</v>
      </c>
      <c r="H375" s="84" t="s">
        <v>576</v>
      </c>
    </row>
    <row r="376" spans="1:20" ht="52.5" customHeight="1" thickBot="1">
      <c r="B376" s="300"/>
      <c r="C376" s="301" t="s">
        <v>586</v>
      </c>
      <c r="D376" s="301" t="s">
        <v>569</v>
      </c>
      <c r="E376" s="301" t="s">
        <v>571</v>
      </c>
      <c r="F376" s="301" t="s">
        <v>57</v>
      </c>
      <c r="G376" s="301" t="s">
        <v>1011</v>
      </c>
      <c r="H376" s="301" t="s">
        <v>577</v>
      </c>
    </row>
    <row r="377" spans="1:20">
      <c r="A377" s="307"/>
      <c r="B377" s="49" t="s">
        <v>9</v>
      </c>
      <c r="C377" s="305">
        <f>Gasto_o_ing_per_capita!E108</f>
        <v>2011.9800592442252</v>
      </c>
      <c r="D377" s="306">
        <f t="array" ref="D377:D394">TRANSPOSE(Gasto_o_ing_per_capita!E164:V164)</f>
        <v>0</v>
      </c>
      <c r="E377" s="305">
        <f>Gasto_o_ing_per_capita!E126</f>
        <v>-96.90896582090798</v>
      </c>
      <c r="F377" s="305">
        <f>+C377+D377+E377</f>
        <v>1915.0710934233173</v>
      </c>
      <c r="G377" s="305">
        <f>Gasto_o_ing_per_capita!E$197</f>
        <v>71.96290385254521</v>
      </c>
      <c r="H377" s="305">
        <f>+F377+G377</f>
        <v>1987.0339972758625</v>
      </c>
    </row>
    <row r="378" spans="1:20">
      <c r="A378" s="307"/>
      <c r="B378" s="49" t="s">
        <v>10</v>
      </c>
      <c r="C378" s="305">
        <f>Gasto_o_ing_per_capita!F108</f>
        <v>2342.6643449635867</v>
      </c>
      <c r="D378" s="306">
        <v>0</v>
      </c>
      <c r="E378" s="305">
        <f>Gasto_o_ing_per_capita!F126</f>
        <v>-65.044205421358527</v>
      </c>
      <c r="F378" s="305">
        <f t="shared" ref="F378:F397" si="42">+C378+D378+E378</f>
        <v>2277.6201395422281</v>
      </c>
      <c r="G378" s="305">
        <f>Gasto_o_ing_per_capita!F$197</f>
        <v>96.939973476867706</v>
      </c>
      <c r="H378" s="305">
        <f t="shared" ref="H378:H396" si="43">+F378+G378</f>
        <v>2374.5601130190958</v>
      </c>
    </row>
    <row r="379" spans="1:20">
      <c r="A379" s="307"/>
      <c r="B379" s="49" t="s">
        <v>11</v>
      </c>
      <c r="C379" s="305">
        <f>Gasto_o_ing_per_capita!G108</f>
        <v>2320.6873979663142</v>
      </c>
      <c r="D379" s="306">
        <v>0</v>
      </c>
      <c r="E379" s="305">
        <f>Gasto_o_ing_per_capita!G126</f>
        <v>-72.029894595928809</v>
      </c>
      <c r="F379" s="305">
        <f t="shared" si="42"/>
        <v>2248.6575033703853</v>
      </c>
      <c r="G379" s="305">
        <f>Gasto_o_ing_per_capita!G$197</f>
        <v>92.003495419109896</v>
      </c>
      <c r="H379" s="305">
        <f t="shared" si="43"/>
        <v>2340.6609987894954</v>
      </c>
    </row>
    <row r="380" spans="1:20">
      <c r="A380" s="307"/>
      <c r="B380" s="49" t="s">
        <v>31</v>
      </c>
      <c r="C380" s="305">
        <f>Gasto_o_ing_per_capita!H108</f>
        <v>2125.8888106530394</v>
      </c>
      <c r="D380" s="306">
        <v>0</v>
      </c>
      <c r="E380" s="305">
        <f>Gasto_o_ing_per_capita!H126</f>
        <v>-51.198962200578961</v>
      </c>
      <c r="F380" s="305">
        <f t="shared" si="42"/>
        <v>2074.6898484524604</v>
      </c>
      <c r="G380" s="305">
        <f>Gasto_o_ing_per_capita!H$197</f>
        <v>179.71655490125377</v>
      </c>
      <c r="H380" s="305">
        <f t="shared" si="43"/>
        <v>2254.4064033537143</v>
      </c>
    </row>
    <row r="381" spans="1:20">
      <c r="A381" s="307"/>
      <c r="B381" s="49" t="s">
        <v>12</v>
      </c>
      <c r="C381" s="305">
        <f>Gasto_o_ing_per_capita!I108</f>
        <v>2376.3507833859931</v>
      </c>
      <c r="D381" s="306">
        <v>0</v>
      </c>
      <c r="E381" s="305">
        <f>Gasto_o_ing_per_capita!I126</f>
        <v>-131.90256361501423</v>
      </c>
      <c r="F381" s="305">
        <f t="shared" si="42"/>
        <v>2244.448219770979</v>
      </c>
      <c r="G381" s="305">
        <f>Gasto_o_ing_per_capita!I$197</f>
        <v>48.370728094655185</v>
      </c>
      <c r="H381" s="305">
        <f t="shared" si="43"/>
        <v>2292.8189478656341</v>
      </c>
    </row>
    <row r="382" spans="1:20">
      <c r="A382" s="307"/>
      <c r="B382" s="49" t="s">
        <v>13</v>
      </c>
      <c r="C382" s="305">
        <f>Gasto_o_ing_per_capita!J108</f>
        <v>2745.7801580961836</v>
      </c>
      <c r="D382" s="306">
        <v>0</v>
      </c>
      <c r="E382" s="305">
        <f>Gasto_o_ing_per_capita!J126</f>
        <v>-227.96966408453045</v>
      </c>
      <c r="F382" s="305">
        <f t="shared" si="42"/>
        <v>2517.8104940116532</v>
      </c>
      <c r="G382" s="305">
        <f>Gasto_o_ing_per_capita!J$197</f>
        <v>66.4581176069603</v>
      </c>
      <c r="H382" s="305">
        <f t="shared" si="43"/>
        <v>2584.2686116186137</v>
      </c>
    </row>
    <row r="383" spans="1:20">
      <c r="A383" s="307"/>
      <c r="B383" s="49" t="s">
        <v>14</v>
      </c>
      <c r="C383" s="305">
        <f>Gasto_o_ing_per_capita!K108</f>
        <v>2346.3845064284214</v>
      </c>
      <c r="D383" s="306">
        <v>0</v>
      </c>
      <c r="E383" s="305">
        <f>Gasto_o_ing_per_capita!K126</f>
        <v>-6.2887330419539813</v>
      </c>
      <c r="F383" s="305">
        <f t="shared" si="42"/>
        <v>2340.0957733864675</v>
      </c>
      <c r="G383" s="305">
        <f>Gasto_o_ing_per_capita!K$197</f>
        <v>64.651619089563695</v>
      </c>
      <c r="H383" s="305">
        <f t="shared" si="43"/>
        <v>2404.7473924760311</v>
      </c>
    </row>
    <row r="384" spans="1:20">
      <c r="A384" s="307"/>
      <c r="B384" s="49" t="s">
        <v>572</v>
      </c>
      <c r="C384" s="305">
        <f>Gasto_o_ing_per_capita!L108</f>
        <v>2134.3117420244971</v>
      </c>
      <c r="D384" s="306">
        <v>0</v>
      </c>
      <c r="E384" s="305">
        <f>Gasto_o_ing_per_capita!L126</f>
        <v>-5.5822480497508238</v>
      </c>
      <c r="F384" s="305">
        <f t="shared" si="42"/>
        <v>2128.7294939747462</v>
      </c>
      <c r="G384" s="305">
        <f>Gasto_o_ing_per_capita!L$197</f>
        <v>10.263604045711155</v>
      </c>
      <c r="H384" s="305">
        <f t="shared" si="43"/>
        <v>2138.9930980204572</v>
      </c>
    </row>
    <row r="385" spans="1:9">
      <c r="A385" s="307"/>
      <c r="B385" s="49" t="s">
        <v>16</v>
      </c>
      <c r="C385" s="305">
        <f>Gasto_o_ing_per_capita!M108</f>
        <v>2208.0983059246951</v>
      </c>
      <c r="D385" s="306">
        <v>0</v>
      </c>
      <c r="E385" s="305">
        <f>Gasto_o_ing_per_capita!M126</f>
        <v>-285.77813547778874</v>
      </c>
      <c r="F385" s="305">
        <f t="shared" si="42"/>
        <v>1922.3201704469063</v>
      </c>
      <c r="G385" s="305">
        <f>Gasto_o_ing_per_capita!M$197</f>
        <v>116.8802654051018</v>
      </c>
      <c r="H385" s="305">
        <f t="shared" si="43"/>
        <v>2039.200435852008</v>
      </c>
    </row>
    <row r="386" spans="1:9">
      <c r="A386" s="307"/>
      <c r="B386" s="49" t="s">
        <v>17</v>
      </c>
      <c r="C386" s="305">
        <f>Gasto_o_ing_per_capita!N108</f>
        <v>1840.8966772220365</v>
      </c>
      <c r="D386" s="306">
        <v>0</v>
      </c>
      <c r="E386" s="305">
        <f>Gasto_o_ing_per_capita!N126</f>
        <v>-43.095863464605763</v>
      </c>
      <c r="F386" s="305">
        <f t="shared" si="42"/>
        <v>1797.8008137574307</v>
      </c>
      <c r="G386" s="305">
        <f>Gasto_o_ing_per_capita!N$197</f>
        <v>108.31022418222581</v>
      </c>
      <c r="H386" s="305">
        <f t="shared" si="43"/>
        <v>1906.1110379396564</v>
      </c>
    </row>
    <row r="387" spans="1:9">
      <c r="A387" s="307"/>
      <c r="B387" s="49" t="s">
        <v>18</v>
      </c>
      <c r="C387" s="305">
        <f>Gasto_o_ing_per_capita!O108</f>
        <v>2410.9538301161292</v>
      </c>
      <c r="D387" s="306">
        <v>0</v>
      </c>
      <c r="E387" s="305">
        <f>Gasto_o_ing_per_capita!O126</f>
        <v>-7.2323272676973644</v>
      </c>
      <c r="F387" s="305">
        <f t="shared" si="42"/>
        <v>2403.721502848432</v>
      </c>
      <c r="G387" s="305">
        <f>Gasto_o_ing_per_capita!O$197</f>
        <v>150.29758701827913</v>
      </c>
      <c r="H387" s="305">
        <f t="shared" si="43"/>
        <v>2554.0190898667111</v>
      </c>
    </row>
    <row r="388" spans="1:9">
      <c r="A388" s="307"/>
      <c r="B388" s="49" t="s">
        <v>19</v>
      </c>
      <c r="C388" s="305">
        <f>Gasto_o_ing_per_capita!P108</f>
        <v>2365.1831698919041</v>
      </c>
      <c r="D388" s="306">
        <v>0</v>
      </c>
      <c r="E388" s="305">
        <f>Gasto_o_ing_per_capita!P126</f>
        <v>-83.160280631835704</v>
      </c>
      <c r="F388" s="305">
        <f t="shared" si="42"/>
        <v>2282.0228892600685</v>
      </c>
      <c r="G388" s="305">
        <f>Gasto_o_ing_per_capita!P$197</f>
        <v>94.752249391509878</v>
      </c>
      <c r="H388" s="305">
        <f t="shared" si="43"/>
        <v>2376.7751386515783</v>
      </c>
    </row>
    <row r="389" spans="1:9">
      <c r="A389" s="307"/>
      <c r="B389" s="49" t="s">
        <v>20</v>
      </c>
      <c r="C389" s="305">
        <f>Gasto_o_ing_per_capita!Q108</f>
        <v>2039.9321877347031</v>
      </c>
      <c r="D389" s="306">
        <v>0</v>
      </c>
      <c r="E389" s="305">
        <f>Gasto_o_ing_per_capita!Q126</f>
        <v>-157.06223746240789</v>
      </c>
      <c r="F389" s="305">
        <f t="shared" si="42"/>
        <v>1882.8699502722952</v>
      </c>
      <c r="G389" s="305">
        <f>Gasto_o_ing_per_capita!Q$197</f>
        <v>-73.968629229661943</v>
      </c>
      <c r="H389" s="305">
        <f t="shared" si="43"/>
        <v>1808.9013210426333</v>
      </c>
    </row>
    <row r="390" spans="1:9">
      <c r="A390" s="307"/>
      <c r="B390" s="49" t="s">
        <v>60</v>
      </c>
      <c r="C390" s="305">
        <f>Gasto_o_ing_per_capita!R108</f>
        <v>1852.1491189957082</v>
      </c>
      <c r="D390" s="306">
        <v>0</v>
      </c>
      <c r="E390" s="305">
        <f>Gasto_o_ing_per_capita!R126</f>
        <v>-12.499959867085995</v>
      </c>
      <c r="F390" s="305">
        <f t="shared" si="42"/>
        <v>1839.6491591286222</v>
      </c>
      <c r="G390" s="305">
        <f>Gasto_o_ing_per_capita!R$197</f>
        <v>117.59733047816908</v>
      </c>
      <c r="H390" s="305">
        <f t="shared" si="43"/>
        <v>1957.2464896067913</v>
      </c>
    </row>
    <row r="391" spans="1:9">
      <c r="B391" s="49" t="s">
        <v>61</v>
      </c>
      <c r="C391" s="305">
        <f>+Gasto_o_ing_per_capita!S148</f>
        <v>5308.2453430997157</v>
      </c>
      <c r="D391" s="305">
        <v>-839.46346816351956</v>
      </c>
      <c r="E391" s="305">
        <f>+Gasto_o_ing_per_capita!S169</f>
        <v>-735.0250500407767</v>
      </c>
      <c r="F391" s="305">
        <f t="shared" si="42"/>
        <v>3733.7568248954194</v>
      </c>
      <c r="G391" s="305">
        <f>Gasto_o_ing_per_capita!S$197</f>
        <v>-678.7797457920534</v>
      </c>
      <c r="H391" s="305">
        <f t="shared" si="43"/>
        <v>3054.9770791033661</v>
      </c>
      <c r="I391" s="414">
        <f>(H391-H396)/H396</f>
        <v>0.46701918868602965</v>
      </c>
    </row>
    <row r="392" spans="1:9">
      <c r="B392" s="49" t="s">
        <v>62</v>
      </c>
      <c r="C392" s="305">
        <f>+Gasto_o_ing_per_capita!T148</f>
        <v>6011.5388753005591</v>
      </c>
      <c r="D392" s="305">
        <v>-435.02529097295229</v>
      </c>
      <c r="E392" s="305">
        <f>+Gasto_o_ing_per_capita!T169</f>
        <v>-922.26896399211</v>
      </c>
      <c r="F392" s="305">
        <f t="shared" si="42"/>
        <v>4654.2446203354966</v>
      </c>
      <c r="G392" s="305">
        <f>Gasto_o_ing_per_capita!T$197</f>
        <v>-406.15640443668332</v>
      </c>
      <c r="H392" s="305">
        <f t="shared" si="43"/>
        <v>4248.0882158988134</v>
      </c>
      <c r="I392" s="414">
        <f>(H392-H396)/H396</f>
        <v>1.0399586532360028</v>
      </c>
    </row>
    <row r="393" spans="1:9">
      <c r="B393" s="49" t="s">
        <v>63</v>
      </c>
      <c r="C393" s="305">
        <f>+Gasto_o_ing_per_capita!U108</f>
        <v>2638.1020900742146</v>
      </c>
      <c r="D393" s="306">
        <v>0</v>
      </c>
      <c r="E393" s="305">
        <f>+Gasto_o_ing_per_capita!U126</f>
        <v>-218.97630104203733</v>
      </c>
      <c r="F393" s="305">
        <f t="shared" si="42"/>
        <v>2419.1257890321772</v>
      </c>
      <c r="G393" s="305">
        <f>Gasto_o_ing_per_capita!U$197</f>
        <v>62.100631388551648</v>
      </c>
      <c r="H393" s="305">
        <f t="shared" si="43"/>
        <v>2481.226420420729</v>
      </c>
    </row>
    <row r="394" spans="1:9">
      <c r="B394" s="49" t="s">
        <v>64</v>
      </c>
      <c r="C394" s="305">
        <f>+Gasto_o_ing_per_capita!V108</f>
        <v>427.62403519991523</v>
      </c>
      <c r="D394" s="306">
        <v>0</v>
      </c>
      <c r="E394" s="305">
        <f>+Gasto_o_ing_per_capita!V129</f>
        <v>3634.4406215482677</v>
      </c>
      <c r="F394" s="305">
        <f t="shared" si="42"/>
        <v>4062.0646567481831</v>
      </c>
      <c r="G394" s="305">
        <f>Gasto_o_ing_per_capita!V$197</f>
        <v>0</v>
      </c>
      <c r="H394" s="305">
        <f t="shared" si="43"/>
        <v>4062.0646567481831</v>
      </c>
    </row>
    <row r="395" spans="1:9" ht="13.5">
      <c r="B395" s="85" t="s">
        <v>573</v>
      </c>
      <c r="C395" s="418">
        <f t="shared" ref="C395:E397" si="44">C403</f>
        <v>2353.2640376964559</v>
      </c>
      <c r="D395" s="418">
        <f t="shared" si="44"/>
        <v>-31.909619672840911</v>
      </c>
      <c r="E395" s="418">
        <f t="shared" si="44"/>
        <v>-150.81542899909766</v>
      </c>
      <c r="F395" s="418">
        <f t="shared" si="42"/>
        <v>2170.5389890245174</v>
      </c>
      <c r="G395" s="418">
        <f>F403</f>
        <v>33.955789880648737</v>
      </c>
      <c r="H395" s="418">
        <f t="shared" si="43"/>
        <v>2204.4947789051662</v>
      </c>
    </row>
    <row r="396" spans="1:9">
      <c r="B396" s="49" t="s">
        <v>574</v>
      </c>
      <c r="C396" s="417">
        <f t="shared" si="44"/>
        <v>2134.1541578812376</v>
      </c>
      <c r="D396" s="417">
        <f t="shared" si="44"/>
        <v>0</v>
      </c>
      <c r="E396" s="417">
        <f t="shared" si="44"/>
        <v>-118.30021364805381</v>
      </c>
      <c r="F396" s="417">
        <f t="shared" si="42"/>
        <v>2015.8539442331837</v>
      </c>
      <c r="G396" s="417">
        <f t="shared" ref="G396" si="45">F404</f>
        <v>66.584446937165211</v>
      </c>
      <c r="H396" s="417">
        <f t="shared" si="43"/>
        <v>2082.438391170349</v>
      </c>
    </row>
    <row r="397" spans="1:9" ht="13.5" thickBot="1">
      <c r="B397" s="54" t="s">
        <v>575</v>
      </c>
      <c r="C397" s="417">
        <f t="shared" si="44"/>
        <v>5852.3190118727061</v>
      </c>
      <c r="D397" s="417">
        <f t="shared" si="44"/>
        <v>-526.58676337236386</v>
      </c>
      <c r="E397" s="417">
        <f t="shared" si="44"/>
        <v>-879.87848399759991</v>
      </c>
      <c r="F397" s="417">
        <f t="shared" si="42"/>
        <v>4445.8537645027427</v>
      </c>
      <c r="G397" s="417">
        <f>F405</f>
        <v>-467.87608361816513</v>
      </c>
      <c r="H397" s="417">
        <f>+F397+G397</f>
        <v>3977.9776808845777</v>
      </c>
      <c r="I397" s="414">
        <f>(H397-H396)/H396</f>
        <v>0.91024987713990368</v>
      </c>
    </row>
    <row r="398" spans="1:9">
      <c r="B398" s="487" t="s">
        <v>1008</v>
      </c>
      <c r="C398" s="487"/>
      <c r="D398" s="487"/>
      <c r="E398" s="487"/>
      <c r="F398" s="487"/>
      <c r="G398" s="487"/>
      <c r="H398" s="487"/>
      <c r="I398" s="90"/>
    </row>
    <row r="399" spans="1:9">
      <c r="B399" s="308"/>
      <c r="C399" s="308"/>
      <c r="D399" s="308"/>
      <c r="E399" s="308"/>
      <c r="F399" s="308"/>
      <c r="G399" s="308"/>
      <c r="H399" s="308"/>
      <c r="I399" s="90"/>
    </row>
    <row r="400" spans="1:9">
      <c r="B400" s="308"/>
      <c r="C400" s="308"/>
      <c r="D400" s="308"/>
      <c r="E400" s="308"/>
      <c r="F400" s="308"/>
      <c r="G400" s="308"/>
      <c r="H400" s="308"/>
      <c r="I400" s="90"/>
    </row>
    <row r="401" spans="2:9" ht="14.25">
      <c r="B401" s="311" t="s">
        <v>1076</v>
      </c>
      <c r="C401" s="308"/>
      <c r="D401" s="308"/>
      <c r="E401" s="308"/>
      <c r="F401" s="308"/>
      <c r="G401" s="308"/>
      <c r="H401" s="308"/>
      <c r="I401" s="90"/>
    </row>
    <row r="402" spans="2:9" ht="25.5" customHeight="1" thickBot="1">
      <c r="B402" s="341"/>
      <c r="C402" s="342" t="s">
        <v>586</v>
      </c>
      <c r="D402" s="343" t="s">
        <v>569</v>
      </c>
      <c r="E402" s="343" t="s">
        <v>571</v>
      </c>
      <c r="F402" s="343" t="s">
        <v>1011</v>
      </c>
      <c r="G402" s="308"/>
      <c r="H402" s="308"/>
      <c r="I402" s="90"/>
    </row>
    <row r="403" spans="2:9">
      <c r="B403" s="308" t="s">
        <v>584</v>
      </c>
      <c r="C403" s="305">
        <f>(Gasto_o_ing_total!V108+Gasto_o_ing_total!V148)*1000/Gasto_o_ing_total!V485</f>
        <v>2353.2640376964559</v>
      </c>
      <c r="D403" s="305">
        <f>+SUM(Gasto_o_ing_total!R164:S164)*1000/Gasto_o_ing_total!V485</f>
        <v>-31.909619672840911</v>
      </c>
      <c r="E403" s="305">
        <f>(+SUM(Gasto_o_ing_total!D126:U126)+SUM(Gasto_o_ing_total!R169:S169)+Gasto_o_ing_total!U129)*1000/Gasto_o_ing_total!V485</f>
        <v>-150.81542899909766</v>
      </c>
      <c r="F403" s="305">
        <f>(SUM(Gasto_o_ing_total!D197:U197)*1000/Gasto_o_ing_total!V485)</f>
        <v>33.955789880648737</v>
      </c>
      <c r="G403" s="308"/>
      <c r="H403" s="308"/>
      <c r="I403" s="90"/>
    </row>
    <row r="404" spans="2:9">
      <c r="B404" s="308" t="s">
        <v>1077</v>
      </c>
      <c r="C404" s="305">
        <f>(+SUM(Gasto_o_ing_total!D108:T108)*1000/(+SUM(Gasto_o_ing_total!D485:Q485)+Gasto_o_ing_total!T485))</f>
        <v>2134.1541578812376</v>
      </c>
      <c r="D404" s="305">
        <v>0</v>
      </c>
      <c r="E404" s="305">
        <f>(+SUM(Gasto_o_ing_total!D126:T126))*1000/(+SUM(Gasto_o_ing_total!D485:Q485)+Gasto_o_ing_total!T485)</f>
        <v>-118.30021364805381</v>
      </c>
      <c r="F404" s="305">
        <f>(+SUM(Gasto_o_ing_total!D197:Q197)+Gasto_o_ing_total!T197)*1000/(+SUM(Gasto_o_ing_total!D485:Q485)+Gasto_o_ing_total!T485)</f>
        <v>66.584446937165211</v>
      </c>
      <c r="G404" s="308"/>
      <c r="H404" s="308"/>
      <c r="I404" s="90"/>
    </row>
    <row r="405" spans="2:9" ht="13.5" thickBot="1">
      <c r="B405" s="87" t="s">
        <v>585</v>
      </c>
      <c r="C405" s="340">
        <f>+Gasto_o_ing_total!V148*1000/(+SUM(Gasto_o_ing_total!R485:S485))</f>
        <v>5852.3190118727061</v>
      </c>
      <c r="D405" s="340">
        <f>+SUM(Gasto_o_ing_total!R164:S164)*1000/(SUM(Gasto_o_ing_total!R485:S485))</f>
        <v>-526.58676337236386</v>
      </c>
      <c r="E405" s="340">
        <f>+Gasto_o_ing_total!V169*1000/(+SUM(Gasto_o_ing_total!R485:S485))</f>
        <v>-879.87848399759991</v>
      </c>
      <c r="F405" s="340">
        <f>(+SUM(Gasto_o_ing_total!R197:S197)*1000/+SUM(Gasto_o_ing_total!R485:S485))</f>
        <v>-467.87608361816513</v>
      </c>
      <c r="G405" s="388"/>
      <c r="H405" s="308"/>
      <c r="I405" s="90"/>
    </row>
    <row r="406" spans="2:9">
      <c r="B406" s="308"/>
      <c r="D406" s="308"/>
      <c r="E406" s="308"/>
      <c r="F406" s="308"/>
      <c r="G406" s="308"/>
      <c r="H406" s="308"/>
      <c r="I406" s="90"/>
    </row>
    <row r="407" spans="2:9">
      <c r="B407" s="308"/>
      <c r="C407" s="308"/>
      <c r="D407" s="308"/>
      <c r="E407" s="308"/>
      <c r="F407" s="308"/>
      <c r="G407" s="308"/>
      <c r="H407" s="308"/>
      <c r="I407" s="90"/>
    </row>
    <row r="409" spans="2:9" ht="18.75">
      <c r="B409" s="258" t="str">
        <f>"Cuadro 14: Índices de financiación a competencias homogéneas per cápita y por habitante ajustado, "&amp;(Resumen!C2)</f>
        <v>Cuadro 14: Índices de financiación a competencias homogéneas per cápita y por habitante ajustado, 2014</v>
      </c>
    </row>
    <row r="410" spans="2:9" ht="34.5" customHeight="1" thickBot="1">
      <c r="B410" s="344"/>
      <c r="C410" s="345" t="s">
        <v>578</v>
      </c>
      <c r="D410" s="345" t="s">
        <v>579</v>
      </c>
      <c r="E410" s="345" t="s">
        <v>580</v>
      </c>
      <c r="F410" s="345" t="s">
        <v>581</v>
      </c>
    </row>
    <row r="411" spans="2:9" ht="12.95" customHeight="1">
      <c r="B411" s="8" t="s">
        <v>9</v>
      </c>
      <c r="C411" s="98">
        <f t="shared" ref="C411:F431" si="46">+C469</f>
        <v>95.000488448174607</v>
      </c>
      <c r="D411" s="98">
        <f t="shared" si="46"/>
        <v>95.418621059859163</v>
      </c>
      <c r="E411" s="98">
        <f t="shared" si="46"/>
        <v>98.213963916725234</v>
      </c>
      <c r="F411" s="98">
        <f t="shared" si="46"/>
        <v>98.64624023348118</v>
      </c>
    </row>
    <row r="412" spans="2:9" ht="12.95" customHeight="1">
      <c r="B412" s="8" t="s">
        <v>10</v>
      </c>
      <c r="C412" s="98">
        <f t="shared" si="46"/>
        <v>112.98537505943264</v>
      </c>
      <c r="D412" s="98">
        <f t="shared" si="46"/>
        <v>114.02786863166561</v>
      </c>
      <c r="E412" s="98">
        <f t="shared" si="46"/>
        <v>105.46765964718257</v>
      </c>
      <c r="F412" s="98">
        <f t="shared" si="46"/>
        <v>106.44078875528888</v>
      </c>
    </row>
    <row r="413" spans="2:9" ht="12.95" customHeight="1">
      <c r="B413" s="8" t="s">
        <v>11</v>
      </c>
      <c r="C413" s="98">
        <f t="shared" si="46"/>
        <v>111.54863227086419</v>
      </c>
      <c r="D413" s="98">
        <f t="shared" si="46"/>
        <v>112.40001186657068</v>
      </c>
      <c r="E413" s="98">
        <f t="shared" si="46"/>
        <v>105.39575534225813</v>
      </c>
      <c r="F413" s="98">
        <f t="shared" si="46"/>
        <v>106.20017395094698</v>
      </c>
    </row>
    <row r="414" spans="2:9" ht="12.95" customHeight="1">
      <c r="B414" s="8" t="s">
        <v>31</v>
      </c>
      <c r="C414" s="98">
        <f t="shared" si="46"/>
        <v>102.91865908180456</v>
      </c>
      <c r="D414" s="98">
        <f t="shared" si="46"/>
        <v>108.25801199749867</v>
      </c>
      <c r="E414" s="98">
        <f t="shared" si="46"/>
        <v>103.02669862757661</v>
      </c>
      <c r="F414" s="98">
        <f t="shared" si="46"/>
        <v>108.37165656444836</v>
      </c>
    </row>
    <row r="415" spans="2:9" ht="12.95" customHeight="1">
      <c r="B415" s="8" t="s">
        <v>12</v>
      </c>
      <c r="C415" s="98">
        <f t="shared" si="46"/>
        <v>111.33982331367518</v>
      </c>
      <c r="D415" s="98">
        <f t="shared" si="46"/>
        <v>110.10260652066874</v>
      </c>
      <c r="E415" s="98">
        <f t="shared" si="46"/>
        <v>109.03879424951575</v>
      </c>
      <c r="F415" s="98">
        <f t="shared" si="46"/>
        <v>107.82714667078184</v>
      </c>
    </row>
    <row r="416" spans="2:9" ht="12.95" customHeight="1">
      <c r="B416" s="8" t="s">
        <v>13</v>
      </c>
      <c r="C416" s="98">
        <f t="shared" si="46"/>
        <v>124.90044237651409</v>
      </c>
      <c r="D416" s="98">
        <f t="shared" si="46"/>
        <v>124.09820250030215</v>
      </c>
      <c r="E416" s="98">
        <f t="shared" si="46"/>
        <v>123.88878408245536</v>
      </c>
      <c r="F416" s="98">
        <f t="shared" si="46"/>
        <v>123.09304212257705</v>
      </c>
    </row>
    <row r="417" spans="2:6" ht="12.95" customHeight="1">
      <c r="B417" s="8" t="s">
        <v>14</v>
      </c>
      <c r="C417" s="98">
        <f t="shared" si="46"/>
        <v>116.08458936625111</v>
      </c>
      <c r="D417" s="98">
        <f t="shared" si="46"/>
        <v>115.47748075872452</v>
      </c>
      <c r="E417" s="98">
        <f t="shared" si="46"/>
        <v>106.7492250195772</v>
      </c>
      <c r="F417" s="98">
        <f t="shared" si="46"/>
        <v>106.19093925821998</v>
      </c>
    </row>
    <row r="418" spans="2:6" ht="12.95" customHeight="1">
      <c r="B418" s="8" t="s">
        <v>15</v>
      </c>
      <c r="C418" s="98">
        <f t="shared" si="46"/>
        <v>105.59939126862189</v>
      </c>
      <c r="D418" s="98">
        <f t="shared" si="46"/>
        <v>102.71579255789287</v>
      </c>
      <c r="E418" s="98">
        <f t="shared" si="46"/>
        <v>100.22844994466705</v>
      </c>
      <c r="F418" s="98">
        <f t="shared" si="46"/>
        <v>97.491515332008063</v>
      </c>
    </row>
    <row r="419" spans="2:6" ht="12.95" customHeight="1">
      <c r="B419" s="8" t="s">
        <v>16</v>
      </c>
      <c r="C419" s="98">
        <f t="shared" si="46"/>
        <v>95.360091734133221</v>
      </c>
      <c r="D419" s="98">
        <f t="shared" si="46"/>
        <v>97.923686217961034</v>
      </c>
      <c r="E419" s="98">
        <f t="shared" si="46"/>
        <v>96.601093447709673</v>
      </c>
      <c r="F419" s="98">
        <f t="shared" si="46"/>
        <v>99.198050159797674</v>
      </c>
    </row>
    <row r="420" spans="2:6" ht="12.95" customHeight="1">
      <c r="B420" s="8" t="s">
        <v>17</v>
      </c>
      <c r="C420" s="98">
        <f t="shared" si="46"/>
        <v>89.183088829448963</v>
      </c>
      <c r="D420" s="98">
        <f t="shared" si="46"/>
        <v>91.532649706309229</v>
      </c>
      <c r="E420" s="98">
        <f t="shared" si="46"/>
        <v>92.188025557269398</v>
      </c>
      <c r="F420" s="98">
        <f t="shared" si="46"/>
        <v>94.616752583965862</v>
      </c>
    </row>
    <row r="421" spans="2:6" ht="12.95" customHeight="1">
      <c r="B421" s="8" t="s">
        <v>18</v>
      </c>
      <c r="C421" s="98">
        <f t="shared" si="46"/>
        <v>119.24085620016437</v>
      </c>
      <c r="D421" s="98">
        <f t="shared" si="46"/>
        <v>122.6456014591303</v>
      </c>
      <c r="E421" s="98">
        <f t="shared" si="46"/>
        <v>112.6263865952065</v>
      </c>
      <c r="F421" s="98">
        <f t="shared" si="46"/>
        <v>115.8422655146835</v>
      </c>
    </row>
    <row r="422" spans="2:6" ht="12.95" customHeight="1">
      <c r="B422" s="8" t="s">
        <v>19</v>
      </c>
      <c r="C422" s="98">
        <f t="shared" si="46"/>
        <v>113.20378124557699</v>
      </c>
      <c r="D422" s="98">
        <f t="shared" si="46"/>
        <v>114.13423555430181</v>
      </c>
      <c r="E422" s="98">
        <f t="shared" si="46"/>
        <v>105.44445655297754</v>
      </c>
      <c r="F422" s="98">
        <f t="shared" si="46"/>
        <v>106.31113474915924</v>
      </c>
    </row>
    <row r="423" spans="2:6" ht="12.95" customHeight="1">
      <c r="B423" s="8" t="s">
        <v>20</v>
      </c>
      <c r="C423" s="98">
        <f t="shared" si="46"/>
        <v>93.403093793510209</v>
      </c>
      <c r="D423" s="98">
        <f t="shared" si="46"/>
        <v>86.864578021250125</v>
      </c>
      <c r="E423" s="98">
        <f t="shared" si="46"/>
        <v>96.982738339980799</v>
      </c>
      <c r="F423" s="98">
        <f t="shared" si="46"/>
        <v>90.19363598246342</v>
      </c>
    </row>
    <row r="424" spans="2:6" ht="12.95" customHeight="1">
      <c r="B424" s="8" t="s">
        <v>60</v>
      </c>
      <c r="C424" s="98">
        <f t="shared" si="46"/>
        <v>91.259050011602497</v>
      </c>
      <c r="D424" s="98">
        <f t="shared" si="46"/>
        <v>93.98820622524164</v>
      </c>
      <c r="E424" s="98">
        <f t="shared" si="46"/>
        <v>93.543665875776213</v>
      </c>
      <c r="F424" s="98">
        <f t="shared" si="46"/>
        <v>96.341144886778423</v>
      </c>
    </row>
    <row r="425" spans="2:6" ht="12.95" customHeight="1">
      <c r="B425" s="8" t="s">
        <v>61</v>
      </c>
      <c r="C425" s="98">
        <f t="shared" si="46"/>
        <v>185.21961055644408</v>
      </c>
      <c r="D425" s="98">
        <f t="shared" si="46"/>
        <v>146.70191886860297</v>
      </c>
      <c r="E425" s="98">
        <f t="shared" si="46"/>
        <v>182.24143792544027</v>
      </c>
      <c r="F425" s="98">
        <f t="shared" si="46"/>
        <v>144.34307771578096</v>
      </c>
    </row>
    <row r="426" spans="2:6" ht="12.95" customHeight="1">
      <c r="B426" s="8" t="s">
        <v>62</v>
      </c>
      <c r="C426" s="98">
        <f t="shared" si="46"/>
        <v>230.88203555867929</v>
      </c>
      <c r="D426" s="98">
        <f t="shared" si="46"/>
        <v>203.99586532360038</v>
      </c>
      <c r="E426" s="98">
        <f t="shared" si="46"/>
        <v>227.76849336146998</v>
      </c>
      <c r="F426" s="98">
        <f t="shared" si="46"/>
        <v>201.24489453800271</v>
      </c>
    </row>
    <row r="427" spans="2:6" ht="12.95" customHeight="1">
      <c r="B427" s="8" t="s">
        <v>63</v>
      </c>
      <c r="C427" s="98">
        <f t="shared" si="46"/>
        <v>120.00501305923707</v>
      </c>
      <c r="D427" s="98">
        <f t="shared" si="46"/>
        <v>119.15005173460418</v>
      </c>
      <c r="E427" s="98">
        <f t="shared" si="46"/>
        <v>116.3863545927599</v>
      </c>
      <c r="F427" s="98">
        <f t="shared" si="46"/>
        <v>115.55717396642471</v>
      </c>
    </row>
    <row r="428" spans="2:6" ht="12.95" customHeight="1">
      <c r="B428" s="8" t="s">
        <v>64</v>
      </c>
      <c r="C428" s="98">
        <f t="shared" si="46"/>
        <v>201.50590117744684</v>
      </c>
      <c r="D428" s="98">
        <f t="shared" si="46"/>
        <v>195.06289712922873</v>
      </c>
      <c r="E428" s="98">
        <f t="shared" si="46"/>
        <v>216.76355125156161</v>
      </c>
      <c r="F428" s="98">
        <f t="shared" si="46"/>
        <v>209.83269498353559</v>
      </c>
    </row>
    <row r="429" spans="2:6" ht="12.95" customHeight="1">
      <c r="B429" s="86" t="s">
        <v>573</v>
      </c>
      <c r="C429" s="98">
        <f t="shared" si="46"/>
        <v>107.67342521187341</v>
      </c>
      <c r="D429" s="98">
        <f t="shared" si="46"/>
        <v>105.86122443056865</v>
      </c>
      <c r="E429" s="98">
        <f t="shared" si="46"/>
        <v>107.60786236238404</v>
      </c>
      <c r="F429" s="98">
        <f t="shared" si="46"/>
        <v>105.79676503856507</v>
      </c>
    </row>
    <row r="430" spans="2:6" ht="12.95" customHeight="1">
      <c r="B430" s="86" t="s">
        <v>582</v>
      </c>
      <c r="C430" s="99">
        <f t="shared" si="46"/>
        <v>100</v>
      </c>
      <c r="D430" s="99">
        <f t="shared" si="46"/>
        <v>100</v>
      </c>
      <c r="E430" s="99">
        <f t="shared" si="46"/>
        <v>100</v>
      </c>
      <c r="F430" s="99">
        <f t="shared" si="46"/>
        <v>100</v>
      </c>
    </row>
    <row r="431" spans="2:6" ht="12.95" customHeight="1" thickBot="1">
      <c r="B431" s="87" t="s">
        <v>583</v>
      </c>
      <c r="C431" s="98">
        <f t="shared" si="46"/>
        <v>220.5444386098078</v>
      </c>
      <c r="D431" s="98">
        <f t="shared" si="46"/>
        <v>191.02498771399038</v>
      </c>
      <c r="E431" s="98">
        <f t="shared" si="46"/>
        <v>217.44053640909652</v>
      </c>
      <c r="F431" s="98">
        <f t="shared" si="46"/>
        <v>188.33653688070817</v>
      </c>
    </row>
    <row r="432" spans="2:6" ht="12.95" customHeight="1">
      <c r="B432" s="488" t="s">
        <v>1009</v>
      </c>
      <c r="C432" s="488"/>
      <c r="D432" s="488"/>
      <c r="E432" s="488"/>
      <c r="F432" s="488"/>
    </row>
    <row r="433" spans="2:16">
      <c r="B433" s="489"/>
      <c r="C433" s="489"/>
      <c r="D433" s="489"/>
      <c r="E433" s="489"/>
      <c r="F433" s="489"/>
    </row>
    <row r="436" spans="2:16" ht="14.25">
      <c r="B436" s="311" t="s">
        <v>1013</v>
      </c>
      <c r="K436" s="55"/>
    </row>
    <row r="437" spans="2:16">
      <c r="C437" s="245" t="s">
        <v>603</v>
      </c>
      <c r="F437" s="245" t="s">
        <v>604</v>
      </c>
    </row>
    <row r="438" spans="2:16">
      <c r="C438" s="9" t="s">
        <v>605</v>
      </c>
      <c r="F438" s="9" t="s">
        <v>606</v>
      </c>
    </row>
    <row r="439" spans="2:16" ht="39.75" thickBot="1">
      <c r="B439" s="282"/>
      <c r="C439" s="319" t="s">
        <v>1014</v>
      </c>
      <c r="D439" s="319" t="s">
        <v>607</v>
      </c>
      <c r="E439" s="319" t="str">
        <f>"Poblacion ajustada "&amp;(Resumen!C2)</f>
        <v>Poblacion ajustada 2014</v>
      </c>
      <c r="F439" s="320" t="str">
        <f>"población media padrón "&amp;(Resumen!C2)</f>
        <v>población media padrón 2014</v>
      </c>
      <c r="H439" s="327"/>
      <c r="I439" s="328" t="s">
        <v>592</v>
      </c>
      <c r="J439" s="328" t="s">
        <v>593</v>
      </c>
      <c r="K439" s="328" t="s">
        <v>594</v>
      </c>
      <c r="L439" s="328" t="s">
        <v>595</v>
      </c>
      <c r="M439" s="328" t="s">
        <v>596</v>
      </c>
      <c r="N439" s="328" t="s">
        <v>597</v>
      </c>
      <c r="O439" s="3"/>
      <c r="P439" s="3"/>
    </row>
    <row r="440" spans="2:16">
      <c r="B440" s="323" t="s">
        <v>66</v>
      </c>
      <c r="C440" s="12">
        <f t="shared" ref="C440:C458" si="47">Q498*1000/E440</f>
        <v>1977.9440273220673</v>
      </c>
      <c r="D440" s="12">
        <f t="shared" ref="D440:D458" si="48">S498*1000/E440</f>
        <v>2052.2695165181126</v>
      </c>
      <c r="E440" s="324">
        <f>VLOOKUP(B440,Resumen!B$7:D$24,3,FALSE)</f>
        <v>8133641.6604539501</v>
      </c>
      <c r="F440" s="324">
        <f>VLOOKUP(B440,Resumen!B$7:D$24,2,FALSE)</f>
        <v>8400674</v>
      </c>
      <c r="G440" s="2"/>
      <c r="H440" s="9" t="s">
        <v>9</v>
      </c>
      <c r="I440" s="12">
        <f t="shared" ref="I440:I458" si="49">N498*1000/$F440</f>
        <v>2011.9800592442252</v>
      </c>
      <c r="J440" s="12">
        <f t="shared" ref="J440:J458" si="50">O498*1000/$F440</f>
        <v>0</v>
      </c>
      <c r="K440" s="12">
        <f t="shared" ref="K440:K458" si="51">P498*1000/$F440</f>
        <v>-96.90896582090798</v>
      </c>
      <c r="L440" s="12">
        <f t="shared" ref="L440:L458" si="52">Q498*1000/$F440</f>
        <v>1915.0710934233173</v>
      </c>
      <c r="M440" s="12">
        <f t="shared" ref="M440:M458" si="53">R498*1000/$F440</f>
        <v>71.96290385254521</v>
      </c>
      <c r="N440" s="12">
        <f t="shared" ref="N440:N458" si="54">S498*1000/$F440</f>
        <v>1987.0339972758625</v>
      </c>
    </row>
    <row r="441" spans="2:16">
      <c r="B441" s="323" t="s">
        <v>67</v>
      </c>
      <c r="C441" s="12">
        <f t="shared" si="47"/>
        <v>2124.0271663575177</v>
      </c>
      <c r="D441" s="12">
        <f t="shared" si="48"/>
        <v>2214.4299221095052</v>
      </c>
      <c r="E441" s="324">
        <f>VLOOKUP(B441,Resumen!B$7:D$24,3,FALSE)</f>
        <v>1417184.89575786</v>
      </c>
      <c r="F441" s="324">
        <f>VLOOKUP(B441,Resumen!B$7:D$24,2,FALSE)</f>
        <v>1321616</v>
      </c>
      <c r="G441" s="2"/>
      <c r="H441" s="9" t="s">
        <v>10</v>
      </c>
      <c r="I441" s="12">
        <f t="shared" si="49"/>
        <v>2342.6643449635867</v>
      </c>
      <c r="J441" s="12">
        <f t="shared" si="50"/>
        <v>0</v>
      </c>
      <c r="K441" s="12">
        <f t="shared" si="51"/>
        <v>-65.044205421358527</v>
      </c>
      <c r="L441" s="12">
        <f t="shared" si="52"/>
        <v>2277.6201395422281</v>
      </c>
      <c r="M441" s="12">
        <f t="shared" si="53"/>
        <v>96.939973476867706</v>
      </c>
      <c r="N441" s="12">
        <f t="shared" si="54"/>
        <v>2374.5601130190958</v>
      </c>
    </row>
    <row r="442" spans="2:16">
      <c r="B442" s="323" t="s">
        <v>56</v>
      </c>
      <c r="C442" s="12">
        <f t="shared" si="47"/>
        <v>2122.5790760372388</v>
      </c>
      <c r="D442" s="12">
        <f t="shared" si="48"/>
        <v>2209.4240908988572</v>
      </c>
      <c r="E442" s="324">
        <f>VLOOKUP(B442,Resumen!B$7:D$24,3,FALSE)</f>
        <v>1119246.77586799</v>
      </c>
      <c r="F442" s="324">
        <f>VLOOKUP(B442,Resumen!B$7:D$24,2,FALSE)</f>
        <v>1056492.5</v>
      </c>
      <c r="G442" s="2"/>
      <c r="H442" s="9" t="s">
        <v>11</v>
      </c>
      <c r="I442" s="12">
        <f t="shared" si="49"/>
        <v>2320.6873979663142</v>
      </c>
      <c r="J442" s="12">
        <f t="shared" si="50"/>
        <v>0</v>
      </c>
      <c r="K442" s="12">
        <f t="shared" si="51"/>
        <v>-72.029894595928809</v>
      </c>
      <c r="L442" s="12">
        <f t="shared" si="52"/>
        <v>2248.6575033703853</v>
      </c>
      <c r="M442" s="12">
        <f t="shared" si="53"/>
        <v>92.003495419109896</v>
      </c>
      <c r="N442" s="12">
        <f t="shared" si="54"/>
        <v>2340.6609987894954</v>
      </c>
    </row>
    <row r="443" spans="2:16">
      <c r="B443" s="323" t="s">
        <v>48</v>
      </c>
      <c r="C443" s="12">
        <f t="shared" si="47"/>
        <v>2074.8683290892318</v>
      </c>
      <c r="D443" s="12">
        <f t="shared" si="48"/>
        <v>2254.6003445785732</v>
      </c>
      <c r="E443" s="324">
        <f>VLOOKUP(B443,Resumen!B$7:D$24,3,FALSE)</f>
        <v>1103865.5370713901</v>
      </c>
      <c r="F443" s="324">
        <f>VLOOKUP(B443,Resumen!B$7:D$24,2,FALSE)</f>
        <v>1103960.5</v>
      </c>
      <c r="G443" s="2"/>
      <c r="H443" s="9" t="s">
        <v>31</v>
      </c>
      <c r="I443" s="12">
        <f t="shared" si="49"/>
        <v>2125.8888106530394</v>
      </c>
      <c r="J443" s="12">
        <f t="shared" si="50"/>
        <v>0</v>
      </c>
      <c r="K443" s="12">
        <f t="shared" si="51"/>
        <v>-51.198962200578961</v>
      </c>
      <c r="L443" s="12">
        <f t="shared" si="52"/>
        <v>2074.6898484524604</v>
      </c>
      <c r="M443" s="12">
        <f t="shared" si="53"/>
        <v>179.71655490125377</v>
      </c>
      <c r="N443" s="12">
        <f t="shared" si="54"/>
        <v>2254.4064033537143</v>
      </c>
    </row>
    <row r="444" spans="2:16">
      <c r="B444" s="323" t="s">
        <v>49</v>
      </c>
      <c r="C444" s="12">
        <f t="shared" si="47"/>
        <v>2195.9467190948162</v>
      </c>
      <c r="D444" s="12">
        <f t="shared" si="48"/>
        <v>2243.2721778530154</v>
      </c>
      <c r="E444" s="324">
        <f>VLOOKUP(B444,Resumen!B$7:D$24,3,FALSE)</f>
        <v>2148999.3951816</v>
      </c>
      <c r="F444" s="324">
        <f>VLOOKUP(B444,Resumen!B$7:D$24,2,FALSE)</f>
        <v>2102560.5</v>
      </c>
      <c r="G444" s="2"/>
      <c r="H444" s="9" t="s">
        <v>12</v>
      </c>
      <c r="I444" s="12">
        <f t="shared" si="49"/>
        <v>2376.3507833859931</v>
      </c>
      <c r="J444" s="12">
        <f t="shared" si="50"/>
        <v>0</v>
      </c>
      <c r="K444" s="12">
        <f t="shared" si="51"/>
        <v>-131.90256361501423</v>
      </c>
      <c r="L444" s="12">
        <f t="shared" si="52"/>
        <v>2244.4482197709785</v>
      </c>
      <c r="M444" s="12">
        <f t="shared" si="53"/>
        <v>48.370728094655185</v>
      </c>
      <c r="N444" s="12">
        <f t="shared" si="54"/>
        <v>2292.8189478656336</v>
      </c>
    </row>
    <row r="445" spans="2:16">
      <c r="B445" s="323" t="s">
        <v>50</v>
      </c>
      <c r="C445" s="12">
        <f t="shared" si="47"/>
        <v>2495.0126311555596</v>
      </c>
      <c r="D445" s="12">
        <f t="shared" si="48"/>
        <v>2560.8689945580304</v>
      </c>
      <c r="E445" s="324">
        <f>VLOOKUP(B445,Resumen!B$7:D$24,3,FALSE)</f>
        <v>592280.38454244996</v>
      </c>
      <c r="F445" s="324">
        <f>VLOOKUP(B445,Resumen!B$7:D$24,2,FALSE)</f>
        <v>586917.5</v>
      </c>
      <c r="G445" s="2"/>
      <c r="H445" s="9" t="s">
        <v>13</v>
      </c>
      <c r="I445" s="12">
        <f t="shared" si="49"/>
        <v>2745.7801580961836</v>
      </c>
      <c r="J445" s="12">
        <f t="shared" si="50"/>
        <v>0</v>
      </c>
      <c r="K445" s="12">
        <f t="shared" si="51"/>
        <v>-227.96966408453045</v>
      </c>
      <c r="L445" s="12">
        <f t="shared" si="52"/>
        <v>2517.8104940116536</v>
      </c>
      <c r="M445" s="12">
        <f t="shared" si="53"/>
        <v>66.4581176069603</v>
      </c>
      <c r="N445" s="12">
        <f t="shared" si="54"/>
        <v>2584.2686116186132</v>
      </c>
    </row>
    <row r="446" spans="2:16">
      <c r="B446" s="323" t="s">
        <v>51</v>
      </c>
      <c r="C446" s="12">
        <f t="shared" si="47"/>
        <v>2149.8367811298126</v>
      </c>
      <c r="D446" s="12">
        <f t="shared" si="48"/>
        <v>2209.2319692494848</v>
      </c>
      <c r="E446" s="324">
        <f>VLOOKUP(B446,Resumen!B$7:D$24,3,FALSE)</f>
        <v>2703201.9531199401</v>
      </c>
      <c r="F446" s="324">
        <f>VLOOKUP(B446,Resumen!B$7:D$24,2,FALSE)</f>
        <v>2483421</v>
      </c>
      <c r="G446" s="2"/>
      <c r="H446" s="9" t="s">
        <v>14</v>
      </c>
      <c r="I446" s="12">
        <f t="shared" si="49"/>
        <v>2346.3845064284214</v>
      </c>
      <c r="J446" s="12">
        <f t="shared" si="50"/>
        <v>0</v>
      </c>
      <c r="K446" s="12">
        <f t="shared" si="51"/>
        <v>-6.2887330419539813</v>
      </c>
      <c r="L446" s="12">
        <f t="shared" si="52"/>
        <v>2340.0957733864675</v>
      </c>
      <c r="M446" s="12">
        <f t="shared" si="53"/>
        <v>64.651619089563695</v>
      </c>
      <c r="N446" s="12">
        <f t="shared" si="54"/>
        <v>2404.7473924760316</v>
      </c>
    </row>
    <row r="447" spans="2:16">
      <c r="B447" s="323" t="s">
        <v>24</v>
      </c>
      <c r="C447" s="12">
        <f t="shared" si="47"/>
        <v>2018.5140282485113</v>
      </c>
      <c r="D447" s="12">
        <f t="shared" si="48"/>
        <v>2028.2462318024593</v>
      </c>
      <c r="E447" s="324">
        <f>VLOOKUP(B447,Resumen!B$7:D$24,3,FALSE)</f>
        <v>2181867.7092055501</v>
      </c>
      <c r="F447" s="324">
        <f>VLOOKUP(B447,Resumen!B$7:D$24,2,FALSE)</f>
        <v>2068901</v>
      </c>
      <c r="G447" s="2"/>
      <c r="H447" s="9" t="s">
        <v>15</v>
      </c>
      <c r="I447" s="12">
        <f t="shared" si="49"/>
        <v>2134.3117420244971</v>
      </c>
      <c r="J447" s="12">
        <f t="shared" si="50"/>
        <v>0</v>
      </c>
      <c r="K447" s="12">
        <f t="shared" si="51"/>
        <v>-5.5822480497508238</v>
      </c>
      <c r="L447" s="12">
        <f t="shared" si="52"/>
        <v>2128.7294939747462</v>
      </c>
      <c r="M447" s="12">
        <f t="shared" si="53"/>
        <v>10.263604045711155</v>
      </c>
      <c r="N447" s="12">
        <f t="shared" si="54"/>
        <v>2138.9930980204567</v>
      </c>
    </row>
    <row r="448" spans="2:16">
      <c r="B448" s="323" t="s">
        <v>46</v>
      </c>
      <c r="C448" s="12">
        <f t="shared" si="47"/>
        <v>1945.4622153290359</v>
      </c>
      <c r="D448" s="12">
        <f t="shared" si="48"/>
        <v>2063.7495555749592</v>
      </c>
      <c r="E448" s="324">
        <f>VLOOKUP(B448,Resumen!B$7:D$24,3,FALSE)</f>
        <v>7424128.3831106396</v>
      </c>
      <c r="F448" s="324">
        <f>VLOOKUP(B448,Resumen!B$7:D$24,2,FALSE)</f>
        <v>7513504.5</v>
      </c>
      <c r="G448" s="2"/>
      <c r="H448" s="9" t="s">
        <v>16</v>
      </c>
      <c r="I448" s="12">
        <f t="shared" si="49"/>
        <v>2208.0983059246951</v>
      </c>
      <c r="J448" s="12">
        <f t="shared" si="50"/>
        <v>0</v>
      </c>
      <c r="K448" s="12">
        <f t="shared" si="51"/>
        <v>-285.77813547778874</v>
      </c>
      <c r="L448" s="12">
        <f t="shared" si="52"/>
        <v>1922.3201704469063</v>
      </c>
      <c r="M448" s="12">
        <f t="shared" si="53"/>
        <v>116.8802654051018</v>
      </c>
      <c r="N448" s="12">
        <f t="shared" si="54"/>
        <v>2039.200435852008</v>
      </c>
    </row>
    <row r="449" spans="2:15">
      <c r="B449" s="323" t="s">
        <v>72</v>
      </c>
      <c r="C449" s="12">
        <f t="shared" si="47"/>
        <v>1856.5868565922251</v>
      </c>
      <c r="D449" s="12">
        <f t="shared" si="48"/>
        <v>1968.438701976032</v>
      </c>
      <c r="E449" s="324">
        <f>VLOOKUP(B449,Resumen!B$7:D$24,3,FALSE)</f>
        <v>4834678.0247471603</v>
      </c>
      <c r="F449" s="324">
        <f>VLOOKUP(B449,Resumen!B$7:D$24,2,FALSE)</f>
        <v>4992766.5</v>
      </c>
      <c r="G449" s="2"/>
      <c r="H449" s="9" t="s">
        <v>17</v>
      </c>
      <c r="I449" s="12">
        <f t="shared" si="49"/>
        <v>1840.8966772220365</v>
      </c>
      <c r="J449" s="12">
        <f t="shared" si="50"/>
        <v>0</v>
      </c>
      <c r="K449" s="12">
        <f t="shared" si="51"/>
        <v>-43.095863464605763</v>
      </c>
      <c r="L449" s="12">
        <f t="shared" si="52"/>
        <v>1797.8008137574304</v>
      </c>
      <c r="M449" s="12">
        <f t="shared" si="53"/>
        <v>108.31022418222581</v>
      </c>
      <c r="N449" s="12">
        <f t="shared" si="54"/>
        <v>1906.1110379396566</v>
      </c>
    </row>
    <row r="450" spans="2:15">
      <c r="B450" s="323" t="s">
        <v>73</v>
      </c>
      <c r="C450" s="12">
        <f t="shared" si="47"/>
        <v>2268.1977165053486</v>
      </c>
      <c r="D450" s="12">
        <f t="shared" si="48"/>
        <v>2410.0214025135442</v>
      </c>
      <c r="E450" s="324">
        <f>VLOOKUP(B450,Resumen!B$7:D$24,3,FALSE)</f>
        <v>1161818.79487767</v>
      </c>
      <c r="F450" s="324">
        <f>VLOOKUP(B450,Resumen!B$7:D$24,2,FALSE)</f>
        <v>1096314.5</v>
      </c>
      <c r="G450" s="2"/>
      <c r="H450" s="9" t="s">
        <v>18</v>
      </c>
      <c r="I450" s="12">
        <f t="shared" si="49"/>
        <v>2410.9538301161292</v>
      </c>
      <c r="J450" s="12">
        <f t="shared" si="50"/>
        <v>0</v>
      </c>
      <c r="K450" s="12">
        <f t="shared" si="51"/>
        <v>-7.2323272676973644</v>
      </c>
      <c r="L450" s="12">
        <f t="shared" si="52"/>
        <v>2403.7215028484316</v>
      </c>
      <c r="M450" s="12">
        <f t="shared" si="53"/>
        <v>150.29758701827913</v>
      </c>
      <c r="N450" s="12">
        <f t="shared" si="54"/>
        <v>2554.0190898667106</v>
      </c>
    </row>
    <row r="451" spans="2:15">
      <c r="B451" s="323" t="s">
        <v>74</v>
      </c>
      <c r="C451" s="12">
        <f t="shared" si="47"/>
        <v>2123.5598761701758</v>
      </c>
      <c r="D451" s="12">
        <f t="shared" si="48"/>
        <v>2211.7325566159543</v>
      </c>
      <c r="E451" s="324">
        <f>VLOOKUP(B451,Resumen!B$7:D$24,3,FALSE)</f>
        <v>2945022.5165192001</v>
      </c>
      <c r="F451" s="324">
        <f>VLOOKUP(B451,Resumen!B$7:D$24,2,FALSE)</f>
        <v>2740521</v>
      </c>
      <c r="G451" s="2"/>
      <c r="H451" s="9" t="s">
        <v>19</v>
      </c>
      <c r="I451" s="12">
        <f t="shared" si="49"/>
        <v>2365.1831698919041</v>
      </c>
      <c r="J451" s="12">
        <f t="shared" si="50"/>
        <v>0</v>
      </c>
      <c r="K451" s="12">
        <f t="shared" si="51"/>
        <v>-83.160280631835704</v>
      </c>
      <c r="L451" s="12">
        <f t="shared" si="52"/>
        <v>2282.0228892600685</v>
      </c>
      <c r="M451" s="12">
        <f t="shared" si="53"/>
        <v>94.752249391509878</v>
      </c>
      <c r="N451" s="12">
        <f t="shared" si="54"/>
        <v>2376.7751386515783</v>
      </c>
    </row>
    <row r="452" spans="2:15">
      <c r="B452" s="323" t="s">
        <v>37</v>
      </c>
      <c r="C452" s="12">
        <f t="shared" si="47"/>
        <v>1953.148212361654</v>
      </c>
      <c r="D452" s="12">
        <f t="shared" si="48"/>
        <v>1876.4186984991256</v>
      </c>
      <c r="E452" s="324">
        <f>VLOOKUP(B452,Resumen!B$7:D$24,3,FALSE)</f>
        <v>6213787.9006398702</v>
      </c>
      <c r="F452" s="324">
        <f>VLOOKUP(B452,Resumen!B$7:D$24,2,FALSE)</f>
        <v>6445718</v>
      </c>
      <c r="G452" s="2"/>
      <c r="H452" s="9" t="s">
        <v>20</v>
      </c>
      <c r="I452" s="12">
        <f t="shared" si="49"/>
        <v>2039.9321877347031</v>
      </c>
      <c r="J452" s="12">
        <f t="shared" si="50"/>
        <v>0</v>
      </c>
      <c r="K452" s="12">
        <f t="shared" si="51"/>
        <v>-157.06223746240789</v>
      </c>
      <c r="L452" s="12">
        <f t="shared" si="52"/>
        <v>1882.8699502722952</v>
      </c>
      <c r="M452" s="12">
        <f t="shared" si="53"/>
        <v>-73.968629229661943</v>
      </c>
      <c r="N452" s="12">
        <f t="shared" si="54"/>
        <v>1808.9013210426333</v>
      </c>
    </row>
    <row r="453" spans="2:15">
      <c r="B453" s="323" t="s">
        <v>38</v>
      </c>
      <c r="C453" s="12">
        <f t="shared" si="47"/>
        <v>1883.8882765151707</v>
      </c>
      <c r="D453" s="12">
        <f t="shared" si="48"/>
        <v>2004.3135386571319</v>
      </c>
      <c r="E453" s="324">
        <f>VLOOKUP(B453,Resumen!B$7:D$24,3,FALSE)</f>
        <v>1432602.3742976401</v>
      </c>
      <c r="F453" s="324">
        <f>VLOOKUP(B453,Resumen!B$7:D$24,2,FALSE)</f>
        <v>1467053</v>
      </c>
      <c r="G453" s="2"/>
      <c r="H453" s="9" t="s">
        <v>60</v>
      </c>
      <c r="I453" s="12">
        <f t="shared" si="49"/>
        <v>1852.1491189957082</v>
      </c>
      <c r="J453" s="12">
        <f t="shared" si="50"/>
        <v>0</v>
      </c>
      <c r="K453" s="12">
        <f t="shared" si="51"/>
        <v>-12.499959867085995</v>
      </c>
      <c r="L453" s="12">
        <f t="shared" si="52"/>
        <v>1839.6491591286222</v>
      </c>
      <c r="M453" s="12">
        <f t="shared" si="53"/>
        <v>117.59733047816908</v>
      </c>
      <c r="N453" s="12">
        <f t="shared" si="54"/>
        <v>1957.2464896067913</v>
      </c>
    </row>
    <row r="454" spans="2:15">
      <c r="B454" s="323" t="s">
        <v>33</v>
      </c>
      <c r="C454" s="12">
        <f t="shared" si="47"/>
        <v>3670.1844554491627</v>
      </c>
      <c r="D454" s="12">
        <f t="shared" si="48"/>
        <v>3002.9618728029272</v>
      </c>
      <c r="E454" s="324">
        <f>VLOOKUP(B454,Resumen!B$7:D$24,3,FALSE)</f>
        <v>651729.59698301996</v>
      </c>
      <c r="F454" s="324">
        <f>VLOOKUP(B454,Resumen!B$7:D$24,2,FALSE)</f>
        <v>640633</v>
      </c>
      <c r="G454" s="2"/>
      <c r="H454" s="9" t="s">
        <v>61</v>
      </c>
      <c r="I454" s="12">
        <f t="shared" si="49"/>
        <v>5308.2453430997157</v>
      </c>
      <c r="J454" s="12">
        <f t="shared" si="50"/>
        <v>-839.46346816351956</v>
      </c>
      <c r="K454" s="12">
        <f t="shared" si="51"/>
        <v>-735.0250500407767</v>
      </c>
      <c r="L454" s="12">
        <f t="shared" si="52"/>
        <v>3733.7568248954194</v>
      </c>
      <c r="M454" s="12">
        <f t="shared" si="53"/>
        <v>-678.7797457920534</v>
      </c>
      <c r="N454" s="12">
        <f t="shared" si="54"/>
        <v>3054.9770791033657</v>
      </c>
    </row>
    <row r="455" spans="2:15">
      <c r="B455" s="323" t="s">
        <v>34</v>
      </c>
      <c r="C455" s="12">
        <f t="shared" si="47"/>
        <v>4587.0598547315722</v>
      </c>
      <c r="D455" s="12">
        <f t="shared" si="48"/>
        <v>4186.7663829631438</v>
      </c>
      <c r="E455" s="324">
        <f>VLOOKUP(B455,Resumen!B$7:D$24,3,FALSE)</f>
        <v>2221184.1484919302</v>
      </c>
      <c r="F455" s="324">
        <f>VLOOKUP(B455,Resumen!B$7:D$24,2,FALSE)</f>
        <v>2189121</v>
      </c>
      <c r="G455" s="2"/>
      <c r="H455" s="9" t="s">
        <v>62</v>
      </c>
      <c r="I455" s="12">
        <f t="shared" si="49"/>
        <v>6011.5388753005591</v>
      </c>
      <c r="J455" s="12">
        <f t="shared" si="50"/>
        <v>-435.02529097295229</v>
      </c>
      <c r="K455" s="12">
        <f t="shared" si="51"/>
        <v>-922.26896399211</v>
      </c>
      <c r="L455" s="12">
        <f t="shared" si="52"/>
        <v>4654.2446203354975</v>
      </c>
      <c r="M455" s="12">
        <f t="shared" si="53"/>
        <v>-406.15640443668332</v>
      </c>
      <c r="N455" s="12">
        <f t="shared" si="54"/>
        <v>4248.0882158988143</v>
      </c>
    </row>
    <row r="456" spans="2:15">
      <c r="B456" s="323" t="s">
        <v>88</v>
      </c>
      <c r="C456" s="12">
        <f t="shared" si="47"/>
        <v>2343.9202099991312</v>
      </c>
      <c r="D456" s="12">
        <f t="shared" si="48"/>
        <v>2404.0902621829687</v>
      </c>
      <c r="E456" s="324">
        <f>VLOOKUP(B456,Resumen!B$7:D$24,3,FALSE)</f>
        <v>328231.53432843002</v>
      </c>
      <c r="F456" s="324">
        <f>VLOOKUP(B456,Resumen!B$7:D$24,2,FALSE)</f>
        <v>318027.5</v>
      </c>
      <c r="G456" s="2"/>
      <c r="H456" s="9" t="s">
        <v>63</v>
      </c>
      <c r="I456" s="12">
        <f t="shared" si="49"/>
        <v>2638.1020900742146</v>
      </c>
      <c r="J456" s="12">
        <f t="shared" si="50"/>
        <v>0</v>
      </c>
      <c r="K456" s="12">
        <f t="shared" si="51"/>
        <v>-218.97630104203733</v>
      </c>
      <c r="L456" s="12">
        <f t="shared" si="52"/>
        <v>2419.1257890321772</v>
      </c>
      <c r="M456" s="12">
        <f t="shared" si="53"/>
        <v>62.100631388551648</v>
      </c>
      <c r="N456" s="12">
        <f t="shared" si="54"/>
        <v>2481.226420420729</v>
      </c>
    </row>
    <row r="457" spans="2:15">
      <c r="B457" s="323" t="s">
        <v>89</v>
      </c>
      <c r="C457" s="12">
        <f t="shared" si="47"/>
        <v>4365.4298680244419</v>
      </c>
      <c r="D457" s="12">
        <f t="shared" si="48"/>
        <v>4365.4298680244419</v>
      </c>
      <c r="E457" s="324">
        <f>VLOOKUP(B457,Resumen!B$7:D$24,3,FALSE)</f>
        <v>157869.41480368999</v>
      </c>
      <c r="F457" s="324">
        <f>VLOOKUP(B457,Resumen!B$7:D$24,2,FALSE)</f>
        <v>169659.5</v>
      </c>
      <c r="G457" s="2"/>
      <c r="H457" s="214" t="s">
        <v>64</v>
      </c>
      <c r="I457" s="61">
        <f t="shared" si="49"/>
        <v>427.62403519991523</v>
      </c>
      <c r="J457" s="61">
        <f t="shared" si="50"/>
        <v>0</v>
      </c>
      <c r="K457" s="61">
        <f t="shared" si="51"/>
        <v>3634.4406215482677</v>
      </c>
      <c r="L457" s="61">
        <f t="shared" si="52"/>
        <v>4062.0646567481826</v>
      </c>
      <c r="M457" s="61">
        <f t="shared" si="53"/>
        <v>0</v>
      </c>
      <c r="N457" s="61">
        <f t="shared" si="54"/>
        <v>4062.0646567481826</v>
      </c>
    </row>
    <row r="458" spans="2:15" ht="13.5" thickBot="1">
      <c r="B458" s="279" t="s">
        <v>485</v>
      </c>
      <c r="C458" s="289">
        <f t="shared" si="47"/>
        <v>2167.1289922993005</v>
      </c>
      <c r="D458" s="289">
        <f t="shared" si="48"/>
        <v>2201.0314363829466</v>
      </c>
      <c r="E458" s="289">
        <f>SUM(E440:E457)</f>
        <v>46771340.999999978</v>
      </c>
      <c r="F458" s="289">
        <f>SUM(F440:F457)</f>
        <v>46697861.5</v>
      </c>
      <c r="H458" s="314" t="s">
        <v>84</v>
      </c>
      <c r="I458" s="289">
        <f t="shared" si="49"/>
        <v>2353.2640376964564</v>
      </c>
      <c r="J458" s="289">
        <f t="shared" si="50"/>
        <v>-31.909619672840911</v>
      </c>
      <c r="K458" s="289">
        <f t="shared" si="51"/>
        <v>-150.81542899909766</v>
      </c>
      <c r="L458" s="289">
        <f t="shared" si="52"/>
        <v>2170.5389890245169</v>
      </c>
      <c r="M458" s="289">
        <f t="shared" si="53"/>
        <v>33.955789880648737</v>
      </c>
      <c r="N458" s="289">
        <f t="shared" si="54"/>
        <v>2204.4947789051657</v>
      </c>
    </row>
    <row r="459" spans="2:15">
      <c r="C459" s="12"/>
      <c r="D459" s="12"/>
      <c r="H459" s="9" t="s">
        <v>598</v>
      </c>
      <c r="I459" s="12"/>
      <c r="J459" s="12"/>
      <c r="K459" s="12"/>
      <c r="L459" s="12">
        <f>Q517*1000/E458</f>
        <v>2152.3941601585766</v>
      </c>
      <c r="M459" s="12"/>
      <c r="N459" s="12"/>
    </row>
    <row r="460" spans="2:15">
      <c r="B460" s="88" t="s">
        <v>1018</v>
      </c>
      <c r="C460" s="290">
        <f>Q518*1000/E460</f>
        <v>2013.9132445556816</v>
      </c>
      <c r="D460" s="290">
        <f>S518*1000/E460</f>
        <v>2080.4335894208352</v>
      </c>
      <c r="E460" s="290">
        <f>E458-E461-E457</f>
        <v>43740557.839721337</v>
      </c>
      <c r="F460" s="290">
        <f>F458-F461-F457</f>
        <v>43698448</v>
      </c>
      <c r="H460" s="88" t="s">
        <v>608</v>
      </c>
      <c r="I460" s="290">
        <f t="shared" ref="I460:N461" si="55">N518*1000/$F460</f>
        <v>2134.1541578812376</v>
      </c>
      <c r="J460" s="290">
        <f t="shared" si="55"/>
        <v>0</v>
      </c>
      <c r="K460" s="290">
        <f t="shared" si="55"/>
        <v>-118.30021364805381</v>
      </c>
      <c r="L460" s="290">
        <f t="shared" si="55"/>
        <v>2015.8539442331833</v>
      </c>
      <c r="M460" s="290">
        <f t="shared" si="55"/>
        <v>66.584446937165211</v>
      </c>
      <c r="N460" s="290">
        <f t="shared" si="55"/>
        <v>2082.4383911703485</v>
      </c>
      <c r="O460" s="9" t="s">
        <v>598</v>
      </c>
    </row>
    <row r="461" spans="2:15" ht="13.5" thickBot="1">
      <c r="B461" s="279" t="s">
        <v>1019</v>
      </c>
      <c r="C461" s="289">
        <f>Q519*1000/E461</f>
        <v>4379.0637617757138</v>
      </c>
      <c r="D461" s="289">
        <f>S519*1000/E461</f>
        <v>3918.2165744182121</v>
      </c>
      <c r="E461" s="289">
        <f>E454+E455</f>
        <v>2872913.7454749504</v>
      </c>
      <c r="F461" s="289">
        <f>F454+F455</f>
        <v>2829754</v>
      </c>
      <c r="H461" s="279" t="s">
        <v>609</v>
      </c>
      <c r="I461" s="289">
        <f t="shared" si="55"/>
        <v>5852.3190118727052</v>
      </c>
      <c r="J461" s="289">
        <f t="shared" si="55"/>
        <v>-526.58676337236386</v>
      </c>
      <c r="K461" s="289">
        <f t="shared" si="55"/>
        <v>-879.87848399760014</v>
      </c>
      <c r="L461" s="289">
        <f t="shared" si="55"/>
        <v>4445.8537645027418</v>
      </c>
      <c r="M461" s="289">
        <f t="shared" si="55"/>
        <v>-467.87608361816513</v>
      </c>
      <c r="N461" s="289">
        <f t="shared" si="55"/>
        <v>3977.9776808845772</v>
      </c>
    </row>
    <row r="462" spans="2:15">
      <c r="I462" s="12">
        <f t="shared" ref="I462:N462" si="56">I461*100/I460</f>
        <v>274.22194363329481</v>
      </c>
      <c r="J462" s="12" t="e">
        <f t="shared" si="56"/>
        <v>#DIV/0!</v>
      </c>
      <c r="K462" s="12">
        <f t="shared" si="56"/>
        <v>743.7674513549581</v>
      </c>
      <c r="L462" s="12">
        <f t="shared" si="56"/>
        <v>220.5444386098078</v>
      </c>
      <c r="M462" s="12">
        <f t="shared" si="56"/>
        <v>-702.68073873121318</v>
      </c>
      <c r="N462" s="12">
        <f t="shared" si="56"/>
        <v>191.02498771399038</v>
      </c>
    </row>
    <row r="466" spans="1:10">
      <c r="B466" s="100"/>
    </row>
    <row r="467" spans="1:10" ht="14.25">
      <c r="B467" s="294" t="s">
        <v>1020</v>
      </c>
      <c r="I467" s="9" t="s">
        <v>610</v>
      </c>
    </row>
    <row r="468" spans="1:10" ht="26.25" thickBot="1">
      <c r="A468" s="28"/>
      <c r="B468" s="322"/>
      <c r="C468" s="312" t="s">
        <v>1015</v>
      </c>
      <c r="D468" s="312" t="s">
        <v>1016</v>
      </c>
      <c r="E468" s="312" t="s">
        <v>580</v>
      </c>
      <c r="F468" s="312" t="s">
        <v>1017</v>
      </c>
      <c r="G468" s="28"/>
      <c r="H468" s="321"/>
      <c r="I468" s="321" t="s">
        <v>580</v>
      </c>
      <c r="J468" s="28"/>
    </row>
    <row r="469" spans="1:10">
      <c r="B469" s="9" t="s">
        <v>9</v>
      </c>
      <c r="C469" s="97">
        <f>L440*100/L$460</f>
        <v>95.000488448174607</v>
      </c>
      <c r="D469" s="97">
        <f t="shared" ref="D469:D477" si="57">N440*100/N$460</f>
        <v>95.418621059859163</v>
      </c>
      <c r="E469" s="97">
        <f t="shared" ref="E469:E477" si="58">C440*100/C$460</f>
        <v>98.213963916725234</v>
      </c>
      <c r="F469" s="97">
        <f t="shared" ref="F469:F477" si="59">D440*100/D$460</f>
        <v>98.64624023348118</v>
      </c>
      <c r="G469" s="97"/>
      <c r="H469" s="9" t="s">
        <v>9</v>
      </c>
      <c r="I469" s="97">
        <f t="shared" ref="I469:I489" si="60">E469*100/E$487</f>
        <v>91.270248995353541</v>
      </c>
    </row>
    <row r="470" spans="1:10">
      <c r="B470" s="9" t="s">
        <v>10</v>
      </c>
      <c r="C470" s="97">
        <f t="shared" ref="C470:C477" si="61">L441*100/L$460</f>
        <v>112.98537505943264</v>
      </c>
      <c r="D470" s="97">
        <f t="shared" si="57"/>
        <v>114.02786863166561</v>
      </c>
      <c r="E470" s="97">
        <f t="shared" si="58"/>
        <v>105.46765964718257</v>
      </c>
      <c r="F470" s="97">
        <f t="shared" si="59"/>
        <v>106.44078875528888</v>
      </c>
      <c r="G470" s="97"/>
      <c r="H470" s="9" t="s">
        <v>10</v>
      </c>
      <c r="I470" s="97">
        <f t="shared" si="60"/>
        <v>98.011109348131043</v>
      </c>
    </row>
    <row r="471" spans="1:10">
      <c r="B471" s="9" t="s">
        <v>11</v>
      </c>
      <c r="C471" s="97">
        <f t="shared" si="61"/>
        <v>111.54863227086419</v>
      </c>
      <c r="D471" s="97">
        <f t="shared" si="57"/>
        <v>112.40001186657068</v>
      </c>
      <c r="E471" s="97">
        <f t="shared" si="58"/>
        <v>105.39575534225813</v>
      </c>
      <c r="F471" s="97">
        <f t="shared" si="59"/>
        <v>106.20017395094698</v>
      </c>
      <c r="G471" s="97"/>
      <c r="H471" s="9" t="s">
        <v>11</v>
      </c>
      <c r="I471" s="97">
        <f t="shared" si="60"/>
        <v>97.944288668539528</v>
      </c>
    </row>
    <row r="472" spans="1:10">
      <c r="B472" s="9" t="s">
        <v>31</v>
      </c>
      <c r="C472" s="97">
        <f t="shared" si="61"/>
        <v>102.91865908180456</v>
      </c>
      <c r="D472" s="97">
        <f t="shared" si="57"/>
        <v>108.25801199749867</v>
      </c>
      <c r="E472" s="97">
        <f t="shared" si="58"/>
        <v>103.02669862757661</v>
      </c>
      <c r="F472" s="97">
        <f t="shared" si="59"/>
        <v>108.37165656444836</v>
      </c>
      <c r="G472" s="250"/>
      <c r="H472" s="9" t="s">
        <v>31</v>
      </c>
      <c r="I472" s="97">
        <f t="shared" si="60"/>
        <v>95.742723966228652</v>
      </c>
    </row>
    <row r="473" spans="1:10">
      <c r="B473" s="9" t="s">
        <v>12</v>
      </c>
      <c r="C473" s="97">
        <f t="shared" si="61"/>
        <v>111.33982331367518</v>
      </c>
      <c r="D473" s="97">
        <f t="shared" si="57"/>
        <v>110.10260652066874</v>
      </c>
      <c r="E473" s="97">
        <f t="shared" si="58"/>
        <v>109.03879424951575</v>
      </c>
      <c r="F473" s="97">
        <f t="shared" si="59"/>
        <v>107.82714667078184</v>
      </c>
      <c r="G473" s="97"/>
      <c r="H473" s="9" t="s">
        <v>12</v>
      </c>
      <c r="I473" s="97">
        <f t="shared" si="60"/>
        <v>101.32976518231804</v>
      </c>
    </row>
    <row r="474" spans="1:10">
      <c r="B474" s="9" t="s">
        <v>13</v>
      </c>
      <c r="C474" s="97">
        <f t="shared" si="61"/>
        <v>124.90044237651409</v>
      </c>
      <c r="D474" s="97">
        <f t="shared" si="57"/>
        <v>124.09820250030215</v>
      </c>
      <c r="E474" s="97">
        <f t="shared" si="58"/>
        <v>123.88878408245536</v>
      </c>
      <c r="F474" s="97">
        <f t="shared" si="59"/>
        <v>123.09304212257705</v>
      </c>
      <c r="G474" s="97"/>
      <c r="H474" s="9" t="s">
        <v>13</v>
      </c>
      <c r="I474" s="97">
        <f t="shared" si="60"/>
        <v>115.12986259799783</v>
      </c>
    </row>
    <row r="475" spans="1:10">
      <c r="B475" s="9" t="s">
        <v>14</v>
      </c>
      <c r="C475" s="97">
        <f t="shared" si="61"/>
        <v>116.08458936625111</v>
      </c>
      <c r="D475" s="97">
        <f t="shared" si="57"/>
        <v>115.47748075872452</v>
      </c>
      <c r="E475" s="97">
        <f t="shared" si="58"/>
        <v>106.7492250195772</v>
      </c>
      <c r="F475" s="97">
        <f t="shared" si="59"/>
        <v>106.19093925821998</v>
      </c>
      <c r="G475" s="97"/>
      <c r="H475" s="9" t="s">
        <v>14</v>
      </c>
      <c r="I475" s="97">
        <f t="shared" si="60"/>
        <v>99.202068209555847</v>
      </c>
    </row>
    <row r="476" spans="1:10">
      <c r="B476" s="9" t="s">
        <v>15</v>
      </c>
      <c r="C476" s="97">
        <f t="shared" si="61"/>
        <v>105.59939126862189</v>
      </c>
      <c r="D476" s="97">
        <f t="shared" si="57"/>
        <v>102.71579255789287</v>
      </c>
      <c r="E476" s="97">
        <f t="shared" si="58"/>
        <v>100.22844994466705</v>
      </c>
      <c r="F476" s="97">
        <f t="shared" si="59"/>
        <v>97.491515332008063</v>
      </c>
      <c r="G476" s="97"/>
      <c r="H476" s="9" t="s">
        <v>15</v>
      </c>
      <c r="I476" s="97">
        <f t="shared" si="60"/>
        <v>93.142311113972482</v>
      </c>
    </row>
    <row r="477" spans="1:10">
      <c r="B477" s="9" t="s">
        <v>16</v>
      </c>
      <c r="C477" s="97">
        <f t="shared" si="61"/>
        <v>95.360091734133221</v>
      </c>
      <c r="D477" s="97">
        <f t="shared" si="57"/>
        <v>97.923686217961034</v>
      </c>
      <c r="E477" s="97">
        <f t="shared" si="58"/>
        <v>96.601093447709673</v>
      </c>
      <c r="F477" s="97">
        <f t="shared" si="59"/>
        <v>99.198050159797674</v>
      </c>
      <c r="G477" s="97"/>
      <c r="H477" s="9" t="s">
        <v>16</v>
      </c>
      <c r="I477" s="97">
        <f t="shared" si="60"/>
        <v>89.771408266054408</v>
      </c>
    </row>
    <row r="478" spans="1:10">
      <c r="B478" s="9" t="s">
        <v>17</v>
      </c>
      <c r="C478" s="97">
        <f t="shared" ref="C478:C487" si="62">L449*100/L$460</f>
        <v>89.183088829448963</v>
      </c>
      <c r="D478" s="97">
        <f t="shared" ref="D478:D487" si="63">N449*100/N$460</f>
        <v>91.532649706309229</v>
      </c>
      <c r="E478" s="97">
        <f t="shared" ref="E478:E487" si="64">C449*100/C$460</f>
        <v>92.188025557269398</v>
      </c>
      <c r="F478" s="97">
        <f t="shared" ref="F478:F487" si="65">D449*100/D$460</f>
        <v>94.616752583965862</v>
      </c>
      <c r="G478" s="97"/>
      <c r="H478" s="9" t="s">
        <v>17</v>
      </c>
      <c r="I478" s="97">
        <f t="shared" si="60"/>
        <v>85.670343721552371</v>
      </c>
    </row>
    <row r="479" spans="1:10">
      <c r="B479" s="9" t="s">
        <v>18</v>
      </c>
      <c r="C479" s="97">
        <f t="shared" si="62"/>
        <v>119.24085620016437</v>
      </c>
      <c r="D479" s="97">
        <f t="shared" si="63"/>
        <v>122.6456014591303</v>
      </c>
      <c r="E479" s="97">
        <f t="shared" si="64"/>
        <v>112.6263865952065</v>
      </c>
      <c r="F479" s="97">
        <f t="shared" si="65"/>
        <v>115.8422655146835</v>
      </c>
      <c r="G479" s="97"/>
      <c r="H479" s="9" t="s">
        <v>18</v>
      </c>
      <c r="I479" s="97">
        <f t="shared" si="60"/>
        <v>104.66371519947296</v>
      </c>
    </row>
    <row r="480" spans="1:10">
      <c r="B480" s="9" t="s">
        <v>19</v>
      </c>
      <c r="C480" s="97">
        <f t="shared" si="62"/>
        <v>113.20378124557699</v>
      </c>
      <c r="D480" s="97">
        <f t="shared" si="63"/>
        <v>114.13423555430181</v>
      </c>
      <c r="E480" s="97">
        <f t="shared" si="64"/>
        <v>105.44445655297754</v>
      </c>
      <c r="F480" s="97">
        <f t="shared" si="65"/>
        <v>106.31113474915924</v>
      </c>
      <c r="G480" s="97"/>
      <c r="H480" s="9" t="s">
        <v>19</v>
      </c>
      <c r="I480" s="97">
        <f t="shared" si="60"/>
        <v>97.989546709773919</v>
      </c>
    </row>
    <row r="481" spans="2:30">
      <c r="B481" s="9" t="s">
        <v>20</v>
      </c>
      <c r="C481" s="97">
        <f t="shared" si="62"/>
        <v>93.403093793510209</v>
      </c>
      <c r="D481" s="97">
        <f t="shared" si="63"/>
        <v>86.864578021250125</v>
      </c>
      <c r="E481" s="97">
        <f t="shared" si="64"/>
        <v>96.982738339980799</v>
      </c>
      <c r="F481" s="97">
        <f t="shared" si="65"/>
        <v>90.19363598246342</v>
      </c>
      <c r="G481" s="97"/>
      <c r="H481" s="9" t="s">
        <v>20</v>
      </c>
      <c r="I481" s="97">
        <f t="shared" si="60"/>
        <v>90.126070912344957</v>
      </c>
    </row>
    <row r="482" spans="2:30">
      <c r="B482" s="9" t="s">
        <v>60</v>
      </c>
      <c r="C482" s="97">
        <f t="shared" si="62"/>
        <v>91.259050011602497</v>
      </c>
      <c r="D482" s="97">
        <f t="shared" si="63"/>
        <v>93.98820622524164</v>
      </c>
      <c r="E482" s="97">
        <f t="shared" si="64"/>
        <v>93.543665875776213</v>
      </c>
      <c r="F482" s="97">
        <f t="shared" si="65"/>
        <v>96.341144886778423</v>
      </c>
      <c r="G482" s="97"/>
      <c r="H482" s="9" t="s">
        <v>60</v>
      </c>
      <c r="I482" s="97">
        <f t="shared" si="60"/>
        <v>86.930140439696913</v>
      </c>
    </row>
    <row r="483" spans="2:30">
      <c r="B483" s="9" t="s">
        <v>61</v>
      </c>
      <c r="C483" s="97">
        <f t="shared" si="62"/>
        <v>185.21961055644408</v>
      </c>
      <c r="D483" s="97">
        <f t="shared" si="63"/>
        <v>146.70191886860297</v>
      </c>
      <c r="E483" s="97">
        <f t="shared" si="64"/>
        <v>182.24143792544027</v>
      </c>
      <c r="F483" s="97">
        <f t="shared" si="65"/>
        <v>144.34307771578096</v>
      </c>
      <c r="H483" s="9" t="s">
        <v>61</v>
      </c>
      <c r="I483" s="97">
        <f t="shared" si="60"/>
        <v>169.35699113854483</v>
      </c>
    </row>
    <row r="484" spans="2:30">
      <c r="B484" s="9" t="s">
        <v>62</v>
      </c>
      <c r="C484" s="97">
        <f t="shared" si="62"/>
        <v>230.88203555867929</v>
      </c>
      <c r="D484" s="97">
        <f t="shared" si="63"/>
        <v>203.99586532360038</v>
      </c>
      <c r="E484" s="97">
        <f t="shared" si="64"/>
        <v>227.76849336146998</v>
      </c>
      <c r="F484" s="97">
        <f t="shared" si="65"/>
        <v>201.24489453800271</v>
      </c>
      <c r="H484" s="9" t="s">
        <v>62</v>
      </c>
      <c r="I484" s="97">
        <f t="shared" si="60"/>
        <v>211.66528946967534</v>
      </c>
      <c r="AD484" s="97"/>
    </row>
    <row r="485" spans="2:30">
      <c r="B485" s="9" t="s">
        <v>63</v>
      </c>
      <c r="C485" s="97">
        <f t="shared" si="62"/>
        <v>120.00501305923707</v>
      </c>
      <c r="D485" s="97">
        <f t="shared" si="63"/>
        <v>119.15005173460418</v>
      </c>
      <c r="E485" s="97">
        <f t="shared" si="64"/>
        <v>116.3863545927599</v>
      </c>
      <c r="F485" s="97">
        <f t="shared" si="65"/>
        <v>115.55717396642471</v>
      </c>
      <c r="G485" s="97"/>
      <c r="H485" s="9" t="s">
        <v>63</v>
      </c>
      <c r="I485" s="97">
        <f t="shared" si="60"/>
        <v>108.15785393153998</v>
      </c>
    </row>
    <row r="486" spans="2:30">
      <c r="B486" s="214" t="s">
        <v>64</v>
      </c>
      <c r="C486" s="317">
        <f t="shared" si="62"/>
        <v>201.50590117744684</v>
      </c>
      <c r="D486" s="317">
        <f t="shared" si="63"/>
        <v>195.06289712922873</v>
      </c>
      <c r="E486" s="317">
        <f t="shared" si="64"/>
        <v>216.76355125156161</v>
      </c>
      <c r="F486" s="317">
        <f t="shared" si="65"/>
        <v>209.83269498353559</v>
      </c>
      <c r="H486" s="214" t="s">
        <v>64</v>
      </c>
      <c r="I486" s="97">
        <f t="shared" si="60"/>
        <v>201.43839538562807</v>
      </c>
    </row>
    <row r="487" spans="2:30">
      <c r="B487" s="242" t="s">
        <v>611</v>
      </c>
      <c r="C487" s="317">
        <f t="shared" si="62"/>
        <v>107.67342521187341</v>
      </c>
      <c r="D487" s="317">
        <f t="shared" si="63"/>
        <v>105.86122443056865</v>
      </c>
      <c r="E487" s="317">
        <f t="shared" si="64"/>
        <v>107.60786236238404</v>
      </c>
      <c r="F487" s="317">
        <f t="shared" si="65"/>
        <v>105.79676503856507</v>
      </c>
      <c r="H487" s="242" t="s">
        <v>611</v>
      </c>
      <c r="I487" s="97">
        <f t="shared" si="60"/>
        <v>100</v>
      </c>
    </row>
    <row r="488" spans="2:30">
      <c r="B488" s="214" t="s">
        <v>608</v>
      </c>
      <c r="C488" s="317">
        <f>L460*100/L$460</f>
        <v>100</v>
      </c>
      <c r="D488" s="317">
        <f>N460*100/N$460</f>
        <v>100</v>
      </c>
      <c r="E488" s="317">
        <f>C460*100/C$460</f>
        <v>100</v>
      </c>
      <c r="F488" s="317">
        <f>D460*100/D$460</f>
        <v>100</v>
      </c>
      <c r="H488" s="214" t="s">
        <v>608</v>
      </c>
      <c r="I488" s="97">
        <f t="shared" si="60"/>
        <v>92.930012551719003</v>
      </c>
    </row>
    <row r="489" spans="2:30" ht="13.5" thickBot="1">
      <c r="B489" s="279" t="s">
        <v>1163</v>
      </c>
      <c r="C489" s="318">
        <f>L461*100/L$460</f>
        <v>220.5444386098078</v>
      </c>
      <c r="D489" s="318">
        <f>N461*100/N$460</f>
        <v>191.02498771399038</v>
      </c>
      <c r="E489" s="318">
        <f>C461*100/C$460</f>
        <v>217.44053640909652</v>
      </c>
      <c r="F489" s="318">
        <f>D461*100/D$460</f>
        <v>188.33653688070817</v>
      </c>
      <c r="H489" s="279" t="s">
        <v>609</v>
      </c>
      <c r="I489" s="318">
        <f t="shared" si="60"/>
        <v>202.06751777749855</v>
      </c>
    </row>
    <row r="493" spans="2:30" ht="14.25">
      <c r="B493" s="294" t="s">
        <v>587</v>
      </c>
    </row>
    <row r="494" spans="2:30">
      <c r="B494" s="47" t="s">
        <v>613</v>
      </c>
      <c r="M494" s="315"/>
    </row>
    <row r="495" spans="2:30" ht="14.25">
      <c r="B495" s="316"/>
      <c r="M495" s="9" t="s">
        <v>588</v>
      </c>
    </row>
    <row r="496" spans="2:30">
      <c r="B496" s="9" t="s">
        <v>589</v>
      </c>
      <c r="M496" s="9" t="s">
        <v>589</v>
      </c>
    </row>
    <row r="497" spans="2:19" ht="51.75" thickBot="1">
      <c r="B497" s="312"/>
      <c r="C497" s="313" t="s">
        <v>1012</v>
      </c>
      <c r="D497" s="313" t="s">
        <v>36</v>
      </c>
      <c r="E497" s="313" t="s">
        <v>612</v>
      </c>
      <c r="F497" s="313" t="s">
        <v>590</v>
      </c>
      <c r="G497" s="313" t="s">
        <v>5</v>
      </c>
      <c r="H497" s="313" t="s">
        <v>52</v>
      </c>
      <c r="I497" s="313" t="s">
        <v>57</v>
      </c>
      <c r="J497" s="313" t="s">
        <v>29</v>
      </c>
      <c r="K497" s="313" t="s">
        <v>591</v>
      </c>
      <c r="M497" s="282"/>
      <c r="N497" s="312" t="s">
        <v>592</v>
      </c>
      <c r="O497" s="312" t="s">
        <v>593</v>
      </c>
      <c r="P497" s="312" t="s">
        <v>594</v>
      </c>
      <c r="Q497" s="312" t="s">
        <v>595</v>
      </c>
      <c r="R497" s="312" t="s">
        <v>596</v>
      </c>
      <c r="S497" s="312" t="s">
        <v>597</v>
      </c>
    </row>
    <row r="498" spans="2:19">
      <c r="B498" s="9" t="s">
        <v>9</v>
      </c>
      <c r="C498" s="12">
        <f t="array" ref="C498:C515">TRANSPOSE(Gasto_o_ing_total!D108:U108)</f>
        <v>16901988.572211422</v>
      </c>
      <c r="D498" s="157">
        <f t="array" ref="D498:D515">TRANSPOSE(Gasto_o_ing_total!D126:U126)</f>
        <v>-814100.62953859032</v>
      </c>
      <c r="E498" s="157">
        <f t="array" ref="E498:E515">TRANSPOSE(Gasto_o_ing_total!D129:U129)</f>
        <v>0</v>
      </c>
      <c r="F498" s="157">
        <f t="array" ref="F498:F515">TRANSPOSE(Gasto_o_ing_total!D148:U148)</f>
        <v>0</v>
      </c>
      <c r="G498" s="157">
        <f t="array" ref="G498:G515">+TRANSPOSE(Gasto_o_ing_total!D164:U164)</f>
        <v>0</v>
      </c>
      <c r="H498" s="157">
        <f t="array" ref="H498:H515">TRANSPOSE(Gasto_o_ing_total!D169:U169)</f>
        <v>0</v>
      </c>
      <c r="I498" s="157">
        <f>SUM(C498:H498)</f>
        <v>16087887.942672832</v>
      </c>
      <c r="J498" s="157">
        <f t="array" ref="J498:J515">TRANSPOSE(Gasto_o_ing_total!D197:U197)</f>
        <v>604536.89535857644</v>
      </c>
      <c r="K498" s="157">
        <f>I498+J498</f>
        <v>16692424.838031407</v>
      </c>
      <c r="L498" s="157"/>
      <c r="M498" s="9" t="s">
        <v>9</v>
      </c>
      <c r="N498" s="12">
        <f>C498+F498</f>
        <v>16901988.572211422</v>
      </c>
      <c r="O498" s="12">
        <f>G498</f>
        <v>0</v>
      </c>
      <c r="P498" s="12">
        <f>D498+E498+H498</f>
        <v>-814100.62953859032</v>
      </c>
      <c r="Q498" s="12">
        <f>N498+O498+P498</f>
        <v>16087887.942672832</v>
      </c>
      <c r="R498" s="12">
        <f>J498</f>
        <v>604536.89535857644</v>
      </c>
      <c r="S498" s="12">
        <f>Q498+R498</f>
        <v>16692424.838031407</v>
      </c>
    </row>
    <row r="499" spans="2:19">
      <c r="B499" s="9" t="s">
        <v>10</v>
      </c>
      <c r="C499" s="12">
        <v>3096102.6809333954</v>
      </c>
      <c r="D499" s="157">
        <v>-85963.462592154174</v>
      </c>
      <c r="E499" s="157">
        <v>0</v>
      </c>
      <c r="F499" s="157">
        <v>0</v>
      </c>
      <c r="G499" s="157">
        <v>0</v>
      </c>
      <c r="H499" s="157">
        <v>0</v>
      </c>
      <c r="I499" s="157">
        <f t="shared" ref="I499:I515" si="66">SUM(C499:H499)</f>
        <v>3010139.2183412411</v>
      </c>
      <c r="J499" s="157">
        <v>128117.41998660399</v>
      </c>
      <c r="K499" s="157">
        <f t="shared" ref="K499:K515" si="67">I499+J499</f>
        <v>3138256.6383278449</v>
      </c>
      <c r="L499" s="157"/>
      <c r="M499" s="9" t="s">
        <v>10</v>
      </c>
      <c r="N499" s="12">
        <f t="shared" ref="N499:N515" si="68">C499+F499</f>
        <v>3096102.6809333954</v>
      </c>
      <c r="O499" s="12">
        <f t="shared" ref="O499:O515" si="69">G499</f>
        <v>0</v>
      </c>
      <c r="P499" s="12">
        <f t="shared" ref="P499:P515" si="70">D499+E499+H499</f>
        <v>-85963.462592154174</v>
      </c>
      <c r="Q499" s="12">
        <f t="shared" ref="Q499:Q515" si="71">N499+O499+P499</f>
        <v>3010139.2183412411</v>
      </c>
      <c r="R499" s="12">
        <f t="shared" ref="R499:R515" si="72">J499</f>
        <v>128117.41998660399</v>
      </c>
      <c r="S499" s="12">
        <f t="shared" ref="S499:S515" si="73">Q499+R499</f>
        <v>3138256.6383278449</v>
      </c>
    </row>
    <row r="500" spans="2:19">
      <c r="B500" s="9" t="s">
        <v>11</v>
      </c>
      <c r="C500" s="12">
        <v>2451788.830795926</v>
      </c>
      <c r="D500" s="157">
        <v>-76099.043416389322</v>
      </c>
      <c r="E500" s="157">
        <v>0</v>
      </c>
      <c r="F500" s="157">
        <v>0</v>
      </c>
      <c r="G500" s="157">
        <v>0</v>
      </c>
      <c r="H500" s="157">
        <v>0</v>
      </c>
      <c r="I500" s="157">
        <f t="shared" si="66"/>
        <v>2375689.7873795368</v>
      </c>
      <c r="J500" s="157">
        <v>97201.002884073954</v>
      </c>
      <c r="K500" s="157">
        <f t="shared" si="67"/>
        <v>2472890.7902636109</v>
      </c>
      <c r="L500" s="157"/>
      <c r="M500" s="9" t="s">
        <v>11</v>
      </c>
      <c r="N500" s="12">
        <f t="shared" si="68"/>
        <v>2451788.830795926</v>
      </c>
      <c r="O500" s="12">
        <f t="shared" si="69"/>
        <v>0</v>
      </c>
      <c r="P500" s="12">
        <f t="shared" si="70"/>
        <v>-76099.043416389322</v>
      </c>
      <c r="Q500" s="12">
        <f t="shared" si="71"/>
        <v>2375689.7873795368</v>
      </c>
      <c r="R500" s="12">
        <f t="shared" si="72"/>
        <v>97201.002884073954</v>
      </c>
      <c r="S500" s="12">
        <f t="shared" si="73"/>
        <v>2472890.7902636109</v>
      </c>
    </row>
    <row r="501" spans="2:19">
      <c r="B501" s="9" t="s">
        <v>31</v>
      </c>
      <c r="C501" s="12">
        <v>2346897.2743529347</v>
      </c>
      <c r="D501" s="157">
        <v>-56521.631910432247</v>
      </c>
      <c r="E501" s="157">
        <v>0</v>
      </c>
      <c r="F501" s="157">
        <v>0</v>
      </c>
      <c r="G501" s="157">
        <v>0</v>
      </c>
      <c r="H501" s="157">
        <v>0</v>
      </c>
      <c r="I501" s="157">
        <f t="shared" si="66"/>
        <v>2290375.6424425025</v>
      </c>
      <c r="J501" s="157">
        <v>198399.97780706559</v>
      </c>
      <c r="K501" s="157">
        <f t="shared" si="67"/>
        <v>2488775.620249568</v>
      </c>
      <c r="L501" s="157"/>
      <c r="M501" s="9" t="s">
        <v>31</v>
      </c>
      <c r="N501" s="12">
        <f t="shared" si="68"/>
        <v>2346897.2743529347</v>
      </c>
      <c r="O501" s="12">
        <f t="shared" si="69"/>
        <v>0</v>
      </c>
      <c r="P501" s="12">
        <f t="shared" si="70"/>
        <v>-56521.631910432247</v>
      </c>
      <c r="Q501" s="12">
        <f t="shared" si="71"/>
        <v>2290375.6424425025</v>
      </c>
      <c r="R501" s="12">
        <f t="shared" si="72"/>
        <v>198399.97780706559</v>
      </c>
      <c r="S501" s="12">
        <f t="shared" si="73"/>
        <v>2488775.620249568</v>
      </c>
    </row>
    <row r="502" spans="2:19">
      <c r="B502" s="9" t="s">
        <v>12</v>
      </c>
      <c r="C502" s="12">
        <v>4996421.2912914446</v>
      </c>
      <c r="D502" s="157">
        <v>-277333.12010566611</v>
      </c>
      <c r="E502" s="157">
        <v>0</v>
      </c>
      <c r="F502" s="157">
        <v>0</v>
      </c>
      <c r="G502" s="157">
        <v>0</v>
      </c>
      <c r="H502" s="157">
        <v>0</v>
      </c>
      <c r="I502" s="157">
        <f t="shared" si="66"/>
        <v>4719088.1711857785</v>
      </c>
      <c r="J502" s="157">
        <v>101702.38224806225</v>
      </c>
      <c r="K502" s="157">
        <f t="shared" si="67"/>
        <v>4820790.5534338411</v>
      </c>
      <c r="L502" s="157"/>
      <c r="M502" s="9" t="s">
        <v>12</v>
      </c>
      <c r="N502" s="12">
        <f t="shared" si="68"/>
        <v>4996421.2912914446</v>
      </c>
      <c r="O502" s="12">
        <f t="shared" si="69"/>
        <v>0</v>
      </c>
      <c r="P502" s="12">
        <f t="shared" si="70"/>
        <v>-277333.12010566611</v>
      </c>
      <c r="Q502" s="12">
        <f t="shared" si="71"/>
        <v>4719088.1711857785</v>
      </c>
      <c r="R502" s="12">
        <f t="shared" si="72"/>
        <v>101702.38224806225</v>
      </c>
      <c r="S502" s="12">
        <f t="shared" si="73"/>
        <v>4820790.5534338411</v>
      </c>
    </row>
    <row r="503" spans="2:19">
      <c r="B503" s="9" t="s">
        <v>13</v>
      </c>
      <c r="C503" s="12">
        <v>1611546.425939417</v>
      </c>
      <c r="D503" s="157">
        <v>-133799.3853203324</v>
      </c>
      <c r="E503" s="157">
        <v>0</v>
      </c>
      <c r="F503" s="157">
        <v>0</v>
      </c>
      <c r="G503" s="157">
        <v>0</v>
      </c>
      <c r="H503" s="157">
        <v>0</v>
      </c>
      <c r="I503" s="157">
        <f t="shared" si="66"/>
        <v>1477747.0406190846</v>
      </c>
      <c r="J503" s="157">
        <v>39005.432240583119</v>
      </c>
      <c r="K503" s="157">
        <f t="shared" si="67"/>
        <v>1516752.4728596676</v>
      </c>
      <c r="L503" s="157"/>
      <c r="M503" s="9" t="s">
        <v>13</v>
      </c>
      <c r="N503" s="12">
        <f t="shared" si="68"/>
        <v>1611546.425939417</v>
      </c>
      <c r="O503" s="12">
        <f t="shared" si="69"/>
        <v>0</v>
      </c>
      <c r="P503" s="12">
        <f t="shared" si="70"/>
        <v>-133799.3853203324</v>
      </c>
      <c r="Q503" s="12">
        <f t="shared" si="71"/>
        <v>1477747.0406190846</v>
      </c>
      <c r="R503" s="12">
        <f t="shared" si="72"/>
        <v>39005.432240583119</v>
      </c>
      <c r="S503" s="12">
        <f t="shared" si="73"/>
        <v>1516752.4728596676</v>
      </c>
    </row>
    <row r="504" spans="2:19">
      <c r="B504" s="9" t="s">
        <v>14</v>
      </c>
      <c r="C504" s="12">
        <v>5827060.5573389772</v>
      </c>
      <c r="D504" s="157">
        <v>-15617.571699782398</v>
      </c>
      <c r="E504" s="157">
        <v>0</v>
      </c>
      <c r="F504" s="157">
        <v>0</v>
      </c>
      <c r="G504" s="157">
        <v>0</v>
      </c>
      <c r="H504" s="157">
        <v>0</v>
      </c>
      <c r="I504" s="157">
        <f t="shared" si="66"/>
        <v>5811442.985639195</v>
      </c>
      <c r="J504" s="157">
        <v>160557.18853102336</v>
      </c>
      <c r="K504" s="157">
        <f t="shared" si="67"/>
        <v>5972000.1741702184</v>
      </c>
      <c r="L504" s="157"/>
      <c r="M504" s="9" t="s">
        <v>14</v>
      </c>
      <c r="N504" s="12">
        <f t="shared" si="68"/>
        <v>5827060.5573389772</v>
      </c>
      <c r="O504" s="12">
        <f t="shared" si="69"/>
        <v>0</v>
      </c>
      <c r="P504" s="12">
        <f t="shared" si="70"/>
        <v>-15617.571699782398</v>
      </c>
      <c r="Q504" s="12">
        <f t="shared" si="71"/>
        <v>5811442.985639195</v>
      </c>
      <c r="R504" s="12">
        <f t="shared" si="72"/>
        <v>160557.18853102336</v>
      </c>
      <c r="S504" s="12">
        <f t="shared" si="73"/>
        <v>5972000.1741702184</v>
      </c>
    </row>
    <row r="505" spans="2:19">
      <c r="B505" s="9" t="s">
        <v>15</v>
      </c>
      <c r="C505" s="12">
        <v>4415679.6973862238</v>
      </c>
      <c r="D505" s="157">
        <v>-11549.118572377529</v>
      </c>
      <c r="E505" s="157">
        <v>0</v>
      </c>
      <c r="F505" s="157">
        <v>0</v>
      </c>
      <c r="G505" s="157">
        <v>0</v>
      </c>
      <c r="H505" s="157">
        <v>0</v>
      </c>
      <c r="I505" s="157">
        <f t="shared" si="66"/>
        <v>4404130.5788138462</v>
      </c>
      <c r="J505" s="157">
        <v>21234.380673775857</v>
      </c>
      <c r="K505" s="157">
        <f t="shared" si="67"/>
        <v>4425364.9594876217</v>
      </c>
      <c r="L505" s="157"/>
      <c r="M505" s="9" t="s">
        <v>15</v>
      </c>
      <c r="N505" s="12">
        <f t="shared" si="68"/>
        <v>4415679.6973862238</v>
      </c>
      <c r="O505" s="12">
        <f t="shared" si="69"/>
        <v>0</v>
      </c>
      <c r="P505" s="12">
        <f t="shared" si="70"/>
        <v>-11549.118572377529</v>
      </c>
      <c r="Q505" s="12">
        <f t="shared" si="71"/>
        <v>4404130.5788138462</v>
      </c>
      <c r="R505" s="12">
        <f t="shared" si="72"/>
        <v>21234.380673775857</v>
      </c>
      <c r="S505" s="12">
        <f t="shared" si="73"/>
        <v>4425364.9594876217</v>
      </c>
    </row>
    <row r="506" spans="2:19">
      <c r="B506" s="9" t="s">
        <v>16</v>
      </c>
      <c r="C506" s="12">
        <v>16590556.558007574</v>
      </c>
      <c r="D506" s="157">
        <v>-2147195.3069139752</v>
      </c>
      <c r="E506" s="157">
        <v>0</v>
      </c>
      <c r="F506" s="157">
        <v>0</v>
      </c>
      <c r="G506" s="157">
        <v>0</v>
      </c>
      <c r="H506" s="157">
        <v>0</v>
      </c>
      <c r="I506" s="157">
        <f t="shared" si="66"/>
        <v>14443361.251093598</v>
      </c>
      <c r="J506" s="157">
        <v>878180.40008242661</v>
      </c>
      <c r="K506" s="157">
        <f t="shared" si="67"/>
        <v>15321541.651176024</v>
      </c>
      <c r="L506" s="157"/>
      <c r="M506" s="9" t="s">
        <v>16</v>
      </c>
      <c r="N506" s="12">
        <f t="shared" si="68"/>
        <v>16590556.558007574</v>
      </c>
      <c r="O506" s="12">
        <f t="shared" si="69"/>
        <v>0</v>
      </c>
      <c r="P506" s="12">
        <f t="shared" si="70"/>
        <v>-2147195.3069139752</v>
      </c>
      <c r="Q506" s="12">
        <f t="shared" si="71"/>
        <v>14443361.251093598</v>
      </c>
      <c r="R506" s="12">
        <f t="shared" si="72"/>
        <v>878180.40008242661</v>
      </c>
      <c r="S506" s="12">
        <f t="shared" si="73"/>
        <v>15321541.651176024</v>
      </c>
    </row>
    <row r="507" spans="2:19">
      <c r="B507" s="9" t="s">
        <v>17</v>
      </c>
      <c r="C507" s="12">
        <v>9191167.2599954959</v>
      </c>
      <c r="D507" s="157">
        <v>-215167.58339465759</v>
      </c>
      <c r="E507" s="157">
        <v>0</v>
      </c>
      <c r="F507" s="157">
        <v>0</v>
      </c>
      <c r="G507" s="157">
        <v>0</v>
      </c>
      <c r="H507" s="157">
        <v>0</v>
      </c>
      <c r="I507" s="157">
        <f t="shared" si="66"/>
        <v>8975999.6766008381</v>
      </c>
      <c r="J507" s="157">
        <v>540767.65890450694</v>
      </c>
      <c r="K507" s="157">
        <f t="shared" si="67"/>
        <v>9516767.3355053458</v>
      </c>
      <c r="L507" s="157"/>
      <c r="M507" s="9" t="s">
        <v>17</v>
      </c>
      <c r="N507" s="12">
        <f t="shared" si="68"/>
        <v>9191167.2599954959</v>
      </c>
      <c r="O507" s="12">
        <f t="shared" si="69"/>
        <v>0</v>
      </c>
      <c r="P507" s="12">
        <f t="shared" si="70"/>
        <v>-215167.58339465759</v>
      </c>
      <c r="Q507" s="12">
        <f t="shared" si="71"/>
        <v>8975999.6766008381</v>
      </c>
      <c r="R507" s="12">
        <f t="shared" si="72"/>
        <v>540767.65890450694</v>
      </c>
      <c r="S507" s="12">
        <f t="shared" si="73"/>
        <v>9516767.3355053458</v>
      </c>
    </row>
    <row r="508" spans="2:19">
      <c r="B508" s="9" t="s">
        <v>18</v>
      </c>
      <c r="C508" s="12">
        <v>2643163.6427868488</v>
      </c>
      <c r="D508" s="157">
        <v>-7928.9052523220025</v>
      </c>
      <c r="E508" s="157">
        <v>0</v>
      </c>
      <c r="F508" s="157">
        <v>0</v>
      </c>
      <c r="G508" s="157">
        <v>0</v>
      </c>
      <c r="H508" s="157">
        <v>0</v>
      </c>
      <c r="I508" s="157">
        <f t="shared" si="66"/>
        <v>2635234.7375345267</v>
      </c>
      <c r="J508" s="157">
        <v>164773.42396315117</v>
      </c>
      <c r="K508" s="157">
        <f t="shared" si="67"/>
        <v>2800008.1614976777</v>
      </c>
      <c r="L508" s="157"/>
      <c r="M508" s="9" t="s">
        <v>18</v>
      </c>
      <c r="N508" s="12">
        <f t="shared" si="68"/>
        <v>2643163.6427868488</v>
      </c>
      <c r="O508" s="12">
        <f t="shared" si="69"/>
        <v>0</v>
      </c>
      <c r="P508" s="12">
        <f t="shared" si="70"/>
        <v>-7928.9052523220025</v>
      </c>
      <c r="Q508" s="12">
        <f t="shared" si="71"/>
        <v>2635234.7375345267</v>
      </c>
      <c r="R508" s="12">
        <f t="shared" si="72"/>
        <v>164773.42396315117</v>
      </c>
      <c r="S508" s="12">
        <f t="shared" si="73"/>
        <v>2800008.1614976777</v>
      </c>
    </row>
    <row r="509" spans="2:19">
      <c r="B509" s="9" t="s">
        <v>19</v>
      </c>
      <c r="C509" s="12">
        <v>6481834.1459353305</v>
      </c>
      <c r="D509" s="157">
        <v>-227902.49543743904</v>
      </c>
      <c r="E509" s="157">
        <v>0</v>
      </c>
      <c r="F509" s="157">
        <v>0</v>
      </c>
      <c r="G509" s="157">
        <v>0</v>
      </c>
      <c r="H509" s="157">
        <v>0</v>
      </c>
      <c r="I509" s="157">
        <f t="shared" si="66"/>
        <v>6253931.6504978919</v>
      </c>
      <c r="J509" s="157">
        <v>259670.52925467002</v>
      </c>
      <c r="K509" s="157">
        <f t="shared" si="67"/>
        <v>6513602.1797525622</v>
      </c>
      <c r="L509" s="157"/>
      <c r="M509" s="9" t="s">
        <v>19</v>
      </c>
      <c r="N509" s="12">
        <f t="shared" si="68"/>
        <v>6481834.1459353305</v>
      </c>
      <c r="O509" s="12">
        <f t="shared" si="69"/>
        <v>0</v>
      </c>
      <c r="P509" s="12">
        <f t="shared" si="70"/>
        <v>-227902.49543743904</v>
      </c>
      <c r="Q509" s="12">
        <f t="shared" si="71"/>
        <v>6253931.6504978919</v>
      </c>
      <c r="R509" s="12">
        <f t="shared" si="72"/>
        <v>259670.52925467002</v>
      </c>
      <c r="S509" s="12">
        <f t="shared" si="73"/>
        <v>6513602.1797525622</v>
      </c>
    </row>
    <row r="510" spans="2:19">
      <c r="B510" s="9" t="s">
        <v>20</v>
      </c>
      <c r="C510" s="12">
        <v>13148827.621260956</v>
      </c>
      <c r="D510" s="157">
        <v>-1012378.8911317169</v>
      </c>
      <c r="E510" s="157">
        <v>0</v>
      </c>
      <c r="F510" s="157">
        <v>0</v>
      </c>
      <c r="G510" s="157">
        <v>0</v>
      </c>
      <c r="H510" s="157">
        <v>0</v>
      </c>
      <c r="I510" s="157">
        <f t="shared" si="66"/>
        <v>12136448.730129238</v>
      </c>
      <c r="J510" s="157">
        <v>-476780.92486095818</v>
      </c>
      <c r="K510" s="157">
        <f t="shared" si="67"/>
        <v>11659667.80526828</v>
      </c>
      <c r="L510" s="157"/>
      <c r="M510" s="9" t="s">
        <v>20</v>
      </c>
      <c r="N510" s="12">
        <f t="shared" si="68"/>
        <v>13148827.621260956</v>
      </c>
      <c r="O510" s="12">
        <f t="shared" si="69"/>
        <v>0</v>
      </c>
      <c r="P510" s="12">
        <f t="shared" si="70"/>
        <v>-1012378.8911317169</v>
      </c>
      <c r="Q510" s="12">
        <f t="shared" si="71"/>
        <v>12136448.730129238</v>
      </c>
      <c r="R510" s="12">
        <f t="shared" si="72"/>
        <v>-476780.92486095818</v>
      </c>
      <c r="S510" s="12">
        <f t="shared" si="73"/>
        <v>11659667.80526828</v>
      </c>
    </row>
    <row r="511" spans="2:19">
      <c r="B511" s="9" t="s">
        <v>60</v>
      </c>
      <c r="C511" s="12">
        <v>2717200.9214700107</v>
      </c>
      <c r="D511" s="157">
        <v>-18338.103622888109</v>
      </c>
      <c r="E511" s="157">
        <v>0</v>
      </c>
      <c r="F511" s="157">
        <v>0</v>
      </c>
      <c r="G511" s="157">
        <v>0</v>
      </c>
      <c r="H511" s="157">
        <v>0</v>
      </c>
      <c r="I511" s="157">
        <f t="shared" si="66"/>
        <v>2698862.8178471224</v>
      </c>
      <c r="J511" s="157">
        <v>172521.51646998938</v>
      </c>
      <c r="K511" s="157">
        <f t="shared" si="67"/>
        <v>2871384.3343171119</v>
      </c>
      <c r="L511" s="157"/>
      <c r="M511" s="9" t="s">
        <v>60</v>
      </c>
      <c r="N511" s="12">
        <f t="shared" si="68"/>
        <v>2717200.9214700107</v>
      </c>
      <c r="O511" s="12">
        <f t="shared" si="69"/>
        <v>0</v>
      </c>
      <c r="P511" s="12">
        <f t="shared" si="70"/>
        <v>-18338.103622888109</v>
      </c>
      <c r="Q511" s="12">
        <f t="shared" si="71"/>
        <v>2698862.8178471224</v>
      </c>
      <c r="R511" s="12">
        <f t="shared" si="72"/>
        <v>172521.51646998938</v>
      </c>
      <c r="S511" s="12">
        <f t="shared" si="73"/>
        <v>2871384.3343171119</v>
      </c>
    </row>
    <row r="512" spans="2:19" ht="12.75" customHeight="1">
      <c r="B512" s="214" t="s">
        <v>61</v>
      </c>
      <c r="C512" s="61">
        <v>0</v>
      </c>
      <c r="D512" s="165">
        <v>0</v>
      </c>
      <c r="E512" s="165">
        <v>0</v>
      </c>
      <c r="F512" s="165">
        <v>3400637.138886</v>
      </c>
      <c r="G512" s="165">
        <v>-537788</v>
      </c>
      <c r="H512" s="165">
        <v>-470881.30288277293</v>
      </c>
      <c r="I512" s="165">
        <f t="shared" si="66"/>
        <v>2391967.8360032272</v>
      </c>
      <c r="J512" s="165">
        <v>-434848.70488600049</v>
      </c>
      <c r="K512" s="165">
        <f t="shared" si="67"/>
        <v>1957119.1311172266</v>
      </c>
      <c r="L512" s="157"/>
      <c r="M512" s="9" t="s">
        <v>61</v>
      </c>
      <c r="N512" s="12">
        <f t="shared" si="68"/>
        <v>3400637.138886</v>
      </c>
      <c r="O512" s="12">
        <f t="shared" si="69"/>
        <v>-537788</v>
      </c>
      <c r="P512" s="12">
        <f t="shared" si="70"/>
        <v>-470881.30288277293</v>
      </c>
      <c r="Q512" s="12">
        <f t="shared" si="71"/>
        <v>2391967.8360032272</v>
      </c>
      <c r="R512" s="12">
        <f t="shared" si="72"/>
        <v>-434848.70488600049</v>
      </c>
      <c r="S512" s="12">
        <f t="shared" si="73"/>
        <v>1957119.1311172266</v>
      </c>
    </row>
    <row r="513" spans="2:20">
      <c r="B513" s="214" t="s">
        <v>62</v>
      </c>
      <c r="C513" s="61">
        <v>0</v>
      </c>
      <c r="D513" s="165">
        <v>0</v>
      </c>
      <c r="E513" s="165">
        <v>0</v>
      </c>
      <c r="F513" s="165">
        <v>13159985.994236836</v>
      </c>
      <c r="G513" s="165">
        <v>-952323.00000000023</v>
      </c>
      <c r="H513" s="165">
        <v>-2018958.3567233717</v>
      </c>
      <c r="I513" s="165">
        <f t="shared" si="66"/>
        <v>10188704.637513464</v>
      </c>
      <c r="J513" s="165">
        <v>-889125.51423683669</v>
      </c>
      <c r="K513" s="165">
        <f t="shared" si="67"/>
        <v>9299579.1232766286</v>
      </c>
      <c r="L513" s="157"/>
      <c r="M513" s="9" t="s">
        <v>62</v>
      </c>
      <c r="N513" s="12">
        <f t="shared" si="68"/>
        <v>13159985.994236836</v>
      </c>
      <c r="O513" s="12">
        <f t="shared" si="69"/>
        <v>-952323.00000000023</v>
      </c>
      <c r="P513" s="12">
        <f t="shared" si="70"/>
        <v>-2018958.3567233717</v>
      </c>
      <c r="Q513" s="12">
        <f t="shared" si="71"/>
        <v>10188704.637513464</v>
      </c>
      <c r="R513" s="12">
        <f t="shared" si="72"/>
        <v>-889125.51423683669</v>
      </c>
      <c r="S513" s="12">
        <f t="shared" si="73"/>
        <v>9299579.1232766286</v>
      </c>
    </row>
    <row r="514" spans="2:20">
      <c r="B514" s="214" t="s">
        <v>63</v>
      </c>
      <c r="C514" s="61">
        <v>838989.01245107735</v>
      </c>
      <c r="D514" s="165">
        <v>-69640.485579646527</v>
      </c>
      <c r="E514" s="165">
        <v>0</v>
      </c>
      <c r="F514" s="165">
        <v>0</v>
      </c>
      <c r="G514" s="165">
        <v>0</v>
      </c>
      <c r="H514" s="165">
        <v>0</v>
      </c>
      <c r="I514" s="165">
        <f t="shared" si="66"/>
        <v>769348.5268714308</v>
      </c>
      <c r="J514" s="165">
        <v>19749.708548922608</v>
      </c>
      <c r="K514" s="165">
        <f t="shared" si="67"/>
        <v>789098.23542035336</v>
      </c>
      <c r="L514" s="157"/>
      <c r="M514" s="9" t="s">
        <v>63</v>
      </c>
      <c r="N514" s="12">
        <f t="shared" si="68"/>
        <v>838989.01245107735</v>
      </c>
      <c r="O514" s="12">
        <f t="shared" si="69"/>
        <v>0</v>
      </c>
      <c r="P514" s="12">
        <f t="shared" si="70"/>
        <v>-69640.485579646527</v>
      </c>
      <c r="Q514" s="12">
        <f t="shared" si="71"/>
        <v>769348.5268714308</v>
      </c>
      <c r="R514" s="12">
        <f t="shared" si="72"/>
        <v>19749.708548922608</v>
      </c>
      <c r="S514" s="12">
        <f t="shared" si="73"/>
        <v>789098.23542035336</v>
      </c>
    </row>
    <row r="515" spans="2:20">
      <c r="B515" s="214" t="s">
        <v>64</v>
      </c>
      <c r="C515" s="61">
        <v>72550.48000000001</v>
      </c>
      <c r="D515" s="165">
        <v>0</v>
      </c>
      <c r="E515" s="165">
        <v>616617.37863156828</v>
      </c>
      <c r="F515" s="165">
        <v>0</v>
      </c>
      <c r="G515" s="165">
        <v>0</v>
      </c>
      <c r="H515" s="165">
        <v>0</v>
      </c>
      <c r="I515" s="165">
        <f t="shared" si="66"/>
        <v>689167.85863156826</v>
      </c>
      <c r="J515" s="165">
        <v>0</v>
      </c>
      <c r="K515" s="165">
        <f t="shared" si="67"/>
        <v>689167.85863156826</v>
      </c>
      <c r="L515" s="157"/>
      <c r="M515" s="9" t="s">
        <v>64</v>
      </c>
      <c r="N515" s="12">
        <f t="shared" si="68"/>
        <v>72550.48000000001</v>
      </c>
      <c r="O515" s="12">
        <f t="shared" si="69"/>
        <v>0</v>
      </c>
      <c r="P515" s="12">
        <f t="shared" si="70"/>
        <v>616617.37863156828</v>
      </c>
      <c r="Q515" s="12">
        <f t="shared" si="71"/>
        <v>689167.85863156826</v>
      </c>
      <c r="R515" s="12">
        <f t="shared" si="72"/>
        <v>0</v>
      </c>
      <c r="S515" s="12">
        <f t="shared" si="73"/>
        <v>689167.85863156826</v>
      </c>
    </row>
    <row r="516" spans="2:20" ht="13.5" thickBot="1">
      <c r="B516" s="314" t="s">
        <v>84</v>
      </c>
      <c r="C516" s="289">
        <f>SUM(C498:C515)</f>
        <v>93331774.972157046</v>
      </c>
      <c r="D516" s="172">
        <f t="shared" ref="D516:K516" si="74">SUM(D498:D515)</f>
        <v>-5169535.7344883699</v>
      </c>
      <c r="E516" s="172">
        <f t="shared" si="74"/>
        <v>616617.37863156828</v>
      </c>
      <c r="F516" s="172">
        <f t="shared" si="74"/>
        <v>16560623.133122835</v>
      </c>
      <c r="G516" s="172">
        <f t="shared" si="74"/>
        <v>-1490111.0000000002</v>
      </c>
      <c r="H516" s="172">
        <f t="shared" si="74"/>
        <v>-2489839.6596061448</v>
      </c>
      <c r="I516" s="172">
        <f t="shared" si="74"/>
        <v>101359529.08981691</v>
      </c>
      <c r="J516" s="172">
        <f t="shared" si="74"/>
        <v>1585662.7729696361</v>
      </c>
      <c r="K516" s="172">
        <f t="shared" si="74"/>
        <v>102945191.86278655</v>
      </c>
      <c r="L516" s="157"/>
      <c r="M516" s="314" t="s">
        <v>84</v>
      </c>
      <c r="N516" s="289">
        <f t="shared" ref="N516:S516" si="75">SUM(N498:N515)</f>
        <v>109892398.10527989</v>
      </c>
      <c r="O516" s="289">
        <f t="shared" si="75"/>
        <v>-1490111.0000000002</v>
      </c>
      <c r="P516" s="289">
        <f t="shared" si="75"/>
        <v>-7042758.0154629461</v>
      </c>
      <c r="Q516" s="289">
        <f t="shared" si="75"/>
        <v>101359529.08981691</v>
      </c>
      <c r="R516" s="289">
        <f t="shared" si="75"/>
        <v>1585662.7729696361</v>
      </c>
      <c r="S516" s="289">
        <f t="shared" si="75"/>
        <v>102945191.86278655</v>
      </c>
    </row>
    <row r="517" spans="2:20">
      <c r="L517" s="14"/>
      <c r="M517" s="9" t="s">
        <v>598</v>
      </c>
      <c r="Q517" s="12">
        <f>Q516-Q515</f>
        <v>100670361.23118535</v>
      </c>
    </row>
    <row r="518" spans="2:20">
      <c r="B518" s="88" t="s">
        <v>599</v>
      </c>
      <c r="C518" s="290">
        <f>C516-C519</f>
        <v>93331774.972157046</v>
      </c>
      <c r="D518" s="290">
        <f t="shared" ref="D518:K518" si="76">D516-D519</f>
        <v>-5169535.7344883699</v>
      </c>
      <c r="E518" s="290">
        <f t="shared" si="76"/>
        <v>616617.37863156828</v>
      </c>
      <c r="F518" s="290">
        <f t="shared" si="76"/>
        <v>0</v>
      </c>
      <c r="G518" s="290">
        <f t="shared" si="76"/>
        <v>0</v>
      </c>
      <c r="H518" s="290">
        <f t="shared" si="76"/>
        <v>0</v>
      </c>
      <c r="I518" s="290">
        <f t="shared" si="76"/>
        <v>88778856.616300225</v>
      </c>
      <c r="J518" s="290">
        <f t="shared" si="76"/>
        <v>2909636.9920924734</v>
      </c>
      <c r="K518" s="290">
        <f t="shared" si="76"/>
        <v>91688493.608392686</v>
      </c>
      <c r="L518" s="14"/>
      <c r="M518" s="88" t="s">
        <v>600</v>
      </c>
      <c r="N518" s="290">
        <f t="shared" ref="N518:S518" si="77">N516-N519-N515</f>
        <v>93259224.492157057</v>
      </c>
      <c r="O518" s="290">
        <f t="shared" si="77"/>
        <v>0</v>
      </c>
      <c r="P518" s="290">
        <f t="shared" si="77"/>
        <v>-5169535.7344883699</v>
      </c>
      <c r="Q518" s="290">
        <f t="shared" si="77"/>
        <v>88089688.757668659</v>
      </c>
      <c r="R518" s="290">
        <f t="shared" si="77"/>
        <v>2909636.9920924734</v>
      </c>
      <c r="S518" s="290">
        <f t="shared" si="77"/>
        <v>90999325.749761119</v>
      </c>
      <c r="T518" s="9" t="s">
        <v>601</v>
      </c>
    </row>
    <row r="519" spans="2:20" ht="13.5" thickBot="1">
      <c r="B519" s="279" t="s">
        <v>602</v>
      </c>
      <c r="C519" s="289">
        <f>C512+C513</f>
        <v>0</v>
      </c>
      <c r="D519" s="289">
        <f t="shared" ref="D519:K519" si="78">D512+D513</f>
        <v>0</v>
      </c>
      <c r="E519" s="289">
        <f t="shared" si="78"/>
        <v>0</v>
      </c>
      <c r="F519" s="289">
        <f t="shared" si="78"/>
        <v>16560623.133122835</v>
      </c>
      <c r="G519" s="289">
        <f t="shared" si="78"/>
        <v>-1490111.0000000002</v>
      </c>
      <c r="H519" s="289">
        <f t="shared" si="78"/>
        <v>-2489839.6596061448</v>
      </c>
      <c r="I519" s="289">
        <f t="shared" si="78"/>
        <v>12580672.473516691</v>
      </c>
      <c r="J519" s="289">
        <f t="shared" si="78"/>
        <v>-1323974.2191228373</v>
      </c>
      <c r="K519" s="289">
        <f t="shared" si="78"/>
        <v>11256698.254393855</v>
      </c>
      <c r="M519" s="279" t="s">
        <v>602</v>
      </c>
      <c r="N519" s="289">
        <f t="shared" ref="N519:S519" si="79">N512+N513</f>
        <v>16560623.133122835</v>
      </c>
      <c r="O519" s="289">
        <f t="shared" si="79"/>
        <v>-1490111.0000000002</v>
      </c>
      <c r="P519" s="289">
        <f t="shared" si="79"/>
        <v>-2489839.6596061448</v>
      </c>
      <c r="Q519" s="289">
        <f t="shared" si="79"/>
        <v>12580672.473516691</v>
      </c>
      <c r="R519" s="289">
        <f t="shared" si="79"/>
        <v>-1323974.2191228373</v>
      </c>
      <c r="S519" s="289">
        <f t="shared" si="79"/>
        <v>11256698.254393855</v>
      </c>
    </row>
  </sheetData>
  <mergeCells count="11">
    <mergeCell ref="B398:H398"/>
    <mergeCell ref="B432:F433"/>
    <mergeCell ref="G43:I43"/>
    <mergeCell ref="B317:J317"/>
    <mergeCell ref="B318:J318"/>
    <mergeCell ref="B37:I38"/>
    <mergeCell ref="C69:E69"/>
    <mergeCell ref="F69:H69"/>
    <mergeCell ref="C94:E94"/>
    <mergeCell ref="F94:H94"/>
    <mergeCell ref="C43:E43"/>
  </mergeCells>
  <pageMargins left="0.7" right="0.7" top="0.75" bottom="0.75" header="0.3" footer="0.3"/>
  <pageSetup paperSize="8" scale="70" orientation="landscape" r:id="rId1"/>
  <rowBreaks count="9" manualBreakCount="9">
    <brk id="66" min="1" max="18" man="1"/>
    <brk id="138" min="1" max="18" man="1"/>
    <brk id="207" min="1" max="18" man="1"/>
    <brk id="277" min="1" max="18" man="1"/>
    <brk id="278" min="1" max="18" man="1"/>
    <brk id="318" min="1" max="18" man="1"/>
    <brk id="370" min="1" max="18" man="1"/>
    <brk id="407" min="1" max="18" man="1"/>
    <brk id="493" min="1" max="18" man="1"/>
  </rowBreaks>
  <colBreaks count="1" manualBreakCount="1">
    <brk id="12" max="5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sheetPr>
  <dimension ref="A1:R87"/>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9" max="9" width="14.5" customWidth="1"/>
    <col min="10" max="11" width="11.25" bestFit="1" customWidth="1"/>
    <col min="12" max="12" width="13.5" bestFit="1" customWidth="1"/>
    <col min="13" max="13" width="11.5" bestFit="1" customWidth="1"/>
    <col min="15" max="15" width="15.125" customWidth="1"/>
    <col min="16" max="16" width="21.125" customWidth="1"/>
  </cols>
  <sheetData>
    <row r="1" spans="1:18" ht="29.25">
      <c r="B1" s="464" t="s">
        <v>1241</v>
      </c>
    </row>
    <row r="5" spans="1:18" ht="22.5">
      <c r="B5" s="455" t="str">
        <f>"Gráfico 1: Saldo relativo total per cápita vs PIB per cápita, euros, "&amp;Resumen!C2</f>
        <v>Gráfico 1: Saldo relativo total per cápita vs PIB per cápita, euros, 2014</v>
      </c>
      <c r="R5" s="454"/>
    </row>
    <row r="7" spans="1:18">
      <c r="H7" s="101" t="s">
        <v>1175</v>
      </c>
    </row>
    <row r="8" spans="1:18" ht="41.25" thickBot="1">
      <c r="A8" s="257" t="s">
        <v>1138</v>
      </c>
      <c r="B8" s="257" t="s">
        <v>1139</v>
      </c>
      <c r="C8" s="257" t="s">
        <v>1128</v>
      </c>
      <c r="D8" s="257" t="s">
        <v>1137</v>
      </c>
      <c r="E8" s="257" t="s">
        <v>467</v>
      </c>
      <c r="F8" s="257" t="s">
        <v>1127</v>
      </c>
      <c r="I8" s="257" t="s">
        <v>1139</v>
      </c>
      <c r="J8" s="257" t="s">
        <v>1128</v>
      </c>
      <c r="K8" s="257" t="s">
        <v>1137</v>
      </c>
      <c r="L8" s="257" t="s">
        <v>1157</v>
      </c>
      <c r="M8" s="257" t="s">
        <v>1144</v>
      </c>
    </row>
    <row r="9" spans="1:18">
      <c r="A9" s="374">
        <v>1</v>
      </c>
      <c r="B9" s="208" t="s">
        <v>9</v>
      </c>
      <c r="C9" s="2">
        <f>+E9/F9*1000</f>
        <v>16515.759251797801</v>
      </c>
      <c r="D9" s="2">
        <f>+'Cuadros Informe Corto'!I45</f>
        <v>915.31868830303574</v>
      </c>
      <c r="E9" s="2">
        <f>+Resumen!AD111</f>
        <v>138743509.33683723</v>
      </c>
      <c r="F9" s="2">
        <f>+Resumen!C7</f>
        <v>8400674</v>
      </c>
      <c r="I9" t="str">
        <f>+B9</f>
        <v>Andalucía</v>
      </c>
      <c r="J9" s="2">
        <f t="shared" ref="J9:K22" si="0">+C9</f>
        <v>16515.759251797801</v>
      </c>
      <c r="K9" s="2">
        <f t="shared" si="0"/>
        <v>915.31868830303574</v>
      </c>
      <c r="L9" s="398">
        <f t="shared" ref="L9:L23" si="1">+J9*$J$33+$J$32</f>
        <v>1769.6479899256829</v>
      </c>
      <c r="M9" s="398">
        <f>+K9-L9</f>
        <v>-854.32930162264711</v>
      </c>
      <c r="O9" t="s">
        <v>1145</v>
      </c>
      <c r="P9" s="407">
        <f>SUMSQ(M9:M23)</f>
        <v>12059011.199026886</v>
      </c>
    </row>
    <row r="10" spans="1:18">
      <c r="A10" s="374">
        <v>2</v>
      </c>
      <c r="B10" s="208" t="s">
        <v>10</v>
      </c>
      <c r="C10" s="2">
        <f t="shared" ref="C10:C26" si="2">+E10/F10*1000</f>
        <v>24791.051652727776</v>
      </c>
      <c r="D10" s="2">
        <f>+'Cuadros Informe Corto'!I46</f>
        <v>638.56285684651266</v>
      </c>
      <c r="E10" s="2">
        <f>+Resumen!AD112</f>
        <v>32764250.521071475</v>
      </c>
      <c r="F10" s="2">
        <f>+Resumen!C8</f>
        <v>1321616</v>
      </c>
      <c r="I10" t="str">
        <f t="shared" ref="I10:I22" si="3">+B10</f>
        <v>Aragón</v>
      </c>
      <c r="J10" s="2">
        <f t="shared" si="0"/>
        <v>24791.051652727776</v>
      </c>
      <c r="K10" s="2">
        <f t="shared" si="0"/>
        <v>638.56285684651266</v>
      </c>
      <c r="L10" s="398">
        <f t="shared" si="1"/>
        <v>-620.91132971867046</v>
      </c>
      <c r="M10" s="398">
        <f t="shared" ref="M10:M23" si="4">+K10-L10</f>
        <v>1259.4741865651831</v>
      </c>
      <c r="O10" t="s">
        <v>1167</v>
      </c>
      <c r="P10" s="407">
        <f>DEVSQ(J9:J23)</f>
        <v>232717490.42402163</v>
      </c>
    </row>
    <row r="11" spans="1:18">
      <c r="A11" s="374">
        <v>3</v>
      </c>
      <c r="B11" s="208" t="s">
        <v>11</v>
      </c>
      <c r="C11" s="2">
        <f t="shared" si="2"/>
        <v>19477.066876017376</v>
      </c>
      <c r="D11" s="2">
        <f>+'Cuadros Informe Corto'!I47</f>
        <v>1986.2264742391671</v>
      </c>
      <c r="E11" s="2">
        <f>+Resumen!AD113</f>
        <v>20577375.076510787</v>
      </c>
      <c r="F11" s="2">
        <f>+Resumen!C9</f>
        <v>1056492.5</v>
      </c>
      <c r="I11" t="str">
        <f t="shared" si="3"/>
        <v>Asturias</v>
      </c>
      <c r="J11" s="2">
        <f t="shared" si="0"/>
        <v>19477.066876017376</v>
      </c>
      <c r="K11" s="2">
        <f t="shared" si="0"/>
        <v>1986.2264742391671</v>
      </c>
      <c r="L11" s="398">
        <f t="shared" si="1"/>
        <v>914.18800175457909</v>
      </c>
      <c r="M11" s="398">
        <f t="shared" si="4"/>
        <v>1072.0384724845881</v>
      </c>
      <c r="O11" t="s">
        <v>1168</v>
      </c>
      <c r="P11" s="407">
        <f>SUMSQ(J9:J23)</f>
        <v>6851548160.8499069</v>
      </c>
    </row>
    <row r="12" spans="1:18">
      <c r="A12" s="374">
        <v>4</v>
      </c>
      <c r="B12" s="208" t="s">
        <v>31</v>
      </c>
      <c r="C12" s="2">
        <f t="shared" si="2"/>
        <v>23808.799438038895</v>
      </c>
      <c r="D12" s="2">
        <f>+'Cuadros Informe Corto'!I48</f>
        <v>-1373.1452955870618</v>
      </c>
      <c r="E12" s="2">
        <f>+Resumen!AD114</f>
        <v>26283974.132017139</v>
      </c>
      <c r="F12" s="2">
        <f>+Resumen!C10</f>
        <v>1103960.5</v>
      </c>
      <c r="I12" t="str">
        <f t="shared" si="3"/>
        <v>Baleares</v>
      </c>
      <c r="J12" s="2">
        <f t="shared" si="0"/>
        <v>23808.799438038895</v>
      </c>
      <c r="K12" s="2">
        <f t="shared" si="0"/>
        <v>-1373.1452955870618</v>
      </c>
      <c r="L12" s="398">
        <f t="shared" si="1"/>
        <v>-337.15915852023318</v>
      </c>
      <c r="M12" s="398">
        <f t="shared" si="4"/>
        <v>-1035.9861370668286</v>
      </c>
      <c r="P12" s="398"/>
    </row>
    <row r="13" spans="1:18">
      <c r="A13" s="374">
        <v>5</v>
      </c>
      <c r="B13" s="208" t="s">
        <v>12</v>
      </c>
      <c r="C13" s="2">
        <f t="shared" si="2"/>
        <v>18915.381499829025</v>
      </c>
      <c r="D13" s="2">
        <f>+'Cuadros Informe Corto'!I49</f>
        <v>2042.0098322218391</v>
      </c>
      <c r="E13" s="2">
        <f>+Resumen!AD115</f>
        <v>39770733.98397126</v>
      </c>
      <c r="F13" s="2">
        <f>+Resumen!C11</f>
        <v>2102560.5</v>
      </c>
      <c r="I13" t="str">
        <f t="shared" si="3"/>
        <v>Canarias</v>
      </c>
      <c r="J13" s="2">
        <f t="shared" si="0"/>
        <v>18915.381499829025</v>
      </c>
      <c r="K13" s="2">
        <f t="shared" si="0"/>
        <v>2042.0098322218391</v>
      </c>
      <c r="L13" s="398">
        <f t="shared" si="1"/>
        <v>1076.4471879803259</v>
      </c>
      <c r="M13" s="398">
        <f t="shared" si="4"/>
        <v>965.56264424151323</v>
      </c>
      <c r="O13" t="s">
        <v>1146</v>
      </c>
      <c r="P13" s="398">
        <f>(+P9/(COUNT(J9:J23)-2))^0.5/(P10^0.5)</f>
        <v>6.3134923798346829E-2</v>
      </c>
    </row>
    <row r="14" spans="1:18">
      <c r="A14" s="374">
        <v>6</v>
      </c>
      <c r="B14" s="208" t="s">
        <v>13</v>
      </c>
      <c r="C14" s="2">
        <f t="shared" si="2"/>
        <v>20354.415861580066</v>
      </c>
      <c r="D14" s="2">
        <f>+'Cuadros Informe Corto'!I50</f>
        <v>878.42521599219072</v>
      </c>
      <c r="E14" s="2">
        <f>+Resumen!AD116</f>
        <v>11946362.871438919</v>
      </c>
      <c r="F14" s="2">
        <f>+Resumen!C12</f>
        <v>586917.5</v>
      </c>
      <c r="I14" t="str">
        <f t="shared" si="3"/>
        <v>Cantabria</v>
      </c>
      <c r="J14" s="2">
        <f t="shared" si="0"/>
        <v>20354.415861580066</v>
      </c>
      <c r="K14" s="2">
        <f t="shared" si="0"/>
        <v>878.42521599219072</v>
      </c>
      <c r="L14" s="398">
        <f t="shared" si="1"/>
        <v>660.74018475880621</v>
      </c>
      <c r="M14" s="398">
        <f t="shared" si="4"/>
        <v>217.68503123338451</v>
      </c>
      <c r="O14" t="s">
        <v>1147</v>
      </c>
      <c r="P14" s="398">
        <f>+J33/P13</f>
        <v>-4.5755838244019156</v>
      </c>
    </row>
    <row r="15" spans="1:18">
      <c r="A15" s="374">
        <v>7</v>
      </c>
      <c r="B15" s="208" t="s">
        <v>14</v>
      </c>
      <c r="C15" s="2">
        <f t="shared" si="2"/>
        <v>20909.750700634719</v>
      </c>
      <c r="D15" s="2">
        <f>+'Cuadros Informe Corto'!I51</f>
        <v>1723.4607603951281</v>
      </c>
      <c r="E15" s="2">
        <f>+Resumen!AD117</f>
        <v>51927713.994720966</v>
      </c>
      <c r="F15" s="2">
        <f>+Resumen!C13</f>
        <v>2483421</v>
      </c>
      <c r="I15" t="str">
        <f t="shared" si="3"/>
        <v>Castilla y León</v>
      </c>
      <c r="J15" s="2">
        <f t="shared" si="0"/>
        <v>20909.750700634719</v>
      </c>
      <c r="K15" s="2">
        <f t="shared" si="0"/>
        <v>1723.4607603951281</v>
      </c>
      <c r="L15" s="398">
        <f t="shared" si="1"/>
        <v>500.31553621392777</v>
      </c>
      <c r="M15" s="398">
        <f t="shared" si="4"/>
        <v>1223.1452241812003</v>
      </c>
      <c r="P15" s="398"/>
    </row>
    <row r="16" spans="1:18">
      <c r="A16" s="374">
        <v>8</v>
      </c>
      <c r="B16" s="208" t="s">
        <v>491</v>
      </c>
      <c r="C16" s="2">
        <f t="shared" si="2"/>
        <v>17268.70749470088</v>
      </c>
      <c r="D16" s="2">
        <f>+'Cuadros Informe Corto'!I52</f>
        <v>789.63374936816035</v>
      </c>
      <c r="E16" s="2">
        <f>+Resumen!AD118</f>
        <v>35727246.204494148</v>
      </c>
      <c r="F16" s="2">
        <f>+Resumen!C14</f>
        <v>2068901</v>
      </c>
      <c r="I16" t="str">
        <f t="shared" si="3"/>
        <v>C. - La Mancha</v>
      </c>
      <c r="J16" s="2">
        <f t="shared" si="0"/>
        <v>17268.70749470088</v>
      </c>
      <c r="K16" s="2">
        <f t="shared" si="0"/>
        <v>789.63374936816035</v>
      </c>
      <c r="L16" s="398">
        <f t="shared" si="1"/>
        <v>1552.1369519979453</v>
      </c>
      <c r="M16" s="398">
        <f t="shared" si="4"/>
        <v>-762.50320262978494</v>
      </c>
      <c r="O16" t="s">
        <v>1148</v>
      </c>
      <c r="P16" s="398">
        <f>+P13*(P11/COUNT(J9:J23))^0.5</f>
        <v>1349.3306594667881</v>
      </c>
    </row>
    <row r="17" spans="1:16">
      <c r="A17" s="374">
        <v>9</v>
      </c>
      <c r="B17" s="208" t="s">
        <v>16</v>
      </c>
      <c r="C17" s="2">
        <f t="shared" si="2"/>
        <v>26202.901887210399</v>
      </c>
      <c r="D17" s="2">
        <f>+'Cuadros Informe Corto'!I53</f>
        <v>-1316.6052701230474</v>
      </c>
      <c r="E17" s="2">
        <f>+Resumen!AD119</f>
        <v>196875621.24261382</v>
      </c>
      <c r="F17" s="2">
        <f>+Resumen!C15</f>
        <v>7513504.5</v>
      </c>
      <c r="I17" t="str">
        <f t="shared" si="3"/>
        <v>Cataluña</v>
      </c>
      <c r="J17" s="2">
        <f t="shared" si="0"/>
        <v>26202.901887210399</v>
      </c>
      <c r="K17" s="2">
        <f t="shared" si="0"/>
        <v>-1316.6052701230474</v>
      </c>
      <c r="L17" s="398">
        <f t="shared" si="1"/>
        <v>-1028.7654057396221</v>
      </c>
      <c r="M17" s="398">
        <f t="shared" si="4"/>
        <v>-287.83986438342527</v>
      </c>
      <c r="O17" t="s">
        <v>1149</v>
      </c>
      <c r="P17" s="398">
        <f>+J32/P16</f>
        <v>4.8473709601939765</v>
      </c>
    </row>
    <row r="18" spans="1:16">
      <c r="A18" s="374">
        <v>10</v>
      </c>
      <c r="B18" s="208" t="s">
        <v>17</v>
      </c>
      <c r="C18" s="2">
        <f t="shared" si="2"/>
        <v>19493.265482156105</v>
      </c>
      <c r="D18" s="2">
        <f>+'Cuadros Informe Corto'!I54</f>
        <v>-347.43024500308184</v>
      </c>
      <c r="E18" s="2">
        <f>+Resumen!AD120</f>
        <v>97325322.874915347</v>
      </c>
      <c r="F18" s="2">
        <f>+Resumen!C16</f>
        <v>4992766.5</v>
      </c>
      <c r="I18" t="str">
        <f t="shared" si="3"/>
        <v>Valencia</v>
      </c>
      <c r="J18" s="2">
        <f t="shared" si="0"/>
        <v>19493.265482156105</v>
      </c>
      <c r="K18" s="2">
        <f t="shared" si="0"/>
        <v>-347.43024500308184</v>
      </c>
      <c r="L18" s="398">
        <f t="shared" si="1"/>
        <v>909.50856240741632</v>
      </c>
      <c r="M18" s="398">
        <f t="shared" si="4"/>
        <v>-1256.9388074104982</v>
      </c>
    </row>
    <row r="19" spans="1:16">
      <c r="A19" s="374">
        <v>11</v>
      </c>
      <c r="B19" s="208" t="s">
        <v>18</v>
      </c>
      <c r="C19" s="2">
        <f t="shared" si="2"/>
        <v>15201.424317148269</v>
      </c>
      <c r="D19" s="2">
        <f>+'Cuadros Informe Corto'!I55</f>
        <v>2578.3895286784746</v>
      </c>
      <c r="E19" s="2">
        <f>+Resumen!AD121</f>
        <v>16665541.899542244</v>
      </c>
      <c r="F19" s="2">
        <f>+Resumen!C17</f>
        <v>1096314.5</v>
      </c>
      <c r="I19" t="str">
        <f t="shared" si="3"/>
        <v>Extremadura</v>
      </c>
      <c r="J19" s="2">
        <f t="shared" si="0"/>
        <v>15201.424317148269</v>
      </c>
      <c r="K19" s="2">
        <f t="shared" si="0"/>
        <v>2578.3895286784746</v>
      </c>
      <c r="L19" s="398">
        <f t="shared" si="1"/>
        <v>2149.3319303756298</v>
      </c>
      <c r="M19" s="398">
        <f t="shared" si="4"/>
        <v>429.05759830284478</v>
      </c>
    </row>
    <row r="20" spans="1:16">
      <c r="A20" s="374">
        <v>12</v>
      </c>
      <c r="B20" s="208" t="s">
        <v>19</v>
      </c>
      <c r="C20" s="2">
        <f t="shared" si="2"/>
        <v>19670.976464825249</v>
      </c>
      <c r="D20" s="2">
        <f>+'Cuadros Informe Corto'!I56</f>
        <v>1347.1158329132413</v>
      </c>
      <c r="E20" s="2">
        <f>+Resumen!AD122</f>
        <v>53908724.092359357</v>
      </c>
      <c r="F20" s="2">
        <f>+Resumen!C18</f>
        <v>2740521</v>
      </c>
      <c r="I20" t="str">
        <f t="shared" si="3"/>
        <v>Galicia</v>
      </c>
      <c r="J20" s="2">
        <f t="shared" si="0"/>
        <v>19670.976464825249</v>
      </c>
      <c r="K20" s="2">
        <f t="shared" si="0"/>
        <v>1347.1158329132413</v>
      </c>
      <c r="L20" s="398">
        <f t="shared" si="1"/>
        <v>858.17156726085977</v>
      </c>
      <c r="M20" s="398">
        <f t="shared" si="4"/>
        <v>488.94426565238155</v>
      </c>
    </row>
    <row r="21" spans="1:16">
      <c r="A21" s="374">
        <v>13</v>
      </c>
      <c r="B21" s="208" t="s">
        <v>20</v>
      </c>
      <c r="C21" s="2">
        <f t="shared" si="2"/>
        <v>30334.451377347978</v>
      </c>
      <c r="D21" s="2">
        <f>+'Cuadros Informe Corto'!I57</f>
        <v>-2979.4514840371285</v>
      </c>
      <c r="E21" s="2">
        <f>+Resumen!AD123</f>
        <v>195527319.26309666</v>
      </c>
      <c r="F21" s="2">
        <f>+Resumen!C19</f>
        <v>6445718</v>
      </c>
      <c r="I21" t="str">
        <f t="shared" si="3"/>
        <v>Madrid</v>
      </c>
      <c r="J21" s="2">
        <f t="shared" si="0"/>
        <v>30334.451377347978</v>
      </c>
      <c r="K21" s="2">
        <f t="shared" si="0"/>
        <v>-2979.4514840371285</v>
      </c>
      <c r="L21" s="398">
        <f t="shared" si="1"/>
        <v>-2222.2838531494463</v>
      </c>
      <c r="M21" s="398">
        <f t="shared" si="4"/>
        <v>-757.16763088768221</v>
      </c>
    </row>
    <row r="22" spans="1:16">
      <c r="A22" s="374">
        <v>14</v>
      </c>
      <c r="B22" s="208" t="s">
        <v>60</v>
      </c>
      <c r="C22" s="2">
        <f t="shared" si="2"/>
        <v>18118.731912480926</v>
      </c>
      <c r="D22" s="2">
        <f>+'Cuadros Informe Corto'!I58</f>
        <v>73.36672850872128</v>
      </c>
      <c r="E22" s="2">
        <f>+Resumen!AD124</f>
        <v>26581140.008400876</v>
      </c>
      <c r="F22" s="2">
        <f>+Resumen!C20</f>
        <v>1467053</v>
      </c>
      <c r="I22" t="str">
        <f t="shared" si="3"/>
        <v>Murcia</v>
      </c>
      <c r="J22" s="2">
        <f t="shared" si="0"/>
        <v>18118.731912480926</v>
      </c>
      <c r="K22" s="2">
        <f t="shared" si="0"/>
        <v>73.36672850872128</v>
      </c>
      <c r="L22" s="398">
        <f t="shared" si="1"/>
        <v>1306.5826325371627</v>
      </c>
      <c r="M22" s="398">
        <f t="shared" si="4"/>
        <v>-1233.2159040284414</v>
      </c>
    </row>
    <row r="23" spans="1:16">
      <c r="A23" s="374">
        <v>15</v>
      </c>
      <c r="B23" s="208" t="s">
        <v>61</v>
      </c>
      <c r="C23" s="2">
        <f t="shared" si="2"/>
        <v>27859.57660715716</v>
      </c>
      <c r="D23" s="2">
        <f>+'Cuadros Informe Corto'!I59</f>
        <v>179.23693586467562</v>
      </c>
      <c r="E23" s="2">
        <f>+Resumen!AD125</f>
        <v>17847764.140572913</v>
      </c>
      <c r="F23" s="2">
        <f>+Resumen!C21</f>
        <v>640633</v>
      </c>
      <c r="I23" s="399" t="s">
        <v>63</v>
      </c>
      <c r="J23" s="400">
        <f>+C25</f>
        <v>24028.50902188792</v>
      </c>
      <c r="K23" s="400">
        <f>+D25</f>
        <v>131.44475207575124</v>
      </c>
      <c r="L23" s="401">
        <f t="shared" si="1"/>
        <v>-400.62867329247729</v>
      </c>
      <c r="M23" s="401">
        <f t="shared" si="4"/>
        <v>532.07342536822853</v>
      </c>
    </row>
    <row r="24" spans="1:16">
      <c r="A24" s="374">
        <v>16</v>
      </c>
      <c r="B24" s="208" t="s">
        <v>62</v>
      </c>
      <c r="C24" s="2">
        <f t="shared" si="2"/>
        <v>29217.106735387246</v>
      </c>
      <c r="D24" s="2">
        <f>+'Cuadros Informe Corto'!I60</f>
        <v>1547.4087525475716</v>
      </c>
      <c r="E24" s="2">
        <f>+Resumen!AD126</f>
        <v>63959781.913677663</v>
      </c>
      <c r="F24" s="2">
        <f>+Resumen!C22</f>
        <v>2189121</v>
      </c>
    </row>
    <row r="25" spans="1:16">
      <c r="A25" s="374">
        <v>17</v>
      </c>
      <c r="B25" s="208" t="s">
        <v>63</v>
      </c>
      <c r="C25" s="371">
        <f t="shared" si="2"/>
        <v>24028.50902188792</v>
      </c>
      <c r="D25" s="371">
        <f>+'Cuadros Informe Corto'!I61</f>
        <v>131.44475207575124</v>
      </c>
      <c r="E25" s="371">
        <f>+Resumen!AD127</f>
        <v>7641726.6529584611</v>
      </c>
      <c r="F25" s="371">
        <f>+Resumen!C23</f>
        <v>318027.5</v>
      </c>
      <c r="I25" s="402" t="s">
        <v>1155</v>
      </c>
      <c r="J25" s="403">
        <f>MAX(J9:J23)</f>
        <v>30334.451377347978</v>
      </c>
      <c r="K25" s="402"/>
      <c r="L25" s="404">
        <f>+J25*$J$33+$J$32</f>
        <v>-2222.2838531494463</v>
      </c>
    </row>
    <row r="26" spans="1:16">
      <c r="A26" s="374">
        <v>18</v>
      </c>
      <c r="B26" s="208" t="s">
        <v>64</v>
      </c>
      <c r="C26" s="2">
        <f t="shared" si="2"/>
        <v>17393.024209081905</v>
      </c>
      <c r="D26" s="2">
        <f>+'Cuadros Informe Corto'!I62</f>
        <v>4850.1949609930552</v>
      </c>
      <c r="E26" s="2">
        <f>+Resumen!AD128</f>
        <v>2950891.7908007316</v>
      </c>
      <c r="F26" s="2">
        <f>+Resumen!C24</f>
        <v>169659.5</v>
      </c>
      <c r="I26" s="399" t="s">
        <v>1156</v>
      </c>
      <c r="J26" s="400">
        <f>MIN(J9:J23)</f>
        <v>15201.424317148269</v>
      </c>
      <c r="K26" s="399"/>
      <c r="L26" s="401">
        <f>+J26*$J$33+$J$32</f>
        <v>2149.3319303756298</v>
      </c>
    </row>
    <row r="27" spans="1:16">
      <c r="A27" s="374"/>
      <c r="B27" s="208" t="str">
        <f>+I25</f>
        <v xml:space="preserve">Máximo </v>
      </c>
      <c r="C27" s="2">
        <f>+J25</f>
        <v>30334.451377347978</v>
      </c>
      <c r="D27" s="2">
        <f>+L25</f>
        <v>-2222.2838531494463</v>
      </c>
      <c r="E27" s="2"/>
      <c r="F27" s="2"/>
      <c r="J27" s="2"/>
      <c r="L27" s="398"/>
    </row>
    <row r="28" spans="1:16" ht="13.5" thickBot="1">
      <c r="A28" s="375"/>
      <c r="B28" s="54" t="str">
        <f>+I26</f>
        <v>Mínimo</v>
      </c>
      <c r="C28" s="372">
        <f>+J26</f>
        <v>15201.424317148269</v>
      </c>
      <c r="D28" s="372">
        <f>+L26</f>
        <v>2149.3319303756298</v>
      </c>
      <c r="E28" s="372"/>
      <c r="F28" s="372"/>
      <c r="J28" s="2"/>
      <c r="L28" s="398"/>
    </row>
    <row r="29" spans="1:16">
      <c r="A29" s="208"/>
      <c r="B29" s="208"/>
      <c r="C29" s="371"/>
      <c r="D29" s="371"/>
      <c r="E29" s="371"/>
      <c r="F29" s="371"/>
      <c r="J29" s="2"/>
      <c r="L29" s="398"/>
    </row>
    <row r="31" spans="1:16" ht="25.5">
      <c r="A31" t="s">
        <v>1141</v>
      </c>
      <c r="D31" s="407">
        <f>SUM(E9:E26)/SUM(F9:F26)*1000</f>
        <v>22207.119698618317</v>
      </c>
      <c r="I31" s="389" t="s">
        <v>1150</v>
      </c>
      <c r="J31" s="390" t="s">
        <v>1166</v>
      </c>
      <c r="K31" s="391" t="s">
        <v>1151</v>
      </c>
    </row>
    <row r="32" spans="1:16">
      <c r="I32" s="392" t="s">
        <v>1152</v>
      </c>
      <c r="J32" s="393">
        <f>INTERCEPT(K9:K23,J9:J23)</f>
        <v>6540.7062543986967</v>
      </c>
      <c r="K32" s="394">
        <f>+P17</f>
        <v>4.8473709601939765</v>
      </c>
    </row>
    <row r="33" spans="1:11">
      <c r="I33" s="392" t="s">
        <v>1153</v>
      </c>
      <c r="J33" s="393">
        <f>SLOPE(K9:K23,J9:J23)</f>
        <v>-0.28887913608656329</v>
      </c>
      <c r="K33" s="394">
        <f>+P14</f>
        <v>-4.5755838244019156</v>
      </c>
    </row>
    <row r="34" spans="1:11">
      <c r="I34" s="395" t="s">
        <v>1154</v>
      </c>
      <c r="J34" s="396">
        <f>RSQ(K9:K23,J9:J23)</f>
        <v>0.616925609575117</v>
      </c>
      <c r="K34" s="397"/>
    </row>
    <row r="40" spans="1:11">
      <c r="C40" s="425"/>
      <c r="D40" s="425"/>
    </row>
    <row r="41" spans="1:11">
      <c r="C41" s="425"/>
      <c r="D41" s="425"/>
    </row>
    <row r="42" spans="1:11">
      <c r="C42" s="425"/>
      <c r="D42" s="425"/>
    </row>
    <row r="45" spans="1:11" ht="18">
      <c r="B45" s="456" t="str">
        <f>"Gráfico 2: Financiación por habitante ajustado a competencias homogéneas, "&amp;Resumen!C2</f>
        <v>Gráfico 2: Financiación por habitante ajustado a competencias homogéneas, 2014</v>
      </c>
    </row>
    <row r="46" spans="1:11" ht="18">
      <c r="B46" s="373"/>
    </row>
    <row r="47" spans="1:11">
      <c r="A47" s="379"/>
      <c r="F47" s="383"/>
    </row>
    <row r="48" spans="1:11" ht="87.6" customHeight="1" thickBot="1">
      <c r="B48" s="257" t="s">
        <v>580</v>
      </c>
      <c r="C48" s="257" t="s">
        <v>1017</v>
      </c>
      <c r="D48" s="257" t="s">
        <v>1178</v>
      </c>
      <c r="F48" s="257" t="s">
        <v>1178</v>
      </c>
      <c r="G48" s="257" t="s">
        <v>1158</v>
      </c>
      <c r="H48" s="257" t="s">
        <v>1162</v>
      </c>
    </row>
    <row r="49" spans="2:18">
      <c r="B49" s="2">
        <f>+'Cuadros Informe Corto'!E469</f>
        <v>98.213963916725234</v>
      </c>
      <c r="C49" s="2">
        <f>+'Cuadros Informe Corto'!F469</f>
        <v>98.64624023348118</v>
      </c>
      <c r="D49" s="450" t="str">
        <f>+'Cuadros Informe Corto'!B469</f>
        <v>Andalucía</v>
      </c>
      <c r="F49" s="448" t="str">
        <f>VLOOKUP(G49,$B$49:$D$66,3,FALSE)</f>
        <v>Valencia</v>
      </c>
      <c r="G49" s="10">
        <f>SMALL($B$49:$B$65,1)</f>
        <v>92.188025557269398</v>
      </c>
      <c r="H49" s="10">
        <f>VLOOKUP(G49,$B$49:$D$66,2,FALSE)</f>
        <v>94.616752583965862</v>
      </c>
      <c r="Q49" s="440"/>
      <c r="R49" s="440"/>
    </row>
    <row r="50" spans="2:18">
      <c r="B50" s="2">
        <f>+'Cuadros Informe Corto'!E470</f>
        <v>105.46765964718257</v>
      </c>
      <c r="C50" s="2">
        <f>+'Cuadros Informe Corto'!F470</f>
        <v>106.44078875528888</v>
      </c>
      <c r="D50" s="450" t="str">
        <f>+'Cuadros Informe Corto'!B470</f>
        <v>Aragón</v>
      </c>
      <c r="F50" s="448" t="str">
        <f t="shared" ref="F50:F65" si="5">VLOOKUP(G50,$B$49:$D$66,3,FALSE)</f>
        <v>Murcia</v>
      </c>
      <c r="G50" s="10">
        <f>SMALL($B$49:$B$65,2)</f>
        <v>93.543665875776213</v>
      </c>
      <c r="H50" s="10">
        <f t="shared" ref="H50:H65" si="6">VLOOKUP(G50,$B$49:$D$66,2,FALSE)</f>
        <v>96.341144886778423</v>
      </c>
      <c r="Q50" s="440"/>
      <c r="R50" s="440"/>
    </row>
    <row r="51" spans="2:18">
      <c r="B51" s="2">
        <f>+'Cuadros Informe Corto'!E471</f>
        <v>105.39575534225813</v>
      </c>
      <c r="C51" s="2">
        <f>+'Cuadros Informe Corto'!F471</f>
        <v>106.20017395094698</v>
      </c>
      <c r="D51" s="450" t="str">
        <f>+'Cuadros Informe Corto'!B471</f>
        <v>Asturias</v>
      </c>
      <c r="F51" s="448" t="str">
        <f t="shared" si="5"/>
        <v>Cataluña</v>
      </c>
      <c r="G51" s="10">
        <f>SMALL($B$49:$B$65,3)</f>
        <v>96.601093447709673</v>
      </c>
      <c r="H51" s="10">
        <f t="shared" si="6"/>
        <v>99.198050159797674</v>
      </c>
      <c r="Q51" s="440"/>
      <c r="R51" s="440"/>
    </row>
    <row r="52" spans="2:18">
      <c r="B52" s="2">
        <f>+'Cuadros Informe Corto'!E472</f>
        <v>103.02669862757661</v>
      </c>
      <c r="C52" s="2">
        <f>+'Cuadros Informe Corto'!F472</f>
        <v>108.37165656444836</v>
      </c>
      <c r="D52" s="450" t="str">
        <f>+'Cuadros Informe Corto'!B472</f>
        <v>Baleares</v>
      </c>
      <c r="F52" s="448" t="str">
        <f t="shared" si="5"/>
        <v>Madrid</v>
      </c>
      <c r="G52" s="10">
        <f>SMALL($B$49:$B$65,4)</f>
        <v>96.982738339980799</v>
      </c>
      <c r="H52" s="10">
        <f t="shared" si="6"/>
        <v>90.19363598246342</v>
      </c>
      <c r="Q52" s="440"/>
      <c r="R52" s="440"/>
    </row>
    <row r="53" spans="2:18">
      <c r="B53" s="2">
        <f>+'Cuadros Informe Corto'!E473</f>
        <v>109.03879424951575</v>
      </c>
      <c r="C53" s="2">
        <f>+'Cuadros Informe Corto'!F473</f>
        <v>107.82714667078184</v>
      </c>
      <c r="D53" s="450" t="str">
        <f>+'Cuadros Informe Corto'!B473</f>
        <v>Canarias</v>
      </c>
      <c r="F53" s="448" t="str">
        <f t="shared" si="5"/>
        <v>Andalucía</v>
      </c>
      <c r="G53" s="10">
        <f>SMALL($B$49:$B$65,5)</f>
        <v>98.213963916725234</v>
      </c>
      <c r="H53" s="10">
        <f t="shared" si="6"/>
        <v>98.64624023348118</v>
      </c>
      <c r="Q53" s="440"/>
      <c r="R53" s="440"/>
    </row>
    <row r="54" spans="2:18">
      <c r="B54" s="2">
        <f>+'Cuadros Informe Corto'!E474</f>
        <v>123.88878408245536</v>
      </c>
      <c r="C54" s="2">
        <f>+'Cuadros Informe Corto'!F474</f>
        <v>123.09304212257705</v>
      </c>
      <c r="D54" s="450" t="str">
        <f>+'Cuadros Informe Corto'!B474</f>
        <v>Cantabria</v>
      </c>
      <c r="F54" s="448" t="str">
        <f t="shared" si="5"/>
        <v>Cast. - La Mancha</v>
      </c>
      <c r="G54" s="10">
        <f>SMALL($B$49:$B$65,6)</f>
        <v>100.22844994466705</v>
      </c>
      <c r="H54" s="10">
        <f t="shared" si="6"/>
        <v>97.491515332008063</v>
      </c>
      <c r="Q54" s="440"/>
      <c r="R54" s="440"/>
    </row>
    <row r="55" spans="2:18">
      <c r="B55" s="2">
        <f>+'Cuadros Informe Corto'!E475</f>
        <v>106.7492250195772</v>
      </c>
      <c r="C55" s="2">
        <f>+'Cuadros Informe Corto'!F475</f>
        <v>106.19093925821998</v>
      </c>
      <c r="D55" s="450" t="str">
        <f>+'Cuadros Informe Corto'!B475</f>
        <v>Castilla y León</v>
      </c>
      <c r="F55" s="448" t="str">
        <f t="shared" si="5"/>
        <v>Baleares</v>
      </c>
      <c r="G55" s="10">
        <f>SMALL($B$49:$B$65,7)</f>
        <v>103.02669862757661</v>
      </c>
      <c r="H55" s="10">
        <f t="shared" si="6"/>
        <v>108.37165656444836</v>
      </c>
      <c r="Q55" s="440"/>
      <c r="R55" s="440"/>
    </row>
    <row r="56" spans="2:18">
      <c r="B56" s="2">
        <f>+'Cuadros Informe Corto'!E476</f>
        <v>100.22844994466705</v>
      </c>
      <c r="C56" s="2">
        <f>+'Cuadros Informe Corto'!F476</f>
        <v>97.491515332008063</v>
      </c>
      <c r="D56" s="450" t="str">
        <f>+'Cuadros Informe Corto'!B476</f>
        <v>Cast. - La Mancha</v>
      </c>
      <c r="F56" s="448" t="str">
        <f t="shared" si="5"/>
        <v>Asturias</v>
      </c>
      <c r="G56" s="10">
        <f>SMALL($B$49:$B$65,8)</f>
        <v>105.39575534225813</v>
      </c>
      <c r="H56" s="10">
        <f t="shared" si="6"/>
        <v>106.20017395094698</v>
      </c>
      <c r="Q56" s="440"/>
      <c r="R56" s="440"/>
    </row>
    <row r="57" spans="2:18">
      <c r="B57" s="2">
        <f>+'Cuadros Informe Corto'!E477</f>
        <v>96.601093447709673</v>
      </c>
      <c r="C57" s="2">
        <f>+'Cuadros Informe Corto'!F477</f>
        <v>99.198050159797674</v>
      </c>
      <c r="D57" s="450" t="str">
        <f>+'Cuadros Informe Corto'!B477</f>
        <v>Cataluña</v>
      </c>
      <c r="F57" s="448" t="str">
        <f t="shared" si="5"/>
        <v>Galicia</v>
      </c>
      <c r="G57" s="10">
        <f>SMALL($B$49:$B$65,9)</f>
        <v>105.44445655297754</v>
      </c>
      <c r="H57" s="10">
        <f t="shared" si="6"/>
        <v>106.31113474915924</v>
      </c>
      <c r="Q57" s="440"/>
      <c r="R57" s="440"/>
    </row>
    <row r="58" spans="2:18">
      <c r="B58" s="2">
        <f>+'Cuadros Informe Corto'!E478</f>
        <v>92.188025557269398</v>
      </c>
      <c r="C58" s="2">
        <f>+'Cuadros Informe Corto'!F478</f>
        <v>94.616752583965862</v>
      </c>
      <c r="D58" s="450" t="str">
        <f>+'Cuadros Informe Corto'!B478</f>
        <v>Valencia</v>
      </c>
      <c r="F58" s="448" t="str">
        <f t="shared" si="5"/>
        <v>Aragón</v>
      </c>
      <c r="G58" s="10">
        <f>SMALL($B$49:$B$65,10)</f>
        <v>105.46765964718257</v>
      </c>
      <c r="H58" s="10">
        <f t="shared" si="6"/>
        <v>106.44078875528888</v>
      </c>
      <c r="Q58" s="440"/>
      <c r="R58" s="440"/>
    </row>
    <row r="59" spans="2:18">
      <c r="B59" s="2">
        <f>+'Cuadros Informe Corto'!E479</f>
        <v>112.6263865952065</v>
      </c>
      <c r="C59" s="2">
        <f>+'Cuadros Informe Corto'!F479</f>
        <v>115.8422655146835</v>
      </c>
      <c r="D59" s="450" t="str">
        <f>+'Cuadros Informe Corto'!B479</f>
        <v>Extremadura</v>
      </c>
      <c r="F59" s="448" t="str">
        <f t="shared" si="5"/>
        <v>Castilla y León</v>
      </c>
      <c r="G59" s="10">
        <f>SMALL($B$49:$B$65,11)</f>
        <v>106.7492250195772</v>
      </c>
      <c r="H59" s="10">
        <f t="shared" si="6"/>
        <v>106.19093925821998</v>
      </c>
      <c r="Q59" s="440"/>
      <c r="R59" s="440"/>
    </row>
    <row r="60" spans="2:18">
      <c r="B60" s="2">
        <f>+'Cuadros Informe Corto'!E480</f>
        <v>105.44445655297754</v>
      </c>
      <c r="C60" s="2">
        <f>+'Cuadros Informe Corto'!F480</f>
        <v>106.31113474915924</v>
      </c>
      <c r="D60" s="450" t="str">
        <f>+'Cuadros Informe Corto'!B480</f>
        <v>Galicia</v>
      </c>
      <c r="F60" s="448" t="str">
        <f t="shared" si="5"/>
        <v>Canarias</v>
      </c>
      <c r="G60" s="10">
        <f>SMALL($B$49:$B$65,12)</f>
        <v>109.03879424951575</v>
      </c>
      <c r="H60" s="10">
        <f t="shared" si="6"/>
        <v>107.82714667078184</v>
      </c>
      <c r="Q60" s="440"/>
      <c r="R60" s="440"/>
    </row>
    <row r="61" spans="2:18">
      <c r="B61" s="2">
        <f>+'Cuadros Informe Corto'!E481</f>
        <v>96.982738339980799</v>
      </c>
      <c r="C61" s="2">
        <f>+'Cuadros Informe Corto'!F481</f>
        <v>90.19363598246342</v>
      </c>
      <c r="D61" s="450" t="str">
        <f>+'Cuadros Informe Corto'!B481</f>
        <v>Madrid</v>
      </c>
      <c r="F61" s="448" t="str">
        <f t="shared" si="5"/>
        <v>Extremadura</v>
      </c>
      <c r="G61" s="10">
        <f>SMALL($B$49:$B$65,13)</f>
        <v>112.6263865952065</v>
      </c>
      <c r="H61" s="10">
        <f t="shared" si="6"/>
        <v>115.8422655146835</v>
      </c>
      <c r="Q61" s="440"/>
      <c r="R61" s="440"/>
    </row>
    <row r="62" spans="2:18">
      <c r="B62" s="2">
        <f>+'Cuadros Informe Corto'!E482</f>
        <v>93.543665875776213</v>
      </c>
      <c r="C62" s="2">
        <f>+'Cuadros Informe Corto'!F482</f>
        <v>96.341144886778423</v>
      </c>
      <c r="D62" s="450" t="str">
        <f>+'Cuadros Informe Corto'!B482</f>
        <v>Murcia</v>
      </c>
      <c r="F62" s="448" t="str">
        <f t="shared" si="5"/>
        <v>La Rioja</v>
      </c>
      <c r="G62" s="10">
        <f>SMALL($B$49:$B$65,14)</f>
        <v>116.3863545927599</v>
      </c>
      <c r="H62" s="10">
        <f t="shared" si="6"/>
        <v>115.55717396642471</v>
      </c>
      <c r="Q62" s="440"/>
      <c r="R62" s="440"/>
    </row>
    <row r="63" spans="2:18">
      <c r="B63" s="2">
        <f>+'Cuadros Informe Corto'!E483</f>
        <v>182.24143792544027</v>
      </c>
      <c r="C63" s="2">
        <f>+'Cuadros Informe Corto'!F483</f>
        <v>144.34307771578096</v>
      </c>
      <c r="D63" s="450" t="str">
        <f>+'Cuadros Informe Corto'!B483</f>
        <v>Navarra</v>
      </c>
      <c r="F63" s="448" t="str">
        <f t="shared" si="5"/>
        <v>Cantabria</v>
      </c>
      <c r="G63" s="10">
        <f>SMALL($B$49:$B$65,15)</f>
        <v>123.88878408245536</v>
      </c>
      <c r="H63" s="10">
        <f t="shared" si="6"/>
        <v>123.09304212257705</v>
      </c>
      <c r="Q63" s="440"/>
      <c r="R63" s="440"/>
    </row>
    <row r="64" spans="2:18">
      <c r="B64" s="2">
        <f>+'Cuadros Informe Corto'!E484</f>
        <v>227.76849336146998</v>
      </c>
      <c r="C64" s="2">
        <f>+'Cuadros Informe Corto'!F484</f>
        <v>201.24489453800271</v>
      </c>
      <c r="D64" s="450" t="str">
        <f>+'Cuadros Informe Corto'!B484</f>
        <v>País Vasco</v>
      </c>
      <c r="F64" s="448" t="str">
        <f t="shared" si="5"/>
        <v>Navarra</v>
      </c>
      <c r="G64" s="10">
        <f>SMALL($B$49:$B$65,16)</f>
        <v>182.24143792544027</v>
      </c>
      <c r="H64" s="10">
        <f t="shared" si="6"/>
        <v>144.34307771578096</v>
      </c>
      <c r="Q64" s="440"/>
      <c r="R64" s="440"/>
    </row>
    <row r="65" spans="2:18" ht="13.5" thickBot="1">
      <c r="B65" s="371">
        <f>+'Cuadros Informe Corto'!E485</f>
        <v>116.3863545927599</v>
      </c>
      <c r="C65" s="371">
        <f>+'Cuadros Informe Corto'!F485</f>
        <v>115.55717396642471</v>
      </c>
      <c r="D65" s="450" t="str">
        <f>+'Cuadros Informe Corto'!B485</f>
        <v>La Rioja</v>
      </c>
      <c r="F65" s="449" t="str">
        <f t="shared" si="5"/>
        <v>País Vasco</v>
      </c>
      <c r="G65" s="447">
        <f>SMALL($B$49:$B$65,17)</f>
        <v>227.76849336146998</v>
      </c>
      <c r="H65" s="447">
        <f t="shared" si="6"/>
        <v>201.24489453800271</v>
      </c>
      <c r="Q65" s="440"/>
      <c r="R65" s="440"/>
    </row>
    <row r="66" spans="2:18" ht="13.5" thickBot="1">
      <c r="B66" s="372">
        <f>+'Cuadros Informe Corto'!E486</f>
        <v>216.76355125156161</v>
      </c>
      <c r="C66" s="372">
        <f>+'Cuadros Informe Corto'!F486</f>
        <v>209.83269498353559</v>
      </c>
      <c r="D66" s="451" t="str">
        <f>+'Cuadros Informe Corto'!B486</f>
        <v>Ceuta y Melilla</v>
      </c>
      <c r="F66" s="208"/>
      <c r="G66" s="371"/>
      <c r="H66" s="371"/>
      <c r="Q66" s="440"/>
      <c r="R66" s="440"/>
    </row>
    <row r="67" spans="2:18" ht="14.25" thickBot="1">
      <c r="B67" s="380">
        <f>+'Cuadros Informe Corto'!E487</f>
        <v>107.60786236238404</v>
      </c>
      <c r="C67" s="380">
        <f>+'Cuadros Informe Corto'!F487</f>
        <v>105.79676503856507</v>
      </c>
      <c r="D67" s="380" t="str">
        <f>+'Cuadros Informe Corto'!B487</f>
        <v>media España</v>
      </c>
      <c r="F67" s="381" t="str">
        <f>+D68</f>
        <v>media reg comun sin CyMel</v>
      </c>
      <c r="G67" s="381">
        <f>+B68</f>
        <v>100</v>
      </c>
      <c r="H67" s="381">
        <f>+C68</f>
        <v>100</v>
      </c>
      <c r="Q67" s="440"/>
    </row>
    <row r="68" spans="2:18" ht="27.75" thickBot="1">
      <c r="B68" s="380">
        <f>+'Cuadros Informe Corto'!E488</f>
        <v>100</v>
      </c>
      <c r="C68" s="380">
        <f>+'Cuadros Informe Corto'!F488</f>
        <v>100</v>
      </c>
      <c r="D68" s="380" t="str">
        <f>+'Cuadros Informe Corto'!B488</f>
        <v>media reg comun sin CyMel</v>
      </c>
    </row>
    <row r="69" spans="2:18">
      <c r="B69" s="2">
        <f>+'Cuadros Informe Corto'!E489</f>
        <v>217.44053640909652</v>
      </c>
      <c r="C69" s="2">
        <f>+'Cuadros Informe Corto'!F489</f>
        <v>188.33653688070817</v>
      </c>
      <c r="D69" s="446" t="str">
        <f>+'Cuadros Informe Corto'!B489</f>
        <v>media forales</v>
      </c>
      <c r="F69" s="445"/>
    </row>
    <row r="87" spans="2:2" ht="18">
      <c r="B87" s="373"/>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Value>117</Value>
      <Value>108</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99BE1FE-F7E9-43F6-BAFA-39D59E4503B3}"/>
</file>

<file path=customXml/itemProps2.xml><?xml version="1.0" encoding="utf-8"?>
<ds:datastoreItem xmlns:ds="http://schemas.openxmlformats.org/officeDocument/2006/customXml" ds:itemID="{B1464178-F502-45ED-8CFD-E6FC6DB7468F}"/>
</file>

<file path=customXml/itemProps3.xml><?xml version="1.0" encoding="utf-8"?>
<ds:datastoreItem xmlns:ds="http://schemas.openxmlformats.org/officeDocument/2006/customXml" ds:itemID="{842352C2-D8A2-4C96-B370-B6FE22C865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 Informe Corto</vt:lpstr>
      <vt:lpstr>Nota de prensa</vt:lpstr>
      <vt:lpstr>Gasto_o_ing_total!_Toc409002302</vt:lpstr>
      <vt:lpstr>Gasto_o_ing_total!_Toc409683604</vt:lpstr>
      <vt:lpstr>Gasto_o_ing_total!_Toc409700208</vt:lpstr>
      <vt:lpstr>Gasto_o_ing_total!_Toc410736660</vt:lpstr>
      <vt:lpstr>'Cuadros Informe Corto'!Área_de_impresión</vt:lpstr>
      <vt:lpstr>Resumen!Área_de_impresión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 resultados SCPT 2014</dc:title>
  <dc:creator>MICROSOFT OFFICE 2004</dc:creator>
  <cp:lastModifiedBy>De Domingo Sánz, Victoria</cp:lastModifiedBy>
  <cp:lastPrinted>2017-06-20T08:50:23Z</cp:lastPrinted>
  <dcterms:created xsi:type="dcterms:W3CDTF">2013-04-24T12:08:14Z</dcterms:created>
  <dcterms:modified xsi:type="dcterms:W3CDTF">2017-07-13T14:47:44Z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115;#:Subdirección General de Coordinación de la Información Económico-Financiera;#117;#:Central de Información Económico-Financiera. CdI;#108;#:Secretaría  de Estado de Presupuestos y Gastos</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121500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